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sheetId="1" r:id="rId5"/>
    <sheet state="visible" name="IMPORTACION" sheetId="2" r:id="rId6"/>
    <sheet state="visible" name="PROVEDORES" sheetId="3" r:id="rId7"/>
    <sheet state="hidden" name="export_maryory" sheetId="4" r:id="rId8"/>
    <sheet state="hidden" name="ventas julio-agosto-setiembre" sheetId="5" r:id="rId9"/>
    <sheet state="hidden" name="Sheet1" sheetId="6" r:id="rId10"/>
    <sheet state="hidden" name="export_columns" sheetId="7" r:id="rId11"/>
    <sheet state="visible" name="export_karina" sheetId="8" r:id="rId12"/>
    <sheet state="hidden" name="export_jossy" sheetId="9" r:id="rId13"/>
    <sheet state="visible" name="export_chelsea" sheetId="10" r:id="rId14"/>
    <sheet state="visible" name="export_katiuska" sheetId="11" r:id="rId15"/>
    <sheet state="hidden" name="Sheet2" sheetId="12" r:id="rId16"/>
  </sheets>
  <definedNames>
    <definedName hidden="1" localSheetId="0" name="_xlnm._FilterDatabase">ALL!$A$1:$Q$1033</definedName>
    <definedName hidden="1" localSheetId="1" name="_xlnm._FilterDatabase">IMPORTACION!$A$1:$AI$2005</definedName>
    <definedName hidden="1" localSheetId="2" name="_xlnm._FilterDatabase">PROVEDORES!$A$1:$T$59</definedName>
    <definedName hidden="1" localSheetId="1" name="Z_5AB31279_1AE1_4F76_9CC1_5CC583D7FEDB_.wvu.FilterData">IMPORTACION!$A$1:$AI$2005</definedName>
    <definedName hidden="1" localSheetId="1" name="Z_854B2DEA_6380_4657_93F1_3E19C4DF1C62_.wvu.FilterData">IMPORTACION!$A$1:$AI$2005</definedName>
    <definedName hidden="1" localSheetId="1" name="Z_518A44D3_54D9_4229_9E30_81F63B396A01_.wvu.FilterData">IMPORTACION!$A$1:$AI$2005</definedName>
    <definedName hidden="1" localSheetId="1" name="Z_0739AA20_A94A_4651_A8E7_DDE29673B58F_.wvu.FilterData">IMPORTACION!$A$1:$AI$2005</definedName>
    <definedName hidden="1" localSheetId="2" name="Z_56E2636F_D181_4FC3_BB81_5101A05507B9_.wvu.FilterData">PROVEDORES!$A$1:$T$59</definedName>
    <definedName hidden="1" localSheetId="1" name="Z_8F6A4DA7_4979_4DD3_AAD7_1F50694EF30F_.wvu.FilterData">IMPORTACION!$A$1:$AI$2005</definedName>
    <definedName hidden="1" localSheetId="1" name="Z_BE467C93_92BF_475E_85BD_41DA8974C596_.wvu.FilterData">IMPORTACION!$A$1:$AI$2005</definedName>
  </definedNames>
  <calcPr/>
  <customWorkbookViews>
    <customWorkbookView activeSheetId="0" maximized="1" windowHeight="0" windowWidth="0" guid="{854B2DEA-6380-4657-93F1-3E19C4DF1C62}" name="filtro karina"/>
    <customWorkbookView activeSheetId="0" maximized="1" windowHeight="0" windowWidth="0" guid="{518A44D3-54D9-4229-9E30-81F63B396A01}" name="filtro maryory"/>
    <customWorkbookView activeSheetId="0" maximized="1" windowHeight="0" windowWidth="0" guid="{BE467C93-92BF-475E-85BD-41DA8974C596}" name="filtro sofi"/>
    <customWorkbookView activeSheetId="0" maximized="1" windowHeight="0" windowWidth="0" guid="{0739AA20-A94A-4651-A8E7-DDE29673B58F}" name="YOLI"/>
    <customWorkbookView activeSheetId="0" maximized="1" windowHeight="0" windowWidth="0" guid="{5AB31279-1AE1-4F76-9CC1-5CC583D7FEDB}" name="filtro jossy"/>
    <customWorkbookView activeSheetId="0" maximized="1" windowHeight="0" windowWidth="0" guid="{56E2636F-D181-4FC3-BB81-5101A05507B9}" name="kef"/>
    <customWorkbookView activeSheetId="0" maximized="1" windowHeight="0" windowWidth="0" guid="{8F6A4DA7-4979-4DD3-AAD7-1F50694EF30F}" name="filtro kef"/>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tc={01ccda02-293c-4f05-a3d1-1ef2da4bca36}</author>
    <author>tc={043cb0e8-3e0e-4138-b356-4d298002d277}</author>
    <author>tc={0adf9c5b-8216-4cc1-87e6-5d7d0d781d08}</author>
    <author>tc={129bc440-fb7c-42b6-b9e7-4c8b54a0ff06}</author>
    <author>tc={1417c0a8-5093-4864-be06-477384c944d3}</author>
    <author>tc={17a3897c-6508-40a3-8e8d-4bdb55f724db}</author>
    <author>tc={183d00d3-9563-46d6-b3c2-1ac9f6cd64f6}</author>
    <author>tc={1a08ecd9-401d-4bc0-a536-6c634b5c6c24}</author>
    <author>tc={1c992e3d-23d1-4c56-a9e8-a6c8ea9be97e}</author>
    <author>tc={1eeab50b-b074-497e-a16e-f4f5f7c4187c}</author>
    <author>tc={1f189ed7-7879-43f0-b23c-1e32e228fcae}</author>
    <author>tc={1f77eef2-70f6-420e-b65b-41fa9fe288dc}</author>
    <author>tc={24d27458-0cab-47ef-9d27-8159ef256cf2}</author>
    <author>tc={27072105-0d05-4188-868a-5db56fe3d713}</author>
    <author>tc={2774f97d-ec7c-425b-ab55-07c9aff8731a}</author>
    <author>tc={2bc697e7-583f-4260-b100-3c12ade593aa}</author>
    <author>tc={2e8aa97f-ab24-4223-8340-52316ad0f4c1}</author>
    <author>tc={2fc84a4d-741a-4d06-824b-a861d420b17b}</author>
    <author>tc={3194add3-45da-495f-815e-185e2c7453a8}</author>
    <author>tc={32b98b6a-4310-42ae-9773-ff41895ccd59}</author>
    <author>tc={33964d2e-4b13-4434-8e67-e25996e84384}</author>
    <author>tc={346de950-7d3c-416b-a0f6-4ef3414e0bf7}</author>
    <author>tc={371a2215-3344-436a-ac6c-8ce95f58b29c}</author>
    <author>tc={371c1095-dbbe-45a0-87d4-b98759ff3442}</author>
    <author>tc={3d0c3709-1d3f-4521-b74f-bd4faf4f1891}</author>
    <author>tc={3f87d7bb-14cd-4963-a040-86af9751eea7}</author>
    <author>tc={3fc61f19-39e9-429f-9b9c-07d241eaac1a}</author>
    <author>tc={42eabfc5-b4ab-49a2-822e-001d160d75bd}</author>
    <author>tc={4b3f7dd2-d348-4da8-bfaf-de4fca0406d2}</author>
    <author>tc={4b9835f8-4230-4bdd-ac9e-6660bb996097}</author>
    <author>tc={4bb7a008-d5a1-43b7-9b33-7301904a27e0}</author>
    <author>tc={4f9b5c46-f8a0-4a78-8231-62639f1b8071}</author>
    <author>tc={521af660-b1c8-4663-b0a3-fc02ff14c7dd}</author>
    <author>tc={5674341a-0c2d-407a-8134-8688b4aa78d8}</author>
    <author>tc={5decf49f-94bd-43f9-82e9-f8be6afd1a8b}</author>
    <author>tc={616b902d-cc34-427e-813f-1f8078181c0e}</author>
    <author>tc={67fe66a9-9882-41ed-9571-1c488a297603}</author>
    <author>tc={6a5ffdaf-c14f-4d7a-9852-ad75297cfaeb}</author>
    <author>tc={6a85323b-5cb4-46c7-ad96-73f6ef3f4f24}</author>
    <author>tc={6ac58544-df89-4e94-87b8-f68bdc59498a}</author>
    <author>tc={6e2f3dc0-f905-4a94-91d9-3e33ff283f7e}</author>
    <author>tc={74f0dcf9-dbb4-4c20-9cd3-a2844778fa60}</author>
    <author>tc={767b7145-ddaa-41c0-9b70-2b57c7455752}</author>
    <author>tc={79f016fe-5765-478e-97a3-62b79e229818}</author>
    <author>tc={7a9c1dfd-26c9-4bfd-817a-0478c7c384e9}</author>
    <author>tc={7ab0c333-06ff-4ca3-87b3-7cee81d10de7}</author>
    <author>tc={7ccb02e6-167c-4ede-9ec0-a65a60f183f2}</author>
    <author>tc={80276ab0-353f-4d12-b521-d6ba1e1a84e2}</author>
    <author>tc={84058442-e2ae-4ac2-8181-8b486adb8617}</author>
    <author>tc={8558dadc-fc26-49ad-a771-f8634c84db5b}</author>
    <author>tc={88d166e8-17bc-4aff-8f50-babbddfdb6ab}</author>
    <author>tc={893812cd-cb4e-461b-8040-6a9e9a86f339}</author>
    <author>tc={8e6080e0-06cd-45ef-ad88-384aee84bf1c}</author>
    <author>tc={993fd1cf-f34a-475e-a5c8-d9fb367e8ac9}</author>
    <author>tc={9959cd34-6933-4f36-903e-4e4b37171566}</author>
    <author>tc={9b0e718c-0365-4093-baaf-e0fa7da9b37c}</author>
    <author>tc={9b144275-93b8-48c1-9040-d531ff4bc533}</author>
    <author>tc={a14854d9-0946-488d-aeee-3a4d43d11ffa}</author>
    <author>tc={a1e91e65-496d-45bd-9d64-57ef10c572d0}</author>
    <author>tc={ae7af834-5ffc-44af-9f09-a2394eddb503}</author>
    <author>tc={b6b81a20-befe-4d06-98ba-4023a44080be}</author>
    <author>tc={b6ec6a9c-db1f-432b-8942-4d865633bfe5}</author>
    <author>tc={ba52a5f0-c44b-4f1d-848d-b52a7ab9c5cf}</author>
    <author>tc={baf1ab81-482a-44a8-aebb-c3b330ba3a91}</author>
    <author>tc={bd10725d-c86e-43a2-b3a0-3625fe5dd1bc}</author>
    <author>tc={c19d5748-f748-42c6-9716-1564ec4862e3}</author>
    <author>tc={c259ef53-6a59-45b6-9d10-c8096eeb2c91}</author>
    <author>tc={ca241c02-50df-4167-bec1-8f49a1289440}</author>
    <author>tc={d0805419-02d2-40d6-ad7f-dd4949d07f4c}</author>
    <author>tc={d2f94c9a-e85c-4b9a-9682-e6739d8691bb}</author>
    <author>tc={d41ce7e8-cbdd-46da-a67a-98b6992cd088}</author>
    <author>tc={d774f6c7-9fb9-4dfd-8a5b-977434c6708c}</author>
    <author>tc={d810c250-0b30-4b9e-af28-07738f3cd0a8}</author>
    <author>tc={d840ce9b-575e-4a94-a9e8-1a28cfe5fe4b}</author>
    <author>tc={dab4c49e-7b8d-4aa2-936a-73c23aff56eb}</author>
    <author>tc={dd08f65b-78ea-4287-ac46-35e29af8a70a}</author>
    <author>tc={de3d59d8-e2eb-4fef-a76d-f7cfd7022018}</author>
    <author>tc={e34ccffb-1202-4e01-a808-7589974a44dd}</author>
    <author>tc={e35d9991-4318-4a04-9e43-2f6394f27d44}</author>
    <author>tc={f0fb97db-dada-441e-95c4-cddebf59f45e}</author>
    <author>tc={f1fa2d95-8426-4d0f-8561-fac0b2936f0a}</author>
    <author>tc={f38f411d-a9ba-4f9c-87cd-efeb0c87c57e}</author>
    <author>tc={f6b02fb5-d886-4177-a90f-3f1706c84764}</author>
    <author>tc={ff2c339f-e668-4f3d-a9dc-32a941249a21}</author>
  </authors>
  <commentList>
    <comment authorId="0" xr:uid="{01ccda02-293c-4f05-a3d1-1ef2da4bca36}" ref="C30">
      <text>
        <t xml:space="preserve">[Threaded comment]
 Your version of Excel allows you to read this threaded comment; however, any edits to it will get removed if the file is opened in a newer version of Excel. Learn more: https://go.microsoft.com/fwlink/?linkid=870924
Comment:
	https://www.ebay.com/itm/126869660663
</t>
      </text>
    </comment>
    <comment authorId="1" xr:uid="{043cb0e8-3e0e-4138-b356-4d298002d277}" ref="G42">
      <text>
        <t xml:space="preserve">[Threaded comment]
 Your version of Excel allows you to read this threaded comment; however, any edits to it will get removed if the file is opened in a newer version of Excel. Learn more: https://go.microsoft.com/fwlink/?linkid=870924
Comment:
	https://drive.google.com/file/d/1j50e-U1jRWe7vrwO82EaUuBxsYZZlvZf/view?usp=sharing
</t>
      </text>
    </comment>
    <comment authorId="2" xr:uid="{0adf9c5b-8216-4cc1-87e6-5d7d0d781d08}" ref="C52">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https://www.bestbuy.com/site/asus-rog-zephyrus-g14-14-oled-3k-120hz-gaming-laptop-amd-ryzen-9-8945hs-16gb-lpddr5x-nvidia-geforce-rtx-4060-1tb-ssd-platinum-white/6570270.p?skuId=6570270
</t>
      </text>
    </comment>
    <comment authorId="3" xr:uid="{129bc440-fb7c-42b6-b9e7-4c8b54a0ff06}" ref="C19">
      <text>
        <t xml:space="preserve">[Threaded comment]
 Your version of Excel allows you to read this threaded comment; however, any edits to it will get removed if the file is opened in a newer version of Excel. Learn more: https://go.microsoft.com/fwlink/?linkid=870924
Comment:
	https://www.ebay.com/itm/335710254870?_skw=akienware+rtx+4090&amp;itmmeta=01JES3BPK12ZVA8657DM46GSYC&amp;hash=item4e29e3f716:g:i5AAAOSwfEFnFrNI&amp;itmprp=enc%3AAQAJAAAA0HoV3kP08IDx%2BKZ9MfhVJKnvxkIoHJVSK5CMLCrnDyrHvfI2OdBLx9mYgtoGj17OJoUxu8w6QEesoZSvsncixVNEViqhISVaoZQOd7LcRP6dc1EujaQhS4crkuHHo4ZFSgdrUPDczK3MPACdIGO0vXlYIWzMyVHwk6lcBHFoTHmZm6uexUxWqvnccpWSj9juJGx2GVSJaiYfI7WReLrmXA5tsQEFDOeh6rJPHfuR2eGxTck924jfZSXqp%2FAh48rwUizm1pUQREWZ6kCRlSuaHBM%3D%7Ctkp%3ABk9SR9TprqP2ZA
</t>
      </text>
    </comment>
    <comment authorId="4" xr:uid="{1417c0a8-5093-4864-be06-477384c944d3}" ref="C23">
      <text>
        <t xml:space="preserve">[Threaded comment]
 Your version of Excel allows you to read this threaded comment; however, any edits to it will get removed if the file is opened in a newer version of Excel. Learn more: https://go.microsoft.com/fwlink/?linkid=870924
Comment:
	https://www.ebay.com/itm/196305939426?_skw=alienware+4070&amp;itmmeta=01JFGNTH2PZ9HR8G9W6H5QHDFF&amp;hash=item2db4beebe2:g:OzYAAOSwxMlnNOXu
</t>
      </text>
    </comment>
    <comment authorId="5" xr:uid="{17a3897c-6508-40a3-8e8d-4bdb55f724db}" ref="C24">
      <text>
        <t xml:space="preserve">[Threaded comment]
 Your version of Excel allows you to read this threaded comment; however, any edits to it will get removed if the file is opened in a newer version of Excel. Learn more: https://go.microsoft.com/fwlink/?linkid=870924
Comment:
	https://www.ebay.com/itm/126210522764?_trkparms=amclksrc%3DITM%26aid%3D1110006%26algo%3DHOMESPLICE.SIM%26ao%3D1%26asc%3D277989%2C278303%2C277737%26meid%3Dac38b37c9f6a48f1a8b53cd0002d9517%26pid%3D101875%26rk%3D3%26rkt%3D4%26sd%3D396009736739%26itm%3D126210522764%26pmt%3D1%26noa%3D0%26pg%3D2332490%26algv%3DSimVIDwebV3WithCPCExpansionEmbeddingSearchQuerySemanticBroadMatchSingularityRecall%26brand%3DDell&amp;_trksid=p2332490.c101875.m1851&amp;itmprp=cksum%3A126210522764ac38b37c9f6a48f1a8b53cd0002d9517%7Cenc%3AAQAJAAABUNthdh9o32sOfKme0krmx3yc5y0DRWWwwpiraCEsA5rOcanQjqu91drTeDElZLF31uaWQXaQ2pNTl5IMyA1OfooQwqEcJUvtG9LvKPKHgcRzphx12iPvBSva61o%252BMhuWLxeWFjuWAD%252FI3YNtIgHnBXEa41xrZHq3HeVAIRBCo7NlMWRCiSPaSN%252BIHlhkPaZ1C2LTPv3B7hPrrCDm4DJct0n2%252FZZP90X4Pvb6%252FMsDMcpWx4wsLFE%252Fe%252FAtTkKr0Q5kkW9G5f2d5Gr4qLBVHiLhn1pgamhSD67WF1viYk3mDI%252FElIj5v306q4kQmlpoDOq8FkR6oI4vxOCVJr%252FVritk5rmGyYYI%252FiCSdyvi5zvssBGu0i2FpGlD9hJtKvsfOUbLECtJvBGXr5smWxQoq9Hb5ZSR70RXDmzmaTtgl6pij66LDI0kpXcBfDjR%252FnIMrS%252FvBg%253D%253D%7Campid%3APL_CLK%7Cclp%3A2332490&amp;itmmeta=01JFJHBFSS19ZC6FQ7Q304EM95
</t>
      </text>
    </comment>
    <comment authorId="6" xr:uid="{183d00d3-9563-46d6-b3c2-1ac9f6cd64f6}" ref="H56">
      <text>
        <t xml:space="preserve">[Threaded comment]
 Your version of Excel allows you to read this threaded comment; however, any edits to it will get removed if the file is opened in a newer version of Excel. Learn more: https://go.microsoft.com/fwlink/?linkid=870924
Comment:
	aumenté 280 para licencias y configuracion inicial
</t>
      </text>
    </comment>
    <comment authorId="7" xr:uid="{1a08ecd9-401d-4bc0-a536-6c634b5c6c24}" ref="G33">
      <text>
        <t xml:space="preserve">[Threaded comment]
 Your version of Excel allows you to read this threaded comment; however, any edits to it will get removed if the file is opened in a newer version of Excel. Learn more: https://go.microsoft.com/fwlink/?linkid=870924
Comment:
	https://drive.google.com/file/d/1t7gVGYPknAlbYBJOq_HD5_TtlFIuEQcM/view?usp=drive_link
</t>
      </text>
    </comment>
    <comment authorId="8" xr:uid="{1c992e3d-23d1-4c56-a9e8-a6c8ea9be97e}" ref="C40">
      <text>
        <t xml:space="preserve">[Threaded comment]
 Your version of Excel allows you to read this threaded comment; however, any edits to it will get removed if the file is opened in a newer version of Excel. Learn more: https://go.microsoft.com/fwlink/?linkid=870924
Comment:
	https://www.amazon.com/ASUS-Port%C3%A1til-juegos-Strix-pantalla/dp/B0CRDCXRK2/ref=sr_1_2_sspa?__mk_es_US=%C3%85M%C3%85%C5%BD%C3%95%C3%91&amp;crid=NZISEQG4GLEN&amp;dib=eyJ2IjoiMSJ9.iqCQfNDrL1q9Afgwx9MVv_vrsPS740UnnQqL1Iwyh6AYej6SxQBHZlYnomcAIbOhUPcHcVFq87AUk2rPVnMMTIK63V8lI8VKSstRILDmesGEsqF9dGqrgaC9HHt8znG3j3OUMbcpYAgftIRlYEg_s-44KgT6B43kmqFFHbyT4lYwLLeXC1JJYSnjYoUDZWyMvorKHMDT6bRogbFxFHY_816siM6G2AWgR09Ag-6v9V_A7V4CWAqcLcHqH-w1CTqbsTfOpytd2MOVgO1xDrSkK4pUROZigAQjELrub8K1BGQ.64im2pntDzm786Jejbz7Nr2Cb4N0cUJE-RCMWxSCzZc&amp;dib_tag=se&amp;keywords=laptop%2Bgaming&amp;qid=1740473849&amp;s=electronics&amp;sprefix=laptop%2Bgamin%2Celectronics%2C216&amp;sr=1-2-spons&amp;sp_csd=d2lkZ2V0TmFtZT1zcF9hdGY&amp;th=1
</t>
      </text>
    </comment>
    <comment authorId="9" xr:uid="{1eeab50b-b074-497e-a16e-f4f5f7c4187c}" ref="C21">
      <text>
        <t xml:space="preserve">[Threaded comment]
 Your version of Excel allows you to read this threaded comment; however, any edits to it will get removed if the file is opened in a newer version of Excel. Learn more: https://go.microsoft.com/fwlink/?linkid=870924
Comment:
	https://www.ebay.com/itm/204802774106?_skw=m16&amp;itmmeta=01JF1C0J6DBNKGH4K3K3J2DBKG&amp;hash=item2faf32545a:g:yHUAAOSwzzVnNOaO
</t>
      </text>
    </comment>
    <comment authorId="10" xr:uid="{1f189ed7-7879-43f0-b23c-1e32e228fcae}" ref="C42">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https://www.bhphotovideo.com/c/product/1878969-REG/acer_ph16_72_96vc_16_predator_helios_16.html
</t>
      </text>
    </comment>
    <comment authorId="11" xr:uid="{1f77eef2-70f6-420e-b65b-41fa9fe288dc}" ref="H34">
      <text>
        <t xml:space="preserve">[Threaded comment]
 Your version of Excel allows you to read this threaded comment; however, any edits to it will get removed if the file is opened in a newer version of Excel. Learn more: https://go.microsoft.com/fwlink/?linkid=870924
Comment:
	El precio original es 11199 pero se adicionó una comisión del 5%
</t>
      </text>
    </comment>
    <comment authorId="12" xr:uid="{24d27458-0cab-47ef-9d27-8159ef256cf2}" ref="H43">
      <text>
        <t xml:space="preserve">[Threaded comment]
 Your version of Excel allows you to read this threaded comment; however, any edits to it will get removed if the file is opened in a newer version of Excel. Learn more: https://go.microsoft.com/fwlink/?linkid=870924
Comment:
	Aumenté 370 soles de envío
</t>
      </text>
    </comment>
    <comment authorId="13" xr:uid="{27072105-0d05-4188-868a-5db56fe3d713}" ref="G35">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https://docs.google.com/document/d/1idHvszoqND7VOpAIO-pjzveCKFiTU4G-DTUuUp_Lw3I/edit?usp=sharing
</t>
      </text>
    </comment>
    <comment authorId="14" xr:uid="{2774f97d-ec7c-425b-ab55-07c9aff8731a}" ref="C34">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https://www.bestbuy.com/site/asus-rog-strix-18-qhd-240hz-gaming-laptop-intel-14th-gen-core-i9-with-32gb-memory-nvidia-geforce-rtx-4080-2tb-ssd-eclipse-gray/6570224.p?skuId=6570224
</t>
      </text>
    </comment>
    <comment authorId="15" xr:uid="{2bc697e7-583f-4260-b100-3c12ade593aa}" ref="G51">
      <text>
        <t xml:space="preserve">[Threaded comment]
 Your version of Excel allows you to read this threaded comment; however, any edits to it will get removed if the file is opened in a newer version of Excel. Learn more: https://go.microsoft.com/fwlink/?linkid=870924
Comment:
	https://drive.google.com/file/d/1vRN6QWTzNx70Fgid5gNwlWsUint3HIsj/view?usp=drive_link
</t>
      </text>
    </comment>
    <comment authorId="16" xr:uid="{2e8aa97f-ab24-4223-8340-52316ad0f4c1}" ref="G58">
      <text>
        <t xml:space="preserve">[Threaded comment]
 Your version of Excel allows you to read this threaded comment; however, any edits to it will get removed if the file is opened in a newer version of Excel. Learn more: https://go.microsoft.com/fwlink/?linkid=870924
Comment:
	https://drive.google.com/file/d/1Rh0NOslKxOo4B5jktlReoKAcXuhic63X/view?usp=drive_link
</t>
      </text>
    </comment>
    <comment authorId="17" xr:uid="{2fc84a4d-741a-4d06-824b-a861d420b17b}" ref="C25">
      <text>
        <t xml:space="preserve">[Threaded comment]
 Your version of Excel allows you to read this threaded comment; however, any edits to it will get removed if the file is opened in a newer version of Excel. Learn more: https://go.microsoft.com/fwlink/?linkid=870924
Comment:
	https://www.amazon.com/-/es/Alienware-Rat%C3%B3n-juegos-inal%C3%A1mbrico-AW610M/dp/B07V83NMCV/ref=sr_1_3?__mk_es_US=%C3%85M%C3%85%C5%BD%C3%95%C3%91&amp;crid=171XVI5U5E8K5&amp;dib=eyJ2IjoiMSJ9.07ytkWLLzfGFp4Dlcka48sXmQk_xPGHa6xcDAnbNDoYUGuBlhUzrOHERPnpBojN9ml3-FpnQl7vFy8ulLN-hyUknvE35q0Ntj4opBFCn9kwQGOyOtoN9esdmGWbUn7XLO3AgaGeXhC_GpQO8raeaHOVPnZhpiqeNsrOmduhfe_CIj_b7_vIoDDB4piR8bfw-6dfXQzAUudI4UTdgZ7z9Wy-uMzKfZUZaE2oaNCLaqP0.qUfb5PMY-wZPkFGGOH1FTOOi5zuxwLUPH1D6Dqlf8xY&amp;dib_tag=se&amp;keywords=mouse%2Balienware&amp;qid=1734715324&amp;sprefix=mouse%2Balienware%2Caps%2C176&amp;sr=8-3&amp;th=1
</t>
      </text>
    </comment>
    <comment authorId="18" xr:uid="{3194add3-45da-495f-815e-185e2c7453a8}" ref="G49">
      <text>
        <t xml:space="preserve">[Threaded comment]
 Your version of Excel allows you to read this threaded comment; however, any edits to it will get removed if the file is opened in a newer version of Excel. Learn more: https://go.microsoft.com/fwlink/?linkid=870924
Comment:
	https://drive.google.com/file/d/1oIK2vhWAj3MJWRv3TF2sxQ4carBiAWAx/view?usp=sharing
</t>
      </text>
    </comment>
    <comment authorId="19" xr:uid="{32b98b6a-4310-42ae-9773-ff41895ccd59}" ref="C22">
      <text>
        <t xml:space="preserve">[Threaded comment]
 Your version of Excel allows you to read this threaded comment; however, any edits to it will get removed if the file is opened in a newer version of Excel. Learn more: https://go.microsoft.com/fwlink/?linkid=870924
Comment:
	https://www.amazon.com/-/es/Alienware-Rat%C3%B3n-juegos-inal%C3%A1mbrico-AW610M/dp/B07V83NMCV/ref=sr_1_3?crid=2KK0NMPN5DOA6&amp;dib=eyJ2IjoiMSJ9.07ytkWLLzfGFp4Dlcka48puXGZdlfcHVrulZPOaCkgTYa7vqzS_WzWHXE1f04x0lFHlam9huWIRlNIShs5XYhxeoALMxwX8ayKjuKX-Bw7_SxYqNITjEtNHC1p_HQylyqZj3UnBpKuceZO0KMOjsQrHyoF1fnSM5f9QQMEp2TBrTGIibrBS9k_H0bynrvgfPOS8DstgwLSiYiGsfADELuGLr85fdf6oPSIlC9e8Fb7s5bp2GUNifA6z4k6v0UGp11NJMrpuIlTLOyLRrXr9zLo8hijChAJJXVWotOVB-Locj7k4BlU9-q7Zkw-K0uGb09SuLEVcq3Iy3ZG1-5y5A1zR79saXdTczrVlX6ZuZOZg.-_b2MkCMrXMKdmBQphB_SkuUcx6IH1MLrIEl193PnAU&amp;dib_tag=se&amp;keywords=mouse%2Balienware%2Baw610m&amp;qid=1734200238&amp;s=electronics&amp;sprefix=%2Celectronics%2C370&amp;sr=1-3&amp;th=1
</t>
      </text>
    </comment>
    <comment authorId="20" xr:uid="{33964d2e-4b13-4434-8e67-e25996e84384}" ref="C38">
      <text>
        <t xml:space="preserve">[Threaded comment]
 Your version of Excel allows you to read this threaded comment; however, any edits to it will get removed if the file is opened in a newer version of Excel. Learn more: https://go.microsoft.com/fwlink/?linkid=870924
Comment:
	https://www.ebay.com/itm/205115913137?_skw=4070&amp;itmmeta=01JJPGJ9734QRJXGRDV1NAG56H&amp;hash=item2fc1dc73b1:g:jJEAAOSwcZtnkf4I
</t>
      </text>
    </comment>
    <comment authorId="21" xr:uid="{346de950-7d3c-416b-a0f6-4ef3414e0bf7}" ref="G41">
      <text>
        <t xml:space="preserve">[Threaded comment]
 Your version of Excel allows you to read this threaded comment; however, any edits to it will get removed if the file is opened in a newer version of Excel. Learn more: https://go.microsoft.com/fwlink/?linkid=870924
Comment:
	https://drive.google.com/file/d/1tYxikrppzXuhHy5yNKtxWGHhivctUpP6/view?usp=drive_link
</t>
      </text>
    </comment>
    <comment authorId="22" xr:uid="{371a2215-3344-436a-ac6c-8ce95f58b29c}" ref="C54">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https://www.bhphotovideo.com/c/product/1881482-REG/asus_g713pi_xb96_17_3_rog_strix_g17.html
</t>
      </text>
    </comment>
    <comment authorId="23" xr:uid="{371c1095-dbbe-45a0-87d4-b98759ff3442}" ref="G28">
      <text>
        <t xml:space="preserve">[Threaded comment]
 Your version of Excel allows you to read this threaded comment; however, any edits to it will get removed if the file is opened in a newer version of Excel. Learn more: https://go.microsoft.com/fwlink/?linkid=870924
Comment:
	https://drive.google.com/file/d/1bnmn-3uSoz9MHJEZd1_-V2g8y10a8_iP/view?usp=sharing
https://drive.google.com/file/d/1bmLKnCXiQOAnr39ctlQcpgAKq1KUKnQB/view?usp=sharing
</t>
      </text>
    </comment>
    <comment authorId="24" xr:uid="{3d0c3709-1d3f-4521-b74f-bd4faf4f1891}" ref="C4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https://www.microcenter.com/product/677514/asus-rog-strix-g16-g614jvr-es96-16-gaming-laptop-computer-eclipse-gray
</t>
      </text>
    </comment>
    <comment authorId="25" xr:uid="{3f87d7bb-14cd-4963-a040-86af9751eea7}" ref="G45">
      <text>
        <t xml:space="preserve">[Threaded comment]
 Your version of Excel allows you to read this threaded comment; however, any edits to it will get removed if the file is opened in a newer version of Excel. Learn more: https://go.microsoft.com/fwlink/?linkid=870924
Comment:
	https://drive.google.com/file/d/1sJPAhvgWk3m3rYoxW91hOhDbg0ymIFoF/view?usp=drive_link
Reply:
	https://drive.google.com/file/d/1Ux1AXh32pvSIkjkQnn5r9Vk6uur-_bHs/view?usp=drive_link
Reply:
	https://drive.google.com/file/d/1kbnmA0_7eFxg1kLd2qbZwFSgzNRFrtwS/view?usp=drive_link
</t>
      </text>
    </comment>
    <comment authorId="26" xr:uid="{3fc61f19-39e9-429f-9b9c-07d241eaac1a}" ref="G31">
      <text>
        <t xml:space="preserve">[Threaded comment]
 Your version of Excel allows you to read this threaded comment; however, any edits to it will get removed if the file is opened in a newer version of Excel. Learn more: https://go.microsoft.com/fwlink/?linkid=870924
Comment:
	https://drive.google.com/file/d/1TqHzBXfJf1IqZo3QsSA74TnXaq0YyfN4/view?usp=sharing
</t>
      </text>
    </comment>
    <comment authorId="27" xr:uid="{42eabfc5-b4ab-49a2-822e-001d160d75bd}" ref="G43">
      <text>
        <t xml:space="preserve">[Threaded comment]
 Your version of Excel allows you to read this threaded comment; however, any edits to it will get removed if the file is opened in a newer version of Excel. Learn more: https://go.microsoft.com/fwlink/?linkid=870924
Comment:
	https://drive.google.com/file/d/1jq5AXIY-8Nul3MM9BwWYKv7XSRaSf1vL/view?usp=sharing
</t>
      </text>
    </comment>
    <comment authorId="28" xr:uid="{4b3f7dd2-d348-4da8-bfaf-de4fca0406d2}" ref="G27">
      <text>
        <t xml:space="preserve">[Threaded comment]
 Your version of Excel allows you to read this threaded comment; however, any edits to it will get removed if the file is opened in a newer version of Excel. Learn more: https://go.microsoft.com/fwlink/?linkid=870924
Comment:
	https://drive.google.com/file/d/1bK4CUfdAVtcEMPyq_BchyP6KTSQYOI7L/view?usp=sharing
</t>
      </text>
    </comment>
    <comment authorId="29" xr:uid="{4b9835f8-4230-4bdd-ac9e-6660bb996097}" ref="H32">
      <text>
        <t xml:space="preserve">[Threaded comment]
 Your version of Excel allows you to read this threaded comment; however, any edits to it will get removed if the file is opened in a newer version of Excel. Learn more: https://go.microsoft.com/fwlink/?linkid=870924
Comment:
	Le agregué 300 soles para envío y algún regalito si se puede
</t>
      </text>
    </comment>
    <comment authorId="30" xr:uid="{4bb7a008-d5a1-43b7-9b33-7301904a27e0}" ref="C3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https://www.microcenter.com/product/687888/asus-rog-strix-g16-g614jir-ms96-16-gaming-laptop-computer-eclipse-gray
</t>
      </text>
    </comment>
    <comment authorId="31" xr:uid="{4f9b5c46-f8a0-4a78-8231-62639f1b8071}" ref="C56">
      <text>
        <t xml:space="preserve">[Threaded comment]
 Your version of Excel allows you to read this threaded comment; however, any edits to it will get removed if the file is opened in a newer version of Excel. Learn more: https://go.microsoft.com/fwlink/?linkid=870924
Comment:
	https://www.bestbuy.com/product/lenovo-legion-7i-16-gaming-laptop-wqxga-intel-14th-gen-core-i7-with-16gb-memory-nvidia-geforce-rtx-4060-8gb-1tb-ssd-glacier-white/6575391/openbox?condition=excellent
</t>
      </text>
    </comment>
    <comment authorId="32" xr:uid="{521af660-b1c8-4663-b0a3-fc02ff14c7dd}" ref="G20">
      <text>
        <t xml:space="preserve">[Threaded comment]
 Your version of Excel allows you to read this threaded comment; however, any edits to it will get removed if the file is opened in a newer version of Excel. Learn more: https://go.microsoft.com/fwlink/?linkid=870924
Comment:
	https://drive.google.com/file/d/17pIjrSINgWSxiH0x9BxHYnop6s7sKWPg/view?usp=drive_link
</t>
      </text>
    </comment>
    <comment authorId="33" xr:uid="{5674341a-0c2d-407a-8134-8688b4aa78d8}" ref="H49">
      <text>
        <t xml:space="preserve">[Threaded comment]
 Your version of Excel allows you to read this threaded comment; however, any edits to it will get removed if the file is opened in a newer version of Excel. Learn more: https://go.microsoft.com/fwlink/?linkid=870924
Comment:
	le aumenté 280 para licencias
</t>
      </text>
    </comment>
    <comment authorId="34" xr:uid="{5decf49f-94bd-43f9-82e9-f8be6afd1a8b}" ref="C45">
      <text>
        <t xml:space="preserve">[Threaded comment]
 Your version of Excel allows you to read this threaded comment; however, any edits to it will get removed if the file is opened in a newer version of Excel. Learn more: https://go.microsoft.com/fwlink/?linkid=870924
Comment:
	https://www.newegg.com/asus-g614ju-ns73-16-0-intel-core-i7-13650hx-16gb-geforce-rtx-4050-512gb-pcie-gray/p/N82E16834236509?Item=N82E16834236509
</t>
      </text>
    </comment>
    <comment authorId="35" xr:uid="{616b902d-cc34-427e-813f-1f8078181c0e}" ref="G47">
      <text>
        <t xml:space="preserve">[Threaded comment]
 Your version of Excel allows you to read this threaded comment; however, any edits to it will get removed if the file is opened in a newer version of Excel. Learn more: https://go.microsoft.com/fwlink/?linkid=870924
Comment:
	https://drive.google.com/file/d/1oDtfb1GfENilvY48pK-KrgJW3CkwR1CH/view?usp=sharing
</t>
      </text>
    </comment>
    <comment authorId="36" xr:uid="{67fe66a9-9882-41ed-9571-1c488a297603}" ref="C47">
      <text>
        <t xml:space="preserve">[Threaded comment]
 Your version of Excel allows you to read this threaded comment; however, any edits to it will get removed if the file is opened in a newer version of Excel. Learn more: https://go.microsoft.com/fwlink/?linkid=870924
Comment:
	https://www.ebay.com/itm/205363813807?_skw=acer+nitro&amp;epid=11069541088&amp;itmmeta=01JR3MMXCFZBY0SQ2T0ZCDKZZA&amp;hash=item2fd0a31daf:g:1IcAAeSw3thnq~PS
</t>
      </text>
    </comment>
    <comment authorId="37" xr:uid="{6a5ffdaf-c14f-4d7a-9852-ad75297cfaeb}" ref="H30">
      <text>
        <t xml:space="preserve">[Threaded comment]
 Your version of Excel allows you to read this threaded comment; however, any edits to it will get removed if the file is opened in a newer version of Excel. Learn more: https://go.microsoft.com/fwlink/?linkid=870924
Comment:
	se aumentó 749 para envío gratuito y regalos
</t>
      </text>
    </comment>
    <comment authorId="38" xr:uid="{6a85323b-5cb4-46c7-ad96-73f6ef3f4f24}" ref="G40">
      <text>
        <t xml:space="preserve">[Threaded comment]
 Your version of Excel allows you to read this threaded comment; however, any edits to it will get removed if the file is opened in a newer version of Excel. Learn more: https://go.microsoft.com/fwlink/?linkid=870924
Comment:
	https://drive.google.com/file/d/1nHfqQ6mstKfF_90SjLsVIHKWIQGJzvKl/view?usp=drive_link
</t>
      </text>
    </comment>
    <comment authorId="39" xr:uid="{6ac58544-df89-4e94-87b8-f68bdc59498a}" ref="G37">
      <text>
        <t xml:space="preserve">[Threaded comment]
 Your version of Excel allows you to read this threaded comment; however, any edits to it will get removed if the file is opened in a newer version of Excel. Learn more: https://go.microsoft.com/fwlink/?linkid=870924
Comment:
	2499 se adicionará mañana
https://drive.google.com/file/d/1cFdmI8D3BQkgDpSWDh6hVUFE2sqTcj_i/view?usp=drive_link
https://drive.google.com/file/d/1cGGV5IQ3fNKZfoyr-X6d-Vr9I-7HPJ6a/view?usp=drive_link
</t>
      </text>
    </comment>
    <comment authorId="40" xr:uid="{6e2f3dc0-f905-4a94-91d9-3e33ff283f7e}" ref="C29">
      <text>
        <t xml:space="preserve">[Threaded comment]
 Your version of Excel allows you to read this threaded comment; however, any edits to it will get removed if the file is opened in a newer version of Excel. Learn more: https://go.microsoft.com/fwlink/?linkid=870924
Comment:
	https://www.ebay.com/itm/204705621388?_skw=g14&amp;itmmeta=01JG7NMQ2C62N0APQP87JXAKFT&amp;hash=item2fa967e58c:g:t88AAOSwp05l~IQt
</t>
      </text>
    </comment>
    <comment authorId="41" xr:uid="{74f0dcf9-dbb4-4c20-9cd3-a2844778fa60}" ref="G19">
      <text>
        <t xml:space="preserve">[Threaded comment]
 Your version of Excel allows you to read this threaded comment; however, any edits to it will get removed if the file is opened in a newer version of Excel. Learn more: https://go.microsoft.com/fwlink/?linkid=870924
Comment:
	https://drive.google.com/file/d/17MV7LTgqW9W7q1FIBGiQzadD9uGCczi6/view?usp=sharing
</t>
      </text>
    </comment>
    <comment authorId="42" xr:uid="{767b7145-ddaa-41c0-9b70-2b57c7455752}" ref="H28">
      <text>
        <t xml:space="preserve">[Threaded comment]
 Your version of Excel allows you to read this threaded comment; however, any edits to it will get removed if the file is opened in a newer version of Excel. Learn more: https://go.microsoft.com/fwlink/?linkid=870924
Comment:
	aumenté 500 soles por las dudas, le consideré envío gratuito
</t>
      </text>
    </comment>
    <comment authorId="43" xr:uid="{79f016fe-5765-478e-97a3-62b79e229818}" ref="I20">
      <text>
        <t xml:space="preserve">[Threaded comment]
 Your version of Excel allows you to read this threaded comment; however, any edits to it will get removed if the file is opened in a newer version of Excel. Learn more: https://go.microsoft.com/fwlink/?linkid=870924
Comment:
	El monto total a pagar es de 8799 soles, le agregué 200 soles para envío y por las dudas
</t>
      </text>
    </comment>
    <comment authorId="44" xr:uid="{7a9c1dfd-26c9-4bfd-817a-0478c7c384e9}" ref="H62">
      <text>
        <t xml:space="preserve">[Threaded comment]
 Your version of Excel allows you to read this threaded comment; however, any edits to it will get removed if the file is opened in a newer version of Excel. Learn more: https://go.microsoft.com/fwlink/?linkid=870924
Comment:
	aumenté 100 soles para configuración inicial
</t>
      </text>
    </comment>
    <comment authorId="45" xr:uid="{7ab0c333-06ff-4ca3-87b3-7cee81d10de7}" ref="E28">
      <text>
        <t xml:space="preserve">[Threaded comment]
 Your version of Excel allows you to read this threaded comment; however, any edits to it will get removed if the file is opened in a newer version of Excel. Learn more: https://go.microsoft.com/fwlink/?linkid=870924
Comment:
	solo whatsapp 
977341797 para llamadas
</t>
      </text>
    </comment>
    <comment authorId="46" xr:uid="{7ccb02e6-167c-4ede-9ec0-a65a60f183f2}" ref="G55">
      <text>
        <t xml:space="preserve">[Threaded comment]
 Your version of Excel allows you to read this threaded comment; however, any edits to it will get removed if the file is opened in a newer version of Excel. Learn more: https://go.microsoft.com/fwlink/?linkid=870924
Comment:
	https://drive.google.com/file/d/1j9ca5TJjR5NNTYa6znAXXLNS-2t3HQ4A/view?usp=drive_link
</t>
      </text>
    </comment>
    <comment authorId="47" xr:uid="{80276ab0-353f-4d12-b521-d6ba1e1a84e2}" ref="J22">
      <text>
        <t xml:space="preserve">[Threaded comment]
 Your version of Excel allows you to read this threaded comment; however, any edits to it will get removed if the file is opened in a newer version of Excel. Learn more: https://go.microsoft.com/fwlink/?linkid=870924
Comment:
	es mouse
</t>
      </text>
    </comment>
    <comment authorId="48" xr:uid="{84058442-e2ae-4ac2-8181-8b486adb8617}" ref="C4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https://www.microcenter.com/product/677514/asus-rog-strix-g16-g614jvr-es96-16-gaming-laptop-computer-eclipse-gray
</t>
      </text>
    </comment>
    <comment authorId="49" xr:uid="{8558dadc-fc26-49ad-a771-f8634c84db5b}" ref="C33">
      <text>
        <t xml:space="preserve">[Threaded comment]
 Your version of Excel allows you to read this threaded comment; however, any edits to it will get removed if the file is opened in a newer version of Excel. Learn more: https://go.microsoft.com/fwlink/?linkid=870924
Comment:
	https://www.amazon.com/-/es/Alienware-Rat%C3%B3n-juegos-inal%C3%A1mbrico-AW610M/dp/B07V83NMCV/ref=sr_1_3?__mk_es_US=%C3%85M%C3%85%C5%BD%C3%95%C3%91&amp;crid=171XVI5U5E8K5&amp;dib=eyJ2IjoiMSJ9.07ytkWLLzfGFp4Dlcka48sXmQk_xPGHa6xcDAnbNDoYUGuBlhUzrOHERPnpBojN9ml3-FpnQl7vFy8ulLN-hyUknvE35q0Ntj4opBFCn9kwQGOyOtoN9esdmGWbUn7XLO3AgaGeXhC_GpQO8raeaHOVPnZhpiqeNsrOmduhfe_CIj_b7_vIoDDB4piR8bfw-6dfXQzAUudI4UTdgZ7z9Wy-uMzKfZUZaE2oaNCLaqP0.qUfb5PMY-wZPkFGGOH1FTOOi5zuxwLUPH1D6Dqlf8xY&amp;dib_tag=se&amp;keywords=mouse%2Balienware&amp;qid=1734715324&amp;sprefix=mouse%2Balienware%2Caps%2C176&amp;sr=8-3&amp;th=1
</t>
      </text>
    </comment>
    <comment authorId="50" xr:uid="{88d166e8-17bc-4aff-8f50-babbddfdb6ab}" ref="C50">
      <text>
        <t xml:space="preserve">[Threaded comment]
 Your version of Excel allows you to read this threaded comment; however, any edits to it will get removed if the file is opened in a newer version of Excel. Learn more: https://go.microsoft.com/fwlink/?linkid=870924
Comment:
	https://www.ebay.com/itm/395332822918
</t>
      </text>
    </comment>
    <comment authorId="51" xr:uid="{893812cd-cb4e-461b-8040-6a9e9a86f339}" ref="G38">
      <text>
        <t xml:space="preserve">[Threaded comment]
 Your version of Excel allows you to read this threaded comment; however, any edits to it will get removed if the file is opened in a newer version of Excel. Learn more: https://go.microsoft.com/fwlink/?linkid=870924
Comment:
	https://drive.google.com/file/d/1uq7yQ6Qp7YvSP4DyzPNVbROfczUodlYq/view?usp=drive_link
</t>
      </text>
    </comment>
    <comment authorId="52" xr:uid="{8e6080e0-06cd-45ef-ad88-384aee84bf1c}" ref="G56">
      <text>
        <t xml:space="preserve">[Threaded comment]
 Your version of Excel allows you to read this threaded comment; however, any edits to it will get removed if the file is opened in a newer version of Excel. Learn more: https://go.microsoft.com/fwlink/?linkid=870924
Comment:
	https://drive.google.com/file/d/1pPAp3GFZUVPFEigxbJZjauwIVE7D9geJ/view?usp=sharing
</t>
      </text>
    </comment>
    <comment authorId="53" xr:uid="{993fd1cf-f34a-475e-a5c8-d9fb367e8ac9}" ref="C5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https://www.microcenter.com/product/677009/asus-rog-strix-g18-g814jir-xs96-18-gaming-laptop-computer-eclipse-gray?ob=1&amp;storeid=065
</t>
      </text>
    </comment>
    <comment authorId="54" xr:uid="{9959cd34-6933-4f36-903e-4e4b37171566}" ref="C55">
      <text>
        <t xml:space="preserve">[Threaded comment]
 Your version of Excel allows you to read this threaded comment; however, any edits to it will get removed if the file is opened in a newer version of Excel. Learn more: https://go.microsoft.com/fwlink/?linkid=870924
Comment:
	https://www.costco.com/asus-zenbook-14-oled-touchscreen-laptop---intel-evo-platform-core-i9-13900h---2880-x-1800---14-oled---16gb-ram---1tb-ssd---silver.product.4000266668.html
</t>
      </text>
    </comment>
    <comment authorId="55" xr:uid="{9b0e718c-0365-4093-baaf-e0fa7da9b37c}" ref="C28">
      <text>
        <t xml:space="preserve">[Threaded comment]
 Your version of Excel allows you to read this threaded comment; however, any edits to it will get removed if the file is opened in a newer version of Excel. Learn more: https://go.microsoft.com/fwlink/?linkid=870924
Comment:
	https://www.ebay.com/itm/116416168707?mkevt=1&amp;mkcid=1&amp;mkrid=711-53200-19255-0&amp;campid=5338204639&amp;toolid=10049&amp;customid=1735228804913-16-1735228804913
</t>
      </text>
    </comment>
    <comment authorId="56" xr:uid="{9b144275-93b8-48c1-9040-d531ff4bc533}" ref="G57">
      <text>
        <t xml:space="preserve">[Threaded comment]
 Your version of Excel allows you to read this threaded comment; however, any edits to it will get removed if the file is opened in a newer version of Excel. Learn more: https://go.microsoft.com/fwlink/?linkid=870924
Comment:
	https://drive.google.com/file/d/1PRl-ESzLfXHXXnt5bKyO9t9pXfXlrfnB/view?usp=drive_link
</t>
      </text>
    </comment>
    <comment authorId="57" xr:uid="{a14854d9-0946-488d-aeee-3a4d43d11ffa}" ref="H42">
      <text>
        <t xml:space="preserve">[Threaded comment]
 Your version of Excel allows you to read this threaded comment; however, any edits to it will get removed if the file is opened in a newer version of Excel. Learn more: https://go.microsoft.com/fwlink/?linkid=870924
Comment:
	agregué 310 para configuración y licencias
</t>
      </text>
    </comment>
    <comment authorId="58" xr:uid="{a1e91e65-496d-45bd-9d64-57ef10c572d0}" ref="M29">
      <text>
        <t xml:space="preserve">[Threaded comment]
 Your version of Excel allows you to read this threaded comment; however, any edits to it will get removed if the file is opened in a newer version of Excel. Learn more: https://go.microsoft.com/fwlink/?linkid=870924
Comment:
	avisado
</t>
      </text>
    </comment>
    <comment authorId="59" xr:uid="{ae7af834-5ffc-44af-9f09-a2394eddb503}" ref="C46">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https://www.lenovo.com/us/en/p/laptops/legion-laptops/legion-7-series/legion-7i-gen-9-16-inch-intel/83fd0015us
</t>
      </text>
    </comment>
    <comment authorId="60" xr:uid="{b6b81a20-befe-4d06-98ba-4023a44080be}" ref="C20">
      <text>
        <t xml:space="preserve">[Threaded comment]
 Your version of Excel allows you to read this threaded comment; however, any edits to it will get removed if the file is opened in a newer version of Excel. Learn more: https://go.microsoft.com/fwlink/?linkid=870924
Comment:
	https://www.ebay.com/itm/326185324573?_skw=g14&amp;itmmeta=01JEWE23CQCV64W5VWK9JMCZZ9&amp;hash=item4bf229101d:g:Ik8AAOSwuctmhHCV
</t>
      </text>
    </comment>
    <comment authorId="61" xr:uid="{b6ec6a9c-db1f-432b-8942-4d865633bfe5}" ref="G36">
      <text>
        <t xml:space="preserve">[Threaded comment]
 Your version of Excel allows you to read this threaded comment; however, any edits to it will get removed if the file is opened in a newer version of Excel. Learn more: https://go.microsoft.com/fwlink/?linkid=870924
Comment:
	https://drive.google.com/file/d/1zjYfbHbgmOswqETWVbwW45xkiUu4F4At/view?usp=drive_link
</t>
      </text>
    </comment>
    <comment authorId="62" xr:uid="{ba52a5f0-c44b-4f1d-848d-b52a7ab9c5cf}" ref="G34">
      <text>
        <t xml:space="preserve">[Threaded comment]
 Your version of Excel allows you to read this threaded comment; however, any edits to it will get removed if the file is opened in a newer version of Excel. Learn more: https://go.microsoft.com/fwlink/?linkid=870924
Comment:
	https://drive.google.com/file/d/1G2C_COP8p2LlsZHS-G9IkPdTew7ADjhL/view?usp=sharing
</t>
      </text>
    </comment>
    <comment authorId="63" xr:uid="{baf1ab81-482a-44a8-aebb-c3b330ba3a91}" ref="C31">
      <text>
        <t xml:space="preserve">[Threaded comment]
 Your version of Excel allows you to read this threaded comment; however, any edits to it will get removed if the file is opened in a newer version of Excel. Learn more: https://go.microsoft.com/fwlink/?linkid=870924
Comment:
	https://www.ebay.com/itm/204736562317?_skw=asus+g18&amp;itmmeta=01JHRFJ7YTXFHSPZJ3GCFC9KAP&amp;hash=item2fab40048d%3Ag%3A69MAAOSwAiBm2fRa&amp;itmprp=enc%3AAQAJAAAA4HoV3kP08IDx%2BKZ9MfhVJKlr8eclJpgVv2Xgw0cjT4sv7%2BWZ5wMqyMHljS7fxhi%2F2%2BT8wNCm2DmDNij2o6VrwbkHuvTUr0fepWwihEfrlqeLGl6FeqoeVIdm6q6ouJMvrpE3S0z6KTChYT8VG9cTEOnEaLb89RntrB7i%2B9s2LRw7pyik1%2Bz6GFen%2FoKqC7%2FXiRQkRhjoDljrhoGUaZDCz%2BxUpsik49RbK%2B%2B7YnNzsGCgzoM38RU9IoQpLny900f7wUpPJatMAbZuRg%2BlgnMGgi9I3n9s5Su5PqZlnOCuy90D%7Ctkp%3ABk9SR9T_yI-OZQ&amp;LH_ItemCondition=1000
</t>
      </text>
    </comment>
    <comment authorId="64" xr:uid="{bd10725d-c86e-43a2-b3a0-3625fe5dd1bc}" ref="G32">
      <text>
        <t xml:space="preserve">[Threaded comment]
 Your version of Excel allows you to read this threaded comment; however, any edits to it will get removed if the file is opened in a newer version of Excel. Learn more: https://go.microsoft.com/fwlink/?linkid=870924
Comment:
	https://drive.google.com/file/d/1t7gVGYPknAlbYBJOq_HD5_TtlFIuEQcM/view?usp=drive_link
</t>
      </text>
    </comment>
    <comment authorId="65" xr:uid="{c19d5748-f748-42c6-9716-1564ec4862e3}" ref="G39">
      <text>
        <t xml:space="preserve">[Threaded comment]
 Your version of Excel allows you to read this threaded comment; however, any edits to it will get removed if the file is opened in a newer version of Excel. Learn more: https://go.microsoft.com/fwlink/?linkid=870924
Comment:
	https://drive.google.com/file/d/1SfqxgRJJNStQUd7wOcx6M_K6mkTC5Ncc/view?usp=sharing
</t>
      </text>
    </comment>
    <comment authorId="66" xr:uid="{c259ef53-6a59-45b6-9d10-c8096eeb2c91}" ref="G50">
      <text>
        <t xml:space="preserve">[Threaded comment]
 Your version of Excel allows you to read this threaded comment; however, any edits to it will get removed if the file is opened in a newer version of Excel. Learn more: https://go.microsoft.com/fwlink/?linkid=870924
Comment:
	https://drive.google.com/file/d/1vRN6QWTzNx70Fgid5gNwlWsUint3HIsj/view?usp=drive_link
</t>
      </text>
    </comment>
    <comment authorId="67" xr:uid="{ca241c02-50df-4167-bec1-8f49a1289440}" ref="H37">
      <text>
        <t xml:space="preserve">[Threaded comment]
 Your version of Excel allows you to read this threaded comment; however, any edits to it will get removed if the file is opened in a newer version of Excel. Learn more: https://go.microsoft.com/fwlink/?linkid=870924
Comment:
	Se agregó 150 soles para envío
</t>
      </text>
    </comment>
    <comment authorId="68" xr:uid="{d0805419-02d2-40d6-ad7f-dd4949d07f4c}" ref="M28">
      <text>
        <t xml:space="preserve">[Threaded comment]
 Your version of Excel allows you to read this threaded comment; however, any edits to it will get removed if the file is opened in a newer version of Excel. Learn more: https://go.microsoft.com/fwlink/?linkid=870924
Comment:
	avisado
</t>
      </text>
    </comment>
    <comment authorId="69" xr:uid="{d2f94c9a-e85c-4b9a-9682-e6739d8691bb}" ref="H47">
      <text>
        <t xml:space="preserve">[Threaded comment]
 Your version of Excel allows you to read this threaded comment; however, any edits to it will get removed if the file is opened in a newer version of Excel. Learn more: https://go.microsoft.com/fwlink/?linkid=870924
Comment:
	Agregué 170.16 para programas y configuración inicial
</t>
      </text>
    </comment>
    <comment authorId="70" xr:uid="{d41ce7e8-cbdd-46da-a67a-98b6992cd088}" ref="H46">
      <text>
        <t xml:space="preserve">[Threaded comment]
 Your version of Excel allows you to read this threaded comment; however, any edits to it will get removed if the file is opened in a newer version of Excel. Learn more: https://go.microsoft.com/fwlink/?linkid=870924
Comment:
	aumenté 280 para Office Professional Plus 2024	Licencia permanente
Windows 11 Pro Retail	Licencia permanente
Eset Nod32	Antivirus por 1 año
Configuración inicial	Al momento de la entrega
</t>
      </text>
    </comment>
    <comment authorId="71" xr:uid="{d774f6c7-9fb9-4dfd-8a5b-977434c6708c}" ref="C43">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https://www.bhphotovideo.com/c/product/1811269-REG/lenovo_83dg00agus_16_legion_5_laptop.html/specs
</t>
      </text>
    </comment>
    <comment authorId="72" xr:uid="{d810c250-0b30-4b9e-af28-07738f3cd0a8}" ref="C41">
      <text>
        <t xml:space="preserve">[Threaded comment]
 Your version of Excel allows you to read this threaded comment; however, any edits to it will get removed if the file is opened in a newer version of Excel. Learn more: https://go.microsoft.com/fwlink/?linkid=870924
Comment:
	https://www.ebay.com/itm/296628904443?_skw=4060&amp;itmmeta=01JMY2M6D8GMVED59HN60BHHX7&amp;hash=item451075e1fb:g:pH0AAOSwechnK6fZ
</t>
      </text>
    </comment>
    <comment authorId="73" xr:uid="{d840ce9b-575e-4a94-a9e8-1a28cfe5fe4b}" ref="L33">
      <text>
        <t xml:space="preserve">[Threaded comment]
 Your version of Excel allows you to read this threaded comment; however, any edits to it will get removed if the file is opened in a newer version of Excel. Learn more: https://go.microsoft.com/fwlink/?linkid=870924
Comment:
	Se le dará un mouse en stock
</t>
      </text>
    </comment>
    <comment authorId="74" xr:uid="{dab4c49e-7b8d-4aa2-936a-73c23aff56eb}" ref="C62">
      <text>
        <t xml:space="preserve">[Threaded comment]
 Your version of Excel allows you to read this threaded comment; however, any edits to it will get removed if the file is opened in a newer version of Excel. Learn more: https://go.microsoft.com/fwlink/?linkid=870924
Comment:
	https://www.ebay.com/itm/326068742080?_skw=zephyrus&amp;itmmeta=01JSWN00MJ4M4FEKGYP4BV8A3J&amp;hash=item4beb3627c0:g:MeUAAeSwbrxnopc7
</t>
      </text>
    </comment>
    <comment authorId="75" xr:uid="{dd08f65b-78ea-4287-ac46-35e29af8a70a}" ref="G29">
      <text>
        <t xml:space="preserve">[Threaded comment]
 Your version of Excel allows you to read this threaded comment; however, any edits to it will get removed if the file is opened in a newer version of Excel. Learn more: https://go.microsoft.com/fwlink/?linkid=870924
Comment:
	https://drive.google.com/file/d/1m1QM_XpRvdVtoUMRuuvYVwosRjmWiVXu/view?usp=sharing
</t>
      </text>
    </comment>
    <comment authorId="76" xr:uid="{de3d59d8-e2eb-4fef-a76d-f7cfd7022018}" ref="G30">
      <text>
        <t xml:space="preserve">[Threaded comment]
 Your version of Excel allows you to read this threaded comment; however, any edits to it will get removed if the file is opened in a newer version of Excel. Learn more: https://go.microsoft.com/fwlink/?linkid=870924
Comment:
	https://drive.google.com/file/d/1TtPNallIWmd9yCmDIwB41pboLs2R82ZP/view?usp=sharing
https://drive.google.com/file/d/1TwHLbUKBeNf1EygHqr1RylfpmqavW0TT/view?usp=sharing
</t>
      </text>
    </comment>
    <comment authorId="77" xr:uid="{e34ccffb-1202-4e01-a808-7589974a44dd}" ref="C36">
      <text>
        <t xml:space="preserve">[Threaded comment]
 Your version of Excel allows you to read this threaded comment; however, any edits to it will get removed if the file is opened in a newer version of Excel. Learn more: https://go.microsoft.com/fwlink/?linkid=870924
Comment:
	https://www.ebay.com/itm/326138511415?_skw=4060&amp;itmmeta=01JGZR9Q1EQJYBJNW647YYSC4P&amp;hash=item4bef5ec037:g:AocAAOSwVC1m9CZ-
</t>
      </text>
    </comment>
    <comment authorId="78" xr:uid="{e35d9991-4318-4a04-9e43-2f6394f27d44}" ref="C27">
      <text>
        <t xml:space="preserve">[Threaded comment]
 Your version of Excel allows you to read this threaded comment; however, any edits to it will get removed if the file is opened in a newer version of Excel. Learn more: https://go.microsoft.com/fwlink/?linkid=870924
Comment:
	https://www.ebay.com/itm/326185324573?_skw=g14&amp;itmmeta=01JFX3CH6PG9E96R8D7H9V9VFT&amp;hash=item4bf229101d:g:Ik8AAOSwuctmhHCV
</t>
      </text>
    </comment>
    <comment authorId="79" xr:uid="{f0fb97db-dada-441e-95c4-cddebf59f45e}" ref="C49">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https://www.lenovo.com/us/en/p/laptops/legion-laptops/legion-7-series/legion-7i-gen-9-16-inch-intel/83fd008fus
</t>
      </text>
    </comment>
    <comment authorId="80" xr:uid="{f1fa2d95-8426-4d0f-8561-fac0b2936f0a}" ref="C57">
      <text>
        <t xml:space="preserve">[Threaded comment]
 Your version of Excel allows you to read this threaded comment; however, any edits to it will get removed if the file is opened in a newer version of Excel. Learn more: https://go.microsoft.com/fwlink/?linkid=870924
Comment:
	https://www.bhphotovideo.com/c/search?q=LENOVO%20LEGION
</t>
      </text>
    </comment>
    <comment authorId="81" xr:uid="{f38f411d-a9ba-4f9c-87cd-efeb0c87c57e}" ref="C32">
      <text>
        <t xml:space="preserve">[Threaded comment]
 Your version of Excel allows you to read this threaded comment; however, any edits to it will get removed if the file is opened in a newer version of Excel. Learn more: https://go.microsoft.com/fwlink/?linkid=870924
Comment:
	https://www.ebay.com/itm/226194132677?_skw=4090&amp;epid=7069449110&amp;itmmeta=01JJ24DHVZT7V9A7HVV25CYTPM&amp;hash=item34aa388ec5:g:mHUAAOSwVlFmbLtR
</t>
      </text>
    </comment>
    <comment authorId="82" xr:uid="{f6b02fb5-d886-4177-a90f-3f1706c84764}" ref="M26">
      <text>
        <t xml:space="preserve">[Threaded comment]
 Your version of Excel allows you to read this threaded comment; however, any edits to it will get removed if the file is opened in a newer version of Excel. Learn more: https://go.microsoft.com/fwlink/?linkid=870924
Comment:
	avisado
</t>
      </text>
    </comment>
    <comment authorId="83" xr:uid="{ff2c339f-e668-4f3d-a9dc-32a941249a21}" ref="M27">
      <text>
        <t xml:space="preserve">[Threaded comment]
 Your version of Excel allows you to read this threaded comment; however, any edits to it will get removed if the file is opened in a newer version of Excel. Learn more: https://go.microsoft.com/fwlink/?linkid=870924
Comment:
	avisado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tc={0006882c-6800-4b88-9355-0222a3eba40b}</author>
    <author>tc={0017b120-4cad-43e6-b763-27f4b2aac5b4}</author>
    <author>tc={002c8acb-3757-4c14-a9b2-df7fff959122}</author>
    <author>tc={002d30ed-42a8-4553-ab8e-0aacb0090de6}</author>
    <author>tc={0037447b-0e9a-4cad-8fef-6ca22b530706}</author>
    <author>tc={0038a181-f6ce-42c6-99ca-dae527b8a959}</author>
    <author>tc={0040614b-cd4a-4810-8991-519701e5863c}</author>
    <author>tc={00453222-19f1-471d-b483-3a6db395b2b9}</author>
    <author>tc={00501d2a-807c-4a66-a6dc-beac67a0c2be}</author>
    <author>tc={0054a9af-d99d-4c1f-aac6-4a8b4ad2e992}</author>
    <author>tc={00907ece-1adc-46e4-9c4f-216a4ab490a3}</author>
    <author>tc={00a7b95b-179b-4b7c-880a-57fcfd59245a}</author>
    <author>tc={00d0fe5d-51f4-48c6-a362-23a63a0270ef}</author>
    <author>tc={011f5ba6-6a8e-4e31-91b9-2e83a52b654a}</author>
    <author>tc={012b3aa5-5733-42f0-aaa0-61f9c10d4b75}</author>
    <author>tc={0175aebe-90df-480a-9259-06b744704fc5}</author>
    <author>tc={01a02726-06bf-4233-95c0-e164e38302cf}</author>
    <author>tc={01a58c02-a286-4ebd-b8b0-3f8e954dcb46}</author>
    <author>tc={01b2ea57-7f49-4b4f-86c7-89dd29d043b6}</author>
    <author>tc={01c5c110-17d7-479d-939a-628cf9c72341}</author>
    <author>tc={01d19e7a-6145-45d4-b8ab-5395c87fc4d0}</author>
    <author>tc={01e4f68f-2237-49b5-a10d-fbb6830f826b}</author>
    <author>tc={01e79820-aba5-4820-b56a-683242bca8dd}</author>
    <author>tc={021ff332-6fba-42c8-9c82-46031a14d5c2}</author>
    <author>tc={022d6e46-8946-4fd0-b96e-66097451f81f}</author>
    <author>tc={024c5ac2-a94d-47e7-be5d-d2b027c8072a}</author>
    <author>tc={024f0646-c1df-40ac-a7ef-3bd190cf95ef}</author>
    <author>tc={027044f2-816d-47b8-b8f9-147e0b8ad73d}</author>
    <author>tc={0280dcf0-1f21-42c5-81bc-5a4d2f59a927}</author>
    <author>tc={02b1476c-ba87-432d-adae-f6cfeace23ef}</author>
    <author>tc={02f8b93a-7a65-4e9d-8296-388266f75ff8}</author>
    <author>tc={030d1c4f-c245-4e4b-a520-0bebb8e5d774}</author>
    <author>tc={033a5b50-7935-4b62-b483-77957c22629a}</author>
    <author>tc={0370178c-957d-459c-8908-25af875ef79c}</author>
    <author>tc={0383c0c4-7969-4483-854a-3becfead3c53}</author>
    <author>tc={03b01b5a-d18d-476a-b161-2507a323ec54}</author>
    <author>tc={03ca72f9-d79b-4430-b131-90714d4a68e1}</author>
    <author>tc={03e1777d-a43f-4386-887a-956cd9688f82}</author>
    <author>tc={04222dc5-5778-4c85-9fd4-e9f21b810b61}</author>
    <author>tc={042ae6d6-95f8-4c95-8be2-b57e07e44206}</author>
    <author>tc={042e1c98-0685-4ac5-b6ff-cea6ad85778c}</author>
    <author>tc={04d09aa5-874c-4432-a553-ad2bbeba108c}</author>
    <author>tc={04e87606-232c-4cf0-ae41-9ac8eb7ea9ca}</author>
    <author>tc={0519bf59-424c-417c-aff1-8fa2bfbacbad}</author>
    <author>tc={0547fcfe-5d4b-4290-abb0-1213741f2f3e}</author>
    <author>tc={054972e5-67c0-4bfc-96d6-825ec04a98d6}</author>
    <author>tc={054c3c55-dd4a-4a43-a2ae-4368463c967b}</author>
    <author>tc={0553cabf-b59e-4833-9eb0-dde904cf2c4f}</author>
    <author>tc={05643eba-2382-45b5-b66d-c14cdf19443f}</author>
    <author>tc={056cd372-1b44-40fd-9999-a093e4c766b9}</author>
    <author>tc={056d5b64-1572-4dec-93f0-83d5cb77210a}</author>
    <author>tc={05da447e-48b6-49d8-832c-0d06a1390131}</author>
    <author>tc={05ef9b93-8bf9-48d5-bdc0-79a3b1781569}</author>
    <author>tc={05efd4f3-96d8-4e28-83cb-f89e057f7efd}</author>
    <author>tc={060006a9-f615-4577-a6d7-a2ebdd68fb37}</author>
    <author>tc={060cecc5-083e-4dc8-b434-e40b8e3614f6}</author>
    <author>tc={060e98e1-bf4c-44ca-8f3e-d889cbe8d526}</author>
    <author>tc={0623df20-20d8-4dbc-92ca-268aeba5d07c}</author>
    <author>tc={0631f3f6-0800-48bb-aaeb-abd942677ec6}</author>
    <author>tc={0634cb52-dee5-42ed-b77f-1d7cc49638e0}</author>
    <author>tc={065da73f-3bcb-4752-b8f0-3370f02e7c77}</author>
    <author>tc={067de4f8-d892-4ac4-a221-6e3ef26ad47e}</author>
    <author>tc={0683dd5e-43c1-423d-8075-9de77db9b378}</author>
    <author>tc={06ae9b48-59a1-43fc-9a25-648e2cd40d9c}</author>
    <author>tc={06d8a5b5-c23c-455f-b3ca-a49e1c98b4bf}</author>
    <author>tc={06db9079-ebdc-4912-aca0-9272e633ac6e}</author>
    <author>tc={06e14f4a-26cf-42a5-8c4c-b6cb45711d94}</author>
    <author>tc={070b4882-a5c3-456d-8c06-fb3a2f626850}</author>
    <author>tc={075bd36a-92c1-445f-beb0-e9ac93425584}</author>
    <author>tc={076faaae-61ae-4733-8f7f-16966871ef2d}</author>
    <author>tc={07b0b5a8-071f-41c7-a699-8b43684344c9}</author>
    <author>tc={07def5aa-30ea-4822-8fcf-86300e935c15}</author>
    <author>tc={07f21ada-ee42-4020-9108-aa7476e821e9}</author>
    <author>tc={07ff46a0-f38b-4467-a8fc-8276f192ed23}</author>
    <author>tc={080acedc-b820-4359-9ebb-f72bb48f664f}</author>
    <author>tc={080d5bd0-646d-4c74-8979-99af3a1c3a02}</author>
    <author>tc={081b2216-0c6a-413c-a9b0-9e1e712f3014}</author>
    <author>tc={0833845c-36d9-431f-8250-952b3c0e7c5b}</author>
    <author>tc={083d56e4-e409-4173-ba01-4feeff9a4aa6}</author>
    <author>tc={086e45ec-d2fa-4ec3-9779-adc080ac3834}</author>
    <author>tc={08866c2c-697f-46bd-ac9e-5c4ee7fc7bef}</author>
    <author>tc={08bfa64b-96c2-4812-bd86-f456033f4959}</author>
    <author>tc={08e59fea-3929-4149-a5a1-3f974f47829e}</author>
    <author>tc={08fafae5-6bbd-452a-83cc-1f1643e84256}</author>
    <author>tc={090b1cef-3304-4b7b-8a60-af8eb8ce5d53}</author>
    <author>tc={0934eb79-b221-4419-9839-624695d53acc}</author>
    <author>tc={094bbba6-e288-4f92-beed-8b81403030aa}</author>
    <author>tc={094da4b0-4c91-41c8-824e-147d7ca6f835}</author>
    <author>tc={096c574d-024d-4996-9bdd-99570848fec0}</author>
    <author>tc={098f15be-c5ee-49c0-b4f3-75ebecaaa52a}</author>
    <author>tc={0990a972-8707-4ed7-94cd-13afbdeaeae6}</author>
    <author>tc={09af4a28-44c2-4e63-864c-cd4b4d3b279c}</author>
    <author>tc={09b5bdd9-5698-4a37-b66e-de0fab1a581a}</author>
    <author>tc={09cfeb6c-e291-4642-9bba-a06f3c9da720}</author>
    <author>tc={09eefacc-e888-4a21-ab2e-b354224cf6a3}</author>
    <author>tc={09efb6d0-a040-49a8-8128-345e7d3f4dd0}</author>
    <author>tc={0a0015ce-64e0-4c31-b19a-12f6c4bab04f}</author>
    <author>tc={0a194813-640a-4f49-9bf5-3bca00dff771}</author>
    <author>tc={0a2b4a4d-4e26-4db3-8e4e-73a5ac48cbf5}</author>
    <author>tc={0a30efdf-487e-4dd5-a451-95c3ec049db7}</author>
    <author>tc={0a618e99-b81d-4a92-b8b0-7436315f0a51}</author>
    <author>tc={0a8597b0-e0f5-4ade-8467-c9e7e261340f}</author>
    <author>tc={0a8c7c87-99cb-4987-8d3f-9457863233ac}</author>
    <author>tc={0aa45c5f-bc97-4b17-b243-45dc504eb718}</author>
    <author>tc={0ac21265-6bab-4d76-8824-32987e9afd9d}</author>
    <author>tc={0aeec25d-6037-455f-b370-bccf4e5f67b7}</author>
    <author>tc={0af70ec4-2b9a-4c17-a0ff-b0bf7a04638e}</author>
    <author>tc={0b0b784d-e9b5-45e9-b4d2-823033dc3688}</author>
    <author>tc={0b32227d-8212-4454-babc-5c5b5022c2c3}</author>
    <author>tc={0b669fd9-e389-48be-8152-75d1a080e9bb}</author>
    <author>tc={0b6f304c-9fc5-4c69-aa5c-d52d0d30a559}</author>
    <author>tc={0b744d32-7f02-44f6-9a93-3191cf46e056}</author>
    <author>tc={0b811370-d526-46b5-83f0-0738fe328497}</author>
    <author>tc={0bb90c43-5d3b-490a-9cbb-5d7a6741281a}</author>
    <author>tc={0bc89830-c0d7-4f1b-a08d-00de384028c8}</author>
    <author>tc={0bd9cf9e-9c9b-46b3-b1ca-6dbced461efc}</author>
    <author>tc={0c057eee-84a3-4bfc-9e15-7045a14e53b1}</author>
    <author>tc={0c2be401-411d-471e-8db6-e93aa861c400}</author>
    <author>tc={0c371c09-c10a-4f3c-88c2-9c42c5489903}</author>
    <author>tc={0c3c254d-160d-4471-a5b6-8efa3ac8d27e}</author>
    <author>tc={0c56aa8d-515c-438f-8fc5-24d17ac5e9d3}</author>
    <author>tc={0c69ca99-64b3-4b17-b576-c206f38bb15c}</author>
    <author>tc={0c76a932-5c46-44cf-bd98-503d3c006099}</author>
    <author>tc={0c863716-23d2-402e-a9be-34620b035553}</author>
    <author>tc={0cb0a324-4492-47df-a468-4d556c71b694}</author>
    <author>tc={0cb43225-f194-4919-a27e-a45a8751c389}</author>
    <author>tc={0cd75dcd-bfe2-4618-b776-430935e614ae}</author>
    <author>tc={0ce5c502-01a8-4bfb-b527-68f1afc9ef92}</author>
    <author>tc={0ce62f26-0234-4c39-9159-723503cd8e81}</author>
    <author>tc={0cff2116-c9d2-4013-9ee0-bca76f093b1e}</author>
    <author>tc={0d0ac476-5ddc-4307-b1d2-c9034f638b88}</author>
    <author>tc={0d0ecc55-fe32-4ae4-adad-58552f06ade2}</author>
    <author>tc={0d1adfcd-eb31-4e7f-9248-10a1c545573b}</author>
    <author>tc={0d1c02d3-e3c5-4dc9-9c86-5df494156209}</author>
    <author>tc={0d6c0bf2-224c-4ecb-b445-ef01231cec10}</author>
    <author>tc={0dcb6e25-f314-469c-bbbf-472227be4973}</author>
    <author>tc={0dd19c94-b686-4230-9621-00c701e65453}</author>
    <author>tc={0dd7b8a8-67c9-4a46-ab36-5f9402abba3e}</author>
    <author>tc={0e0d3c1e-4be0-4273-b3b3-8351f37cea5b}</author>
    <author>tc={0e22d132-c626-4f17-a554-abedb5f66df3}</author>
    <author>tc={0e281113-ca17-4c85-b2db-f48965c7822b}</author>
    <author>tc={0e2cdf5c-df4c-4f48-aecc-ee5670ed2072}</author>
    <author>tc={0e38a53c-725e-4a4d-8dc5-318f39f2d613}</author>
    <author>tc={0e3ca3fb-e976-4c60-874e-b2843a6c852d}</author>
    <author>tc={0e778387-6832-4164-8ce0-eeb76d9d776d}</author>
    <author>tc={0e8f88a2-8192-427e-98ee-ca97d3627e66}</author>
    <author>tc={0e9d2d29-1ce2-4228-9acc-6bdb199da1e5}</author>
    <author>tc={0ea41fba-11ed-49e1-a58d-3fe7fdaff94d}</author>
    <author>tc={0ea69ad1-56ad-4159-a8a9-9cf5c74ff9a5}</author>
    <author>tc={0eaea361-801b-440f-a729-4a799a19171b}</author>
    <author>tc={0ee05c40-80e6-44be-a6ea-212e0089af27}</author>
    <author>tc={0eefb079-1008-4cb9-a10e-87bd0843bae5}</author>
    <author>tc={0f343499-8fcd-4f98-923a-6f4605a97325}</author>
    <author>tc={0f3d3276-d1f6-4812-8243-4721742fd517}</author>
    <author>tc={0f5410b3-c3fb-454b-8b93-303f290e1547}</author>
    <author>tc={0f88e0a5-82f9-43db-b933-0b7912e21ebf}</author>
    <author>tc={0f935171-e822-4546-9e41-b2ad8f1ca4f2}</author>
    <author>tc={0f9c85ff-4441-46dc-be5f-4947f1ce0d50}</author>
    <author>tc={0fa0a57c-2378-4def-a099-bbaaa0a5a2e7}</author>
    <author>tc={0fb3e68a-346e-4987-9198-220cf5407613}</author>
    <author>tc={0ff34ccc-fb6a-43c8-8099-eec3d3be4400}</author>
    <author>tc={1005b58a-cbc3-4931-9c25-60f9d36179f3}</author>
    <author>tc={100ff4df-247c-4927-a4c5-d66b837e9c23}</author>
    <author>tc={101a2f75-c63f-437a-af2d-214add9a6c5c}</author>
    <author>tc={10358e63-1c8f-4073-976d-ebc05c54a41e}</author>
    <author>tc={103dd5f3-ecca-4b88-bae6-5925d5106fdf}</author>
    <author>tc={103eb23e-0a03-472f-a0b7-d1acb9ffa9ce}</author>
    <author>tc={103f2254-f1ae-451a-bdc1-bf13984bb462}</author>
    <author>tc={10429945-5f95-4d64-8b34-8e5a46447bae}</author>
    <author>tc={104da6be-026b-480b-a261-47a01e2cdd55}</author>
    <author>tc={104ef0d0-6fe0-470d-841e-f58b4a42fc6a}</author>
    <author>tc={106cd911-04ed-48c9-9095-f15d066be571}</author>
    <author>tc={107557c8-5c72-4d00-8569-f1668fb66fae}</author>
    <author>tc={108da626-2955-4d3d-bfa8-6aeefdcd2fe4}</author>
    <author>tc={108fc323-6b62-4ad8-bfc5-957eeec5fd1f}</author>
    <author>tc={1090a6a7-5592-487c-88b5-24371cd2addc}</author>
    <author>tc={10ac8dc8-e0e4-4cff-bcfb-7d605b4ac67d}</author>
    <author>tc={10b0e1d0-7ccf-4a85-a1b5-8d2266d144ef}</author>
    <author>tc={10b13516-f912-4850-817d-762609ddb710}</author>
    <author>tc={10b5b789-7bc6-4e51-8629-8d3fcb289a6a}</author>
    <author>tc={10bc6bb7-8c56-43ed-92d0-e35f48b4b87e}</author>
    <author>tc={10c6dae8-9b61-4ab9-9ba3-9138980225d2}</author>
    <author>tc={10c8483e-d1c4-4878-91f3-dce7f56f521f}</author>
    <author>tc={10c938cc-e106-4868-90ae-60f7e1c57559}</author>
    <author>tc={10d15cb9-29ff-45b8-9b1d-b12a0ed933c0}</author>
    <author>tc={10f63909-58ad-414a-b42d-501153068612}</author>
    <author>tc={10f77edf-5d28-4ee2-aded-852e8a7d5d55}</author>
    <author>tc={10fdc2d7-00e0-4672-8f36-9623901f2381}</author>
    <author>tc={111ecbf7-3fc1-465d-b33f-3ba48085de4b}</author>
    <author>tc={114e16c3-1759-46a6-bf39-1a74a329ee70}</author>
    <author>tc={11a5ff13-fd25-4a77-80ef-8b1d84ded040}</author>
    <author>tc={11e7a96c-d812-42d3-ad0e-b4bc11ddbde8}</author>
    <author>tc={1233e890-7c31-46a0-8d68-4f41acd33aa7}</author>
    <author>tc={124024b9-bade-4e21-9eaa-3b35c723067d}</author>
    <author>tc={12421b78-6ff0-40ad-9552-054d5cde533b}</author>
    <author>tc={12517ef4-01c2-4722-990d-ed8f967d85a5}</author>
    <author>tc={1262d594-88b3-40a8-9d68-c3d88cf96e0d}</author>
    <author>tc={129627a1-8595-4ed7-bde7-84ac7a8eea18}</author>
    <author>tc={12ad214c-21f2-4356-97be-8b2153ea23d0}</author>
    <author>tc={12db6e53-9a45-441b-bee7-0631a91a4b78}</author>
    <author>tc={12e47927-04a7-4d21-afd5-f78c0bad6f9a}</author>
    <author>tc={12f503f5-d6c6-4b6d-be1a-4a691d6a7798}</author>
    <author>tc={1312e923-c89d-47ce-bebb-6e32dd24c580}</author>
    <author>tc={1324e4bc-5469-4b34-9bca-fb5141f91602}</author>
    <author>tc={132c6b8e-ed70-4f46-ab20-94d7df9c3daf}</author>
    <author>tc={133a23c9-b573-4181-b697-7b496b421b98}</author>
    <author>tc={133ae6b2-b14a-4cfb-8fe7-f00e03a9d619}</author>
    <author>tc={13aab4d5-38f4-45a0-8e3b-bb77cd16a1e9}</author>
    <author>tc={13ac66bd-db31-4f65-844b-53fb2b87e99a}</author>
    <author>tc={13b2f87d-e9db-4e9f-9a10-26f1095e2a33}</author>
    <author>tc={13bd561a-1b16-4cf8-8961-1caea8f0ae9c}</author>
    <author>tc={13cd3356-f4a8-43d3-862e-0ba66a648ed7}</author>
    <author>tc={13fc1f9e-4816-4af9-8e3c-3ff1bc7ab282}</author>
    <author>tc={13ffa4e0-d09a-41d3-b410-49e6c54f8b99}</author>
    <author>tc={141a7b42-e410-4977-b674-b943a6bba89b}</author>
    <author>tc={141ec96f-2983-4ca7-a6c6-76dc8547b627}</author>
    <author>tc={14708fd9-e9fe-43b7-80e7-e4322605a533}</author>
    <author>tc={14866759-d119-4f73-8b41-a4a39fd94782}</author>
    <author>tc={1496fd94-8bf5-4719-b38c-2bb0438e4f14}</author>
    <author>tc={14a47bab-f573-4745-a48a-6d88477e361d}</author>
    <author>tc={14ad4021-3447-45ac-a8ae-25c52caf2c82}</author>
    <author>tc={14f6ae67-ad53-4989-a3ab-cc4c0d9cf21c}</author>
    <author>tc={1501fb26-de69-430f-af71-e62c712bb787}</author>
    <author>tc={1519e88e-3bdd-41c0-a13b-52e0de96305a}</author>
    <author>tc={152a8005-01e7-4999-924d-937e52a631ac}</author>
    <author>tc={152bae74-5571-4f11-9927-5d8c4668de1e}</author>
    <author>tc={15364bf9-5f10-48ee-ba74-babea6151087}</author>
    <author>tc={1545413d-9e0e-4101-bb6c-36cdf559231b}</author>
    <author>tc={154b8ba8-80e8-45b3-ab63-7f82a1909b88}</author>
    <author>tc={155de7a3-e33a-4d48-96ea-ff59b33c9350}</author>
    <author>tc={156fe5c1-3952-4191-b6c0-66e17ec0403b}</author>
    <author>tc={157f8cf7-3277-4993-b836-82cc07fa16e7}</author>
    <author>tc={15906765-b01d-4d7e-ba97-4482a1f45f7d}</author>
    <author>tc={1595fa3b-912b-444f-8c86-a477955863b8}</author>
    <author>tc={159a1b27-ba47-4fd7-9c84-7e09e8b507ad}</author>
    <author>tc={15d77431-3d5e-48bf-9910-f60789b71c41}</author>
    <author>tc={15da459d-0129-4ffe-aafd-dbc57e88069d}</author>
    <author>tc={15e6ac30-9213-4ea7-ba9b-1701d12f2b9b}</author>
    <author>tc={16696175-be28-4bb7-9225-5a59df74fd98}</author>
    <author>tc={166b4d0f-a1fb-4dfc-8804-7a3373bceb10}</author>
    <author>tc={1687e7a2-418a-481b-bea6-7142e91c67b3}</author>
    <author>tc={168bd8de-40e8-4c17-9596-b38f06674b5a}</author>
    <author>tc={168e569b-bd02-4d4f-9dfc-5a92aed8f17e}</author>
    <author>tc={1693a439-7d53-423f-b92c-1acd4bd8c5fb}</author>
    <author>tc={169bc496-2cf2-4b07-869f-3a5aaee39a03}</author>
    <author>tc={16b404a6-40e1-4330-9aad-4d8f746308ac}</author>
    <author>tc={16cbc25c-8afd-492e-b9e0-e71e427d6b5c}</author>
    <author>tc={16f9e7e1-4ff4-474c-ad16-c5132775312c}</author>
    <author>tc={1722fcc1-44fd-409e-8113-4017b3ea9155}</author>
    <author>tc={17256156-9c82-4f15-badd-d54436719ad4}</author>
    <author>tc={175510d1-b4ae-4844-bc42-e948857da113}</author>
    <author>tc={17881f46-3ae2-497d-8928-0959147dd1aa}</author>
    <author>tc={17e4750d-0c0f-4349-86b8-dc49e7505993}</author>
    <author>tc={181fbb1a-5933-4ab8-b5f5-c0796f99f1b0}</author>
    <author>tc={1837083c-48ab-436b-9940-00b7ef3c830d}</author>
    <author>tc={184a4cb8-2d8d-456b-b886-c3175fc4e611}</author>
    <author>tc={186bf180-4ff7-4b48-be47-9c49bf8f1798}</author>
    <author>tc={1883722e-b23d-4a57-9360-e8cdde094180}</author>
    <author>tc={189b119d-74d4-41d9-af3f-ca2a9a160ba3}</author>
    <author>tc={18fe3369-b409-4133-96b8-030918156be4}</author>
    <author>tc={19089986-94de-4f0d-832d-a308cea56c6d}</author>
    <author>tc={1941cbbc-4c04-4ff3-b62d-6924cabe197e}</author>
    <author>tc={19501cc6-530c-417a-953e-a7b80a8dbaae}</author>
    <author>tc={196146df-7b98-4b09-982f-09ee562e10c8}</author>
    <author>tc={1962ec4c-20c2-4210-b6e4-b8b8c2f485de}</author>
    <author>tc={19690d97-5847-4873-8f15-9290b578a9c7}</author>
    <author>tc={19e199ba-557a-42cd-9360-e7cba608b177}</author>
    <author>tc={1a427e78-1461-4fcd-b752-112e71f811a7}</author>
    <author>tc={1a48d67f-19de-4f21-80d8-ca3229b28763}</author>
    <author>tc={1a554669-705c-4c43-a665-b5072b252ffe}</author>
    <author>tc={1a652796-7bcf-4b82-8c72-4c38ce894333}</author>
    <author>tc={1a742ab3-2996-4ac2-b875-c1da322e9758}</author>
    <author>tc={1a800350-df18-451b-9b89-f8c87e9bbd13}</author>
    <author>tc={1ab86195-2ba3-4e2c-aa29-d9bd4f14f09c}</author>
    <author>tc={1ac986b1-5e5f-44f6-84da-365cb2aff204}</author>
    <author>tc={1af5ef80-e016-4b75-8489-52d490b5c424}</author>
    <author>tc={1b09f39b-1f99-4581-b006-c525e5de0b8a}</author>
    <author>tc={1b189f4a-c8fe-454b-99dc-4147a4793115}</author>
    <author>tc={1b3af884-5883-4bfa-b51f-e83206f3be24}</author>
    <author>tc={1b3b0331-630b-4e34-a804-190edffc7e72}</author>
    <author>tc={1b9a958a-4dab-42e3-ad5f-1437e447cec2}</author>
    <author>tc={1bab0f4a-6558-4596-9963-370a291793af}</author>
    <author>tc={1bb6acec-d3ef-4b56-9629-49bf619c8d0f}</author>
    <author>tc={1bc39140-e05c-48db-a1c5-031c813a7775}</author>
    <author>tc={1bc7e5dc-49e8-487e-b336-1c904b6c5c15}</author>
    <author>tc={1bd8df39-e02c-44be-a425-6ceb19d934ab}</author>
    <author>tc={1bf9b062-5a4e-47e8-b6a8-f0ccfab5ae41}</author>
    <author>tc={1c0aefff-92ff-47aa-a71e-3bbe44be0d00}</author>
    <author>tc={1c10eb42-a6b9-472f-836a-fcba2d1b119e}</author>
    <author>tc={1c23e969-019c-4f80-8de5-a4453f419a23}</author>
    <author>tc={1c33e36d-4c80-453d-b681-0475085b5f70}</author>
    <author>tc={1c443449-77b5-43dc-8004-c6c8ccbbe724}</author>
    <author>tc={1c607090-134b-4214-86c7-d06ec64eed88}</author>
    <author>tc={1c823498-a8f3-4aaf-923e-b2f65590fe9d}</author>
    <author>tc={1c90285b-9938-4e28-a2c0-ec47be1d6686}</author>
    <author>tc={1caebd96-8ba8-4153-9bff-991ec46d3d07}</author>
    <author>tc={1cd8579b-4103-44d6-92f1-9f388e9b1413}</author>
    <author>tc={1cdf9fe5-d941-4448-8ca5-7e36d5c32220}</author>
    <author>tc={1ceed0ba-5fe2-4276-949d-c0d895ca9f70}</author>
    <author>tc={1ceffbab-1ac9-4efd-8734-91f08e6b3dea}</author>
    <author>tc={1d00e88b-a5d4-40f2-914e-ee2e2c220d7f}</author>
    <author>tc={1d442513-6af2-405f-8dfb-894a7b7db453}</author>
    <author>tc={1d494b59-f652-4c09-9583-33b9b2d83228}</author>
    <author>tc={1dc3773d-03dd-4c8a-9636-dba371b0f332}</author>
    <author>tc={1de6eec4-842f-433d-93f1-86c811265017}</author>
    <author>tc={1e21bce2-29dd-4853-93d2-ea269d8ab951}</author>
    <author>tc={1e284e2f-bc6c-4622-bab4-9df68b270fe7}</author>
    <author>tc={1e45428e-0f35-446a-9cd8-dd140ef79564}</author>
    <author>tc={1e6460d2-d773-4f28-81a7-b22044cfa8d6}</author>
    <author>tc={1e6e9665-1d7a-456c-aa16-632f0fc3f4c9}</author>
    <author>tc={1e909849-4a08-4374-9cf6-6daf648864b5}</author>
    <author>tc={1e9a027c-325b-45fb-95b6-8cbead258742}</author>
    <author>tc={1ea0fa58-83d9-4d6c-acfa-00973fe05b32}</author>
    <author>tc={1eb98c3c-3b64-481c-abe0-16384a002733}</author>
    <author>tc={1ec978f7-9753-4955-b92a-c6f59298ded8}</author>
    <author>tc={1ecc8c8a-dd59-4ca9-866a-5b62357f9f06}</author>
    <author>tc={1f2fed3e-328f-4c6f-89ac-f926c5cb28a2}</author>
    <author>tc={1f33418e-2734-4ae8-a82a-2228e8355376}</author>
    <author>tc={1f48a6de-f873-45f6-a958-856736965426}</author>
    <author>tc={1f533a2a-1665-4810-8196-86b084c2398d}</author>
    <author>tc={1f598c8e-c21d-4d25-9d1f-6674a69097c2}</author>
    <author>tc={1f5f8cb3-470a-470c-b0dc-4754ae18b5b4}</author>
    <author>tc={1f7ecabb-e5f0-423a-a551-843b83af8e49}</author>
    <author>tc={1f813565-4143-4ca8-934e-756b657619ae}</author>
    <author>tc={1f93a40e-948f-47d3-8250-57a7ffea82b1}</author>
    <author>tc={1f9cb8ea-8d9f-4504-a9ba-b46691a9989e}</author>
    <author>tc={1fb47a21-5a3f-4da8-b5ea-e625545fca67}</author>
    <author>tc={1fbc5499-96dd-4cf1-8eea-f8e29af356ce}</author>
    <author>tc={1fd97d16-b8e6-4e86-a553-8c501b903c0d}</author>
    <author>tc={1fe4e5eb-d6e8-4ad0-a187-b8cb0b4196e9}</author>
    <author>tc={1ff69423-aaa6-4bea-8797-206649d2ec99}</author>
    <author>tc={20063c75-d6e9-483b-8053-7597ae892c5c}</author>
    <author>tc={2015285f-71f5-4699-9c81-607582c85873}</author>
    <author>tc={20346789-ddb1-4a58-a31c-4fd52d100650}</author>
    <author>tc={20447a67-ba6e-4a39-8043-92e27e0909ea}</author>
    <author>tc={206c4533-b6a3-4429-800e-9ca426c81384}</author>
    <author>tc={208a42aa-c3fb-4334-90f1-4aebbbeb964c}</author>
    <author>tc={208f4d46-7121-400a-8209-663ae24b8aaa}</author>
    <author>tc={20a2c429-db70-4b59-9344-f10aa13e7825}</author>
    <author>tc={20d3778a-3dbe-40c0-b135-cfeffb3cd090}</author>
    <author>tc={20d586b5-5e2e-4c82-b80d-22b41cb973ee}</author>
    <author>tc={2103f893-eab1-424b-8bee-23e55c3ea18a}</author>
    <author>tc={211bf0d3-a584-42a3-8c24-f51c5dfef01b}</author>
    <author>tc={2130e974-2c9d-492f-a44f-aea5e7376796}</author>
    <author>tc={213a027b-92ef-40e9-8e46-2264a3883577}</author>
    <author>tc={2174cd15-c520-49dd-a60d-cdb835d1903c}</author>
    <author>tc={2181be49-2a95-45a6-b579-c18394848006}</author>
    <author>tc={21b30284-e946-44a5-b99c-06b9df2664a0}</author>
    <author>tc={21c1b7a5-10b9-4735-9a1e-e0a755cb1fcb}</author>
    <author>tc={21ecfaf2-871a-419f-9bd8-cb56b7b63edb}</author>
    <author>tc={21f3e3ad-caac-4690-81cb-e055933eba55}</author>
    <author>tc={21ff70d2-5a3f-40f8-9530-bdf02d59272a}</author>
    <author>tc={22071e4e-746a-4b6a-b7e7-681fc57cbc74}</author>
    <author>tc={223404f8-dbb7-454c-a00a-9b896abd53ad}</author>
    <author>tc={22343445-fb35-4f51-862c-1924cd77a983}</author>
    <author>tc={2242e6a7-122e-4450-8f0d-52cd2f9160cc}</author>
    <author>tc={2246a756-fa00-41f4-91e9-9f7a5e1c8a4e}</author>
    <author>tc={2273c901-5ab8-4086-8f5d-1d9d692e1ae0}</author>
    <author>tc={22cb3a55-d26c-43bf-9ee4-3ecc5e2e0678}</author>
    <author>tc={22e18b83-0171-41ce-a047-0b6371d37c95}</author>
    <author>tc={22ef71a7-e6fa-41ca-87f3-64950f85b44e}</author>
    <author>tc={22f99d23-d96d-4115-ac29-d8aa24d796b0}</author>
    <author>tc={23a7c228-d5fb-4454-8826-946d4293e4a3}</author>
    <author>tc={23cfdff5-61da-4130-9574-9dc4f29f93c9}</author>
    <author>tc={23e70926-4cf3-4109-987b-61c3e8b5376a}</author>
    <author>tc={240457e4-0465-4e44-b1b1-dc9132ea3f9d}</author>
    <author>tc={240f7622-6994-4429-a6d7-781947ae1122}</author>
    <author>tc={24154df6-48e6-408a-9751-72aaae4f6193}</author>
    <author>tc={244ed047-4764-4d2a-b08a-4b0e8aff6827}</author>
    <author>tc={244ee6c5-8028-4608-b361-b34f56671274}</author>
    <author>tc={245baa38-e46e-47bb-a2db-9f0b10036eec}</author>
    <author>tc={24606991-3b06-4738-9cd6-997dc04319c6}</author>
    <author>tc={246fb257-57da-4421-b905-1941fb693b48}</author>
    <author>tc={24707040-f59c-4412-a0d7-0c2f0a03296d}</author>
    <author>tc={24a679f8-5542-4589-b13b-5aeb6c0c740b}</author>
    <author>tc={24c51013-4e41-4f68-afbf-0044edba3b12}</author>
    <author>tc={24c95a97-465c-49bb-a0d2-00e88d3230cc}</author>
    <author>tc={24e6cbd9-74be-4037-91b7-34ba19fd0674}</author>
    <author>tc={24f188a1-e0ca-4501-9220-7f9a68a44c6a}</author>
    <author>tc={250c7c40-4311-4042-a5b3-1ca648dee4ab}</author>
    <author>tc={251f09ba-e7c7-4458-a425-0fdbcac6304a}</author>
    <author>tc={25246a83-944d-4e2f-bfab-2cbaad5c0df2}</author>
    <author>tc={25513dcc-ef05-4d60-a6c3-45b425852c8a}</author>
    <author>tc={2552b793-0daf-4fd7-8356-5f5945b869f8}</author>
    <author>tc={2553e6e2-f4ff-4d70-b3ba-4a27b25b4061}</author>
    <author>tc={2556cb93-db77-4fb1-9a96-ce5239c6398a}</author>
    <author>tc={2573841d-bdf1-496d-9110-32ae04216fd3}</author>
    <author>tc={25930959-c1aa-498c-adba-4da2041f980c}</author>
    <author>tc={259545fb-9164-4ad3-b23f-c952b30cded7}</author>
    <author>tc={25a73a77-eb9a-45f2-bcf7-e0035930b065}</author>
    <author>tc={25ba22eb-8229-4166-9b0b-95fd5c2dac98}</author>
    <author>tc={25bfe226-6980-4033-af25-75e935f5186b}</author>
    <author>tc={25e512fd-cb03-4d46-8576-abc82f1b33da}</author>
    <author>tc={25fe2059-4925-48c3-8934-0abf0673cb73}</author>
    <author>tc={26061338-1043-4dc6-acc3-ae171517808e}</author>
    <author>tc={262676e1-7291-400e-a8a1-83daca59cae9}</author>
    <author>tc={2629ba52-81b3-42ef-9014-be306e6b94c5}</author>
    <author>tc={26503cef-b3e6-4a72-92b9-60c6e499d012}</author>
    <author>tc={26529378-3cd9-42d4-b0a4-fe8a951ad2ce}</author>
    <author>tc={2681a6d5-14a4-475f-9d92-9d5f57a90cfa}</author>
    <author>tc={26a430c1-bbd0-40d7-9918-4358a34b0312}</author>
    <author>tc={26cab21c-9690-4cd7-bc0d-53af9e665a39}</author>
    <author>tc={27047619-a954-4f4d-a973-e1082829253a}</author>
    <author>tc={271e392c-5c6a-4f54-9998-3c1d81139ca2}</author>
    <author>tc={27278a41-9cac-4c63-b882-95341081ce45}</author>
    <author>tc={27399f59-c84c-4036-837b-7e97afaca13f}</author>
    <author>tc={273f7543-8bbb-48b0-9a9d-d33d944492e0}</author>
    <author>tc={2754f9a5-aba2-4dbc-a7fb-7fbca27cda42}</author>
    <author>tc={27806ec8-bc31-46e6-94b8-f700e4a5f885}</author>
    <author>tc={278f75a0-6148-479e-a0a1-3796ab54c585}</author>
    <author>tc={2790c40d-070b-438f-8cfd-f4b0ee963bd0}</author>
    <author>tc={27983a32-2b3d-49c5-a0fc-cbca2b992367}</author>
    <author>tc={27ae3f84-a982-4559-9489-4a58da624bf3}</author>
    <author>tc={27e8d58e-05ef-417b-b66f-3c35b87ac97f}</author>
    <author>tc={28125f1a-9585-4db1-ad5a-d44dd89dcb9b}</author>
    <author>tc={283316a7-c10d-4c11-a605-2ff598ae6719}</author>
    <author>tc={2875c25a-6dd8-4e43-bfc8-acba49d3d271}</author>
    <author>tc={288bcc35-23f1-4215-9572-75ae71b299c8}</author>
    <author>tc={2891283c-c20a-4a7f-b92e-7502005a72f0}</author>
    <author>tc={28b5f269-6b72-46a5-a17f-4e696532cfb4}</author>
    <author>tc={28d0a394-97d0-4fdb-b18d-83b9c912b1f4}</author>
    <author>tc={28d3da8b-c832-4ee1-b25f-98b32ff5ed9a}</author>
    <author>tc={28e5ac68-ac40-4303-8b63-2f715ae6b9f2}</author>
    <author>tc={28f66fbc-9afe-420e-bd0d-95dcd798c634}</author>
    <author>tc={29126fdf-87d9-48fc-a8b7-c518603c9916}</author>
    <author>tc={2920b1f6-9920-4d49-8696-fa79b52ed8d9}</author>
    <author>tc={29452769-3f08-42ab-aeab-f297cd1dd7b2}</author>
    <author>tc={298204a1-aabf-4496-98fb-b79de2a8adca}</author>
    <author>tc={29a7b9b2-581e-450a-8d97-e2ec2d3f1001}</author>
    <author>tc={29a80c31-b661-42cb-a945-6699b3d7af21}</author>
    <author>tc={29adb16d-0c1e-4645-babc-3b96e0c4604f}</author>
    <author>tc={29bac587-dc83-4e34-9bd2-5704c27a2907}</author>
    <author>tc={29be0131-6783-4112-ba75-709dfc664e66}</author>
    <author>tc={29ed7936-9894-49b1-9c29-b2b0a954a7bb}</author>
    <author>tc={2a32156e-3956-4de7-b3ab-63ce4f09404f}</author>
    <author>tc={2a3864d7-310c-4bce-aae6-9401626155a2}</author>
    <author>tc={2a3b8493-5969-4ea1-9e6f-12fdbdbb27f7}</author>
    <author>tc={2a3d84ba-f596-41df-96fe-ddcc81bc62f1}</author>
    <author>tc={2a40f67e-500c-4aaf-bb77-717760e21917}</author>
    <author>tc={2a512a3a-2571-4d5d-8d09-9013b0be2be3}</author>
    <author>tc={2a539991-61b1-47f6-b003-4ef77a608f6c}</author>
    <author>tc={2a7d2254-34d6-471f-87c1-2b32acc52675}</author>
    <author>tc={2a8185fe-01e8-47e3-b899-64fb3c071e10}</author>
    <author>tc={2a8c5476-c514-4dc7-9ffc-78dc0d19bf22}</author>
    <author>tc={2aa9f12b-da85-4b54-8bd6-542258d23ded}</author>
    <author>tc={2ab1aa5b-413c-4567-81b9-20abdfbbd5a7}</author>
    <author>tc={2ab50836-4a2d-46fa-be23-2372f358b794}</author>
    <author>tc={2ae2c4ac-edff-4b23-b16a-bdac4581f612}</author>
    <author>tc={2b17a4c3-bad4-4863-a29d-7edef510c159}</author>
    <author>tc={2b1f0625-fe46-45d9-a40e-0ef63eaad67d}</author>
    <author>tc={2b2f701d-6b51-4751-b3f9-475a3d0e4a0b}</author>
    <author>tc={2b4e3984-3d83-49fd-9fc8-3998b2626f82}</author>
    <author>tc={2b56f0ad-e99d-4f53-8d5c-d0553bd68f36}</author>
    <author>tc={2b5c18ab-9c8d-4bbb-b88e-bb444be593a3}</author>
    <author>tc={2b5e0f8b-cf78-47a4-8700-933dcfd57eab}</author>
    <author>tc={2b7c1eb7-2880-4d84-9d1f-9ef735d42c68}</author>
    <author>tc={2bcb8572-cd71-4920-a86b-c19582bc35f6}</author>
    <author>tc={2bfe0d85-8c42-457c-a1a5-4f624fce3472}</author>
    <author>tc={2c11989d-8e60-4816-bd84-009ccd65ca9f}</author>
    <author>tc={2c152979-fabb-4b8d-bfda-f708da25e71d}</author>
    <author>tc={2c2977c2-1c21-4b55-a67b-714d1f1353ee}</author>
    <author>tc={2c376893-34ed-4008-b3a8-1626ba2836ef}</author>
    <author>tc={2c437dc1-c950-428c-b15c-de3ee7f5a861}</author>
    <author>tc={2c6ef71f-7b74-400b-a0de-6b1785372b5d}</author>
    <author>tc={2cc164fb-f30e-45c0-8db7-9ecc5facd7cb}</author>
    <author>tc={2cd563c1-e057-43cf-aad7-840c8e35bd8b}</author>
    <author>tc={2cd984e9-d9bc-401f-8d0e-4804020b49a7}</author>
    <author>tc={2d077560-037b-431f-81c8-43e74d084525}</author>
    <author>tc={2d42a264-3f34-4ca1-8a26-9a0b1d27bdac}</author>
    <author>tc={2d5a9bf6-4e6e-4f92-abc1-e2a9979ea64f}</author>
    <author>tc={2d73bc91-5ea7-42d2-8d3c-b8d6f163a3f2}</author>
    <author>tc={2d926281-08a6-49e4-abba-5a44e6c00b83}</author>
    <author>tc={2d9b8ce1-8788-4659-864e-b0c18e3f3b6b}</author>
    <author>tc={2da4537c-8b1a-4716-a03a-b85e26ccb6c7}</author>
    <author>tc={2db65483-08d7-45bc-8d8e-0aa3de59e264}</author>
    <author>tc={2dda7b2f-ca0e-4a26-bf54-23706ec560ca}</author>
    <author>tc={2de3ed32-68d7-4c2f-8fcb-57566fa67206}</author>
    <author>tc={2deb961b-3cf7-4256-808d-c98c78f3b595}</author>
    <author>tc={2e01c0e6-a9a3-4464-b272-03402b2a7e33}</author>
    <author>tc={2e087ec8-1c35-4448-a965-914b6fe98ece}</author>
    <author>tc={2e1cab35-7c9f-4613-9d9c-52c69880b359}</author>
    <author>tc={2e20f614-d14d-4ab1-ab9f-26a723763b86}</author>
    <author>tc={2e2ec85c-2c60-429e-836f-bcdffad72063}</author>
    <author>tc={2e338d96-7de6-48b0-a8e1-79d4f1bb9d21}</author>
    <author>tc={2e35eb3b-f235-4078-a1d6-837b3bee6bf1}</author>
    <author>tc={2e41bbec-4cf8-45ea-a6a0-dc2d8050154d}</author>
    <author>tc={2e650c7e-49a2-4289-95f8-9af92bee6a3e}</author>
    <author>tc={2eef1ff8-b03c-4b21-824f-8d5048552c55}</author>
    <author>tc={2eeffa14-a967-4548-9699-6ab18f3bc93e}</author>
    <author>tc={2ef48dd4-f4a8-424a-ac28-fa51c932579b}</author>
    <author>tc={2f17522d-7648-48bd-9300-210a8187cdfc}</author>
    <author>tc={2f1bdae2-5e26-42bd-8d95-f385956fa006}</author>
    <author>tc={2f2ed814-8646-4e46-aea7-a4753c022110}</author>
    <author>tc={2f340df0-3acc-46c3-902a-cffdb4333a07}</author>
    <author>tc={2f50ad8e-aa93-4f4c-9c54-d4f992cb6b98}</author>
    <author>tc={2f70b032-7528-4506-b4f1-d8be060fa003}</author>
    <author>tc={2faa3cd0-d81e-4241-86fb-3b3bc208ed36}</author>
    <author>tc={2facbb72-62fa-42c7-878a-005e04b4233f}</author>
    <author>tc={2fde6cd5-e309-4335-bea2-813d2ce5b9e1}</author>
    <author>tc={2fe9137b-c0b2-4297-96c0-7f644e83dda5}</author>
    <author>tc={2ff10d61-2be1-4849-932c-a5f01b09e1e9}</author>
    <author>tc={3019e34f-6a8b-4079-9fed-9bda511d9d8a}</author>
    <author>tc={302dc4f6-e176-4029-acf1-5b57c7df73db}</author>
    <author>tc={3032d387-7929-4633-8ed7-2be613d9539e}</author>
    <author>tc={30468cc0-2e02-426a-9ecf-2c10449b08ed}</author>
    <author>tc={3057f8a5-6131-4ad3-ac1e-e9cfac70092c}</author>
    <author>tc={3075320a-18b3-4234-9362-a498f114264e}</author>
    <author>tc={309d1810-8ea8-4b7d-836e-7e7591882fbf}</author>
    <author>tc={30a1b004-0da2-4203-b8ee-882f20694ed1}</author>
    <author>tc={30ab832d-e177-44aa-b623-7851c3f7e218}</author>
    <author>tc={30b60144-e6e9-4754-91bf-691f41c5df54}</author>
    <author>tc={30cf345f-2bc9-4afd-ab3d-b3b975a72e3e}</author>
    <author>tc={30de5951-08f1-4b5e-bd4a-ac1ec14876b6}</author>
    <author>tc={30fe33fc-fe9f-49d2-b036-f76649712664}</author>
    <author>tc={310a28f7-0e70-44ed-95b4-f1a1d7edcaf4}</author>
    <author>tc={310e1ccf-b029-4ae7-8cf0-791e1f28b0cc}</author>
    <author>tc={31155cb2-b8a5-4274-82d1-5911d2d1f320}</author>
    <author>tc={31979768-0938-40f7-a53d-02d38e79301b}</author>
    <author>tc={3198bd20-3d17-44ba-a693-5fcbe0505f0c}</author>
    <author>tc={31a49965-1cd0-48f0-8abb-96a54d0e6814}</author>
    <author>tc={31cd14f6-eef3-487b-aeea-0ae5f90d9d8e}</author>
    <author>tc={31d0ff9c-934d-42a8-8d77-8292ef7c58f2}</author>
    <author>tc={31db4b97-b1fb-440c-881a-61d2906d9e77}</author>
    <author>tc={31f93aaf-b3d7-475d-8e66-3e1b70fb7ba0}</author>
    <author>tc={323b50ec-abd5-4540-ae8b-ed209ad153a8}</author>
    <author>tc={3246d32d-6961-4f5c-8ccb-b620b6503393}</author>
    <author>tc={324a3974-8fba-4633-bfa3-d2d87073e126}</author>
    <author>tc={32811aa5-1048-49c0-9839-782cd8a4980c}</author>
    <author>tc={32929003-9406-47bd-9352-c316fb85f4d4}</author>
    <author>tc={329bafd4-62eb-46be-bd90-f09bb515ee63}</author>
    <author>tc={32aba9d5-238c-43ae-ab4a-0eadf5e36df3}</author>
    <author>tc={32ba1ec7-8b30-4e30-a8a3-58a3485a0725}</author>
    <author>tc={32cc0563-16ba-4f95-a5bc-ce07e948c0fe}</author>
    <author>tc={32cc981b-9bf7-4f82-87f0-9f648bc402dc}</author>
    <author>tc={32d0004e-8eb7-465d-9227-da4ae4864791}</author>
    <author>tc={32f8c942-aac6-4ed4-8226-01ab71ed1a4a}</author>
    <author>tc={332f767d-fc5e-442b-93d3-ff62338db2f5}</author>
    <author>tc={336a781d-001b-435a-a30c-31ee82d6c19e}</author>
    <author>tc={3379b20d-bea4-4ff1-9294-4ae8319a988a}</author>
    <author>tc={33821431-a1b5-499c-bcc7-07a82eee5d5b}</author>
    <author>tc={33af7c4c-ae5a-48da-a0f8-94587b86cc08}</author>
    <author>tc={33cf3208-566a-4e74-8f05-c04aecd44ecf}</author>
    <author>tc={33f17831-1bef-461f-81be-36380c656b2a}</author>
    <author>tc={341eb804-8973-4b97-b331-4fbe7e68b5df}</author>
    <author>tc={34540cab-4a8e-4a93-a4a4-91ebaa9c7a6f}</author>
    <author>tc={3459a5af-01da-41aa-91f4-f66a55067c62}</author>
    <author>tc={34637084-6afe-4121-8feb-d6d10b1b858a}</author>
    <author>tc={34fd4692-b5ae-4143-a010-4c3fd4440c6f}</author>
    <author>tc={3503f40f-5543-4e2d-ba9d-d9c43904c52b}</author>
    <author>tc={350abc12-add2-4140-89b7-8c2aa09054a1}</author>
    <author>tc={35126653-71cb-422d-9959-6d4ff3d12fe5}</author>
    <author>tc={351f3798-6255-42a7-807d-a3020d3ecd6e}</author>
    <author>tc={354fe2f3-d8f7-4400-98d6-b63326e4d388}</author>
    <author>tc={355d0c18-86f5-425c-9311-9326b77a619a}</author>
    <author>tc={3586a0df-359c-4690-ac3f-712c31c65554}</author>
    <author>tc={358a21fb-4d38-47eb-97fd-856065a89d11}</author>
    <author>tc={358ea9de-1141-427e-afbf-706dd21ef7ea}</author>
    <author>tc={35c0ff9f-52f5-4a15-aadb-fd865e67eb20}</author>
    <author>tc={35c533ee-9fc3-4011-ab75-63f581c63e97}</author>
    <author>tc={35d6c150-1392-475c-ad39-5d1c6d4fe514}</author>
    <author>tc={35dd8e1d-9af3-4861-852d-c1dba8e9f347}</author>
    <author>tc={35dde276-0d00-4253-a0ae-55fc29276299}</author>
    <author>tc={35ef30e5-80e6-4b95-88df-bfad6129fe87}</author>
    <author>tc={36128bed-4013-4620-8cfc-a5f5acb517d3}</author>
    <author>tc={361b3085-0a5b-463c-becc-7128ae907de0}</author>
    <author>tc={36245875-69de-4cc1-9ee2-2932cf90ce6b}</author>
    <author>tc={3671f506-a983-4ea4-aaf1-3a8c45df6c7f}</author>
    <author>tc={36b9d14b-45b1-4d67-9509-d8c2b260e5d4}</author>
    <author>tc={36be7ba2-4b0a-4e8c-92bd-952752eac3f5}</author>
    <author>tc={36cb1bbf-44dc-4962-9ab2-51f8c98040e7}</author>
    <author>tc={36d1b074-e952-494a-a2cc-5331ce22dc65}</author>
    <author>tc={36d649a4-bf18-42f0-abb7-5f69ce11f051}</author>
    <author>tc={36d795b7-1476-4cf0-9db1-ff9b107b3f1e}</author>
    <author>tc={37061a0f-7029-464c-9e44-9b6b0d8c1697}</author>
    <author>tc={37106a73-1a84-49cc-a100-4548c6a462fb}</author>
    <author>tc={371bde9a-8bdb-4389-b776-ba739c244f23}</author>
    <author>tc={372d16e2-c880-400f-a4f8-d2e39f7aeea5}</author>
    <author>tc={372eac6b-972d-46fd-939f-6c20dd8b1543}</author>
    <author>tc={3758b7a3-b3ca-4ce7-8192-611001817ebc}</author>
    <author>tc={3774f310-49bc-4063-906a-58b539a69836}</author>
    <author>tc={377509f3-f031-4c0d-9195-60935d882697}</author>
    <author>tc={378b3894-04e6-401d-924c-d4f71db8fd7e}</author>
    <author>tc={378d83bd-1009-4196-ba4e-4362c6aef50d}</author>
    <author>tc={37b6eb5b-086d-4469-9d42-0e496922d219}</author>
    <author>tc={37cbbdf4-4a91-4fb9-a14d-8071b84442a1}</author>
    <author>tc={37f8fc4d-8faf-48fd-8156-2194d4774ccf}</author>
    <author>tc={37fd4c95-6e99-4732-88ef-70444a8f7564}</author>
    <author>tc={381f8fe4-8f4c-4ed6-8365-9f4437e03e6a}</author>
    <author>tc={382c7ef8-7232-4812-bd35-e8efb7d544ee}</author>
    <author>tc={383b407a-9758-47aa-af30-d4dae0efceee}</author>
    <author>tc={3861963f-90bb-487b-99ad-f12534d4b35c}</author>
    <author>tc={38a7a979-f3c2-4909-ac6a-b535e6fc9c48}</author>
    <author>tc={38af7c29-94bf-4fea-9dff-65b048a82231}</author>
    <author>tc={38afa747-ffae-4def-b7eb-180f8e4dfa41}</author>
    <author>tc={38b3f228-32c8-4ef4-ac01-2c8b9c581e06}</author>
    <author>tc={38c4b089-e4f6-4e8f-a925-91f03649f6c5}</author>
    <author>tc={38c8d1fe-d4e5-4dd5-b2c0-74e83ded8d8e}</author>
    <author>tc={38f0b356-2131-466d-bd2f-c1cb4d129882}</author>
    <author>tc={38fd9321-6d08-4c44-a6e2-a0006bf13199}</author>
    <author>tc={3907041d-42f1-477c-ab07-a211ce1efcf8}</author>
    <author>tc={39151b04-4c57-4081-9407-69216e8ac18f}</author>
    <author>tc={3935e6a9-8872-4018-9c90-aaa1f4de54e0}</author>
    <author>tc={3938943e-016a-4b4b-986e-4774de7ebd4e}</author>
    <author>tc={394bb348-ebba-4940-b982-f189f8033923}</author>
    <author>tc={39686b43-7c4f-4211-b983-1cf6ab44a9d5}</author>
    <author>tc={39a5bf8b-cb8e-4e88-af6f-4e13a26ef2a0}</author>
    <author>tc={39d23018-b8d3-4b14-8134-c54b2d3c0881}</author>
    <author>tc={39e844a1-ae9c-4e03-89bb-f7ad0179bb53}</author>
    <author>tc={3a1276f1-11ad-4a7a-969d-f60dd753f95b}</author>
    <author>tc={3a54f202-1614-4722-8960-c9315dca2c47}</author>
    <author>tc={3a65b2a5-a311-4fa6-bfc4-1cc0f11fd92f}</author>
    <author>tc={3a6eaffc-4e25-4a2a-95a9-3aa8b4cbda74}</author>
    <author>tc={3a87bfe5-4b39-46a7-bbcb-22af7cb2689a}</author>
    <author>tc={3a9444f3-6e95-421b-8dea-9f5e6239e3b7}</author>
    <author>tc={3ab0a445-bc84-4bb2-bbd4-977e1f100a74}</author>
    <author>tc={3ab29521-62c4-4186-af14-6025c46858cc}</author>
    <author>tc={3ace15fc-f010-4f51-85b3-04820ac8a1d2}</author>
    <author>tc={3ade2f82-1266-46c5-b58f-0e458bc0d383}</author>
    <author>tc={3adecac5-d68b-4877-bae8-0d33e8cffe8c}</author>
    <author>tc={3b22cee5-0ade-46c3-b33a-925fe9fb8e45}</author>
    <author>tc={3b6394ab-bb70-456c-aade-241558e9b7e8}</author>
    <author>tc={3b8e0864-6c13-4b7b-ae44-b3f0d8a5e675}</author>
    <author>tc={3bc08146-2ef3-4ff6-b6f4-de69aa94ed0f}</author>
    <author>tc={3bf66137-47e4-4a22-96d2-9d213ed89099}</author>
    <author>tc={3c2598e0-d27b-4ecd-a0d8-76e007d43ffe}</author>
    <author>tc={3c78b250-822f-4e13-bfe9-8f83ae6f0288}</author>
    <author>tc={3c8f7b9b-7eae-459e-aabe-e2224e3a5997}</author>
    <author>tc={3c9e1340-0176-4bc2-b50c-b65cf19d54d7}</author>
    <author>tc={3ca8e273-b914-4bf5-bd68-673eb46084d6}</author>
    <author>tc={3ce44d4d-5eb0-4b35-9d28-e71e5532248e}</author>
    <author>tc={3d0a4f9b-9ecc-4130-9d58-30867856cf3a}</author>
    <author>tc={3d0ae6ca-beb5-4302-a0b2-5fadda4488d1}</author>
    <author>tc={3d3b182d-12bf-4007-92a8-45fa3e9e259c}</author>
    <author>tc={3d4fd4ca-7a37-40ce-8e4c-8d1b83c16efc}</author>
    <author>tc={3d51677b-0dca-4a38-b81a-6f1c02fd5487}</author>
    <author>tc={3d5a1438-e56c-460a-9f1b-3e0c4b5dc4bd}</author>
    <author>tc={3d5a593d-2587-42e6-b66c-1de3715ffe40}</author>
    <author>tc={3d8e45ed-f66a-4348-be80-ec0aacd283e8}</author>
    <author>tc={3dcf90f3-8d2f-416c-91ac-ce1eaa5af7d8}</author>
    <author>tc={3dd0ba05-543d-4aa7-8195-b7cb58e4415a}</author>
    <author>tc={3dea6c2a-b587-4c01-8569-feb69832c263}</author>
    <author>tc={3e0536c4-8aa0-4768-bcbb-0450d86faff2}</author>
    <author>tc={3e145ca5-dc64-4759-a7a5-f89b7abfb98f}</author>
    <author>tc={3e27f78c-8167-4b90-8454-8b8ee325254e}</author>
    <author>tc={3e439f62-d5dc-4873-a71e-6e2884fc1fa9}</author>
    <author>tc={3e4836fd-408e-4e70-a92f-0454a866c806}</author>
    <author>tc={3e4e6df2-927a-4264-98eb-96b068cd4bd0}</author>
    <author>tc={3e5a507a-f8df-4375-ab69-c0b6d8173223}</author>
    <author>tc={3e7794c7-8091-49b2-a225-00ee97606110}</author>
    <author>tc={3e7a8cf9-8409-41b7-8cd1-2df6d5b28ce1}</author>
    <author>tc={3efc9ab2-8ef8-460c-818b-e279d9c04efe}</author>
    <author>tc={3f0c5dca-1780-470b-a07d-92422fa2468b}</author>
    <author>tc={3f154470-cd50-4a7a-926a-02b4bc56b63e}</author>
    <author>tc={3f2420a5-ca81-46df-9efb-555774094f5e}</author>
    <author>tc={3f42bf85-483f-49cf-a960-be154a97b9e8}</author>
    <author>tc={3f431230-df7b-4365-bdfe-d54d00ae5513}</author>
    <author>tc={3f94eb6b-badb-4fbe-853c-629c8da0a3d1}</author>
    <author>tc={3f976cd4-b73f-4853-ad2a-3e41edbcb9f6}</author>
    <author>tc={3f9c914b-782c-4ea1-8d63-91f502fe0d9d}</author>
    <author>tc={3f9dd424-50aa-4be8-963b-c79e56ef075e}</author>
    <author>tc={3fb5fa31-9aa1-4456-9e68-b747aa25ad54}</author>
    <author>tc={3fb6e7fd-225e-4de2-8d00-550cf66182c3}</author>
    <author>tc={3fc2a19c-40e8-498f-89a2-638f287da31c}</author>
    <author>tc={3fc2b0fb-f14e-47c8-a774-e270ebf35e8f}</author>
    <author>tc={3fc7c64b-a776-46bb-8dca-ad7b53efd919}</author>
    <author>tc={3fc991a3-341b-425c-b11d-c0570316b205}</author>
    <author>tc={4023afd6-231e-4597-9f04-34d2247e28d0}</author>
    <author>tc={40635a25-ede0-4301-ad50-2f44021a4cd4}</author>
    <author>tc={40778668-43df-4d15-9f21-b2bccc9cbc09}</author>
    <author>tc={40a6542c-701a-4061-8d39-964408802b2f}</author>
    <author>tc={40af3151-2708-463c-8dd4-35714b259fee}</author>
    <author>tc={41149b42-775a-4b6e-ae24-ba7e0289df38}</author>
    <author>tc={411654da-5590-42e0-b5ae-dc75e9e707c8}</author>
    <author>tc={4119049d-4d22-4e99-88f3-d97c6ce639a2}</author>
    <author>tc={411a9136-09db-4b24-89cc-d6e9b7dfcded}</author>
    <author>tc={411b6fbc-657c-4ee2-8dd0-fa230693d08b}</author>
    <author>tc={411ee2fb-413a-4553-aa9e-c0b74d743e6f}</author>
    <author>tc={4125fb95-a7d7-477c-8fc6-bcf022b8bd73}</author>
    <author>tc={414e6def-e2ac-4889-b906-740e758ed5b1}</author>
    <author>tc={418f6c38-dea4-4abd-888c-3b4397d2971b}</author>
    <author>tc={41a0b707-c76f-4dfe-ba95-23a1c4aa696e}</author>
    <author>tc={41d257ae-af0f-482f-b66b-7491cac7a239}</author>
    <author>tc={41fb22fd-00a3-4a1c-8be8-9f9aca43baf6}</author>
    <author>tc={420fc89e-8ee8-4482-b9df-23eb99009b58}</author>
    <author>tc={421b6467-d8fd-4b69-ac47-f979a05b47e7}</author>
    <author>tc={4256c1e5-6e15-4716-8101-48d936c2917c}</author>
    <author>tc={425a4746-9ed1-401b-ae35-ddb0db9734e8}</author>
    <author>tc={425e8ce6-e953-4f29-97c9-c540240038d5}</author>
    <author>tc={42790fe8-fba8-484a-9d1c-0629e43a2fb4}</author>
    <author>tc={42816a9b-3cb9-4e45-9e69-7086306f06ee}</author>
    <author>tc={4283def7-2d98-4452-84a7-6c78ef5ac846}</author>
    <author>tc={429c9f27-482c-477f-a925-1c54a0b00da6}</author>
    <author>tc={42bb63c5-acba-4dd1-9712-e0ecb52864ad}</author>
    <author>tc={42d8743f-9f75-4f15-b1d3-03b1111d4d74}</author>
    <author>tc={42e80272-8bf1-47e5-89b9-55971c2511c4}</author>
    <author>tc={42eada08-9094-4920-b314-2b7fbd3b5f2b}</author>
    <author>tc={42ed37ce-987b-4255-b9ad-13d2d7876b37}</author>
    <author>tc={4314c504-3596-4b7c-a261-fc5a89356595}</author>
    <author>tc={431bb418-f3de-469d-9bf9-aca4dc309b15}</author>
    <author>tc={431d141d-47df-4379-b871-14f3ecf372ed}</author>
    <author>tc={431e4070-a918-429a-bcb5-13e3101836e1}</author>
    <author>tc={4320e0bc-a829-41fa-9e18-bc8bcfa29638}</author>
    <author>tc={432508b7-1284-4800-bf6b-28ec244740ec}</author>
    <author>tc={4346502a-c84e-4685-bbd1-d58826f28761}</author>
    <author>tc={434ed068-fb43-4ec8-bd92-c45de89623d5}</author>
    <author>tc={436114c8-35a8-4ad4-b519-7cdb81f2ac54}</author>
    <author>tc={43862c36-d305-4416-ba44-e29b35405822}</author>
    <author>tc={4386f0a2-c0b6-427c-a529-39b57cff0add}</author>
    <author>tc={43967437-c4fa-4bd0-8c18-aa637e825a43}</author>
    <author>tc={439b6dc3-7599-457f-929b-f2a9244fd6aa}</author>
    <author>tc={43d7e595-8905-4c61-803e-5fd6ab3e2260}</author>
    <author>tc={440a149d-ce73-4fb6-aba4-3bb2042dc849}</author>
    <author>tc={4411f209-614a-427a-a5ff-c5cad5a5deb3}</author>
    <author>tc={442b9cc7-e997-4d98-ab0c-56dfae02cf3c}</author>
    <author>tc={44565fb9-4628-40fb-b2c5-c81ec5e50b60}</author>
    <author>tc={446a5a9f-52cb-459f-b95e-bf83bdb830e2}</author>
    <author>tc={449bddfb-48fd-433a-a224-c00858391600}</author>
    <author>tc={44d8c182-31f1-4968-af47-99c8277d9d29}</author>
    <author>tc={44f9effa-4dff-4be1-905a-ea9143654a94}</author>
    <author>tc={44ff7086-1f8f-4da4-be25-d56978477f1b}</author>
    <author>tc={450131db-5876-42ec-be2a-18d0a3487c5d}</author>
    <author>tc={45056a50-8814-4b34-80a5-809467c08457}</author>
    <author>tc={45125419-827e-4ce1-b4e2-9232d70dafbc}</author>
    <author>tc={451e617d-4ded-43e5-b4cd-18a5e13e69d7}</author>
    <author>tc={4552792e-c8c8-4e99-b1d4-eb753fbd7567}</author>
    <author>tc={45715974-6f89-4d1d-8a52-a4b6534add1d}</author>
    <author>tc={458bedd6-2841-4529-b46f-007b0edd0dcf}</author>
    <author>tc={45be1a44-a0fb-484e-82b4-a136fcc0fadf}</author>
    <author>tc={45d8d8f1-fba0-483f-8a98-f5b1698fb1fb}</author>
    <author>tc={4607c169-4da7-407f-b50b-25f4378baef2}</author>
    <author>tc={460ce4c0-5239-4201-bb0c-97111794d90b}</author>
    <author>tc={463ca6a3-e883-4e8e-bf60-4fc5da6c2627}</author>
    <author>tc={464957d4-8aea-4f58-b914-ded19c7e257f}</author>
    <author>tc={4652292b-73d3-4bdd-8d5b-721c60f28082}</author>
    <author>tc={469944cf-8da8-455a-803b-d92dcfaa9f07}</author>
    <author>tc={469bfa48-e21e-40e4-8cd1-e2993305fd27}</author>
    <author>tc={46d81491-714b-4c77-8246-8e8501346536}</author>
    <author>tc={46fd4010-2f80-4145-83e5-fcf6a38caf90}</author>
    <author>tc={4717dad9-ba06-4bc9-b48c-5dacd3cb42a0}</author>
    <author>tc={473d82bb-cc00-4a62-acb7-1907c42821c7}</author>
    <author>tc={474bb012-8349-4680-bf9a-2cc38655c953}</author>
    <author>tc={4764c600-0684-4e26-a6f2-40bd9c5bc275}</author>
    <author>tc={47a8cdf4-1cef-46dc-8519-fcca98b638cc}</author>
    <author>tc={47cc4af1-ea64-4075-a828-d6f731e88897}</author>
    <author>tc={47f15c40-0ebc-433f-89dc-0396f52cb653}</author>
    <author>tc={482a0635-262c-4872-9ede-2f3c8036908f}</author>
    <author>tc={4854c02b-d208-4699-9a0f-619d81cdd1bd}</author>
    <author>tc={486041ce-d39c-41fe-ae6c-60d8435a736b}</author>
    <author>tc={4862bf36-9d42-458a-8611-8fa870d9aff3}</author>
    <author>tc={487381c9-92b7-4d56-b8d3-04a7b10bb709}</author>
    <author>tc={487671d7-1aa9-4c95-a3bc-1e47f24adde1}</author>
    <author>tc={48a85946-30ea-4dec-8326-cbce4d5f8d38}</author>
    <author>tc={48af4296-e65a-4633-a74e-0fa8bc52897a}</author>
    <author>tc={48da4068-1940-432d-8122-5e82b117af93}</author>
    <author>tc={48ee59ab-3ef4-4f66-9f76-6cb183b87f8d}</author>
    <author>tc={48fb742f-312d-4db7-9e75-5694ea01e6c9}</author>
    <author>tc={490c4736-ead5-4a09-af74-b9ce2af4f145}</author>
    <author>tc={491717db-6e1a-4638-b33b-5e3140a95b00}</author>
    <author>tc={4929c1d0-626c-45ca-9681-bfedc5e4a672}</author>
    <author>tc={493f562c-928d-45e8-b26b-a31d2274bc4b}</author>
    <author>tc={495f1958-4128-451c-a795-ca1485f8d158}</author>
    <author>tc={49b14d09-16a7-48ec-997f-800483c2eb90}</author>
    <author>tc={49b3fb4a-685e-4604-9792-494d3ff0248e}</author>
    <author>tc={49ebeec4-9721-4e12-9243-d4872bf44638}</author>
    <author>tc={49ee2869-3fb8-4a08-adf4-97d48ba1b165}</author>
    <author>tc={49f329f7-2035-487e-8a50-ab3b2bb3082e}</author>
    <author>tc={49f67cc8-a86c-429d-9346-fd05f4a14c1c}</author>
    <author>tc={4a034aeb-1d8e-4065-b255-ba3072a08e59}</author>
    <author>tc={4a0a1e65-726b-406a-8e92-471d0a662edc}</author>
    <author>tc={4a32659a-a238-49f8-8514-c9d6eb0eb301}</author>
    <author>tc={4a396268-f163-46df-87a0-6c5317e14d3c}</author>
    <author>tc={4a3f51a5-457b-4487-9f08-7ce0951d3af4}</author>
    <author>tc={4a430ac6-e213-4a59-8e59-054b976a45aa}</author>
    <author>tc={4a46cc2d-269d-4534-b2c5-0c8ee9f6afa7}</author>
    <author>tc={4a5417ca-8227-4173-b2a3-850a55b0be96}</author>
    <author>tc={4a7ae0c3-97d0-4685-932a-103e2fb09617}</author>
    <author>tc={4ad53434-b1de-4d85-9f6b-62963522f671}</author>
    <author>tc={4afe8f3e-86d9-46f8-8f68-b799002e75b8}</author>
    <author>tc={4b0858ca-e1db-4f2a-b25e-a435f4891fec}</author>
    <author>tc={4b1cc4f6-62a1-43c7-a8c1-6036b1c3bd89}</author>
    <author>tc={4b1d2b11-52b5-43b1-a3ef-12f6fd8c0b1d}</author>
    <author>tc={4b38ae35-2b19-43df-995b-c3e5310762d5}</author>
    <author>tc={4b3af3e8-8c16-41d3-9c86-3a21692379a4}</author>
    <author>tc={4b468a6c-732d-4dde-8d1c-657d4bfa9d10}</author>
    <author>tc={4b48ddd0-f03a-4eba-a06e-afd7520601db}</author>
    <author>tc={4b594a34-c069-43fc-aeb4-9b994ca1244b}</author>
    <author>tc={4b8387fb-1805-4d88-b161-fcb7c1912a87}</author>
    <author>tc={4b8babaf-2b33-4670-9e11-49361c6c7087}</author>
    <author>tc={4ba9228b-6f3d-4c70-aedd-3e883482e23d}</author>
    <author>tc={4bbd1f09-7486-4e9e-bae6-18ab82b75482}</author>
    <author>tc={4c06cf82-4112-4cf8-8643-a90090c282d0}</author>
    <author>tc={4c177b80-03fa-4931-bf46-46da89746b74}</author>
    <author>tc={4c225cb9-180b-425c-9a0c-e25b8df51ae0}</author>
    <author>tc={4c41ae29-bf7f-4d5b-b471-7316c5f6b2a9}</author>
    <author>tc={4c5e1aaf-300a-4908-86eb-6145e8eb1d49}</author>
    <author>tc={4c88e5a9-5d54-432a-bcff-d3ed17bbe306}</author>
    <author>tc={4ca621c7-4e50-46ae-9688-3378c07f4376}</author>
    <author>tc={4cb7d367-f666-4c34-a3f7-c0a1315640b1}</author>
    <author>tc={4cd16666-2fac-4c85-b02c-c2300531f355}</author>
    <author>tc={4cd6bcbc-8061-4880-b29f-153e0e26e4a3}</author>
    <author>tc={4ce355c0-fb8f-4e27-bf3e-87322e9a5c6c}</author>
    <author>tc={4cf8d211-876d-448a-9ea2-8329bb283af2}</author>
    <author>tc={4cf9e3c4-f6e0-4847-a776-f92f88091040}</author>
    <author>tc={4d14d2bf-40dd-4616-b1f9-4d94ab6ebfec}</author>
    <author>tc={4d15e855-f0ed-4c85-b4ea-8f7d95eef75e}</author>
    <author>tc={4d232764-9b18-4516-93ab-fe63bd1a5d3d}</author>
    <author>tc={4d5cacc7-45a1-4c28-90e2-8a15084e3c50}</author>
    <author>tc={4d5e1568-06b2-480b-b88b-4090a1e4653c}</author>
    <author>tc={4da3b242-601e-4c0a-b9a8-cf7ed7d28b67}</author>
    <author>tc={4db414f9-e654-4011-a9e5-03fc1e918aee}</author>
    <author>tc={4db6778e-a70f-4146-87c6-8cc28e70da52}</author>
    <author>tc={4dc76392-7aa3-4a82-a75b-16a71dcea0ce}</author>
    <author>tc={4ddd5cef-dabc-4217-904d-bf58aa1bf379}</author>
    <author>tc={4e132b34-9506-451f-99fe-2954dd7f5377}</author>
    <author>tc={4e299a32-d1d9-4a5f-aba5-dfc5b2a94683}</author>
    <author>tc={4e45d131-85a7-4fb0-8e67-6a774b307149}</author>
    <author>tc={4e4cc42b-43e7-46da-b30b-2f2c1e01648c}</author>
    <author>tc={4e598b45-8617-41f6-8532-bf53dfabff1a}</author>
    <author>tc={4e682ac6-180e-48e5-b450-cef6a765ca45}</author>
    <author>tc={4ea5ed2d-f494-40ee-900f-3abd25667832}</author>
    <author>tc={4eb823b1-ed0f-4085-9574-7e23c81a8655}</author>
    <author>tc={4ec19175-729c-424a-8a3c-e3031be51eb9}</author>
    <author>tc={4ee29bae-83e1-411a-913a-3cb85d3db654}</author>
    <author>tc={4efe7f25-4ec0-46b4-8e51-653a813bc27c}</author>
    <author>tc={4f06b488-8252-44e5-b368-4004784f8170}</author>
    <author>tc={4f0ae0e8-5ac8-42a6-b5af-b9561ffe43c7}</author>
    <author>tc={4f277f71-2669-4415-9475-2e521e352531}</author>
    <author>tc={4f437153-8929-41c1-9c33-79c1097d75f7}</author>
    <author>tc={4f440256-9d5e-4505-b491-0e3f6f7bd4ff}</author>
    <author>tc={4f489948-c8dc-4253-b97d-199ada4bf5b7}</author>
    <author>tc={4f8ea793-7a79-4b9c-8233-a77845738871}</author>
    <author>tc={4f9afb20-4bbc-4f6d-9f4b-258ecff7ae5c}</author>
    <author>tc={4fb14d19-07a2-43de-878b-4465985b35ea}</author>
    <author>tc={4fc78729-5976-4c92-af38-11b193d06d50}</author>
    <author>tc={4fd93ca8-9b28-4b73-96fe-f7287660e9a8}</author>
    <author>tc={4ff190f9-a513-430e-b96a-4550fcbeea3d}</author>
    <author>tc={4ff78b62-1812-4b00-b0df-e007f14c9527}</author>
    <author>tc={5003c9b7-146c-45f1-bf01-cd9fb08d550e}</author>
    <author>tc={501661c4-c3f8-4c1c-9f94-e797931a7a80}</author>
    <author>tc={5025ce46-5642-44c6-8230-95afb80cdc1b}</author>
    <author>tc={5042c1c9-6419-49f4-bb0d-740d95d9ba16}</author>
    <author>tc={505181aa-f51b-4f6d-91b2-7a0568b0f766}</author>
    <author>tc={508130f4-de7c-4cf7-a3ba-a1180e3ab334}</author>
    <author>tc={50b3a1d5-fbdc-4a30-a698-23c27dbdf0d6}</author>
    <author>tc={50c0f792-842d-4575-9f68-d0095f4a5510}</author>
    <author>tc={50ceb176-87bc-4e7d-acc7-1b7cea564d7b}</author>
    <author>tc={50ed4ae9-1135-43d3-ad1e-b6e782bd7bda}</author>
    <author>tc={510002cf-7e46-4083-be9c-cf02528ff149}</author>
    <author>tc={51002954-8c9c-4262-aaa5-c0110eccf068}</author>
    <author>tc={5109edaf-f216-426c-b133-b0837d3908d2}</author>
    <author>tc={511f0668-10bf-4512-9518-c16b982c5557}</author>
    <author>tc={513ec1c6-1a99-453b-8934-74dd436896c4}</author>
    <author>tc={5152c909-2dc5-4705-b05d-f6ce6064f5fa}</author>
    <author>tc={515a6bf0-c916-49ce-9845-4972f9cf1e1d}</author>
    <author>tc={51786da7-60d6-4cc4-a31a-65d1bb3999b3}</author>
    <author>tc={51885dcc-61ee-4703-81d3-28840af8ff79}</author>
    <author>tc={518d9c86-5e6b-471f-ac40-b664b1ec3cc2}</author>
    <author>tc={51ae4cfb-faee-4ef3-8e3d-475ae89e4746}</author>
    <author>tc={51c0afd5-e823-44ef-b415-771c607183a0}</author>
    <author>tc={51ed271a-11c2-4193-9dd6-92bbd5c3e22b}</author>
    <author>tc={51eee901-eeaf-4726-b1ee-c8fb2500bb5f}</author>
    <author>tc={523d244a-1d72-46b0-8ba3-fa940668fa8e}</author>
    <author>tc={523d4a5c-c5e2-459f-ae6d-77fc90dabcfd}</author>
    <author>tc={524cbda4-c477-4484-98da-fb42ebb8a296}</author>
    <author>tc={524ef0c5-380e-4c9c-a3dd-73cb6209f90f}</author>
    <author>tc={5285e531-330a-4dcb-897f-e4fd4643f647}</author>
    <author>tc={528ba728-0526-46e4-a104-8863a84a48c3}</author>
    <author>tc={52ace6b0-05e9-4872-a781-f16c12e1a805}</author>
    <author>tc={52d0c795-d003-48d1-b626-42c2589e8fd2}</author>
    <author>tc={52d6fb60-5c6d-4106-88ee-9e7accbd5402}</author>
    <author>tc={52f085e0-120f-440b-854a-5b14a2deccaa}</author>
    <author>tc={53176bd7-5a6e-40c9-b1cf-0fe46196624d}</author>
    <author>tc={531c186f-f9f3-40a7-8200-2d91669d533c}</author>
    <author>tc={53545a6f-6ddd-4882-a1fa-5573bad3aaf3}</author>
    <author>tc={535ef6ed-d4a1-4595-b192-39bce10490ba}</author>
    <author>tc={53a4fbb0-6986-442b-b816-3b2a4789106c}</author>
    <author>tc={53bf878f-a5ea-4e66-8fbc-0ae72597576a}</author>
    <author>tc={53c48ddc-17a3-4687-87a6-3ecb0e89b362}</author>
    <author>tc={53d08841-f853-4501-a05b-b9a8215b2408}</author>
    <author>tc={53e2cf8a-4831-46ab-bc65-64e9609e22a7}</author>
    <author>tc={53f5f38c-7375-410c-ac19-c7cdf3318af3}</author>
    <author>tc={545babb1-b1be-4f1f-b937-1bbc40ab0413}</author>
    <author>tc={545dded4-0958-4c91-93b8-a941ae358ecc}</author>
    <author>tc={547a2696-4668-4c35-9d36-289ea176ed70}</author>
    <author>tc={5486e13e-336e-4454-907f-c96718625391}</author>
    <author>tc={54933187-e86c-4681-9f99-323f91ead9bf}</author>
    <author>tc={54a44072-5a2a-43af-aad9-2e7a2fba1d9b}</author>
    <author>tc={54a8c5da-3ec3-482d-a0f4-2cb91b041bd6}</author>
    <author>tc={54e15c94-1365-432f-9f33-a2f644ff7333}</author>
    <author>tc={54e3c34a-b384-465d-b31e-04bf683fd9da}</author>
    <author>tc={54ee5079-8a31-47b9-a666-b9ea7971dea7}</author>
    <author>tc={54fbd59c-ae50-480e-b62e-da8729d237c1}</author>
    <author>tc={55096e12-df79-4065-9eb8-b6eb90ed6b18}</author>
    <author>tc={5518ff28-e447-4f00-90a1-56e12edff44b}</author>
    <author>tc={55254315-9101-4c08-bcc5-33ac3eca0067}</author>
    <author>tc={55343703-fc5a-4b25-9721-f1ed54db2221}</author>
    <author>tc={557519fe-c2bb-40fb-8549-b5df2555bcee}</author>
    <author>tc={558353cc-49eb-4c11-953a-92de5fc8b141}</author>
    <author>tc={55a1ab1a-2bbf-4fa1-8e63-b8de06881a58}</author>
    <author>tc={55b0c8f5-a921-42b4-b324-52f6ad186c9c}</author>
    <author>tc={55daec32-b5c3-4e86-8a6b-3b08cc5564f6}</author>
    <author>tc={561f4a77-8d00-474b-8090-4974cbfb5bde}</author>
    <author>tc={5640b008-ca4c-4252-a0e2-2cf65edc2e72}</author>
    <author>tc={5649781e-5d39-4cc1-8103-49dc7561ec0a}</author>
    <author>tc={5679d136-806f-44bc-b0fb-4eb0d4044e14}</author>
    <author>tc={568af988-ebf2-4ea9-8de6-5c6f63699e66}</author>
    <author>tc={56980ee7-fd12-4797-b368-278e0046eb7e}</author>
    <author>tc={56a30074-3dee-4d98-861f-aa436e4bbee6}</author>
    <author>tc={56ffb119-fe44-4252-a537-0fe48752d25c}</author>
    <author>tc={571fdeb1-6952-47f6-ae2e-c4332c78ea7a}</author>
    <author>tc={572adedc-7207-44ec-8210-124a70f41550}</author>
    <author>tc={572dcb3b-6682-4ade-a101-f831d7584eb8}</author>
    <author>tc={573d7c87-77a9-4f2c-a706-3f57557b5b90}</author>
    <author>tc={57445904-bd22-4356-89eb-49be0ecb44d4}</author>
    <author>tc={5746e6a7-090f-4d04-8cb0-f71995f3f14e}</author>
    <author>tc={5754f9ca-6519-4996-85b4-69d6a6c4c66b}</author>
    <author>tc={5776bb15-c37a-47bc-b7c8-64944116f8e6}</author>
    <author>tc={579ae201-b4ae-4306-92bc-67637681ab70}</author>
    <author>tc={57accd67-cdb2-4553-baf3-9cbb753da6fa}</author>
    <author>tc={57b8e23e-e7e4-4a94-b9d3-e6d5880a2487}</author>
    <author>tc={57bd7234-a93b-4ca1-9ac5-abecc5ec650e}</author>
    <author>tc={57ea628c-f0ea-484e-bfe9-35216189c8a6}</author>
    <author>tc={57f0075a-511f-43ff-97a8-31a3a4fc3c7f}</author>
    <author>tc={57fa8ae9-37b4-4181-8c3a-636dfc8e868c}</author>
    <author>tc={583013fd-f539-4998-944a-c64fc4d7cf80}</author>
    <author>tc={5834735b-bdbe-45ee-8be3-51fe870bc9be}</author>
    <author>tc={584a24bf-30be-4165-b771-79971868e96c}</author>
    <author>tc={5866db35-7b38-4e0f-b5dc-fbfe51964073}</author>
    <author>tc={586ae4bb-57db-44f0-99a3-14af03c45d68}</author>
    <author>tc={586f45c8-3928-408d-baa5-f0c3aafc151f}</author>
    <author>tc={5886bcc8-eaf8-4293-acf1-f8a4f963efbf}</author>
    <author>tc={58907aa5-c587-4476-9ee1-0806114d30b2}</author>
    <author>tc={58c0ce31-7034-492c-ab6b-2174232ba508}</author>
    <author>tc={58cab6a4-d716-4a2f-9bd1-63b3f11dec0f}</author>
    <author>tc={58db5806-f817-4382-a5b0-d7023eb5bc18}</author>
    <author>tc={58e11ce5-a6e4-4832-a82c-8e2d2bca5ac4}</author>
    <author>tc={590e6cdc-743c-46ff-82ad-869639d8c801}</author>
    <author>tc={59b545c1-c488-4c73-851b-bd982e10edd9}</author>
    <author>tc={59bb5f55-8f2f-4668-b618-4343bb73ffa2}</author>
    <author>tc={59c17503-18b3-4334-b9aa-5eaadad5d73e}</author>
    <author>tc={59e6fbb2-6c2d-410a-a223-fc88c7f52cbc}</author>
    <author>tc={59e74485-0a02-4ecc-89b8-5df35620e8fd}</author>
    <author>tc={59eb40da-c365-4962-a9ac-2506a5c1e2da}</author>
    <author>tc={59f37267-2c58-4613-ae49-8e228e5f2a75}</author>
    <author>tc={59f97e81-e9ed-4852-abe0-01bc6f7bec19}</author>
    <author>tc={5a0eeb08-aca0-42e3-b8d5-e4180d393708}</author>
    <author>tc={5a1096ee-8f9b-40bc-9b8b-c02887218771}</author>
    <author>tc={5a2400d3-0331-449c-acef-9341ccefba60}</author>
    <author>tc={5a277660-d1ba-4322-b729-6fe10cd11cd3}</author>
    <author>tc={5a469a80-f847-45d9-9d3d-b4a4e85d63fb}</author>
    <author>tc={5a4a3de4-e2a1-41c4-a3df-0dd3d20e15bd}</author>
    <author>tc={5a4def72-3d4d-4231-b8aa-6926e5399a22}</author>
    <author>tc={5a79a45f-9855-43d7-a231-3cece64e1ab1}</author>
    <author>tc={5a7da7c6-56a6-44f3-9e44-0eea0e96af52}</author>
    <author>tc={5aa14d93-78fe-4139-a55b-d40d8f312ff0}</author>
    <author>tc={5ab181d3-9248-49f1-92e0-80bfc203b1d0}</author>
    <author>tc={5ab374f4-4dc1-4203-8e79-5ccdd1b646a8}</author>
    <author>tc={5acb8184-f707-49ab-9048-5d3e1087f9ed}</author>
    <author>tc={5af54355-9385-48d5-bfe1-f1b4d26e6183}</author>
    <author>tc={5af84e53-3ac5-4af1-9abe-3ce70afa02d5}</author>
    <author>tc={5afe79ee-71f2-4d9d-868a-670e909a7e87}</author>
    <author>tc={5b0f5ad8-a9cf-4ae7-898a-32962f63baea}</author>
    <author>tc={5b147609-47ce-48ae-a6ff-59dbc43bb653}</author>
    <author>tc={5b406b84-01b7-4180-a7aa-5135f837d86b}</author>
    <author>tc={5b6bd7c8-72df-473b-9d7e-0da1fac4fdbb}</author>
    <author>tc={5b72c11a-c28b-454c-8696-c4d358a9a17e}</author>
    <author>tc={5b7bad35-8873-4520-b009-b45dac17e01c}</author>
    <author>tc={5b83644d-a86a-4d51-98de-7f164e881e04}</author>
    <author>tc={5bc2cbb0-920a-4de7-a7e2-beb1e795d9ca}</author>
    <author>tc={5c139ddb-8962-4dbe-a815-905dd9e92344}</author>
    <author>tc={5c48f021-5454-473f-85d2-dc26adf2d8ba}</author>
    <author>tc={5c4b4653-d7fb-43da-aa4a-f5a51f7f9576}</author>
    <author>tc={5c58c2c2-f380-44c9-b313-2578f0e71e77}</author>
    <author>tc={5c6d64fe-7871-45f9-816e-77706fe76373}</author>
    <author>tc={5c7a8cd9-2d96-424c-9b74-7e69a74c84fc}</author>
    <author>tc={5ce60dbc-7243-4545-8abd-d906342ebe06}</author>
    <author>tc={5d21bf40-858f-4941-8597-a821ea36ee0f}</author>
    <author>tc={5d2a168c-5479-48da-8838-398293c6367b}</author>
    <author>tc={5d39009f-e860-4c26-8009-228b133d5a7b}</author>
    <author>tc={5d594599-b91a-4d92-b3ef-ae712f175eaa}</author>
    <author>tc={5d60754a-058c-4a83-88c9-dde4ab671d53}</author>
    <author>tc={5db0b754-86fe-4d7f-a8f4-2c7b4b588e6a}</author>
    <author>tc={5dc46af9-dff2-48b9-92ba-ede5d93847fa}</author>
    <author>tc={5de1160d-8b68-493b-9695-a48b1988f8bb}</author>
    <author>tc={5e3282ea-4e3c-4a69-b5fd-8b99be1c9ab3}</author>
    <author>tc={5e5ddeb8-9bee-4847-9e54-934d0343ec32}</author>
    <author>tc={5e745fcc-6e52-400a-96f8-fce21e7cb50a}</author>
    <author>tc={5e78c3d2-6d4e-4c62-83c7-6b9ef73a90a5}</author>
    <author>tc={5ea90065-c5e2-442e-8ec9-bcd8190d9789}</author>
    <author>tc={5eac47db-feba-4990-8230-1b4d139b645c}</author>
    <author>tc={5ead03e0-2c9f-4279-a22b-fcaf38041415}</author>
    <author>tc={5ebe9d10-4ad7-46c1-8bfe-d062b3285331}</author>
    <author>tc={5ed791eb-0212-40a9-9026-f20f8e597bb2}</author>
    <author>tc={5ee8844f-86b8-423e-860c-327a873cfd54}</author>
    <author>tc={5f1bda04-58f8-4bff-92b9-64d3b763c918}</author>
    <author>tc={5f2f4a22-71f8-460e-b89d-6812f4b5ff45}</author>
    <author>tc={5f4eb53f-f22a-48e7-a48a-0f03b040de08}</author>
    <author>tc={5f513e08-8e55-4564-ae86-d2a3879dc6de}</author>
    <author>tc={5f515163-8879-4041-8044-3ba9db7cc578}</author>
    <author>tc={5f597e53-d5a6-48ec-8dfe-73116883e6c1}</author>
    <author>tc={5f87d1b1-c0ba-41e5-85aa-758dc53a75e7}</author>
    <author>tc={5fa7fb58-196e-4863-a7c3-3aed3dd0c169}</author>
    <author>tc={5fbdefba-470c-416b-ae8b-9bc224baba3d}</author>
    <author>tc={5fdf8617-886f-4816-b36c-419f6bef6ab2}</author>
    <author>tc={5fe6e9b1-2d74-4ea3-ada1-b5b17129ea44}</author>
    <author>tc={5fed8d2e-9aa7-4600-beb0-2b7f08ff46b0}</author>
    <author>tc={6005f0f8-be04-4473-8263-a234a8687aaf}</author>
    <author>tc={60252079-62ec-4b2b-8071-10f2e68718b3}</author>
    <author>tc={60273c66-6358-44c0-a67b-86bb320bc80c}</author>
    <author>tc={603e4b2b-eb02-4d02-9aa9-df3bab7289b2}</author>
    <author>tc={6053f411-169c-48fc-a5c7-1af18241eea6}</author>
    <author>tc={6066dbcb-60f7-424c-9818-2f0611000372}</author>
    <author>tc={6072e669-bf82-4d9f-858c-c037f943fcbe}</author>
    <author>tc={6078d042-a579-4d4d-9b2b-d07b95ecba75}</author>
    <author>tc={6086b14d-63d2-4486-b4f8-6a101bb301b4}</author>
    <author>tc={60c9b9a9-c3cc-43fa-b7b5-740e0876a1c9}</author>
    <author>tc={60ebb8b1-a0a0-4b4a-b745-e1e1ee0405f3}</author>
    <author>tc={60f14544-33d8-42d4-8336-c58dd9ec9b0f}</author>
    <author>tc={60ffda2a-5d03-4711-b8b7-0f6dd7430a32}</author>
    <author>tc={61038fd7-e61c-4464-bf2d-0ee9d691ed54}</author>
    <author>tc={611757e6-201e-4c02-92f6-984ae37e622f}</author>
    <author>tc={612eb725-ef34-43b5-a9bc-ab1c6b87be1d}</author>
    <author>tc={6138beac-a32f-49ea-abca-df8cb3ff3675}</author>
    <author>tc={6139a2e5-64cc-4929-b365-54591df852e0}</author>
    <author>tc={613f1ae2-f462-48ec-a7c6-788dd5eb4638}</author>
    <author>tc={619ff9d4-e9da-41b5-956a-64a3a59ecca3}</author>
    <author>tc={61d6d5c7-b6bc-4007-b851-a613bda1016c}</author>
    <author>tc={61daa25e-3482-4689-bd43-b516135063a5}</author>
    <author>tc={61f3511c-72db-407d-81d5-af5edf758c04}</author>
    <author>tc={61f7433a-ee0c-45b8-8be6-e4921b584604}</author>
    <author>tc={623d4c16-8eab-40b3-b00b-83cae45e15a0}</author>
    <author>tc={624b70b0-429a-4748-ae58-2f13433b19c4}</author>
    <author>tc={6259ee58-0863-47b2-85f9-49671935db9e}</author>
    <author>tc={626ddf8e-e4c5-498e-b6cc-508c4450514f}</author>
    <author>tc={6271592f-da85-488b-a79d-4125a414ab47}</author>
    <author>tc={6296c4a7-4fe7-4167-a633-f1ff96096447}</author>
    <author>tc={629e493b-3033-4b91-a88c-68cd743e1720}</author>
    <author>tc={62a69893-8df4-4ee2-bdaa-e0c97aa940f3}</author>
    <author>tc={62ab4559-21e4-4953-a4a6-1802106ac86c}</author>
    <author>tc={62cc8b99-a88d-49d6-a66a-23669741bbb8}</author>
    <author>tc={62ea8905-11bd-42a0-a357-0c68135469e5}</author>
    <author>tc={63089917-4f80-4d01-a91e-1db31a2a245c}</author>
    <author>tc={6309c8bd-f972-40b4-a932-026195e5b345}</author>
    <author>tc={6309fe7b-a586-4460-9b6f-08751adf344e}</author>
    <author>tc={630b3c89-f13c-4c68-8bb8-72f799a860c4}</author>
    <author>tc={63319ee5-9ea2-4800-8706-2e689d01d51a}</author>
    <author>tc={63403e66-9833-469e-a33c-01c59c8d3366}</author>
    <author>tc={635cfd28-e666-4c97-a15c-568fea839e20}</author>
    <author>tc={636078b1-e047-4312-a835-79e1628cb2ee}</author>
    <author>tc={6361f10c-30de-4853-96db-8ed96972e808}</author>
    <author>tc={63684d3d-28f6-4387-be07-4d3bf6cebb1f}</author>
    <author>tc={63a768f7-2d2c-4391-93aa-132b51b4c995}</author>
    <author>tc={63b0b3d4-ae58-4888-9982-2404559e5e17}</author>
    <author>tc={63bcf1dc-0018-4565-b78e-68ce4e226bf7}</author>
    <author>tc={63db089c-02ff-43c2-bfed-38e3ae6f4bb5}</author>
    <author>tc={63f070cc-0de6-4613-a95b-0679b542b1f6}</author>
    <author>tc={63f2449e-0cd1-4907-9869-01c809493c20}</author>
    <author>tc={640080a4-0ab2-473a-8bdb-6f0ff789db01}</author>
    <author>tc={6470d932-42c1-4933-948c-1e68d6200dbb}</author>
    <author>tc={6483150e-f479-460d-8664-47f12d3e4467}</author>
    <author>tc={64899382-e3f7-4527-9a7f-6f2f5d2edd25}</author>
    <author>tc={64a46af3-c3f6-4a24-b1b7-4c8938dd5767}</author>
    <author>tc={64c55d3b-18f4-43d7-b396-857b9a17a8b5}</author>
    <author>tc={64d48ed7-9e03-43ed-95fb-429077f97964}</author>
    <author>tc={64db7ae6-5381-45da-8c45-d9dbdeb4bd4f}</author>
    <author>tc={64e25507-cb60-44d6-86c1-82953d33d604}</author>
    <author>tc={64edd04a-3039-49ba-8a95-229b1fcafae1}</author>
    <author>tc={64f00cea-04ba-4394-841e-bb63b1858733}</author>
    <author>tc={64f8cf80-ba77-41bb-88b5-6459e739debf}</author>
    <author>tc={64f9829d-db4e-40c9-8b01-3dc009ce2105}</author>
    <author>tc={64fd3f21-c218-4fca-8a68-74052614433e}</author>
    <author>tc={650e3668-42c3-4089-9ce0-3e6869de770f}</author>
    <author>tc={65193ddd-ca0c-483f-9a7c-a38282e7eb1b}</author>
    <author>tc={65198d98-a7c9-493f-a42c-95cd8e371b99}</author>
    <author>tc={65327dfd-d7d4-4e5d-8e60-ca65f7fe1150}</author>
    <author>tc={6549029f-59b8-480f-a4ee-bbf4a49cc5b3}</author>
    <author>tc={65633110-1bb5-4f5d-ade7-3313c4b8f7f4}</author>
    <author>tc={6564bc41-1ad0-46fc-a183-598c73b8abb2}</author>
    <author>tc={657dbcfa-3406-4411-a328-b25dbbf9604d}</author>
    <author>tc={657ebe34-bf94-4171-b7da-987963c6f72a}</author>
    <author>tc={65824f0f-06a4-4c7c-aeda-b08e6df0b3f3}</author>
    <author>tc={6585a731-b350-4961-978e-960145ab20a9}</author>
    <author>tc={658aa5fe-b4e6-4be4-8715-f997037f49ed}</author>
    <author>tc={65980463-9eac-4b56-a3f7-46a42dae5721}</author>
    <author>tc={659b0dd6-2d79-48f9-9efc-6937280096da}</author>
    <author>tc={65b0ca49-b2a0-4796-9208-27e0278e335d}</author>
    <author>tc={6602f0b1-1c59-4595-b57f-f381448a2302}</author>
    <author>tc={660bc1c7-d84d-4d74-a0af-a6fff1199158}</author>
    <author>tc={660f8d77-1747-477e-a140-f5f4b0783122}</author>
    <author>tc={661977d0-858d-46ee-a6f4-979c969f78c5}</author>
    <author>tc={661ee009-c5d4-4274-99d6-cbd74360fd5c}</author>
    <author>tc={665804af-4a1c-4632-9a40-12eb42286c0c}</author>
    <author>tc={665e25ae-8fe1-4af9-9ba5-4c9612430fce}</author>
    <author>tc={666b563c-6a34-4189-9676-e75057ec3c8a}</author>
    <author>tc={6674c591-302c-489b-b7f9-f8079977682e}</author>
    <author>tc={66877c61-4896-466e-8417-348bb4833dac}</author>
    <author>tc={66a60304-b02c-43e8-b9f8-095d00a4eca3}</author>
    <author>tc={66e46336-bb6a-49ff-b874-d43467bab41e}</author>
    <author>tc={66e5404f-6516-4d1e-bfad-57fcdaeda80b}</author>
    <author>tc={66e6e584-993b-4f96-abdd-993d6d608411}</author>
    <author>tc={66f167d7-3028-497c-9dac-982ffe2d1ce2}</author>
    <author>tc={67075927-fedf-41c4-b379-3ab209520019}</author>
    <author>tc={670e2665-c04f-4ace-9cbc-46cd7c604506}</author>
    <author>tc={67360f19-10e5-4657-884c-fb77c669c349}</author>
    <author>tc={6751868e-5894-4d05-8f18-3787b6bf66f3}</author>
    <author>tc={6763338d-f111-4818-8972-84dd0d373ffc}</author>
    <author>tc={676e1bc4-41e5-43c5-b905-968eb0816657}</author>
    <author>tc={6775b43d-2dff-414e-8939-06d6216a9383}</author>
    <author>tc={677619e2-5af6-4d03-a47f-5c4780a36602}</author>
    <author>tc={67857fa0-3ffc-4fdd-9d6d-15542e56c1d7}</author>
    <author>tc={67aa7c9d-bee1-4b80-a973-7356d2d5c33c}</author>
    <author>tc={67ded018-88fa-4ede-bcf0-e3b0eb031778}</author>
    <author>tc={67e1059b-02d1-499e-997e-e5b63feef5ae}</author>
    <author>tc={67e5e701-4b67-4d41-981c-d781d8398af7}</author>
    <author>tc={67f01871-50bb-4c62-84b9-ee6793b12062}</author>
    <author>tc={67fbbf64-0c8f-4dd9-b7a4-4cb8cde577fd}</author>
    <author>tc={6811f773-a15f-4f9d-9a15-45abe635eea9}</author>
    <author>tc={683470cb-de94-40a5-b996-426ccc018e63}</author>
    <author>tc={68353871-0833-420c-862c-aee481aaee86}</author>
    <author>tc={68579d90-0cb1-4314-b9b5-d7c17666f812}</author>
    <author>tc={68755b64-c2f2-484d-bcd4-9d4cf2dde6c1}</author>
    <author>tc={6877e3ed-3611-49e2-9ec6-37103b4456e7}</author>
    <author>tc={687851fa-e389-42d1-9cf3-95a0779814aa}</author>
    <author>tc={68b87920-a577-4b2e-918d-4753c26144cb}</author>
    <author>tc={68f3af38-90bb-420d-84af-46a3a9325546}</author>
    <author>tc={690161eb-affd-4dcc-8ecb-5bb6fd13334b}</author>
    <author>tc={690a0607-5309-4f08-b69b-decf8735666e}</author>
    <author>tc={6944ec88-fbcf-4663-bd92-19c759ac3456}</author>
    <author>tc={697151ea-01a4-49c3-9f00-7e25aab58c41}</author>
    <author>tc={698a6fec-d86e-467b-b7d5-37a58cae10cb}</author>
    <author>tc={69949b73-6d21-4add-a7ef-e45554b27db8}</author>
    <author>tc={699d8de0-5a5f-486d-bb1e-5205929b9cce}</author>
    <author>tc={699e90e6-33da-4fa9-b98c-83767f5165c5}</author>
    <author>tc={69ad8135-92cc-45c9-ac73-62e233119cab}</author>
    <author>tc={69ef0393-45fa-4728-8815-d2eb92cc498c}</author>
    <author>tc={6a1c90f5-9f91-4e51-8821-ee1aa85adede}</author>
    <author>tc={6a1f49e2-8d90-46a0-a4dc-1902c10233cd}</author>
    <author>tc={6a21ced1-7b29-4632-9981-35a8f0d48aa0}</author>
    <author>tc={6a33e23e-e8fc-48b4-a617-d3bcf1fe8132}</author>
    <author>tc={6a46f720-3036-486a-8ec6-3ddc9c15d222}</author>
    <author>tc={6a529b83-6cf3-4ac1-bee4-e4edbdf4783d}</author>
    <author>tc={6a61e0e4-ef40-412b-8835-e2e416eeb223}</author>
    <author>tc={6a6e5671-fc8d-47e6-ac8c-d721d96fe5c3}</author>
    <author>tc={6a6f82e0-e14f-46fe-8a30-395b33d0c856}</author>
    <author>tc={6a8fb394-4d15-4e32-b507-e4e2d13bc467}</author>
    <author>tc={6a908fdc-5150-4a05-861c-c5f927963f13}</author>
    <author>tc={6a993c27-5e0e-4da6-9d4b-6e0bcab53001}</author>
    <author>tc={6aa30e5e-805d-45c4-b96f-b994a1e9b9f2}</author>
    <author>tc={6ac44e37-ebd4-4c4b-bc21-540f1ab5a883}</author>
    <author>tc={6ac5095e-a7ff-4b8d-8ec9-eaee7d6b8d09}</author>
    <author>tc={6ac6a1db-1c00-4ff9-b6ee-3025fc2af5cf}</author>
    <author>tc={6ac6a8fb-4b06-4c9e-976b-002c6282be02}</author>
    <author>tc={6afe18a3-0eaf-45b5-ac3e-942f92e8a3a5}</author>
    <author>tc={6b0be50f-1030-41cf-889b-5269a4741fdf}</author>
    <author>tc={6b0f61d5-8631-4cf0-b2c6-b2bc19208bd0}</author>
    <author>tc={6b15cc00-ee26-4730-8633-4f75122b5c43}</author>
    <author>tc={6b242fa7-53c2-46a6-9d4c-5589ecadc06d}</author>
    <author>tc={6b4adbdd-c99b-4444-9c87-4c7995d239fe}</author>
    <author>tc={6b5299ac-c31d-43c5-8856-4585abf0267a}</author>
    <author>tc={6b576446-a485-44d6-9882-a8a50af5c39f}</author>
    <author>tc={6b6bc686-971d-48dd-b5c7-f8ecea96e669}</author>
    <author>tc={6b73c36d-03fa-47e5-a33c-eff93d73f5ce}</author>
    <author>tc={6b804bf4-52c1-479e-b633-8ac5e78d3d9c}</author>
    <author>tc={6b84d865-4992-44df-9da3-a9ca4e7056d2}</author>
    <author>tc={6ba6877b-518c-475c-b6c4-138102ab46f8}</author>
    <author>tc={6baad6ea-8903-4ff4-b8ae-5033acd6eb2d}</author>
    <author>tc={6bff6307-e0fd-4d3e-be4a-4ff4f34485da}</author>
    <author>tc={6c05b1d8-a995-4712-af86-1b1a5390dec9}</author>
    <author>tc={6c199e69-406b-4457-a370-76b4897508aa}</author>
    <author>tc={6c22d57b-828c-4b82-9c81-bdcbe9af8bab}</author>
    <author>tc={6c6a76bd-9da6-45bc-a897-cf41dba2591b}</author>
    <author>tc={6c755545-38ea-406d-9aad-b824a92989b9}</author>
    <author>tc={6c89f29a-b1db-4bc4-a23e-f557cdbc551b}</author>
    <author>tc={6c9a4f82-e87f-47dd-b227-4169cb464a52}</author>
    <author>tc={6ca9661c-a0e8-4c62-829a-651236523585}</author>
    <author>tc={6cc0bca4-59cc-468b-869b-641bc855039c}</author>
    <author>tc={6d19f92e-b58c-4857-beb2-d36e7ad6fa01}</author>
    <author>tc={6d28fb18-7af4-4306-a461-5357377026f0}</author>
    <author>tc={6d2f9469-df07-4d2a-82fb-a3e0448f22d8}</author>
    <author>tc={6d4dd5c8-b5a3-4a7d-908f-687aa3b75488}</author>
    <author>tc={6d652617-8f94-40b0-b2e5-754743bbb745}</author>
    <author>tc={6d771a20-a4ec-4192-bd02-3efbf1cefe26}</author>
    <author>tc={6d77deeb-ba23-47ad-b958-8a89594c53bc}</author>
    <author>tc={6d7fedb0-5f4e-49d9-ae62-c56cd3786702}</author>
    <author>tc={6d890a18-168e-46dd-ac10-df3425fea789}</author>
    <author>tc={6d91fb5e-0286-4061-b4de-00ab53a404b1}</author>
    <author>tc={6d98eefe-bfea-4486-94fa-483e65169411}</author>
    <author>tc={6da34fff-b910-4040-8958-74c6e5f6aa3b}</author>
    <author>tc={6dce218d-4013-40ae-a685-b5548a78e75f}</author>
    <author>tc={6dd62a4d-273e-4b3d-af79-b1f917b705a7}</author>
    <author>tc={6de2a9e2-d2ac-4f9d-830b-4f800797f4d4}</author>
    <author>tc={6deae992-955f-45e2-9a14-67bc633b8a48}</author>
    <author>tc={6e16a527-ccfc-455f-8322-7381e8192898}</author>
    <author>tc={6e18dded-0cf5-424b-8f7d-bf177b7cea2c}</author>
    <author>tc={6e1ea751-be44-4c1b-9aa2-b1e322f5f4c1}</author>
    <author>tc={6e234446-f145-4e77-a732-9a7efc863b9d}</author>
    <author>tc={6e3b5dcc-d2f3-4374-81f0-1a0c1008a238}</author>
    <author>tc={6e4f8489-e182-4111-bedc-4b55e2e88f94}</author>
    <author>tc={6e6facd7-f977-4547-817e-a3a5f11957ae}</author>
    <author>tc={6e8baedf-26c4-4a8d-84f9-8713233e7cc0}</author>
    <author>tc={6e9d1e3d-6ba8-4c30-9910-e2e4f932ba8b}</author>
    <author>tc={6ebc47b2-dff0-4718-9694-447fd9e48614}</author>
    <author>tc={6ec78b5a-20f6-4b56-89a7-f8ddd0d843f3}</author>
    <author>tc={6f3913d1-f0b4-4b37-a462-c7a1af35cd76}</author>
    <author>tc={6f408bca-dfc2-4e6a-bbbb-d5ebd6a15804}</author>
    <author>tc={6fc6c68a-b16d-484a-b885-a6eefda0ef14}</author>
    <author>tc={6fcf1155-e8a2-47bf-817c-140dea4661bb}</author>
    <author>tc={6ff000f8-55d8-4f5a-9935-208b3be91ed9}</author>
    <author>tc={6ff6483f-57b4-42e0-9afc-6449f68a01c5}</author>
    <author>tc={701b8d42-5cb4-4717-a7cb-e6512025355a}</author>
    <author>tc={701bbc27-1e53-4216-bcbe-6cac6135be8d}</author>
    <author>tc={704f2dd7-81ce-47ab-8861-8829f8f4105a}</author>
    <author>tc={70549dad-d229-4944-be01-874949f9830f}</author>
    <author>tc={705f9b41-ec93-44c7-8405-85cb8ff8b938}</author>
    <author>tc={706b6e6b-f024-4bce-a6d9-acc5b72b3196}</author>
    <author>tc={7084729a-42c9-4692-8554-95bd9a5e4eee}</author>
    <author>tc={70ba4f92-2f30-4de3-bf4e-1a504079fecf}</author>
    <author>tc={70d3baec-3222-497f-bbb3-723b2eb8e716}</author>
    <author>tc={70ddf027-518b-4192-8486-0359712308a5}</author>
    <author>tc={70fc5a79-214f-46f2-865c-933f02aa71fe}</author>
    <author>tc={712cec30-ceca-4470-a444-ca91711bb561}</author>
    <author>tc={7133b734-4b04-47ee-8285-f96507257356}</author>
    <author>tc={71377e4d-9f66-47ef-8188-f10a7f774857}</author>
    <author>tc={7151e42c-0a33-4ef5-960c-cc5d8623fb3f}</author>
    <author>tc={7158b2bb-2d86-4f9d-a044-e0f157fe5486}</author>
    <author>tc={7182904a-ddd7-421b-8dae-d5133f4c0737}</author>
    <author>tc={7193d497-aa50-4856-88f9-7c354e4c6878}</author>
    <author>tc={71be4b6b-a0ba-49b2-b09f-5df69e9ce5d1}</author>
    <author>tc={71c2ba1e-7675-4b95-9a4b-0a4cebd74d3c}</author>
    <author>tc={71ef309b-ef5f-4608-af34-f01f9818dbd9}</author>
    <author>tc={71f57b7c-3e32-4855-aba3-d9acf8d2be0a}</author>
    <author>tc={720e07d4-b2b9-4032-857b-41865c9454b5}</author>
    <author>tc={720e3ffd-1eb7-42d8-9ed9-b2ffd2f972a0}</author>
    <author>tc={72230850-08ce-4cba-9e60-c29bdeeedaa7}</author>
    <author>tc={72446031-9730-4328-96a5-b7277c429945}</author>
    <author>tc={725111fa-cc97-4d1f-bf82-440a7cc17efc}</author>
    <author>tc={72694a77-a4b0-4d11-9336-55aaafee99e1}</author>
    <author>tc={727a028b-f17c-4fbf-8b5c-f61969ef5ec4}</author>
    <author>tc={729112e1-94df-4af3-bcb2-191c89e47774}</author>
    <author>tc={72e6a907-d597-4a21-8b92-be41d5a67746}</author>
    <author>tc={72f4b2aa-c44a-486e-a638-4542c7c89b36}</author>
    <author>tc={7335ec66-0067-4e75-bf09-3964829b358a}</author>
    <author>tc={7344c17f-67aa-4790-b4cf-9b8d127c722b}</author>
    <author>tc={735033a0-c952-4d3b-9e67-ef84f7fe0e87}</author>
    <author>tc={737b777c-9743-4daf-948a-d0ad619e853b}</author>
    <author>tc={7383a3d9-8e9d-480e-a20c-c67e3848cecf}</author>
    <author>tc={738f70fd-3957-41ac-a75a-4a0603c1ca6f}</author>
    <author>tc={73ac36da-e20e-4102-a0bc-d164608ebc18}</author>
    <author>tc={73b8c8a5-2601-40b9-8972-e5c6613db627}</author>
    <author>tc={740acf86-0b90-4254-ba29-59d05e7b7474}</author>
    <author>tc={740f2dbf-6faa-4196-9200-fb0bc6029eb8}</author>
    <author>tc={74116036-f1cc-43ba-b8f5-406bd177d3d4}</author>
    <author>tc={742631e7-0b29-4689-bc69-1a57ae64d56c}</author>
    <author>tc={742b90c2-ca19-4d11-aaaa-ccb0898644e7}</author>
    <author>tc={743b9090-e141-47dd-b483-783a902256a0}</author>
    <author>tc={744fc181-c364-4e78-b016-baa97c769f22}</author>
    <author>tc={745b9106-d96a-42e9-8eff-71421b304342}</author>
    <author>tc={74743a73-1fc6-4f49-8395-ef6a22b389fa}</author>
    <author>tc={7488ce31-a172-4579-a131-6bc716a58674}</author>
    <author>tc={749a3963-98cf-4b41-913f-52bf98b4319a}</author>
    <author>tc={749d50f9-43b0-4739-87d8-19dbefcec296}</author>
    <author>tc={74b4e22f-be42-46d7-9d6f-1c94d628a7f2}</author>
    <author>tc={74ce98ab-be47-4afd-8cf1-223dc0063546}</author>
    <author>tc={74d03f2d-9759-468f-bebf-8d9cddce4109}</author>
    <author>tc={74d0fefe-b6c6-4798-83a8-40c7c84c6fad}</author>
    <author>tc={74e8d1ea-6553-4a25-a732-098660d5a8e3}</author>
    <author>tc={74f39a1f-a685-4ccf-bd05-583ab1fc67ce}</author>
    <author>tc={74f4b64b-8e4f-4b89-a759-ab5580e5fe52}</author>
    <author>tc={74f73382-c5fc-4e51-a387-5831246844a1}</author>
    <author>tc={7518b737-ab5b-432d-a4af-72698f25c4d0}</author>
    <author>tc={752e26a6-0242-4a29-80da-2a3946aaabdc}</author>
    <author>tc={75358e9e-6b4b-4a31-965f-744b98f13886}</author>
    <author>tc={754382fa-06fb-4035-9435-4f2445cb09cf}</author>
    <author>tc={7545b35b-7caa-44d4-a58f-0cfa0a52198f}</author>
    <author>tc={759f3d59-54bc-4447-9417-04b0d2d16300}</author>
    <author>tc={75d10b28-53f6-40a6-bef3-4ebe1da35324}</author>
    <author>tc={75d4780c-c1c9-4585-bd8d-9af9615adc83}</author>
    <author>tc={75e3190e-f5d5-4a51-a714-94fecf5a27b9}</author>
    <author>tc={75f0a4c9-907c-419b-8e00-974d7da5de18}</author>
    <author>tc={76268672-2f6c-475a-ba1c-c61e812fd858}</author>
    <author>tc={765e443b-72a3-40b9-a39f-6f09a434d53d}</author>
    <author>tc={7671c293-b89d-40ec-a9b7-b9ccb558469e}</author>
    <author>tc={7672c09f-b9c7-436e-85f5-478babe785e0}</author>
    <author>tc={7679ff60-a96f-44ca-9b44-71c8fb51a91d}</author>
    <author>tc={767a5cc5-eee0-400c-96ec-709c51e4d3c1}</author>
    <author>tc={76852347-b70a-43bf-b262-f2871241eef1}</author>
    <author>tc={76a17ef1-851d-4a9b-8fe7-30823edeb9f6}</author>
    <author>tc={76a88001-7333-439d-8601-f3236c5907ca}</author>
    <author>tc={76aa3244-c3fc-4dc2-a7ba-44bb3d785c7f}</author>
    <author>tc={76be984d-87e4-4f8a-8944-a50a2b10d3f5}</author>
    <author>tc={7710689e-f06c-42b4-be10-62893c2d870e}</author>
    <author>tc={773e33d3-c1e0-4908-8c2a-b0f0ad1c3d58}</author>
    <author>tc={77aeb65e-7de2-4970-b948-e148cc887b5d}</author>
    <author>tc={77d75d2d-c86e-477e-87bf-523d5d4639fa}</author>
    <author>tc={7802fd78-69a3-4f47-8acf-72e0ef09afe0}</author>
    <author>tc={7805b5d4-1f96-4cc9-ae54-412f9b5e6463}</author>
    <author>tc={78185e68-9b08-424f-b3e2-8276fa39f843}</author>
    <author>tc={7829812a-1419-4d76-bf66-52a3f9f5a04a}</author>
    <author>tc={78382249-9081-4855-90b1-4527896acedd}</author>
    <author>tc={78bc7d86-5189-46a4-886d-44932a57c0e1}</author>
    <author>tc={78f7d57c-ccad-430d-b748-fb03f98bc159}</author>
    <author>tc={79188e82-1ba4-44dc-adba-abb25ae465ef}</author>
    <author>tc={79495554-1e5d-4909-af48-7584e1fd8e62}</author>
    <author>tc={7957e9e5-a025-4577-9021-b81248b3be7f}</author>
    <author>tc={799c49e4-eb63-42e4-8af8-37423b82edd5}</author>
    <author>tc={79acbe9d-dc11-4289-9fb8-2a9e1b8d0f41}</author>
    <author>tc={79adb9e9-9503-49ea-b455-5add7e3781bf}</author>
    <author>tc={79aeff4c-180d-45d6-8a67-5e3a502f2912}</author>
    <author>tc={79baf5dd-e559-49ba-bbd4-ae28777b86de}</author>
    <author>tc={79f54d79-417d-459c-994b-e9b011a17718}</author>
    <author>tc={79fd5243-9677-43a9-80ec-4ea804866292}</author>
    <author>tc={7a063a3e-459c-4802-82c6-9550a6df7774}</author>
    <author>tc={7a1031e2-d382-427c-970f-9fde27cfddf1}</author>
    <author>tc={7a3f33c3-b9f4-4993-ab43-238746a9aff3}</author>
    <author>tc={7a66ea0c-afde-4bd5-9cec-8fb7ad63b3db}</author>
    <author>tc={7a6abf65-d8f3-43b4-a78e-8c36689d0557}</author>
    <author>tc={7ac4c372-3d16-40e4-a5f6-afc1e12ea286}</author>
    <author>tc={7aea4ebf-6ab8-4525-9ebb-e0e938f8cd18}</author>
    <author>tc={7aee519d-5948-4601-9794-3dbe6d85e773}</author>
    <author>tc={7aee8704-4b63-4442-843b-f2ab56df760f}</author>
    <author>tc={7b2d29fb-1bc7-45ba-a707-3bb5ebc1f0f5}</author>
    <author>tc={7b5a2c0c-97b5-4fad-85dc-58a1bddab4ed}</author>
    <author>tc={7b7a79e0-d28d-4717-a983-b1ef02569b26}</author>
    <author>tc={7b8c2311-0340-4a2e-9ce4-25544c56d5b4}</author>
    <author>tc={7b9c9801-ab37-427e-8bb7-24ff705296ff}</author>
    <author>tc={7ba13a6a-d309-41ef-8bbe-b6e4351b22e4}</author>
    <author>tc={7ba49713-f1e2-4432-92ec-1b38b38afc2b}</author>
    <author>tc={7bb97a88-a07e-45e4-b65c-3297452b9cdb}</author>
    <author>tc={7bc9ba8f-0220-48ac-ab08-f34a1cffe02d}</author>
    <author>tc={7bdf2cd2-fa70-4a1a-a6a7-88ea2db4cba4}</author>
    <author>tc={7be4b58b-926b-4b5e-b2e1-211ef352c4ed}</author>
    <author>tc={7bfe6dcb-4ed0-49c9-ac3e-4f13a915f96c}</author>
    <author>tc={7c074979-57f4-42e8-9daf-efaf5c6477cc}</author>
    <author>tc={7c10ed5a-4b1c-45ed-ae4a-d8259e8107fd}</author>
    <author>tc={7c27e7c0-31a4-424d-a121-0444e0999483}</author>
    <author>tc={7c40b0f9-48b3-437f-9b11-b8987284103f}</author>
    <author>tc={7c4a51d5-fff1-4a91-be98-b00df36a49c9}</author>
    <author>tc={7c5b3000-1893-4391-8842-5a2b1e032842}</author>
    <author>tc={7c7ef1f2-e713-4b1d-9378-4e7d4882bf5f}</author>
    <author>tc={7c8878cb-61e0-47a5-9d01-b78b38cb6312}</author>
    <author>tc={7cc2751e-ebc2-4f4c-a352-dac27082ab16}</author>
    <author>tc={7cc40052-40f8-497d-8896-04f72f293659}</author>
    <author>tc={7cdb4a71-a03f-423d-be87-db200aaf3d5b}</author>
    <author>tc={7cf3d02e-9bc7-439d-95bc-d43f59296fa2}</author>
    <author>tc={7d1717d4-59de-41f4-9abe-953bbe8dc274}</author>
    <author>tc={7d32da1d-0286-4b64-be25-407975f78b8c}</author>
    <author>tc={7d3dc63c-5572-4c80-9511-56b17209af34}</author>
    <author>tc={7d5a0003-d703-4c22-9722-7fe37a17acb3}</author>
    <author>tc={7d9b943b-b0d7-4e91-bba9-d2e680b7ff55}</author>
    <author>tc={7da30bf7-8d26-44c2-afd8-c407b3d856a4}</author>
    <author>tc={7daf1b36-a8db-4e76-a37a-6763d2b596a4}</author>
    <author>tc={7dd0dfa1-68c3-4275-8d3c-052acf77bdb8}</author>
    <author>tc={7df09622-05de-45eb-9e17-7e0ce2b75624}</author>
    <author>tc={7e2025c4-2514-46e9-8ab9-2459df99afac}</author>
    <author>tc={7e30ad27-3bd8-45b0-b570-a682b63cee9a}</author>
    <author>tc={7e4e6802-b15a-4d13-8caf-d47c2a8258dd}</author>
    <author>tc={7e51eda4-db33-4e4b-be14-9b747534d971}</author>
    <author>tc={7e6047ec-b838-4523-b6ba-d608a9be7e2c}</author>
    <author>tc={7e607109-3bf3-4d1b-86a5-37f745244809}</author>
    <author>tc={7e63a152-8b18-40e7-b8d0-c8e645340e75}</author>
    <author>tc={7ea8380d-bfb4-40dd-b167-daac47929bb4}</author>
    <author>tc={7eb9abf6-e2cb-4d7f-a426-079df667e59c}</author>
    <author>tc={7eb9f6d9-791c-4c78-9678-4f38e0ccc5ad}</author>
    <author>tc={7efe4080-2889-46c0-a58e-4028067232ff}</author>
    <author>tc={7f0ac243-9115-4d7b-917f-755b62476d0a}</author>
    <author>tc={7f3b50fa-cad0-45c1-b655-c75263c9b64c}</author>
    <author>tc={7f489e94-bd0c-4573-90aa-21265142ce20}</author>
    <author>tc={7f6ad77f-1b49-40f0-8048-61e1fb42b9e4}</author>
    <author>tc={7f7e01f7-3c05-4357-a823-d8875b81fda1}</author>
    <author>tc={7f83bc37-0c24-4119-88eb-e61584ca6869}</author>
    <author>tc={7fb199d1-6e50-4165-ae58-57a3ac73e998}</author>
    <author>tc={7fb25855-d3df-4653-ac14-f7aee5ab2cd6}</author>
    <author>tc={7fb32115-0ddf-4ac8-8086-d3d18bf845b5}</author>
    <author>tc={7fbd652f-66e8-4933-bcd8-846164440685}</author>
    <author>tc={7fc2337c-ade8-42ab-bf19-9afb1cc5ac6a}</author>
    <author>tc={7fc4ed17-b89f-41b1-93f6-04c9201606fd}</author>
    <author>tc={7fdf68ce-8f1a-4d3f-84da-e3fcc832775b}</author>
    <author>tc={7fe7cd3a-9dd9-49a8-8192-8d124f30b4cf}</author>
    <author>tc={7feece72-ce7a-4f9a-9978-3911a619b039}</author>
    <author>tc={80101aff-e8f4-4ae3-9498-dc2c1f8bf8ef}</author>
    <author>tc={8012333a-8a2b-48b9-a62f-08726ba11ea9}</author>
    <author>tc={802b583b-21cf-4b87-a1a8-2ee20e5637b2}</author>
    <author>tc={8034424a-3b9c-4316-bf7d-a3df2927ca30}</author>
    <author>tc={80584314-3f15-481e-8668-8e8ac7e25d99}</author>
    <author>tc={8062368d-21f2-431c-80e7-8249062d1e59}</author>
    <author>tc={80822388-fe92-47f6-9f2c-ba2e1e7dbb07}</author>
    <author>tc={808c6955-5046-4457-96ea-f3fc37e4cca8}</author>
    <author>tc={809ebda5-94bb-4ca5-b3ce-f9253f128904}</author>
    <author>tc={80ae0be9-840f-4684-9750-2375c4cacc10}</author>
    <author>tc={80b7dbc1-9190-421f-a512-7c45c9b65cce}</author>
    <author>tc={80b7dd8f-de49-4b84-8219-a5ad70e2733e}</author>
    <author>tc={80daf704-44fc-4881-a421-d78bdb5620bf}</author>
    <author>tc={80eabb5b-a522-4710-85f8-37a9a592a068}</author>
    <author>tc={80f20800-e8ef-4447-adad-df5e6793e22d}</author>
    <author>tc={80f5759d-b5b6-45f5-aa1d-589cb943f7d2}</author>
    <author>tc={80f5f3d8-c9f7-47f5-9fd9-a4a38a925e45}</author>
    <author>tc={81067a89-0ac7-472e-bc9e-8d11333e5308}</author>
    <author>tc={812ace86-55f4-4cbf-9f7e-b71576a47677}</author>
    <author>tc={813b3b38-5ba7-487c-90ce-c2f5eeed3b51}</author>
    <author>tc={81847317-852b-4867-86cf-e2b0fbd957c9}</author>
    <author>tc={819c2b60-aa44-4676-bf1a-664c39c0daf5}</author>
    <author>tc={81ad428f-bc06-486e-bab7-84ba86cb5376}</author>
    <author>tc={81bd0dd1-39ad-432f-b4ca-0e98a931ab30}</author>
    <author>tc={81c3feb6-8cd1-4a3a-a0d5-5c96e023b1f7}</author>
    <author>tc={81cca9c5-6433-455f-8415-d614f177d966}</author>
    <author>tc={81d1336f-4783-4a02-96f5-b9ca844f8662}</author>
    <author>tc={81ded95c-fe23-416c-8b4c-6241aa660493}</author>
    <author>tc={81e23611-5ae6-4eee-b9f4-4d8ed1cdd489}</author>
    <author>tc={81f20615-03d0-485c-a871-a056d44b6d95}</author>
    <author>tc={821417f9-9ce0-4df3-99bc-35d41a2dda75}</author>
    <author>tc={822f30c5-e697-43c7-a1b2-00fc0a2c391a}</author>
    <author>tc={826f8c83-e8da-43ab-ab76-4528fa052a9a}</author>
    <author>tc={828b6770-efca-4302-849b-b2783914451e}</author>
    <author>tc={829ffc84-bbf8-4b54-8f88-97575816bb18}</author>
    <author>tc={82b544e0-c1d5-4f39-8060-f0fb5ca371cf}</author>
    <author>tc={82b63850-1f5c-4f29-98f5-ec25499fdc54}</author>
    <author>tc={82d49831-dd9c-4387-93c9-70995fc478ec}</author>
    <author>tc={82ec0e5d-7d25-47df-8a93-8ebcaa51016b}</author>
    <author>tc={8309c7e4-5be2-43c2-8253-7dc3d6cf115c}</author>
    <author>tc={831f532f-db57-4196-b35a-ed059608a358}</author>
    <author>tc={83233ca5-6fc5-412f-bfb5-8ae0540f80e7}</author>
    <author>tc={832b20bc-f61d-43f0-b52d-37b6f9e36fca}</author>
    <author>tc={8333a70f-db85-47fb-86a7-c1f07ec275bd}</author>
    <author>tc={83375129-6b64-4905-9c31-cdd1717b17c8}</author>
    <author>tc={83528c97-4d72-4338-8809-b97c84df23f7}</author>
    <author>tc={8364bc19-ff7e-40d7-a1a1-865ec6f04851}</author>
    <author>tc={8389c7e2-f1f2-4ef4-91fd-e349a20e2fbe}</author>
    <author>tc={838d881a-380d-4df9-b3e2-8a26e884435e}</author>
    <author>tc={838d8e0b-0f2f-42c6-ab88-178d6cc2f2c7}</author>
    <author>tc={83915b4a-d5ea-421d-b6f2-cbd624888357}</author>
    <author>tc={83932ca7-fa1e-4f32-9cbc-2e3a7cb4ad62}</author>
    <author>tc={83ce44e2-a37a-4160-9c37-8dcf99a88a50}</author>
    <author>tc={83da3526-51dc-4883-b08a-dadabd5f5b1d}</author>
    <author>tc={83eb9373-8892-47e2-8ad4-460290fb1c7b}</author>
    <author>tc={8405f88f-dda1-48e9-9319-a87258d51cef}</author>
    <author>tc={84082a2c-8ab4-42b3-8e24-ddae83d2121d}</author>
    <author>tc={8409dabf-6c66-44f0-8598-1fe783bcb379}</author>
    <author>tc={842feadb-77b7-47bf-aa7e-c887ea6b94ff}</author>
    <author>tc={843a5eca-d71f-47a0-99b6-b45a3f5e8d2e}</author>
    <author>tc={843a7e4b-a9b0-42a2-baf8-41b67afe70b5}</author>
    <author>tc={8442322f-3bf6-4513-8ef2-bb7a53b2b711}</author>
    <author>tc={84496164-1603-4b87-991a-88ead8185000}</author>
    <author>tc={84890b16-ba70-4405-8727-5db58f9c2089}</author>
    <author>tc={84a6c3b1-2a2e-4c96-8a9f-c4d3387b6b3f}</author>
    <author>tc={84d751da-dabc-4e71-b671-fbba7fef0c92}</author>
    <author>tc={84d77587-21d1-4efd-ac3f-4c8d8766abb9}</author>
    <author>tc={84e67afa-206f-4c89-8eae-35937aed67ad}</author>
    <author>tc={84f6c699-ab3b-40e9-a067-62d1e981c8f8}</author>
    <author>tc={851854ed-6eb2-4f32-ad08-55d2812695ac}</author>
    <author>tc={852a3698-0b3a-4685-bacf-43078a38d4fa}</author>
    <author>tc={85b834fd-fc19-49eb-ae18-2760fa87e15b}</author>
    <author>tc={85e9e924-96a1-4025-9c5c-b2dee553f532}</author>
    <author>tc={85fc31dc-0fed-4560-8db9-1810a1262469}</author>
    <author>tc={861857d2-a175-4c50-81a4-dd9180bc60dc}</author>
    <author>tc={861c2542-c27b-417a-bb1c-219f2b3bb812}</author>
    <author>tc={861cff43-3309-4b4a-8451-4a538e863a3b}</author>
    <author>tc={86429cca-6a37-4d40-9048-fe92b72df2d7}</author>
    <author>tc={866b985b-42d8-4881-8b15-c6c18147e6f6}</author>
    <author>tc={86c96591-8f7e-43d7-b7e0-54684b368c63}</author>
    <author>tc={86d1f4b8-260b-495a-9104-39240abc24f1}</author>
    <author>tc={86d3ffa8-58cc-4457-9c69-27ad36e7755d}</author>
    <author>tc={86d8f681-c6c4-4b7e-bda2-f3c1ea08ab9e}</author>
    <author>tc={86e2e807-a632-44af-94b0-aae1afacef6a}</author>
    <author>tc={871bfd12-4ee9-489a-a3a3-14cdc7f723bb}</author>
    <author>tc={8720f449-d9a5-4cc4-93d8-59ad103816de}</author>
    <author>tc={8725de4d-643d-462e-8a15-71cde00cfd51}</author>
    <author>tc={8783e866-2268-40c2-9e12-f03adf256862}</author>
    <author>tc={87899501-22b1-4012-9431-4631e6940a89}</author>
    <author>tc={881cbb63-ce0b-45d2-9d7f-3f69cf7200e8}</author>
    <author>tc={884d94fc-1a33-48a6-bc0e-c9e06f185270}</author>
    <author>tc={884ef5ec-8dde-467b-8d82-123aa2964c08}</author>
    <author>tc={88aa4d7f-fc7d-42a4-a3e4-2bb49d7e0c1a}</author>
    <author>tc={890b8ffe-cb80-402e-9d92-3f9531eb763f}</author>
    <author>tc={8925a6b0-5489-4d12-ae5f-c77351db7a65}</author>
    <author>tc={892649d0-dac4-4e02-8f61-3af4746ae85f}</author>
    <author>tc={893a085d-66e1-4704-b7fc-c816799ba357}</author>
    <author>tc={894e9ee3-cbcd-4993-95e7-e7040fc8075d}</author>
    <author>tc={895a929d-de68-471d-b0e9-e4dad8342885}</author>
    <author>tc={89797a05-96ae-4937-ba5c-340e139d1f24}</author>
    <author>tc={89ad155b-c190-40e3-8dcc-dba577138f92}</author>
    <author>tc={89af6e57-6f53-45b6-b09a-7e60a055e09f}</author>
    <author>tc={89c2c6a0-6bef-40b6-8f8f-96671237390b}</author>
    <author>tc={89cd6abf-5bdf-4a21-93fa-9ddaae1d2f0b}</author>
    <author>tc={89d2a4d7-bfdf-4925-b61a-b7d87918db43}</author>
    <author>tc={89e43f4c-5f53-4406-8203-3431b4cd71fa}</author>
    <author>tc={89f5602e-060c-46a5-8e48-dca6e80d6fc9}</author>
    <author>tc={8a434bb5-b87f-42a5-94d9-5ffa7a101f93}</author>
    <author>tc={8a45787c-3a65-4bdd-8734-8924cb9e845d}</author>
    <author>tc={8a53e27a-f11f-49a1-a20e-2951dd4a7089}</author>
    <author>tc={8a6ab582-ffb0-4551-a2ae-8cb7fb061855}</author>
    <author>tc={8a730033-7ec6-420d-80b6-aa4b8ba7666b}</author>
    <author>tc={8a7edb23-daa2-4411-b579-8bb9d5b78af0}</author>
    <author>tc={8a7fe06c-8ef2-4bc3-a9b8-6c021d56fbd7}</author>
    <author>tc={8a84a3e0-0f0e-4c01-85b3-251f8d9c4af9}</author>
    <author>tc={8a9ca085-e292-41e0-9492-278525ae8df2}</author>
    <author>tc={8abc51e5-36d9-4df1-b175-28b55c4ba1b8}</author>
    <author>tc={8ac895af-5a10-4af7-88ff-a4712216e425}</author>
    <author>tc={8acb279b-f0b9-46c6-bbbc-300ecb51438e}</author>
    <author>tc={8acc188d-9ebb-486f-adda-eb0fbae733af}</author>
    <author>tc={8afbb0c4-58eb-4259-9b98-278debd4e94e}</author>
    <author>tc={8afdcc47-7dc6-42e7-95ac-f6135816fdde}</author>
    <author>tc={8b0c4c50-5a55-4d97-b1b2-5ece332c1945}</author>
    <author>tc={8b1cd73e-69fd-447c-a123-0db58c5935df}</author>
    <author>tc={8b2d0119-85c4-4f76-b193-d4f448b55c7f}</author>
    <author>tc={8b390adf-e483-46c5-94b3-cfeb50d5c153}</author>
    <author>tc={8b5eeb09-3ea8-436d-8a54-cc3bc12d6527}</author>
    <author>tc={8bc32c8b-c584-4079-a198-699534fa1474}</author>
    <author>tc={8bd33630-1969-423d-bf47-529b35227d7f}</author>
    <author>tc={8bd57421-9bfa-4d91-a90b-5b314815a3f2}</author>
    <author>tc={8bd7d972-6ee4-4034-a9d6-ec74bf12567d}</author>
    <author>tc={8bd7f88e-a466-4687-8857-4ec696f8f54d}</author>
    <author>tc={8bf03a74-6e4a-4ec8-a446-7550f5ffdc2c}</author>
    <author>tc={8bf72d2c-136e-437d-91f9-c67eb5e8755f}</author>
    <author>tc={8c1fce2a-b56e-4c2b-8afd-bdb21b6406a0}</author>
    <author>tc={8c20c06c-2879-448e-a36d-3336f90b4927}</author>
    <author>tc={8c252691-da38-464c-a572-d21952df72e8}</author>
    <author>tc={8c48362a-74d4-4e8b-b6dc-ed5894fdaa8b}</author>
    <author>tc={8c64cb3a-3956-431e-bb31-e5d5e88f68be}</author>
    <author>tc={8c6516cd-bf95-4dd7-9c15-4a77b1368cd5}</author>
    <author>tc={8c72f34c-5426-4665-9aeb-5a0b7f77efb2}</author>
    <author>tc={8c8151d3-d272-44a3-aa0f-6655cd658f90}</author>
    <author>tc={8c8ab54c-5517-4d28-a43e-7dc8926665d2}</author>
    <author>tc={8c8d9b1f-0eeb-41a3-9a74-988feb9648e9}</author>
    <author>tc={8c9252f0-40b1-41e9-b9b6-f86d08147c74}</author>
    <author>tc={8ca1e7a4-26d6-4b67-b1b9-3f620be04f5a}</author>
    <author>tc={8caad82d-6122-4a2c-a0e6-b34632baee68}</author>
    <author>tc={8ce6c1ea-0943-4b7f-9e4c-4cb3d09fc89e}</author>
    <author>tc={8cf36d9c-3d08-4d1b-97e0-6dd76d12dc62}</author>
    <author>tc={8d276137-2be3-4754-b057-5aab95b6ce79}</author>
    <author>tc={8d4487d2-349a-4492-8172-e75b50ef049e}</author>
    <author>tc={8d5e3dc8-81ac-44c0-9d3c-3ead0a66948c}</author>
    <author>tc={8db68c32-8626-472c-80d6-c51adb14cac9}</author>
    <author>tc={8dd41c9e-31b0-4c4a-9c86-b21caead4f55}</author>
    <author>tc={8e019cce-32b6-4091-b580-3d4dbf639c43}</author>
    <author>tc={8e064aa2-4d8d-4982-9d50-50286035c93c}</author>
    <author>tc={8e098fc4-7390-45a8-ae60-1460ef81237a}</author>
    <author>tc={8e3beb32-159a-4bc5-903a-db805f2481d4}</author>
    <author>tc={8e4b3ff6-d8cc-46d5-9dd0-7854515e0ae2}</author>
    <author>tc={8e4ea392-d23e-4b0d-94c3-62999f6ea7ae}</author>
    <author>tc={8e6aef26-0a78-4f24-8509-1ea757eefa2e}</author>
    <author>tc={8e712a3b-e7e0-46d8-93d0-5dc34a174971}</author>
    <author>tc={8e7b3cf6-6f0e-4584-aba4-461541cd2a30}</author>
    <author>tc={8ec75555-6050-4439-b1c6-fc293da2c7b3}</author>
    <author>tc={8ed5bc75-758e-4505-b55b-8ca700c18bad}</author>
    <author>tc={8eea20cc-d59d-4df0-a14e-11de466a9397}</author>
    <author>tc={8ef9c874-ac70-48d8-9f7b-c0c1625388b8}</author>
    <author>tc={8f19c748-a837-4b9b-bf9a-39136f720940}</author>
    <author>tc={8f242634-4525-42ae-b894-f1266e3ef690}</author>
    <author>tc={8f444cbb-6c0c-4cbd-bd3c-3fcdd0f9dd44}</author>
    <author>tc={8f6c967b-ca47-480b-a704-a96c3f3bf899}</author>
    <author>tc={8f8fea2b-9a25-412a-b225-ea3c4a98d7c6}</author>
    <author>tc={8fa563cd-c95e-4263-897e-827b0b8df99c}</author>
    <author>tc={8fbdd673-7faf-484e-99f2-6e5227cd6c8d}</author>
    <author>tc={8fefa322-c132-44e5-b19c-4f7b1453ee28}</author>
    <author>tc={900de2a9-a71f-4f14-8b44-1b232ace5fbd}</author>
    <author>tc={904bcd8d-09cb-4b8a-bff8-a37c985cfc08}</author>
    <author>tc={9054dd73-9195-440c-95cc-74c4c8e7df5d}</author>
    <author>tc={90572758-5c71-438f-af5f-e50157447491}</author>
    <author>tc={905fbe67-1cd4-4e96-ab5c-07227ba02ecf}</author>
    <author>tc={90689ed7-4360-49ef-b4df-42b4bf9882ff}</author>
    <author>tc={90796e23-fb65-4a23-a2b7-0f646294a2cb}</author>
    <author>tc={909a6885-d760-4e78-a7c4-014a42e2a033}</author>
    <author>tc={90cb9c64-393d-4e24-b476-2162972e6bb1}</author>
    <author>tc={90d602a8-8a8e-4ef7-9e15-375f0df08a1e}</author>
    <author>tc={90e40a5e-0496-44dc-bdfd-91721414de5c}</author>
    <author>tc={9124dea6-539d-41b1-96a1-63375d0b75ee}</author>
    <author>tc={912c7464-cb4e-421d-8c63-457d6bd5f905}</author>
    <author>tc={9134f67f-ebd5-4179-9d28-02ce4fee8c7c}</author>
    <author>tc={913fc112-41a7-4a2f-852b-794113d5e4b3}</author>
    <author>tc={9143353c-a9f3-40bb-b699-0c15a1880293}</author>
    <author>tc={91439ed1-5893-4ab8-90c0-475b82c861e0}</author>
    <author>tc={914a5638-9f14-4034-bbe9-f4af8a0d52db}</author>
    <author>tc={914e0161-5423-4b3f-bdc0-f20d4c0c5d7d}</author>
    <author>tc={91576edc-1e87-4c6c-af6e-aaebd9e7e84e}</author>
    <author>tc={9172a03c-c866-41dd-aff5-a529522494bc}</author>
    <author>tc={91a900fa-e150-40f9-a0a7-2869e626b994}</author>
    <author>tc={91b8b02e-53c3-45e3-8f8c-31f255cf5f58}</author>
    <author>tc={91cce1e9-5476-4086-a14e-ba220bfefb7e}</author>
    <author>tc={91cddaa8-ea05-4d29-a73f-2de6add29848}</author>
    <author>tc={91eef53c-229e-4aa7-8ae4-0aca5ce22805}</author>
    <author>tc={91f1b71e-88fb-4f5c-9bed-ec385127f764}</author>
    <author>tc={920542bf-b986-43ef-a97e-a33e16b6944c}</author>
    <author>tc={922229fa-5174-4bd6-b163-fdd0e347d9ab}</author>
    <author>tc={9227ba70-e274-423e-a94c-320786376a05}</author>
    <author>tc={922f84ca-ce44-467d-8ad8-2fb82ac495ef}</author>
    <author>tc={924f1aa0-feda-449f-9556-fc1fa711c190}</author>
    <author>tc={924f690c-2661-43dc-8b97-63c51295a17b}</author>
    <author>tc={925a6e63-2ce2-418d-b46a-bd0d9f96dcca}</author>
    <author>tc={926039c4-2955-4c00-a462-92fbd8d74ed1}</author>
    <author>tc={92606e6f-74a3-47c0-a817-fb8bf76f92a1}</author>
    <author>tc={92612c27-3261-42d7-ad87-ee82eae14bcc}</author>
    <author>tc={928979cb-384d-47aa-8c35-86d7b4517cad}</author>
    <author>tc={928d5de6-ee33-40b4-9a65-377683444a8f}</author>
    <author>tc={9294f541-02b3-4a94-874b-1df59708d984}</author>
    <author>tc={92a16bac-9df5-4cbc-9a26-1c016fcee3e0}</author>
    <author>tc={92a5fe35-b53f-47ba-bada-f5cae7a4f6c8}</author>
    <author>tc={92b896e4-e105-42b1-b43e-b908d7acb33d}</author>
    <author>tc={92f976de-123d-4c3b-baee-8c52bf663b9a}</author>
    <author>tc={92fbee2d-8f2c-47c8-8c23-2371a79e2650}</author>
    <author>tc={93109488-07b5-4ea8-8ba1-ee91b0331391}</author>
    <author>tc={93145c8e-653f-4dad-87cd-00a5857ea463}</author>
    <author>tc={9318f0a0-2520-4b07-8a2d-818f3cd2a357}</author>
    <author>tc={935464ec-8642-4df9-bc24-c296cb9a1be5}</author>
    <author>tc={93612c60-10fd-4cc3-914d-1a459d4fec62}</author>
    <author>tc={9370fadf-1729-4519-8e7f-bed1e09eb9f3}</author>
    <author>tc={939087a1-5a0e-4b32-973f-81966279cb61}</author>
    <author>tc={93a6f98c-0d9f-4bc0-a0b6-4915d75a1448}</author>
    <author>tc={93b05057-0344-466e-a373-8b1c00664b91}</author>
    <author>tc={93c212e6-dc4d-44f6-90fe-52f3a0e593c0}</author>
    <author>tc={93ca352f-3fbc-4761-b5c6-67b19296b473}</author>
    <author>tc={94044219-df8c-4867-b772-ee5e5545a56a}</author>
    <author>tc={94422e65-522c-4cf9-9ab2-afc85e2bd697}</author>
    <author>tc={9446a0fb-e5e7-41ca-9bf4-ac4726569e87}</author>
    <author>tc={944b2454-baf1-4346-afad-89cdd7bd0418}</author>
    <author>tc={9453a5fe-4586-4210-9b03-46ebabcfafc7}</author>
    <author>tc={94934663-14c7-4dff-9588-838d3653cbae}</author>
    <author>tc={94b07ced-147a-4a4c-a3ab-f585a6c6eb12}</author>
    <author>tc={94fa1526-382e-43fa-b288-fc97a27c7eda}</author>
    <author>tc={94fdc2cb-9f07-4c10-a231-6b4e51e75fdb}</author>
    <author>tc={95213926-23d8-4ff5-ac0f-65ed90f17a59}</author>
    <author>tc={9525bc3c-b5e1-4752-b67c-4e9a5878e58f}</author>
    <author>tc={9530e4fa-a154-4224-8ac3-de0f6a8a6f85}</author>
    <author>tc={955a17bd-3091-4810-a8d8-bd880249ac1f}</author>
    <author>tc={9578266e-e384-4e8d-a8b1-5a760eaa499a}</author>
    <author>tc={958a60ea-6f5d-4843-9b2f-ab4966f004af}</author>
    <author>tc={958ba752-9571-411a-8549-b5622fa99995}</author>
    <author>tc={9592bd1a-c9eb-45d6-b2a3-2d2c00522701}</author>
    <author>tc={95a2032f-7096-4560-b75d-33acd5f3be7e}</author>
    <author>tc={95c02135-70e5-44ee-abbf-b3e68d97fbfe}</author>
    <author>tc={95c216db-058c-4b96-b1b8-2d518ea1166e}</author>
    <author>tc={95c27427-f7c7-4aa0-b6e1-ac72a539dd9b}</author>
    <author>tc={95db7132-ccbd-4ca5-9dfc-fb63f8ba0395}</author>
    <author>tc={95f3b87f-39bd-43e4-9d71-dc76781923d7}</author>
    <author>tc={95f4c1ee-7b8f-42d1-b766-fe2fa0d716a4}</author>
    <author>tc={95f5197a-29b4-4f89-ad0d-b3d13857e43d}</author>
    <author>tc={961527db-ef32-428d-84f6-6f322e17e071}</author>
    <author>tc={9626dc3e-9ffe-4795-b601-9855ce62781d}</author>
    <author>tc={963f886e-4dcb-4615-86f9-bcc1061b115e}</author>
    <author>tc={96471ff7-77d7-4950-ba3e-34abf571bfa6}</author>
    <author>tc={969042d3-d799-4c54-a9a7-9c70796fabb2}</author>
    <author>tc={969adcfd-08e6-4e01-9d31-832dd2cb9a9c}</author>
    <author>tc={96ad9ced-16d4-4f77-932a-f76dfc381afe}</author>
    <author>tc={96eb3323-50f1-4db3-b8ee-8bb9411cfd76}</author>
    <author>tc={96ec8675-4053-401c-bda4-7c4f85afd76a}</author>
    <author>tc={97430a0e-d03d-4a73-a8b6-1d255f62e68d}</author>
    <author>tc={977e26e6-dc6f-4158-bb8e-855039a663c7}</author>
    <author>tc={9784d1c9-529f-479e-bfe2-a8a78aa2d301}</author>
    <author>tc={978e4362-ac47-413b-b911-140a98121510}</author>
    <author>tc={97a319b1-03a3-4d7c-990c-1b0d0d576537}</author>
    <author>tc={97bed50e-9281-46b0-9804-ae8a2050c170}</author>
    <author>tc={97ca27f5-c4dd-4834-8ce8-b79c35918a0b}</author>
    <author>tc={9803817c-48c5-4d37-a9d3-ec88e94666cf}</author>
    <author>tc={98048901-959d-4968-a768-b9dd6f5cd66c}</author>
    <author>tc={9817132a-1e15-49a0-8f4c-e2ed8d7307c7}</author>
    <author>tc={983df107-c15d-4add-8c5e-747a872547cf}</author>
    <author>tc={9852ab6a-8a51-4d9b-916f-b409a402f3f3}</author>
    <author>tc={98565190-96bb-458b-bf4e-45135173270a}</author>
    <author>tc={9860a8c0-02a1-4ee9-b7a4-060df6a22f04}</author>
    <author>tc={987b06fa-49da-4611-be9b-eafbf8a0a829}</author>
    <author>tc={988559be-4fd6-4545-ae14-d9989acdcbc9}</author>
    <author>tc={98a5c152-b0d2-436a-9b0c-4f32f8c6bf5b}</author>
    <author>tc={98c481fe-c364-4c76-b36b-5457d4c13fb8}</author>
    <author>tc={98e4bd6e-df0e-4489-938a-86d0971178a5}</author>
    <author>tc={98f19e32-2c76-4629-a0a9-af1842a24c3a}</author>
    <author>tc={9966dc84-d8ef-4dea-b5b4-756e1a31a075}</author>
    <author>tc={996bfbcd-f65e-4b1d-9f5b-22de5d710f08}</author>
    <author>tc={997e4235-0656-479c-8822-3e064c2d4da2}</author>
    <author>tc={9994f201-51d1-492c-809d-058353711bd4}</author>
    <author>tc={99ab5ae9-2a59-469b-bde4-b98a40cef81b}</author>
    <author>tc={99d81e51-41ed-446e-8667-97d78646277a}</author>
    <author>tc={99f94e34-fe83-45b3-a772-6c2edc4f32b6}</author>
    <author>tc={9a0ab713-be9f-401b-bc78-fc7b80d97771}</author>
    <author>tc={9a0b084d-5875-4320-852f-5f46e8ed2994}</author>
    <author>tc={9a0ec2c1-5152-4b4a-af1f-6169d0e9db69}</author>
    <author>tc={9a12f177-72cc-46f9-9373-c749840ee43d}</author>
    <author>tc={9a19bf3f-d0fe-4aeb-acbd-6916d67db16e}</author>
    <author>tc={9a36061c-5498-4c62-8169-2cc6f8ef2cac}</author>
    <author>tc={9a54bf49-2557-4eed-a556-0d4d4ed592ad}</author>
    <author>tc={9a702dbd-cd77-4cde-81cc-4ca46e25e74e}</author>
    <author>tc={9a709d95-e746-47a9-893b-83583a122e6c}</author>
    <author>tc={9a8163ad-fbbd-4139-ba17-f02930856503}</author>
    <author>tc={9a84f267-1b3c-42b5-8748-da52a801b898}</author>
    <author>tc={9a8d58b0-5167-437a-a350-311bf62c4cf3}</author>
    <author>tc={9a9b32db-9c70-48a0-95a2-ebe136ac8610}</author>
    <author>tc={9ab6abd0-96af-4b9f-bf62-59c6ff1dc83e}</author>
    <author>tc={9acf0f97-88fc-423b-9430-fa5145b1e44e}</author>
    <author>tc={9ae11209-d4af-4ed8-b220-3f802cc2c761}</author>
    <author>tc={9ae7b15f-c4ce-42f5-9e58-992033631602}</author>
    <author>tc={9aeb703c-ba3b-486b-af05-142e384c0a66}</author>
    <author>tc={9b25853c-7f24-4660-add3-6016dce077d6}</author>
    <author>tc={9b386dfd-83b4-4883-9577-07c8c6d6d78a}</author>
    <author>tc={9b413be4-508b-4da1-8b86-bccc789a9c1b}</author>
    <author>tc={9b50113a-685e-4214-a6a3-97689b49f159}</author>
    <author>tc={9b647d4d-20cd-4240-a431-a4d24905862d}</author>
    <author>tc={9b6de5f7-feab-46a5-ac75-648606aa573e}</author>
    <author>tc={9b7a4ac6-d470-4197-adc5-82b1eb4c9129}</author>
    <author>tc={9b84e07c-49d0-4d0d-8166-856b8eabcdef}</author>
    <author>tc={9b8c138e-efc3-4087-a9dd-3788f7431c65}</author>
    <author>tc={9b8fb555-e5d6-4915-9c2e-655913817b67}</author>
    <author>tc={9b97d5d9-5570-45d4-bd61-82441722a72e}</author>
    <author>tc={9ba72499-b3f4-4c59-8131-da709b16123f}</author>
    <author>tc={9bad49a6-b845-485a-bc25-e17fd01fb6ef}</author>
    <author>tc={9bc1b929-dcf3-43c6-93f7-d8983f898232}</author>
    <author>tc={9bc692fd-02dc-4cda-bbf9-6844cf8dd697}</author>
    <author>tc={9c126063-1dda-417f-a99e-3cdf2cd8829f}</author>
    <author>tc={9c2620d5-37ad-4f07-9985-948dcee00071}</author>
    <author>tc={9c2a303d-5744-41d0-9739-3be54ea73774}</author>
    <author>tc={9c4ca82c-0f72-47d5-9dd2-8d6b6c8f2f24}</author>
    <author>tc={9c5291d0-d347-4616-8fa5-547a86884a1f}</author>
    <author>tc={9c6438a9-b832-4d09-98e8-9fbf95085d7a}</author>
    <author>tc={9ca6d869-f02e-4c48-9b6f-3e09f7f29677}</author>
    <author>tc={9cc64abb-1d81-486d-a983-05443b989fe6}</author>
    <author>tc={9d1ceb4c-8189-456d-bfd2-8c408ded3a40}</author>
    <author>tc={9d220659-448c-41d0-937b-5f4c56f50d69}</author>
    <author>tc={9d3a341a-339d-4e30-9c55-3b38904710b9}</author>
    <author>tc={9d4fb5ce-adb9-4f73-971f-8b8bb17f15b5}</author>
    <author>tc={9d7d5a86-a563-4b53-96ff-864c47496f52}</author>
    <author>tc={9d9a596d-704c-4638-b5e8-3c2add4753c1}</author>
    <author>tc={9da5cef4-eb3a-4a53-a991-d4cfd2559802}</author>
    <author>tc={9df32a6b-3642-4147-93ea-e1cd6eb2c74c}</author>
    <author>tc={9df3e803-2bd0-4ba5-804a-2cb70732139c}</author>
    <author>tc={9e581ba1-8e69-44ed-a72a-5b7144cb1016}</author>
    <author>tc={9e658df0-c5c1-4419-af6c-4eb1c44514ce}</author>
    <author>tc={9e70d191-9b6d-4024-af73-de92768ccddc}</author>
    <author>tc={9e832625-0f5a-475a-91cf-287bbfd20718}</author>
    <author>tc={9eba02c9-3f6a-4001-aa94-bd2237e4264d}</author>
    <author>tc={9eca5049-3253-4e6a-a143-59d6ad90f08b}</author>
    <author>tc={9ef1b886-83dd-4200-bcf8-59f09f4741db}</author>
    <author>tc={9f5e1bb3-5f67-4ebd-ae0d-8d4a4cedde7b}</author>
    <author>tc={9f79be5d-b891-45a2-bc0f-b9bec42eddf7}</author>
    <author>tc={9f8dddec-0ab8-4733-ba4c-2b00e43136cd}</author>
    <author>tc={9fa9ae38-ef76-46f1-81a8-e631b59b1bfa}</author>
    <author>tc={9fae9f50-de9c-4444-bab5-f010b98f21b1}</author>
    <author>tc={9fdf2bf8-d6f2-489f-9045-80e2c795a1a9}</author>
    <author>tc={9fef441d-2a7f-446b-9633-a9f61501e189}</author>
    <author>tc={a02d73b0-e1f8-42b8-b9de-124e9cf3287e}</author>
    <author>tc={a06d3261-218d-4ab2-abd1-7b8219d94e16}</author>
    <author>tc={a07feef4-c765-4ddd-bbe8-b145ee0a0a23}</author>
    <author>tc={a080620b-96fe-48b1-9a0d-2d98d24eef8e}</author>
    <author>tc={a0889989-8ae5-4b53-859a-a5e54b74627b}</author>
    <author>tc={a08ee022-19a6-47f0-80e6-fe576cd9752a}</author>
    <author>tc={a0ae56a3-144a-43dd-8a9d-2665ad6642ec}</author>
    <author>tc={a0b6eecb-04be-4e4d-bedd-7cb3635279bd}</author>
    <author>tc={a0bf0d37-5b9b-4eee-9f3b-63e05bd8fcf1}</author>
    <author>tc={a0c272cb-d63c-401e-86a2-d3853c6727d0}</author>
    <author>tc={a0c3750d-d87d-4bf6-9a47-25fdcdc8a70c}</author>
    <author>tc={a0d25d48-d9ed-48b3-ac0a-68800723169f}</author>
    <author>tc={a0dd267e-dac3-4830-80c8-cf83db005aa3}</author>
    <author>tc={a0de482d-540c-4f8d-ad3d-7d0a407cfffb}</author>
    <author>tc={a11fa694-a7d2-4bd4-a7db-c14cf28ce369}</author>
    <author>tc={a123f096-02f6-4b2c-a0db-1815262e4370}</author>
    <author>tc={a133d405-9edf-4803-a5b0-bf3e617e7b50}</author>
    <author>tc={a14bb377-add8-42f5-bee2-0e2b4d1add68}</author>
    <author>tc={a162af07-6a71-4a95-8226-dfff2ac074c4}</author>
    <author>tc={a16b6f5b-783e-4f12-a37d-01208f0844f5}</author>
    <author>tc={a189a087-894c-47f9-8218-76cd1c6c105d}</author>
    <author>tc={a1944248-4e37-4b63-97a4-11675f4e7fe9}</author>
    <author>tc={a1ab87d2-bc71-4d2b-ba3c-26f77ecf8cb5}</author>
    <author>tc={a1f5477a-dfba-4872-8df4-345df0f31640}</author>
    <author>tc={a283b077-e4cf-407e-a96a-060f24d24bf8}</author>
    <author>tc={a283ce73-432f-415b-9bc2-623746ce5651}</author>
    <author>tc={a2a0574a-777a-40c8-97c6-583826d8d772}</author>
    <author>tc={a2a70abd-bdb2-4603-a808-f8229f0dfbb4}</author>
    <author>tc={a2ab7228-6244-4198-b540-66c2c7c3daf6}</author>
    <author>tc={a2af83fe-8621-47ea-b3cf-38d74c9702e4}</author>
    <author>tc={a2d8f2fb-02bf-42e1-b871-04d384626884}</author>
    <author>tc={a2f1d41e-2493-462e-a953-9bcfd93e1e37}</author>
    <author>tc={a3107262-c824-4681-abfa-237df0055865}</author>
    <author>tc={a346bb0a-54cc-4be2-99ed-c61a74984fa6}</author>
    <author>tc={a36cc4c2-4467-4dea-8964-ca080de8eb11}</author>
    <author>tc={a375cc8a-1bd3-4068-b40f-d5ad2acf1fd5}</author>
    <author>tc={a37de7b0-b67e-4c1a-a27f-41e0ff24b77b}</author>
    <author>tc={a37eb969-a021-4be2-8b5a-453f883eb622}</author>
    <author>tc={a3830d5a-c301-4fb9-9709-1978a314e8cf}</author>
    <author>tc={a38e6535-a114-4fde-93f0-f9d57e4380f8}</author>
    <author>tc={a39d591d-baea-46d2-9040-812e760566ef}</author>
    <author>tc={a3aebc3e-e07c-4e40-8c83-7f7b10feae4a}</author>
    <author>tc={a3b8bf46-cdf6-4d1a-a471-9b085fb40bfe}</author>
    <author>tc={a3c58f4f-064d-4225-ba90-a52b236c8911}</author>
    <author>tc={a3ce0a5c-3f9a-47e0-8a9f-3fd3a2765adf}</author>
    <author>tc={a425f66f-008c-4a39-b38b-ddd1631fb121}</author>
    <author>tc={a42c2a23-a005-4f63-8798-340bb25c2d06}</author>
    <author>tc={a43c0f19-c953-4521-8b61-3eef12072d21}</author>
    <author>tc={a43d9182-a4c9-42a5-95f9-6effb974221a}</author>
    <author>tc={a4de63c9-7a9b-4154-a18a-40f799cf7c43}</author>
    <author>tc={a52621d3-1d75-4abc-b8df-a84fcd719560}</author>
    <author>tc={a534d284-f61d-4e23-afbe-4f116db75c40}</author>
    <author>tc={a53783e5-3410-4275-ab73-a26c6534178e}</author>
    <author>tc={a565552d-01fb-4464-b60d-dc04148bd697}</author>
    <author>tc={a578718c-7311-472f-915e-4e2290402c91}</author>
    <author>tc={a587311a-f911-4b9b-921d-c52aa2ec3f8e}</author>
    <author>tc={a5953836-1931-4c6b-b29b-4b678765318f}</author>
    <author>tc={a5963141-d5c3-4c23-8fe6-c675c29f1f84}</author>
    <author>tc={a59d362a-e1b5-451f-840e-9b2d9b4c210f}</author>
    <author>tc={a59efc37-43cf-4f37-9ba5-f8e4b879a331}</author>
    <author>tc={a5ac8140-e8ac-42e8-a302-567160fc9d4f}</author>
    <author>tc={a5bcc552-be2a-4458-9f0f-238524a33c3a}</author>
    <author>tc={a5cd3c5f-25c3-49a3-8650-feb7954b5faf}</author>
    <author>tc={a5cfc5cd-2b8c-4c6d-9fb4-533af5a8dfdd}</author>
    <author>tc={a5fc2983-2892-4a1d-9635-c556cfb7756c}</author>
    <author>tc={a5fd0c5e-783f-4c46-9766-d7e9081d7fec}</author>
    <author>tc={a5fdbb57-6ef0-4ee8-8068-9bf99826ce2a}</author>
    <author>tc={a6024c01-0ce3-4396-ab38-8ac4ce0b1bb0}</author>
    <author>tc={a602c74a-0cec-41e5-91b0-e2415012c51e}</author>
    <author>tc={a606f014-aa23-4154-bd08-f634aa9ae2e4}</author>
    <author>tc={a61675df-9fef-46e6-92bc-55240efe3147}</author>
    <author>tc={a619a009-8593-460a-a212-7008b20fc50a}</author>
    <author>tc={a6214403-4f71-4476-a486-dde1bf205135}</author>
    <author>tc={a632354f-1743-484b-becd-719aaaf9ac3e}</author>
    <author>tc={a6326065-a5da-481c-89fc-14a8669956d0}</author>
    <author>tc={a6370f37-5101-42d3-a9bd-29040d1c0013}</author>
    <author>tc={a641495c-466a-4f39-b7a8-cdabb390868d}</author>
    <author>tc={a64bdc32-86fc-4326-86e7-bdad5288053e}</author>
    <author>tc={a6778df2-0635-4fd4-abdf-1f985397451e}</author>
    <author>tc={a69845a7-eef3-4c1e-81e7-acdd44448247}</author>
    <author>tc={a698c1db-0c08-4597-9620-1f31dbbf2122}</author>
    <author>tc={a6a3423d-9f6e-4923-bcac-429daea3bc86}</author>
    <author>tc={a6a54c55-1691-464e-9c3f-7732f2381504}</author>
    <author>tc={a6abc103-467b-4d40-b60c-a7988deea353}</author>
    <author>tc={a6b224ad-b556-4f77-a078-00212ef3072f}</author>
    <author>tc={a6b8282d-0a83-4499-a6c8-ffe8ccf04c76}</author>
    <author>tc={a6d96ed1-1b79-4ce5-9367-3a26bdd781b8}</author>
    <author>tc={a6fb5449-44e7-43f1-93c8-9690ab140a0e}</author>
    <author>tc={a7158a20-0b5c-47f7-a880-69a675713f99}</author>
    <author>tc={a715b947-f29b-439d-ac83-5263ce39cb6e}</author>
    <author>tc={a7214bb1-5ced-4f19-ad31-67dc44f67ca2}</author>
    <author>tc={a761ac0b-605f-40dc-bfcb-7903803d1504}</author>
    <author>tc={a783df39-8506-4f1b-a5ba-c32bd40da8eb}</author>
    <author>tc={a790fe84-d8a4-4d71-b9aa-059fe4b7efd4}</author>
    <author>tc={a7b1256e-d477-4e7d-b926-7b21a4cb6b10}</author>
    <author>tc={a7b3e573-4992-44cc-88bf-c2c5fb79b5c8}</author>
    <author>tc={a7b999d4-f8aa-4207-896a-02e91b67070c}</author>
    <author>tc={a7c5905c-bcd0-4a61-9505-f455bccb0828}</author>
    <author>tc={a7c9de5c-b9d2-4bde-8667-c1f3415eea85}</author>
    <author>tc={a7d0ed18-3061-4a72-9a8a-8921ec3cb0eb}</author>
    <author>tc={a7fca905-c5e4-4b6d-ba40-7ff863c693d6}</author>
    <author>tc={a82d9189-2ce7-4071-8bd7-0becc36f24d8}</author>
    <author>tc={a83345a9-cbfe-4214-b9b2-20c357badd59}</author>
    <author>tc={a83d87fb-0508-46d9-b6d1-979da07d4f0c}</author>
    <author>tc={a83f483f-e01c-4043-bcf1-b3cb34aa7741}</author>
    <author>tc={a85561e0-d64c-4910-ab27-24f1a22fb893}</author>
    <author>tc={a85e0922-c7f4-42ef-b82f-915d9621ec62}</author>
    <author>tc={a86e276f-e938-4217-8b5b-3d7e95039793}</author>
    <author>tc={a888e1ab-ee85-45af-935e-e7238568729e}</author>
    <author>tc={a88ed5c0-23c0-45ae-925a-8a2cb2dcb93a}</author>
    <author>tc={a8984b30-be29-44f1-8493-b5b8d4d5c339}</author>
    <author>tc={a899046a-0cd4-4c11-848a-feadedab07a5}</author>
    <author>tc={a8bc8324-918a-4b8c-a4ec-394f16394acd}</author>
    <author>tc={a8d0ee80-ced7-437e-9caf-a0991f13d540}</author>
    <author>tc={a8d0f3b0-a02c-4bb0-a18f-808b38281b2f}</author>
    <author>tc={a8d6ce8f-147c-40b0-bfd1-172942cca825}</author>
    <author>tc={a8e0e3ea-b2b4-4df6-9afd-3bdeb4f40d2b}</author>
    <author>tc={a8e4bac0-bd67-408c-a883-18ccd454bacc}</author>
    <author>tc={a8f62618-5c33-4448-ae23-95a5677b592e}</author>
    <author>tc={a90e354e-8a12-4837-9f50-a38b8a206602}</author>
    <author>tc={a927a5d3-e5bd-4af4-996b-b2176e21dcd9}</author>
    <author>tc={a94e9c46-0fc1-400b-97c9-12b62c3f4ffb}</author>
    <author>tc={a97768f3-fd8e-4d44-b6b2-904c5ebfec77}</author>
    <author>tc={a996885b-3221-4c83-a904-431539810d0b}</author>
    <author>tc={a9a95ab6-387a-4b4f-ba0b-c936d1873005}</author>
    <author>tc={a9d970da-6b7c-454f-96c1-463574bd3051}</author>
    <author>tc={aa0bb169-a52b-464b-8172-32f8d9dca830}</author>
    <author>tc={aa19804d-741c-409e-bcc4-3a05d99ba8d9}</author>
    <author>tc={aa3831d9-444a-4afa-af8b-8ca5ed2929a7}</author>
    <author>tc={aa3e4926-5863-400b-98be-bd89f1e46231}</author>
    <author>tc={aa5c8e60-1cde-4fb9-805e-2e34cb4d39b4}</author>
    <author>tc={aa626c0b-63fe-486c-a99a-455aa0bb8dd9}</author>
    <author>tc={aa837fda-48ba-47f2-a01f-e9ad0ca7db01}</author>
    <author>tc={aac53d22-18a1-4e8f-ada7-de246d6c70d1}</author>
    <author>tc={aac9093c-2b7c-4fea-8c51-475280cce4c5}</author>
    <author>tc={aacc99d1-8be1-41cb-9829-5ccd0756481a}</author>
    <author>tc={aacfb061-ba20-4e0b-8bd2-fee88aa7962f}</author>
    <author>tc={aaf33e1c-4318-47a3-bb56-01b5397c888e}</author>
    <author>tc={ab047a3e-7735-4ebd-907a-4be2a5f03b3a}</author>
    <author>tc={ab2b11fc-1b32-48f9-a3af-542363ce6a47}</author>
    <author>tc={ab3a2720-4079-4686-8406-51c7d9ac6a27}</author>
    <author>tc={ab52d8d6-ddc4-47bc-9a0a-15462cc67bb6}</author>
    <author>tc={ab5408a1-7e65-4a5d-8dba-0b7a4798c6e6}</author>
    <author>tc={ab5a8c8f-9f8b-43dd-8fcd-3781a9c6e3f0}</author>
    <author>tc={ab6df4a2-a821-4fd4-ab0e-ec1110332ef4}</author>
    <author>tc={ab71e601-cb36-473c-be1f-d1329cd0adf0}</author>
    <author>tc={ab9277fd-cf41-4df5-a443-d23a90a369ca}</author>
    <author>tc={ab9e3ff4-a333-453d-b220-5557f462dab9}</author>
    <author>tc={abad99b4-d156-45b8-a80e-1c91f4d2b2ba}</author>
    <author>tc={abb1f7b8-f176-4c7d-ae52-9a69119002f1}</author>
    <author>tc={abb9d5fc-f855-4205-b015-74508368ae8b}</author>
    <author>tc={abe4c7be-3407-49d1-9a45-89ddcf15e35d}</author>
    <author>tc={abf9b654-bfd0-4e14-a6ce-bf728333ce0f}</author>
    <author>tc={ac0330d4-f39d-4e6c-99b3-166da6ee8993}</author>
    <author>tc={ac147aa2-3479-40cb-8da0-cec1a867580d}</author>
    <author>tc={ac203d69-5dff-4827-941d-0ddd9bf7e0c8}</author>
    <author>tc={ac27818d-6a78-4749-beaf-148f110e2832}</author>
    <author>tc={ac3d7f5e-10cb-4713-9915-27ce2321a2f7}</author>
    <author>tc={ac3e74e9-5e57-4e9b-9fe4-374da2d07360}</author>
    <author>tc={ac7f4833-3905-40a0-b1e6-842e8a9f5efe}</author>
    <author>tc={acb62338-646c-4707-92c4-0b3c7dc25351}</author>
    <author>tc={acd29393-0dc6-4498-9734-f9d43ca4ef52}</author>
    <author>tc={acd68ef6-8ba7-4c98-a04e-0403eb03fd98}</author>
    <author>tc={ad06708e-fc0a-46a9-94ec-09c3af1c821e}</author>
    <author>tc={ad0938db-e1e4-413e-8c1f-bc3d11c8600b}</author>
    <author>tc={ad0f3f5d-289d-48ea-ab57-2678b99b8899}</author>
    <author>tc={ad0f5347-fe42-4ca9-8471-9ad4748a9a81}</author>
    <author>tc={ad1e812a-d8e3-413c-8abb-b6a48a3dbed7}</author>
    <author>tc={ad420263-a1c5-465d-b243-03b114a6a5a7}</author>
    <author>tc={ad576643-68fd-46a8-bb61-7e880d23af5c}</author>
    <author>tc={ad5b1039-165f-453f-88bf-e3f24c2676d1}</author>
    <author>tc={adca4fc4-a538-4f7e-ad1e-43ad169c4d86}</author>
    <author>tc={ae024c77-167d-40ec-a56a-239f7af4aa2a}</author>
    <author>tc={ae33891a-a401-4ab1-950b-e5b5923108c4}</author>
    <author>tc={ae504d4c-6cee-4dcb-a852-a7bcf16e9caa}</author>
    <author>tc={ae530da8-e7ea-422d-839b-0e64e30bedb9}</author>
    <author>tc={ae7215b4-7490-4c61-9b7b-fc802a6bc28f}</author>
    <author>tc={ae7e27bb-dd60-4053-9bc9-36c1dfb5690d}</author>
    <author>tc={ae8949b3-f3c0-4c77-a69c-63402b9e9e38}</author>
    <author>tc={ae96d854-399c-4c3d-9fef-4d3e5c13415e}</author>
    <author>tc={aea48335-d316-4f16-a0b4-4a87327e6019}</author>
    <author>tc={aedbca38-a889-4d83-b097-adc3917d56f9}</author>
    <author>tc={aee425c9-d758-4794-a9d5-07a8e6b19fc3}</author>
    <author>tc={af0df5dc-41bb-4656-947d-391b8e51c001}</author>
    <author>tc={af144b1d-f621-4722-b9b7-a7ec5eba2932}</author>
    <author>tc={af2244b2-6ea0-4b00-9d22-948e7f2756be}</author>
    <author>tc={af23f0bf-bf6f-4ece-bbca-1deb6f21823f}</author>
    <author>tc={af7f7f68-e499-4350-80c0-8ced6e584123}</author>
    <author>tc={af8782dc-e759-4d10-827e-a8d254c830c0}</author>
    <author>tc={afbafc57-a7cd-4646-a1a4-d4467f1a815a}</author>
    <author>tc={afcf12e7-47cf-4743-bd18-418f0ce69f73}</author>
    <author>tc={afd791e7-6cf4-4fc1-a1d6-61f122767406}</author>
    <author>tc={afdd53e4-8f04-4144-9643-cdaa2c9ccffc}</author>
    <author>tc={b0023b58-7e18-4022-8770-0b99fcc9329b}</author>
    <author>tc={b02152d7-4be7-4bac-8472-7d5f173c9cfa}</author>
    <author>tc={b041f355-7865-4bcd-b1d4-8b387df3f810}</author>
    <author>tc={b069a6fe-8a39-4ce8-adb8-aed8277701b7}</author>
    <author>tc={b0943ea1-22f4-45f7-a777-8c21927d5d65}</author>
    <author>tc={b09d38c6-c28f-412c-b84c-ce3a1b23b996}</author>
    <author>tc={b0be4b50-4921-4760-bfa9-21bb07c9e30d}</author>
    <author>tc={b0db761e-692e-4f87-bb02-a351e5ec1b90}</author>
    <author>tc={b0fee260-2b52-4fc8-940f-f6ff6973743b}</author>
    <author>tc={b0fee61c-2f47-40f5-b4cb-587b5b1ce61e}</author>
    <author>tc={b10b32c2-342a-4328-b2e6-b7474cf066dc}</author>
    <author>tc={b1258987-11b3-47ee-a5c9-a96098506076}</author>
    <author>tc={b14445aa-6654-476d-86d2-87ab891e9d78}</author>
    <author>tc={b14ec05e-f2c9-4762-99f6-9c5b56ac741e}</author>
    <author>tc={b15e156f-a03f-4044-a16b-0594ec42f758}</author>
    <author>tc={b183417b-6c24-4819-aadf-cacddee76632}</author>
    <author>tc={b1ecc1f4-1774-4ae3-b1d9-1ca93d4107ea}</author>
    <author>tc={b222f3f5-cad1-44db-bea3-b68853559824}</author>
    <author>tc={b228cbed-c65e-4d56-8896-f6779fb9d11e}</author>
    <author>tc={b2414602-56e3-4a61-950f-3bf00c243dfa}</author>
    <author>tc={b243210c-d63b-4f3b-b685-80d3264349b4}</author>
    <author>tc={b26fe346-530c-450c-89e2-649c112af95e}</author>
    <author>tc={b277f59e-defb-4940-a7c0-4bcce7827fe6}</author>
    <author>tc={b27993ab-3e27-448d-8cd8-baca97d676a4}</author>
    <author>tc={b27dfe2c-ce58-430e-b819-fa8bda735b42}</author>
    <author>tc={b280ecc8-91d0-41f7-ac7b-03d8b80e4b81}</author>
    <author>tc={b29ef2a8-6854-4356-bc7a-0a31bdc2a5a3}</author>
    <author>tc={b2a550af-6b8b-4d55-93f9-a69cf3031d1d}</author>
    <author>tc={b2b3ce51-bed6-4728-8f8f-1da7ebf299a7}</author>
    <author>tc={b2bb62f0-9fee-466b-bd16-04aa860fe61a}</author>
    <author>tc={b2cda89e-49a3-4574-984e-32ecda1a7898}</author>
    <author>tc={b2d2031a-8e32-4275-93a2-2888b8e5d088}</author>
    <author>tc={b2e1f249-852b-4c01-9056-5cfa061e5ccb}</author>
    <author>tc={b30003a0-6d71-4250-bec9-cee23e23bedc}</author>
    <author>tc={b31b3114-7d63-4329-a124-69ef4063d014}</author>
    <author>tc={b3373809-b8f9-42ac-9884-15626d1adab0}</author>
    <author>tc={b33ca40c-d831-4032-88b1-f910ef441b51}</author>
    <author>tc={b345da53-dc42-49ae-be59-ff055243039d}</author>
    <author>tc={b347fc7b-33c4-4f05-a06e-94d56fc2fb25}</author>
    <author>tc={b354a716-a6be-4c67-b25f-24c7f7b13438}</author>
    <author>tc={b387fe55-6349-45f4-bb70-c4478ee5d92f}</author>
    <author>tc={b392be30-11aa-4f84-8b32-8baeb8aa3859}</author>
    <author>tc={b396d47c-6e86-4e06-80c8-fa524834e9ad}</author>
    <author>tc={b39ecb6c-640f-4f0f-91e3-4f0efa9f3796}</author>
    <author>tc={b3a1ef29-65dc-404e-b937-5f7b90ee1ab6}</author>
    <author>tc={b3b3e6bc-c6af-4220-a422-f1da5f5c41db}</author>
    <author>tc={b3c886b2-bc8f-4d99-9c89-3a390f6ec205}</author>
    <author>tc={b3dbb165-6250-47a0-b7a4-ffccaee951d0}</author>
    <author>tc={b3e53c5e-a7e2-430a-9ee7-a4f93dcaa68c}</author>
    <author>tc={b4120423-401c-462e-bff1-f19397a9d8bf}</author>
    <author>tc={b4309766-c03c-4e17-92c1-c9c4c7968e00}</author>
    <author>tc={b4562bbc-a270-4bd6-83a5-2487f7a22f92}</author>
    <author>tc={b467852f-08ce-447a-9c6f-d3b6a4c6f019}</author>
    <author>tc={b4679318-2dcc-46c9-9adb-e9d08eb8cd86}</author>
    <author>tc={b4959f1c-1dba-4b04-8330-93eb755b1c41}</author>
    <author>tc={b4a197ba-3d95-4a25-b3b4-6057b5f65525}</author>
    <author>tc={b4a5f8d2-12ad-44f4-a883-69354ff94275}</author>
    <author>tc={b4c3f090-8b0b-4404-afb5-c3a211a559c4}</author>
    <author>tc={b4d6cec3-df31-463a-b130-e01f31f3426c}</author>
    <author>tc={b4fdf31a-917c-42d3-9585-9eeb5c2ce036}</author>
    <author>tc={b51e19f0-851f-4bce-b45a-55b640123a69}</author>
    <author>tc={b52c6ef8-2f12-4842-a8b7-816c4138d78e}</author>
    <author>tc={b56c7fbc-fecb-4550-88d2-162f59126cbc}</author>
    <author>tc={b57e5b69-28b7-49b6-acf8-29cd5f297f7d}</author>
    <author>tc={b59932ea-573f-4de4-a7c8-227db1bc4532}</author>
    <author>tc={b5f9fc12-4ad3-4130-a075-9c68a638826f}</author>
    <author>tc={b61f5de4-b4d8-4983-91a7-c527c5a764b0}</author>
    <author>tc={b65dbd13-70fb-43f0-94d3-d6dc75c51fd4}</author>
    <author>tc={b664670b-c9ff-4866-b4d3-0bd2b830ac24}</author>
    <author>tc={b66a7e52-12a6-4b16-9db8-309c99285a3f}</author>
    <author>tc={b68266d7-11a8-47b4-af58-a9c220d4e8d9}</author>
    <author>tc={b690d3f5-c1e3-4ee4-99f1-21300dc1dfc2}</author>
    <author>tc={b6977b27-5964-4cac-98ce-01be76592d85}</author>
    <author>tc={b6dfa8da-c8ac-4d86-913b-5c41f99904ca}</author>
    <author>tc={b70194e7-e7f4-406d-925a-a2067a7a50ff}</author>
    <author>tc={b773e6ae-f9c6-4697-8c7a-86f3f8c78a66}</author>
    <author>tc={b78946e0-2d40-494d-859f-00ab21a90a55}</author>
    <author>tc={b78d674a-3ff8-4f47-a87c-caac038bc535}</author>
    <author>tc={b7b3ebd0-530b-4f2e-95bd-805e575db687}</author>
    <author>tc={b7b9241c-a4d2-4005-bfe8-ef14d696f8a6}</author>
    <author>tc={b7c13362-1669-413b-9fbe-ca0d218c2d13}</author>
    <author>tc={b85f08bf-e8e3-40f2-988f-f612be70f9d4}</author>
    <author>tc={b8606b6f-4c14-4b86-869c-c2d8829924b0}</author>
    <author>tc={b88be370-c504-4419-9542-51f194b338c3}</author>
    <author>tc={b8adde2b-da45-4429-801c-24584874cac1}</author>
    <author>tc={b8b720cd-c937-479b-9ca5-9b40074e623d}</author>
    <author>tc={b8ba4b31-34c4-414c-9d02-1711a2e35789}</author>
    <author>tc={b8bbf0e1-87af-4014-bf02-7dc7f1cd6ada}</author>
    <author>tc={b8e5f1fd-41f1-4e0e-b5b1-c8a55f32f14f}</author>
    <author>tc={b8efb80a-316e-411e-98d5-835d54e8594e}</author>
    <author>tc={b8f0c51b-2721-458c-a853-ceff385d46f6}</author>
    <author>tc={b908de7a-aad4-42eb-b79e-78f2070777ef}</author>
    <author>tc={b911e36b-e2ed-4363-998c-dc88792ec637}</author>
    <author>tc={b93dea92-fdfb-4ebe-b7d4-06ff385fd168}</author>
    <author>tc={b983f11b-601a-44f1-a49a-6bbd36857dc1}</author>
    <author>tc={b98a8015-798c-4952-a499-53d13b52a1b5}</author>
    <author>tc={b98fa988-1c6d-48d4-9a31-56b746cb0975}</author>
    <author>tc={b99528b9-dd7d-4370-99f5-1a42e21e1a0b}</author>
    <author>tc={b99a3f4f-748f-4607-84f8-2f0716bf6ace}</author>
    <author>tc={b9bc9885-7db6-4d59-9225-5d9f4b6af511}</author>
    <author>tc={b9d2e1e6-c5b0-48a4-b81f-3a7b2ebdeaf8}</author>
    <author>tc={b9dd2583-9b72-42fd-bc25-67662c25dcd2}</author>
    <author>tc={b9fa5207-25af-414b-a7b7-d3bdd4260690}</author>
    <author>tc={ba2869e3-c266-403a-8b14-35e6456253e7}</author>
    <author>tc={ba378028-3670-4903-b3e4-b5122800e108}</author>
    <author>tc={ba398707-40a8-489f-b90f-729020caec2c}</author>
    <author>tc={ba503d5e-ee7c-4a9d-a6f1-90fc78c8e7cf}</author>
    <author>tc={ba68325b-67e0-455c-879b-31817b0137bd}</author>
    <author>tc={ba8ddfd5-3685-4855-89a3-e38ff33df618}</author>
    <author>tc={baa4b8c8-27a2-4761-9e1f-3fde95a6db42}</author>
    <author>tc={baddb8c8-0300-44cd-8eff-0a938c2c5766}</author>
    <author>tc={baef62b5-061d-4fd2-abd8-d0edd61c41e1}</author>
    <author>tc={bb10f8af-afec-4c59-9f55-266eede2b6ca}</author>
    <author>tc={bb12cbe8-5b2c-46ea-8845-2ec2d145b6cf}</author>
    <author>tc={bb39439e-23d3-48c2-9d37-bfb8142feb3a}</author>
    <author>tc={bb3a7394-ad30-4fc9-833d-a449da5b735f}</author>
    <author>tc={bb4ff88a-aa51-4d3c-a65a-1f962fca8012}</author>
    <author>tc={bb66ac92-3dfb-475a-8f63-1ea8c01e2f68}</author>
    <author>tc={bbea6630-9de5-40ff-866c-86bd8813139d}</author>
    <author>tc={bc1f4c1e-e647-4bbe-b882-190033d812bc}</author>
    <author>tc={bc353cd6-7e16-4c75-93e7-07c66f645557}</author>
    <author>tc={bc70e71f-bf77-4213-9e81-52e6ffa6a517}</author>
    <author>tc={bc79a202-003b-4b9b-96b6-2dbdb2d71c3b}</author>
    <author>tc={bc970ec3-7fb8-48c5-8e9e-de091d5e3025}</author>
    <author>tc={bc9d2fb8-54cf-400d-82df-9c418781090e}</author>
    <author>tc={bc9f44fd-1cd2-4586-a409-788615b1ca53}</author>
    <author>tc={bca04aa5-171b-4927-a4da-670edf3be621}</author>
    <author>tc={bcb344ee-2a43-43f2-ae40-b1dea0014d80}</author>
    <author>tc={bce214cd-1a53-4e3e-b9ca-85c4fe5c0016}</author>
    <author>tc={bd37c8fb-9e0a-45de-bdd7-1f77f2949fbd}</author>
    <author>tc={bd557a57-9e5e-48f2-b1fd-71f10dba37a8}</author>
    <author>tc={bd5a0c03-3f42-46a5-9f5c-5419321283ff}</author>
    <author>tc={bd6f0679-ed44-4aff-9035-004be9223d1c}</author>
    <author>tc={bd876a9d-e969-4a6e-9484-b08c050a6d24}</author>
    <author>tc={bd95c8da-260b-4f3b-8ddd-3f40e305ca20}</author>
    <author>tc={bd9ab271-9651-4e3a-a291-84f5fc2a9ca3}</author>
    <author>tc={bd9e9014-3d2f-4854-a3ca-e0db26df5e23}</author>
    <author>tc={bdc17fde-2f0e-4e61-a384-2cdd5ba43cd6}</author>
    <author>tc={bdc466d0-f7e7-4994-8a5f-d9b6e5ceedfb}</author>
    <author>tc={bdf2acf4-452c-4199-abdb-0cad61b74481}</author>
    <author>tc={be005955-e1a2-46d6-a195-6c1351323a75}</author>
    <author>tc={be04e9b9-60a2-4219-baff-8fb0097dbc99}</author>
    <author>tc={be2183e9-dd35-449b-aaaa-4dce59b9a65d}</author>
    <author>tc={be4a1788-9096-4a64-94ab-3832b865b2de}</author>
    <author>tc={be75d311-64d1-4b44-ad58-ddfc26bede41}</author>
    <author>tc={be883f4b-ec37-4382-b962-479e8dada776}</author>
    <author>tc={bea19ce7-0886-4314-b43e-9a5ecba61a10}</author>
    <author>tc={beb637a8-932d-4cd8-89ef-7ff72e24f863}</author>
    <author>tc={bebe812c-9d01-439c-b99c-fab7a4345d49}</author>
    <author>tc={bec06ce8-8f75-4552-ad2d-5f35d1952263}</author>
    <author>tc={bed74fd2-1420-4329-9b17-06045a995fb7}</author>
    <author>tc={bee33b91-e28f-4d83-abfa-5950f73190cd}</author>
    <author>tc={bf13f77f-c363-4b32-82ac-841e4817b41f}</author>
    <author>tc={bf191971-e4ac-4756-b871-f46510b29f66}</author>
    <author>tc={bf3efa47-bd89-4d5a-8a45-6042e9cf1dc0}</author>
    <author>tc={bf3f9fec-b273-4ac9-865f-2c8e0aad694b}</author>
    <author>tc={bf4452d7-4208-469c-8546-614d1f4a739f}</author>
    <author>tc={bf5973f1-5241-48ae-ba37-e4ae26aa015e}</author>
    <author>tc={bf5b4a87-5858-47fb-b1a6-2d3903d4b020}</author>
    <author>tc={bf67b48e-e42b-43e6-b4dd-d5880491a879}</author>
    <author>tc={bf98a44f-a265-4879-bd2e-c122b5f3981a}</author>
    <author>tc={bfc616f9-121f-45aa-b368-b40b61bf212d}</author>
    <author>tc={bfcefc98-dd61-4435-b79d-9344f9c9eb1a}</author>
    <author>tc={bfdbd0c6-f62f-45ff-8162-7096270ab50c}</author>
    <author>tc={c043ac36-9d85-4b91-ae4b-bbb340e769b1}</author>
    <author>tc={c08b0242-6d0e-42d6-bf9b-7e694d8602c6}</author>
    <author>tc={c0b42771-d0da-4bef-867b-c16e63c3115f}</author>
    <author>tc={c0b4923e-73bc-4365-8be2-b484069ced67}</author>
    <author>tc={c0d659b4-0cda-48c9-b85b-c9bbfc12b6b4}</author>
    <author>tc={c0e8454c-3e9c-45e6-9e3a-7fb831f27a14}</author>
    <author>tc={c0f971eb-fe57-4a0a-a130-e12ce63040aa}</author>
    <author>tc={c10d5518-b8d2-4146-a667-eea0375d7c80}</author>
    <author>tc={c15ab763-4e43-4c52-95be-78991e5d61b5}</author>
    <author>tc={c16d6c99-0465-470b-9817-edb780be0c1e}</author>
    <author>tc={c1896476-7d02-4654-8699-0a6e3bb4e329}</author>
    <author>tc={c19d51a2-410e-4054-8245-bf14728b5fd7}</author>
    <author>tc={c1c205ec-ce30-4775-ba51-e8c506474664}</author>
    <author>tc={c1ed450d-8f96-458d-90ca-f916d31804e4}</author>
    <author>tc={c24ecd5c-caed-4a91-a551-b1cc2cb36a87}</author>
    <author>tc={c26339ca-7c9d-4e34-a95a-b0aa2905a3a7}</author>
    <author>tc={c265e691-75f4-49cd-a6a6-863f81cf58fd}</author>
    <author>tc={c278f863-4932-48b8-97b0-bd6def4fc179}</author>
    <author>tc={c27aadd5-2fe9-42ea-9ba6-6e33d0c148ab}</author>
    <author>tc={c292c4de-0ddb-4562-bcfc-c49b4f306ee6}</author>
    <author>tc={c2aec279-96a8-4ab0-9066-c46c758f1ebf}</author>
    <author>tc={c2cbef50-fd11-42ef-afd1-d28c598bbac4}</author>
    <author>tc={c2d5d531-9d10-4bff-9944-e48ba2462359}</author>
    <author>tc={c2e10e3e-d7bc-4562-a2f0-4c842b9c5258}</author>
    <author>tc={c300ec72-65f5-4562-9a20-353f25244b41}</author>
    <author>tc={c339bb9d-6ddb-49d2-bc26-d3e9bff21b41}</author>
    <author>tc={c34751ef-161a-43f1-bd33-387ec00327c0}</author>
    <author>tc={c3641ec4-1964-40c5-969d-6a43cbefdc3f}</author>
    <author>tc={c37a609a-d998-475c-aa22-55ff72c57bd1}</author>
    <author>tc={c37a9d23-1d4d-496c-9626-98a356609de1}</author>
    <author>tc={c3b43e0c-140e-4a53-9e2d-62c5ee43a7cd}</author>
    <author>tc={c3c0b394-01d9-42aa-94ee-0a4f4eacab3d}</author>
    <author>tc={c3d11ed0-3824-42d2-967d-66bb3ab531ff}</author>
    <author>tc={c4157fcf-e473-43fc-aeac-593db967c4f4}</author>
    <author>tc={c41fa355-a443-4d6c-9854-78337bde4cb2}</author>
    <author>tc={c42e6d2c-b12c-44db-ab06-67220f03969a}</author>
    <author>tc={c4498452-c5b8-451b-8abf-4a356124781e}</author>
    <author>tc={c46f4784-7256-4a82-b77d-0be2d4ea756f}</author>
    <author>tc={c477eb10-ebad-4045-b6f4-92458744adce}</author>
    <author>tc={c49ca94f-08b1-45d0-a14c-1e557fc6324d}</author>
    <author>tc={c49d1354-cfee-4cd6-989e-492340a2de9b}</author>
    <author>tc={c4aac629-c846-4172-a34c-39e0c8bc1055}</author>
    <author>tc={c4afe990-2046-4e66-b84a-a3a08ad6c93a}</author>
    <author>tc={c4c7308f-04bb-4154-bfd7-06496000395b}</author>
    <author>tc={c51b228c-b0d3-4f7e-8948-428557beb32d}</author>
    <author>tc={c55609f3-96ab-463e-aabc-b3522476fcbf}</author>
    <author>tc={c57aade2-30ac-44da-be14-496f3c4ad17b}</author>
    <author>tc={c597c722-98a5-470e-bac5-a5903401f2c1}</author>
    <author>tc={c5a31819-e88b-45c0-9a89-9c515c7eab13}</author>
    <author>tc={c5aaa556-a3f9-4378-b100-f0b71482ae87}</author>
    <author>tc={c5b270ee-28de-47f6-80d2-8dcd70c6fef2}</author>
    <author>tc={c5bc244f-27c7-4a53-ba3d-2155feea3d96}</author>
    <author>tc={c5d60fe8-959c-4d98-897b-b103cf3dd23c}</author>
    <author>tc={c62433f3-aa46-4979-83e6-557f8d96c2ff}</author>
    <author>tc={c6a09dc9-6d32-42f1-8293-afb1f7cc93a0}</author>
    <author>tc={c6c89f4d-9114-4669-835f-65b8f8fa56a2}</author>
    <author>tc={c6ca1e0f-e9e6-4835-9653-d3aff05a4f3a}</author>
    <author>tc={c6edc3da-4973-431a-909c-ce34d0fa7f9b}</author>
    <author>tc={c70457d7-d202-48f7-a432-a7eb692d56db}</author>
    <author>tc={c70d2941-da88-4691-80b1-c4fb9b982618}</author>
    <author>tc={c74e127e-49fa-4d81-a110-5eb848a3893e}</author>
    <author>tc={c75490ef-80e2-4504-837a-da2747892580}</author>
    <author>tc={c77a2578-866c-4eff-929e-1f0e5b7672a3}</author>
    <author>tc={c7a1250d-16b2-4321-b729-642b3f8300a1}</author>
    <author>tc={c7a950af-9ca8-4db8-bfb3-f5436972e681}</author>
    <author>tc={c7b0401a-70f0-4d14-bae4-fdcce8b9f595}</author>
    <author>tc={c7b43c01-a5fb-467d-b63e-dc14dd76914d}</author>
    <author>tc={c7d24508-85ce-4384-a67e-28cb8f611e56}</author>
    <author>tc={c7d69bb3-fa90-48c9-a5dd-495c0fd60b51}</author>
    <author>tc={c7f7b035-c963-4eae-b40f-ce7514f6e875}</author>
    <author>tc={c8082d96-6961-4888-b816-53a8269c50cc}</author>
    <author>tc={c80c8b54-1df6-4683-a1dc-f92c8cf55cca}</author>
    <author>tc={c80e1e50-785a-4109-bf14-4530f4648766}</author>
    <author>tc={c8467c4d-349b-445e-8dcf-201aa372d31a}</author>
    <author>tc={c8575e22-4dd2-4494-a5dc-d68900241511}</author>
    <author>tc={c86b8aa3-4a7b-4d3b-beab-c9ef75cf4d35}</author>
    <author>tc={c87510d7-e784-4148-b0f8-af0ab48d3419}</author>
    <author>tc={c89b8914-8c97-4429-83d8-045a40e77dd1}</author>
    <author>tc={c8b8682a-023b-493c-bf43-f3097be88b33}</author>
    <author>tc={c8c3fe4b-f538-4808-b4d7-4a14706de946}</author>
    <author>tc={c8f76937-5e48-4e56-9b96-76e3d1d05654}</author>
    <author>tc={c901f9e7-e1f9-4789-9c98-b8039c04e454}</author>
    <author>tc={c903c62a-62f1-4317-b78e-08886189a880}</author>
    <author>tc={c90aff8a-1aa9-41ba-b2be-e03bd7cb02e7}</author>
    <author>tc={c918806e-f9d4-4000-b114-70ef47efc4bb}</author>
    <author>tc={c9292db4-ee87-4d5d-9092-c1c1fdf04ff4}</author>
    <author>tc={c9e25bcc-45d8-4856-96aa-7fdf1265d26e}</author>
    <author>tc={c9fc1d57-19ef-4d8c-8632-22df8f4bb61a}</author>
    <author>tc={ca0b0300-1b50-461b-8e74-a1e6774f1032}</author>
    <author>tc={ca1473f4-09a9-444c-98cd-6ce04c710a46}</author>
    <author>tc={ca1d1050-2c5b-4957-ae24-f318ee743506}</author>
    <author>tc={ca25f2e4-ed52-4ddf-afdb-ba8d9f7846e6}</author>
    <author>tc={ca6c0d27-ca3f-4db3-9769-60fe6481f466}</author>
    <author>tc={ca86a7d6-38bc-4cfc-81cb-61f409b8b03d}</author>
    <author>tc={ca9abd5c-fba7-4a1c-9542-cdf448ebc5e2}</author>
    <author>tc={caa0a27e-7846-4d9f-9c55-d258bbf789fe}</author>
    <author>tc={caa4352f-2238-4395-ad11-2d15a337bfdf}</author>
    <author>tc={caa9df4d-7261-49f3-9385-da11c74ea168}</author>
    <author>tc={cae17399-7200-4f41-931c-a8e814095f0c}</author>
    <author>tc={cae1e8a2-ca83-455d-9833-0aecdef61593}</author>
    <author>tc={caff2082-af79-41a5-adbf-65a38b5bb7ee}</author>
    <author>tc={cb2abc90-7e35-4af2-9b77-bd1f56ede0a4}</author>
    <author>tc={cb41fa97-de1b-4b0d-ac12-f961cbe848ec}</author>
    <author>tc={cb5332c1-d6d6-4dcc-a58e-01e5d32c60e0}</author>
    <author>tc={cb61112f-33e0-4a17-b52a-2c80da076419}</author>
    <author>tc={cb8cb070-1e20-481d-bf03-a3475ff4e2e8}</author>
    <author>tc={cb8e843e-7eb6-4ca0-b50c-50a63f9809e1}</author>
    <author>tc={cb91a264-e3a5-46f5-bdd3-8d69ef6445d5}</author>
    <author>tc={cba959c8-9d7f-4b4c-8a10-be95a632d947}</author>
    <author>tc={cbae4e9b-a8ec-4df6-898b-d491a88d094a}</author>
    <author>tc={cbb8fd53-ffec-4b34-811f-49a8ec292fb9}</author>
    <author>tc={cbcd1081-9038-4cac-8792-3d4251f8265a}</author>
    <author>tc={cbf9c48d-b071-4965-b6c5-fc067f437c18}</author>
    <author>tc={cbfccef2-59bb-40dc-82c4-644e93a3b74b}</author>
    <author>tc={cc310415-89e0-4b7c-b589-ec9cc205e8a3}</author>
    <author>tc={cc595d0d-5975-499e-983c-e9f91da43789}</author>
    <author>tc={cc61d8cf-d8bc-48fb-a57a-f01134923918}</author>
    <author>tc={cc72f430-86d4-40af-aaab-8309a0735af1}</author>
    <author>tc={cc78066f-3045-4536-b850-f37cfd78cb7a}</author>
    <author>tc={cc8a415c-2d00-41b7-931a-ede80e716a12}</author>
    <author>tc={cc94ed71-7091-4ff6-8453-e8876d1c80cc}</author>
    <author>tc={ccaea062-59ed-4d1d-bec9-f348de6ae96b}</author>
    <author>tc={cce071e5-288b-4cb4-be2b-869eaa1a1f23}</author>
    <author>tc={cce71426-9700-42e5-a7b4-6edb88c74632}</author>
    <author>tc={ccee0136-92b3-47cb-b47a-bce8cfe32b4d}</author>
    <author>tc={cd0775c2-2df3-41bd-8ea1-af0260e64f26}</author>
    <author>tc={cd53a906-0eac-4350-9d19-35ae9bba7ccc}</author>
    <author>tc={cd6319fc-5f74-4ed2-b593-98303cc6f9f6}</author>
    <author>tc={cd71c343-a8b8-4d83-b98e-19bf4d752bc7}</author>
    <author>tc={cd7fbcde-f968-44fc-92cf-c1d3ef374378}</author>
    <author>tc={cd961a41-23f3-4b1c-8d8f-3bdc55eab1d7}</author>
    <author>tc={cd9f4ec3-554d-48a0-afe5-283f04010347}</author>
    <author>tc={cda5334a-97fe-4ce4-a785-7da01301b38a}</author>
    <author>tc={cdba5d8c-9cee-4cd2-8775-cdb5895fe622}</author>
    <author>tc={ce15e5ba-a266-46bf-9b35-28988ecc03f2}</author>
    <author>tc={ce19d567-b6be-475d-9447-4827bbe57381}</author>
    <author>tc={ce627714-0ec8-4038-8322-0a9d42c4b7bc}</author>
    <author>tc={ce7332de-19de-4a0f-bfdc-ba92c967352d}</author>
    <author>tc={ce955f7b-b4aa-4ae1-b1ab-885b524eb4d1}</author>
    <author>tc={ceb1ef0b-0e5b-40b6-be6f-509a89f7e4b6}</author>
    <author>tc={ceb2ca6b-6dd4-459e-89cc-db18b1c5f839}</author>
    <author>tc={ceb6691a-e4be-41fd-91e7-fb2481eeadd4}</author>
    <author>tc={ceb82835-26f3-4ca9-b0e0-abd90821d9d9}</author>
    <author>tc={cec1340c-0ca1-4bd6-99db-0d238d97a301}</author>
    <author>tc={cee1e81d-ac06-472d-bf22-6b2f1c2d8c56}</author>
    <author>tc={cf2db55b-41fd-4003-8c62-7e1c50229f10}</author>
    <author>tc={cf2fcd8b-e0db-428d-a2b9-3b0cac7f2bc0}</author>
    <author>tc={cf374f17-c135-4be3-872f-947f3d440280}</author>
    <author>tc={cf3913a5-8981-4f14-b974-23271ac98f89}</author>
    <author>tc={cf7f0638-2564-4316-91a4-6475f97e2312}</author>
    <author>tc={cf90341a-0687-4d06-a9e0-529f76625d95}</author>
    <author>tc={cfb28ac7-b578-487c-8afe-abf49ac826b3}</author>
    <author>tc={cfc0256e-8afa-4a9d-8148-e8ff0622577f}</author>
    <author>tc={d009ccf3-805f-49c5-b5cd-48b390f52aec}</author>
    <author>tc={d014bb46-14e9-4d15-9f6c-80fabcc7e49b}</author>
    <author>tc={d018d346-30b6-49e8-9017-ddcdafbabe3d}</author>
    <author>tc={d01a9d4f-8ae2-4910-a939-c6e121537aef}</author>
    <author>tc={d01be118-9772-4341-aa3d-183cf6b068e5}</author>
    <author>tc={d01f3c84-a6fa-4aaf-88b8-15b022a763e2}</author>
    <author>tc={d022d150-2cb9-4488-80e9-f8d76df85884}</author>
    <author>tc={d02feeda-c03e-4575-a863-d346fa8ad223}</author>
    <author>tc={d048ed71-b212-4ee5-9050-c3544227ebb3}</author>
    <author>tc={d07abae3-8ba2-4978-8141-10280b2bfbc8}</author>
    <author>tc={d08d2930-9982-4023-872e-411d6205b4dc}</author>
    <author>tc={d09f2309-a079-461e-b136-7b434194ba46}</author>
    <author>tc={d0e68af6-b23d-4184-94b7-4b95bef991df}</author>
    <author>tc={d1039ac2-0678-4fe1-be64-9e586d5d77c3}</author>
    <author>tc={d10e6bb5-8de4-4c54-96b7-95218ce183ab}</author>
    <author>tc={d120f02e-5d3d-43ba-a9de-19db1de5c858}</author>
    <author>tc={d16de928-e000-4e02-9394-a31d2c3b8796}</author>
    <author>tc={d180f8bf-0494-45e3-b972-9a60a1e74c10}</author>
    <author>tc={d1892a4b-f7cc-4dd1-8cbb-cbb85f6b7160}</author>
    <author>tc={d1935d77-582e-415b-8351-d2e86c8b9a3e}</author>
    <author>tc={d193e880-bd45-43be-b2c6-a57e06deb8ec}</author>
    <author>tc={d1b542c9-c644-4c6b-b3f2-c9888ef275ba}</author>
    <author>tc={d1c03a77-5ef7-4b13-9920-5dcbd44b87f7}</author>
    <author>tc={d1c7dbf9-f1ae-41f8-ad6c-f85199ec93a5}</author>
    <author>tc={d1d367aa-b966-4ba1-8fe9-d276f61b0337}</author>
    <author>tc={d1dfed7f-cc4a-4489-86b7-20621d044426}</author>
    <author>tc={d1e4dc22-57d0-44d8-a6fa-8cf93739ab0f}</author>
    <author>tc={d1e6db93-5d58-4a4a-aa7a-c18108c7fb33}</author>
    <author>tc={d21723db-1ab7-4aed-b43d-90d1c7a19b94}</author>
    <author>tc={d21c0cdf-db01-4e38-8433-ec716467ce41}</author>
    <author>tc={d21e5559-7498-4f59-b3f2-1c71f6a98e1d}</author>
    <author>tc={d22bf347-57dd-449a-8ce0-6eb93c996f88}</author>
    <author>tc={d2640a92-aea5-402d-af5a-a771842b5685}</author>
    <author>tc={d2822002-7f53-431c-a719-91f14b9ae996}</author>
    <author>tc={d288a0ce-d0e8-4874-83d6-8464994b3259}</author>
    <author>tc={d2905894-84a6-48df-8a8d-f8f84315584a}</author>
    <author>tc={d2af370e-6347-4b49-b480-b5c4f6b3c5bb}</author>
    <author>tc={d2bd03a6-982f-492d-8d2e-02d21b29a93a}</author>
    <author>tc={d2e62ab1-5301-4fba-ab9c-8901b55475da}</author>
    <author>tc={d3277751-9b4a-4771-b362-680ab8a4b076}</author>
    <author>tc={d3393c1c-deff-4f8a-a6ae-eda37e7eb6fc}</author>
    <author>tc={d33b6a60-677b-4ccd-8fde-9a5a470b3066}</author>
    <author>tc={d381067b-941f-44d9-8b24-300419829d80}</author>
    <author>tc={d3880eb4-5fe9-4844-86a9-fa265f91fc4a}</author>
    <author>tc={d38e0fd3-e1ce-4749-b336-40e5a92025eb}</author>
    <author>tc={d3994819-8392-45b5-9e14-20a9c2797b96}</author>
    <author>tc={d3ce5bc2-3f60-44a8-b27b-3cb4f3fe905f}</author>
    <author>tc={d3dfb27b-11c0-4c3d-9b6f-00d6e803d229}</author>
    <author>tc={d405c10a-ec3e-4126-9840-548db119b72d}</author>
    <author>tc={d425cad3-d13f-4cac-bb8b-1933dbd052b9}</author>
    <author>tc={d429d17a-9e8d-4ed2-a676-c5b60cefe39c}</author>
    <author>tc={d43e6528-ffcc-4d3c-9372-83f9bc8fb67c}</author>
    <author>tc={d4528825-bd09-407d-abf8-ec5ec60d0cb0}</author>
    <author>tc={d48153a7-fbe5-465c-bf65-a220b005d753}</author>
    <author>tc={d485570f-a651-4993-a60b-eecef71a103c}</author>
    <author>tc={d48999e5-2bd0-4a01-ba67-e374461b4710}</author>
    <author>tc={d4b0e7d1-b032-4cda-afa6-ef60a6daf934}</author>
    <author>tc={d519b8bc-5c46-43d5-8939-a731c828738e}</author>
    <author>tc={d51c1a3d-1041-47af-9589-c3389bcea77e}</author>
    <author>tc={d529a9e7-e44d-4008-8a33-4c2ebba15918}</author>
    <author>tc={d52e2077-7e81-471f-9a1e-bc344312dca1}</author>
    <author>tc={d5311065-2d4b-42fa-9ddf-5320f4607cd4}</author>
    <author>tc={d53827bb-d194-42c0-84d5-737f61a22d07}</author>
    <author>tc={d551b3e1-8402-4de1-8130-6ced2731da3e}</author>
    <author>tc={d5767a1a-a309-4dc7-869d-93d0bf4e56a8}</author>
    <author>tc={d5807c64-8dde-4985-b452-61df75983378}</author>
    <author>tc={d59d5427-fbc3-42b3-a143-4424b5e4b5b4}</author>
    <author>tc={d59df334-6258-40df-865c-1e49c3d79da8}</author>
    <author>tc={d5abebc5-3476-461b-8911-e0c657f03c2d}</author>
    <author>tc={d5b4158d-0852-4f2e-8b0a-82a91c968fb2}</author>
    <author>tc={d5decf8e-6261-40c7-927d-a8dbd0648342}</author>
    <author>tc={d63c4779-ac2d-4512-a5f9-fcef4d16c2ef}</author>
    <author>tc={d63d52c4-f99b-4c54-a93b-8f17f922ce36}</author>
    <author>tc={d63d60ff-1e69-46d0-bfee-fa71afbbc285}</author>
    <author>tc={d6639508-efe3-4c40-b63e-2e50220a5d7c}</author>
    <author>tc={d695fddc-e66c-4cbf-ad29-38bbd662d17c}</author>
    <author>tc={d69b4f80-a00a-4363-8fd7-1056be75c357}</author>
    <author>tc={d6bfee25-73c8-4c58-90a5-d8f8c325fd09}</author>
    <author>tc={d6ce034f-c759-470d-930c-660ef48bf810}</author>
    <author>tc={d6cfca2e-5597-4670-b916-2e30d2b8e597}</author>
    <author>tc={d6d32102-4d34-4187-9fec-dbec176c5ba6}</author>
    <author>tc={d6f273d3-126b-4420-b1fc-5dd366f23f37}</author>
    <author>tc={d6f53f3e-0456-41cf-ba4c-2313706b95db}</author>
    <author>tc={d6f743d9-c4cb-40d1-a13c-e1497ff9e05a}</author>
    <author>tc={d6fa8606-ca99-4460-99cf-bdb8e2b26da9}</author>
    <author>tc={d71c004f-f388-4237-aaf7-ee27b66c9710}</author>
    <author>tc={d7678b7c-7b1d-400f-a611-5e8b5cfeab95}</author>
    <author>tc={d78c46a7-51d3-4087-8573-4ca91c8b9d34}</author>
    <author>tc={d79a02b3-b410-46c9-9cbb-432aae2a0b33}</author>
    <author>tc={d7a347b9-9a66-4b45-a8a2-566e3669a8eb}</author>
    <author>tc={d7b31485-3a14-418c-8d5c-30f0dbc35828}</author>
    <author>tc={d7b65337-83a1-46d1-bc0a-0921e6198073}</author>
    <author>tc={d7c5a8d1-5bb1-4a32-b0af-433ee1b152d7}</author>
    <author>tc={d7d0dc63-6e30-4078-b03a-d3c8ad253447}</author>
    <author>tc={d7e7aa1c-4e3c-4299-9917-5415be4e73b3}</author>
    <author>tc={d8205843-dab7-4c2e-b7dd-18b692d7f5d4}</author>
    <author>tc={d8331323-0b21-41e7-9b74-e255b0dc482b}</author>
    <author>tc={d8338e1a-21fd-4af3-ab6a-0acfdd4c0270}</author>
    <author>tc={d83f5b41-f0e0-4710-b196-e628094d5f5c}</author>
    <author>tc={d854e2e6-18c0-4f78-946a-73dea8ae101a}</author>
    <author>tc={d856570a-1feb-447f-92dd-35f6d09a481b}</author>
    <author>tc={d8927a88-58e9-4730-8394-b2e42dfb0607}</author>
    <author>tc={d8b05c45-4829-406b-af82-6537bfaccb31}</author>
    <author>tc={d8c9c865-cb5a-406d-a2ff-49c2e546f2a8}</author>
    <author>tc={d8f8d619-2447-4bb1-9eda-6020913ae505}</author>
    <author>tc={d8ff4a47-f9ac-4598-b833-af0c39acc258}</author>
    <author>tc={d91ef315-b4d7-4ab5-8a90-c8b490c27d6a}</author>
    <author>tc={d955f541-4d43-47ba-926a-02ecdc4f2542}</author>
    <author>tc={d9749f07-fdfd-492d-bd1a-a0b32a68e4fd}</author>
    <author>tc={d9a6389c-b22c-4205-9d5c-eee0697ba742}</author>
    <author>tc={d9b34530-fd06-43ef-ad04-a9beba6524fa}</author>
    <author>tc={d9c0484d-eb70-44ce-8d1f-a64fa1301261}</author>
    <author>tc={d9cb5006-5a15-421e-9e1f-5c87efe4c6fd}</author>
    <author>tc={d9dfba87-9c9b-4a08-81e9-a4fd5b5f285e}</author>
    <author>tc={d9e942c8-1447-4b5f-92e9-52a55009260c}</author>
    <author>tc={d9f76075-ebc6-43ef-ba0b-ad617b44fda9}</author>
    <author>tc={d9faf660-ab19-4d4d-8e8a-170e1344e1b3}</author>
    <author>tc={da23172a-d3f0-47f6-89b8-f65b9c77b19d}</author>
    <author>tc={da4cffba-1bca-4c6e-ace6-ad91d428c07b}</author>
    <author>tc={da5628ed-d713-48f1-a249-9c31949c0106}</author>
    <author>tc={da59335d-7200-4789-b675-33d045fc650c}</author>
    <author>tc={da6336a8-dfdd-417a-990e-3a5df4b96f80}</author>
    <author>tc={da64a7c8-be4a-42ba-84f6-fce8aa0fe7d3}</author>
    <author>tc={da6722a2-5f82-4423-92a0-1ec8a0599fd6}</author>
    <author>tc={da71041b-ad4b-4ae3-acfe-e6130de00ccb}</author>
    <author>tc={da86bbf5-f640-444c-aadb-8471941fdd5f}</author>
    <author>tc={dab95d76-4fdd-4ada-bed3-75c82403608f}</author>
    <author>tc={dabdf7a1-8983-4508-9511-0ffa488f2f0c}</author>
    <author>tc={dace757b-ccd4-4619-a850-173af8a67b11}</author>
    <author>tc={dad8fc38-431f-4dc1-91bc-eb37a7e8f24e}</author>
    <author>tc={dae6eec6-83a5-44d3-98c4-b414b354295a}</author>
    <author>tc={dae9c46a-2bc8-4f81-bc23-a0a20e3064e8}</author>
    <author>tc={db302fb4-bc24-47ac-a843-a1752d8608a3}</author>
    <author>tc={db6f2b5d-a1b5-4949-9b09-841807f44d41}</author>
    <author>tc={db99166d-295a-4829-881a-a9bd823c8ad6}</author>
    <author>tc={dbc53474-8dbc-4bb1-bbc5-513b0ad06f4d}</author>
    <author>tc={dbe25c95-0eef-4b4b-9f35-4f822699f6f2}</author>
    <author>tc={dbe89d4b-08b8-479d-bdf3-270ed65d721a}</author>
    <author>tc={dbf17e0d-470d-4a3b-beb4-210287145d20}</author>
    <author>tc={dbf19675-dc57-48a1-8fcf-e9c487c643ba}</author>
    <author>tc={dc0a57bd-ba3c-4e6a-b89f-eca40072d932}</author>
    <author>tc={dc0a89f6-8fbc-4f92-bce1-e1c7ca730197}</author>
    <author>tc={dc0d85a1-8b02-4e85-895b-b14da42d86df}</author>
    <author>tc={dc0f6c78-bec7-4458-bf77-cf3e955c49bf}</author>
    <author>tc={dc24bce1-5634-44a1-9181-72dd6c52e3ec}</author>
    <author>tc={dc57ca54-e8c3-4d8b-828d-97b306afd195}</author>
    <author>tc={dc5b62bc-537a-4c8b-8274-0e806c9dadf4}</author>
    <author>tc={dc62faeb-3978-4582-ad19-bc257c48459a}</author>
    <author>tc={dc7dc146-424b-4fe5-8d33-2652ee868b48}</author>
    <author>tc={dc8317d3-79af-4bde-8d16-0957fe2de4d6}</author>
    <author>tc={dcb8ed74-2ba9-40ac-b7ec-00832babfa2d}</author>
    <author>tc={dcc368ea-dcc9-4f8f-be9d-f5094eeeca24}</author>
    <author>tc={dccca59a-e051-491d-9e16-750261dd8a0d}</author>
    <author>tc={dcee9164-50a9-46e3-ac8d-d8a4f8037917}</author>
    <author>tc={dcf4e459-50d9-4b78-be35-859a3a9fa55b}</author>
    <author>tc={dd1141d3-6884-4a79-bf66-19445c93450f}</author>
    <author>tc={dd1e01af-79b4-401f-988b-952dd09df88a}</author>
    <author>tc={dd27c04f-620c-4efd-987a-4b9c9a91ebc8}</author>
    <author>tc={dd28c1d2-782f-4647-90c7-fb25a857bb90}</author>
    <author>tc={dd3288a1-9086-49b8-82ce-67d5b9058716}</author>
    <author>tc={dd3878ab-2801-4398-bc30-46eb2e3e7603}</author>
    <author>tc={dd457cd0-43c5-4de5-b68f-1c613e3e69da}</author>
    <author>tc={dd5f0e94-0905-4f0a-90ea-2923aea85b48}</author>
    <author>tc={dd646fb8-7255-40c2-bc2b-552a8a434713}</author>
    <author>tc={dda2c530-66b7-445c-8c3b-983e98f20466}</author>
    <author>tc={ddb68a8a-38f1-4751-8363-b13d28bd405d}</author>
    <author>tc={ddbf6cf0-77ab-4025-8d4e-64ed5896645c}</author>
    <author>tc={ddde6c13-db51-49a4-b646-e83a62c8c28d}</author>
    <author>tc={dde71b2f-7478-46dd-bc08-d908c3e61d2b}</author>
    <author>tc={de1d96cb-41d5-4da5-b15a-f314c70916af}</author>
    <author>tc={de22c3c8-57ed-4e77-bca7-fa4b000380eb}</author>
    <author>tc={de405b9e-65e7-4b80-859e-ad00a4a2c718}</author>
    <author>tc={de42a81b-6421-48d2-850e-c673a9c3356d}</author>
    <author>tc={de5709c3-aa64-4719-b2cd-25f30862cd8c}</author>
    <author>tc={de61fa66-f9e2-4153-a431-76a58b3c6850}</author>
    <author>tc={dec0272e-6ea6-4b42-9e8f-5b6dba33671f}</author>
    <author>tc={dec6ddfe-3379-40e2-a54d-1819d2f0c738}</author>
    <author>tc={ded47fc1-669a-4cc5-8fa9-255b910d0022}</author>
    <author>tc={dedff3d2-b879-4ab8-b7c9-89b5e4ac9b86}</author>
    <author>tc={dee7909a-98e0-4c69-b87b-cbd732123417}</author>
    <author>tc={df24c4a1-3695-4af0-affe-cd31ea5bb09e}</author>
    <author>tc={df4e89f8-b34e-42da-b9e2-2fb574341d6b}</author>
    <author>tc={df638695-793c-4f25-89f5-29f3d04886fc}</author>
    <author>tc={df912f24-378d-4756-a357-8afb4931cd15}</author>
    <author>tc={df9d4bdb-9ae0-49f8-a83d-4bbc150494c3}</author>
    <author>tc={dfa11bea-679b-4fab-8656-7a8bb721df27}</author>
    <author>tc={e00d39c5-c0a1-4566-a2c7-a71124675a53}</author>
    <author>tc={e038adb3-9956-441e-8b4b-bf7598f88926}</author>
    <author>tc={e064c63d-839f-477e-9f20-fca7195c8c8b}</author>
    <author>tc={e0799091-b140-429e-af50-ac8a27baece4}</author>
    <author>tc={e093b9e0-0536-40e8-979b-ed2d3bc787f7}</author>
    <author>tc={e0d2dd49-f5bb-475b-87c5-46c832944073}</author>
    <author>tc={e0fc4833-0ac1-4459-a5bb-54b7a4a94bbc}</author>
    <author>tc={e11ffc2f-8b01-485c-8574-39f8390e7905}</author>
    <author>tc={e1418d93-2b0d-4803-8259-641b5e20601c}</author>
    <author>tc={e166efad-9c0f-4fea-a032-23c9f86aefd3}</author>
    <author>tc={e18e28dc-1523-4fe3-9eae-14d1bebeeece}</author>
    <author>tc={e1a3325b-074d-453d-943a-c29743549ebd}</author>
    <author>tc={e1a39e6f-b38b-41d6-908b-70d2e2a84365}</author>
    <author>tc={e1eeca1e-f145-40b8-a993-08560dde90fc}</author>
    <author>tc={e21f144c-11f5-430f-a46f-7f8630a52e61}</author>
    <author>tc={e239ddfc-01bf-4f21-8909-37d9a9d65eae}</author>
    <author>tc={e23ad44e-3662-46e4-8982-62c318a4c18d}</author>
    <author>tc={e26f02c1-a535-4117-975d-37748d006a5d}</author>
    <author>tc={e281ee05-338b-4e73-9c78-202ffff394b6}</author>
    <author>tc={e2856b36-717b-49bf-8ac9-ce5c273d7ec4}</author>
    <author>tc={e2db47a6-1d80-4848-80c8-f4847d13b54e}</author>
    <author>tc={e2dca70b-d324-4c71-9bac-2273a772334d}</author>
    <author>tc={e30482b5-3682-4f4e-9b57-e620f1bf52c2}</author>
    <author>tc={e307d20e-24fa-44a3-a60b-321fa9e6ff75}</author>
    <author>tc={e3203cd9-013b-478d-98fd-5d0733f7b849}</author>
    <author>tc={e331d5ab-96d6-49bf-8951-1341f06a1092}</author>
    <author>tc={e343d22e-bbce-4e86-aa60-d3a24041131d}</author>
    <author>tc={e353a48a-872f-4188-be33-eea448d69cad}</author>
    <author>tc={e39449d8-64c6-4ec6-87c1-8ea56dc2d325}</author>
    <author>tc={e39852ec-d3bb-4f6a-a533-fbac1e4bcd46}</author>
    <author>tc={e3aacaa1-a785-4cf5-9909-6a2bfc7bffa3}</author>
    <author>tc={e3ab76fa-302f-43ec-b0bb-24ac23e71c5e}</author>
    <author>tc={e3b51649-4faf-4206-9066-f596eda35c5f}</author>
    <author>tc={e3c1e772-2669-4ec2-a0ae-1e0cb434c75e}</author>
    <author>tc={e3cee619-440b-4c9b-90d2-98fce0e381d9}</author>
    <author>tc={e3d0c7c7-9495-44c3-9c0e-ee5a6afafd03}</author>
    <author>tc={e3d9f54e-c1f7-461a-b6e0-b4a4f1c75144}</author>
    <author>tc={e3f1b7e1-02b6-4611-9507-4daaeea9675b}</author>
    <author>tc={e3fc76c5-0edf-4932-9054-b94febdf4f65}</author>
    <author>tc={e4171e91-eeb2-4312-939a-e4f6f4b647af}</author>
    <author>tc={e43c50e2-fbc6-4e70-b327-0550caef632d}</author>
    <author>tc={e46b8b78-ab2a-449e-8afe-635bb523c602}</author>
    <author>tc={e4717092-2ae1-463f-a2ff-36dd1263d205}</author>
    <author>tc={e47523a8-beda-4f08-a0b8-481a915a374c}</author>
    <author>tc={e4841d04-160e-48fb-8887-49572f616771}</author>
    <author>tc={e492656b-dcdc-4acf-9c4d-9a0cea6a6e93}</author>
    <author>tc={e49c679b-8e78-49b6-aa5b-471188567545}</author>
    <author>tc={e4acf31e-7688-44ad-b400-5c0733a98d24}</author>
    <author>tc={e4cf707c-f7b0-40bf-8d14-c578880d4019}</author>
    <author>tc={e4e73d01-e359-4823-a691-fc6df6f4df88}</author>
    <author>tc={e4f2591c-c3ff-420a-889b-fcf0e79aa35f}</author>
    <author>tc={e4f6b9c2-d52c-4690-8450-aafcd990705a}</author>
    <author>tc={e50c7d05-258c-4482-9ce7-bd569094c4d9}</author>
    <author>tc={e521c56b-218c-485e-8bd6-e41ff9616b51}</author>
    <author>tc={e58a9801-e7f6-4803-9aae-3f0a5110c74d}</author>
    <author>tc={e58c793e-2174-4d0c-8d58-518aa5b9acae}</author>
    <author>tc={e5a0a196-5616-4b14-9291-e0ac719ef3a2}</author>
    <author>tc={e5afbade-35a7-4f16-a010-77319d01123a}</author>
    <author>tc={e5b89fbd-701d-486d-92dd-0a9b0b093e4b}</author>
    <author>tc={e5cd2e0a-7030-469e-8a14-512544fab596}</author>
    <author>tc={e5f3de01-088d-461f-b81b-ef8396e7972f}</author>
    <author>tc={e65705cf-37a8-4596-bd34-8d3abcbcaec7}</author>
    <author>tc={e6576288-b04d-41f5-b8d5-78d3afb9cd1f}</author>
    <author>tc={e674d388-6d71-478e-a0ef-7224cea1fc20}</author>
    <author>tc={e6a2de06-0575-4354-a1d7-23ae79c5dce1}</author>
    <author>tc={e6cdbbae-8097-42ef-812b-8e5160c5eed0}</author>
    <author>tc={e6d8d2c2-b516-45ec-b503-8ef153ba636e}</author>
    <author>tc={e6e99e42-8375-45cb-acf0-c3391c5b6f5b}</author>
    <author>tc={e7060f05-8886-453d-95b4-be08b97bebcc}</author>
    <author>tc={e70cabbf-2ba5-4448-bb6c-f516b50963e0}</author>
    <author>tc={e741f01e-e2fb-41ca-b7e5-672533fc877f}</author>
    <author>tc={e759d83b-1c37-4948-9108-36c50cd675a2}</author>
    <author>tc={e75d58e7-6cb2-46b5-aded-73a3cee9051a}</author>
    <author>tc={e785000b-68c6-4b5e-9d5f-e3a83c1eb2a0}</author>
    <author>tc={e78db958-eaf7-4e72-98ad-9ab22897890f}</author>
    <author>tc={e7c09e0e-6956-4ed1-9e01-8eee5fa732a2}</author>
    <author>tc={e7c39c32-40d7-4157-8993-31e4f89c94d3}</author>
    <author>tc={e7dd2291-dcf3-41df-8ec8-d681d38aedf5}</author>
    <author>tc={e7f175b6-5daa-48ce-baab-f9364c77d993}</author>
    <author>tc={e7ff7402-dd03-47e6-8304-e037b7858201}</author>
    <author>tc={e80e2aff-70f0-45ac-a979-42eb083de0f1}</author>
    <author>tc={e81162ac-a700-4632-972b-c38700383c0d}</author>
    <author>tc={e83d45e5-1c7f-480f-b4a6-26e6ade0e75d}</author>
    <author>tc={e850ee81-069b-42da-b1b6-6efdc731ceb5}</author>
    <author>tc={e85f11f4-e35b-4895-9368-3897ba05bc56}</author>
    <author>tc={e86a296f-43ee-481e-bf96-4c004490a9b1}</author>
    <author>tc={e87653e4-1f57-4acb-9f78-857aa117cf1e}</author>
    <author>tc={e878d09d-9db2-49b5-88b4-be55116a316b}</author>
    <author>tc={e88a2157-043b-441a-874f-07681ee82794}</author>
    <author>tc={e897d69d-1b90-453f-bc09-afcf52f60f54}</author>
    <author>tc={e89ea01f-dd70-464a-81fb-0987c0df0f6f}</author>
    <author>tc={e8b5f659-c6fc-424c-b58b-53d7fcbea39e}</author>
    <author>tc={e8d0a87b-6960-436a-8ea0-3ca770ebf70f}</author>
    <author>tc={e8d56712-c938-4670-984b-cbef8cf72773}</author>
    <author>tc={e8df8b48-df6d-4783-8a14-e096c9f10868}</author>
    <author>tc={e8e175ea-5ab3-4ba7-b9be-8c38f295f6f6}</author>
    <author>tc={e8f1a5d0-12a3-48f8-bbe4-4c0b13be7a77}</author>
    <author>tc={e9082d14-4c53-4b61-becd-51e8fb584251}</author>
    <author>tc={e946b09f-d608-41d4-94b3-aed1af3e2621}</author>
    <author>tc={e9686d70-8cb9-45e7-a57d-ff3d87efd47e}</author>
    <author>tc={e97cd7b7-8e85-4eea-886a-9366d9dccfa2}</author>
    <author>tc={e9b6f34e-877d-43c5-b3f9-fc4e9af05086}</author>
    <author>tc={e9d48a9e-b9d4-4c2e-960b-b096bb76e92c}</author>
    <author>tc={e9fe1429-5b35-4342-a9f3-0fd6c740aa03}</author>
    <author>tc={ea24e5f5-284e-4367-bf3b-a88b288b2da5}</author>
    <author>tc={ea91b378-a4a8-4319-9e38-6aa516d1f00f}</author>
    <author>tc={ea96bbbd-0146-45da-85fb-0136bf88c85a}</author>
    <author>tc={ea96c689-6907-44e3-a06d-33bf34638800}</author>
    <author>tc={eaacb1e5-9478-481a-97bf-8b5e79d16bf5}</author>
    <author>tc={eaae9720-07bc-4909-a011-0c7da12a95c7}</author>
    <author>tc={eab3ef77-5643-43af-b3a1-b67725b0a8f8}</author>
    <author>tc={eabcaf2c-9f3c-4b51-b0c6-0a6945ca7f04}</author>
    <author>tc={eabd3303-4bf9-4384-b252-31e996a67ff6}</author>
    <author>tc={eadd7246-4585-486e-9077-094ddfdde17c}</author>
    <author>tc={eae30fa6-0be5-4a0f-8da9-1e947c5fb963}</author>
    <author>tc={eae7fa16-210e-4c0c-a1cd-725f356258e4}</author>
    <author>tc={eb193c9b-3960-4b4a-9485-3e515959ab65}</author>
    <author>tc={eb1d11a4-09ca-472f-af0c-67329f82afcf}</author>
    <author>tc={eb392f77-f168-4b45-b3b0-94beba669e76}</author>
    <author>tc={eb4829f3-cdcc-483f-9c97-e48139cf640e}</author>
    <author>tc={eb482d47-d344-4ff3-9d64-92db992ec619}</author>
    <author>tc={eb59e1ac-7af3-48ca-b1b0-45a9856230bd}</author>
    <author>tc={eb6c1527-0b11-4e85-b25d-52134a6b3552}</author>
    <author>tc={eb78fce3-d783-4b5b-b944-db1bbe4c020e}</author>
    <author>tc={eb86a348-5ebb-44f6-9ece-64a9e69ab0e2}</author>
    <author>tc={eb8e5851-436f-4705-9ff4-b03d39267b2f}</author>
    <author>tc={eb977d99-b482-46f5-a3a0-ae5bcc4418a9}</author>
    <author>tc={eb9aa7b8-f217-4d43-aaa0-39ff71496df7}</author>
    <author>tc={eba355d1-3cf2-45d4-828d-8869638f6cde}</author>
    <author>tc={eba85754-22a7-49db-bcd7-da2823d188fd}</author>
    <author>tc={ebb77158-013c-4a66-bcfd-43d1028685a4}</author>
    <author>tc={ebd2bca2-e267-471a-ae44-bf5dd2d55186}</author>
    <author>tc={ebd576f0-5720-4740-a185-1e2d037d605b}</author>
    <author>tc={ebe9f269-ce85-4d50-b176-13d195b7567c}</author>
    <author>tc={ec28044b-9848-4aa3-a8a0-1ccc5419cb79}</author>
    <author>tc={ec45d486-b262-432f-be9b-46e1b16d356c}</author>
    <author>tc={ec5c9aca-1135-42b1-a887-8a2380195b2b}</author>
    <author>tc={ec6e0d1a-90d7-49ad-956a-2d4f8a352803}</author>
    <author>tc={ec84bd9a-67a5-4131-9ca0-bcd3a1da13fc}</author>
    <author>tc={ec9704ab-19a3-4c00-b9c0-a914e077f715}</author>
    <author>tc={ecf5a5e5-a848-4542-bc05-6cb73f16460c}</author>
    <author>tc={ecfe503b-a806-44ef-bda1-613d3ec66b48}</author>
    <author>tc={ed402ec6-612e-4379-9b39-233718ff6993}</author>
    <author>tc={ed57cf8a-a388-4025-bcd3-ecba4145e384}</author>
    <author>tc={ed86c921-4c17-4861-8db7-ed304202317f}</author>
    <author>tc={eddfb354-299e-4622-95b8-febe1c1c4cf0}</author>
    <author>tc={ede23ecc-b34d-4437-892f-4566c7abfb68}</author>
    <author>tc={edeacdc9-c65c-4684-a30b-c294169cf9fd}</author>
    <author>tc={ee1591e4-b650-4a4c-b65b-cf4655109604}</author>
    <author>tc={ee221db6-0a0c-49d7-b81f-a6380d681e52}</author>
    <author>tc={ee270735-6991-41ed-9763-01d2250117c7}</author>
    <author>tc={ee366c04-73f3-4d43-96d6-f899c0cdee1c}</author>
    <author>tc={ee8fd0a1-1969-4ae9-863f-630ec90c872b}</author>
    <author>tc={ee9f68af-2358-483a-a2ea-356dcb536bf5}</author>
    <author>tc={eeb89429-1e90-4ed6-8749-451fc2085c94}</author>
    <author>tc={eec6dab9-c0c1-4404-842e-5962dd04a96c}</author>
    <author>tc={eed5aed2-d8a2-450a-a7fd-823c25a10d78}</author>
    <author>tc={eeeda732-4c1d-4a11-8375-a5177fe1547a}</author>
    <author>tc={ef1295a4-a11f-4833-9425-51d63d8c33a9}</author>
    <author>tc={ef2f8134-98ae-4c44-bdaf-1ddc50b6e055}</author>
    <author>tc={ef6cd88b-869d-4761-85ee-2c033969a68d}</author>
    <author>tc={ef6fb064-3ecf-4ec8-9306-a349cc4a3fc1}</author>
    <author>tc={ef711f1d-5fc3-413d-b230-a6ab186bde27}</author>
    <author>tc={ef80c1e3-5677-4e0a-8a8d-70b596a79edf}</author>
    <author>tc={ef96dcbc-c45b-435a-a72a-00fcfcef0549}</author>
    <author>tc={ef9b5793-9d4c-4644-94b3-f8b15cec786c}</author>
    <author>tc={efe60c92-c573-49f8-a073-78c018065b4d}</author>
    <author>tc={efeb751b-cff1-42f7-8e2c-b2e5fb2ac9a8}</author>
    <author>tc={eff211b9-e1c0-46af-802c-eb7e33f0b371}</author>
    <author>tc={f01a6f52-49b9-4e5e-8e29-ce5b10675c8b}</author>
    <author>tc={f040db72-c663-4df4-9f7d-805f365a3dea}</author>
    <author>tc={f0432392-c1ec-4f56-ae58-d4463e819032}</author>
    <author>tc={f08e65cc-7116-4205-89f9-0ace0277eb78}</author>
    <author>tc={f0aa5de5-487f-486c-903a-1b6d970a6293}</author>
    <author>tc={f0aed436-dfb8-4f59-b41a-cc95e2c82075}</author>
    <author>tc={f0af015c-ed23-44cb-9e72-7c7e36415c39}</author>
    <author>tc={f0dc3de8-5443-49e1-981c-30f9839f7dd3}</author>
    <author>tc={f0e9edcd-92d1-4fb8-a5f0-010f358b73c7}</author>
    <author>tc={f1142398-328d-496d-b471-d4fb3c1ad028}</author>
    <author>tc={f119da51-7207-48b2-bcf3-2b8af26c5d08}</author>
    <author>tc={f13835a5-4c66-45bd-b706-cc51d7099608}</author>
    <author>tc={f13c3243-f1c5-4a48-8390-1e0ec6658293}</author>
    <author>tc={f143bea8-c3ad-4a10-8844-2aa81b2cdb66}</author>
    <author>tc={f14f3c11-91b4-44b8-9075-07a75633334b}</author>
    <author>tc={f1594ab3-5d51-44aa-80a8-711343d393fa}</author>
    <author>tc={f19d80a8-5a5c-4928-bc5b-82ef47f105cb}</author>
    <author>tc={f1a0aa7d-1e85-4a6f-9260-0565f8c87024}</author>
    <author>tc={f1b0bc48-1e6d-4b19-8906-94e9dc6a6e88}</author>
    <author>tc={f21d2b7f-12e8-4c44-9c16-08f0888ae9c7}</author>
    <author>tc={f224d739-8563-4144-89be-9885c3a5190f}</author>
    <author>tc={f263b31c-42dd-4666-8ffe-2c80c0b8136f}</author>
    <author>tc={f273f515-fe37-4755-8c18-3dfc2eaf8404}</author>
    <author>tc={f27cde05-1023-4bee-aedb-68c423405c4d}</author>
    <author>tc={f2909e8f-09a9-448c-a043-9f40c8cb4cd8}</author>
    <author>tc={f2b55a92-0080-4ed2-8003-730af27660f5}</author>
    <author>tc={f2cb42d4-deef-42db-b23b-a7e68ad6a918}</author>
    <author>tc={f2d23a05-1c10-4714-b214-19f1061b2e94}</author>
    <author>tc={f2d3b2e5-158f-49d3-addc-10d4ef55db77}</author>
    <author>tc={f2e2c31d-4233-4a03-9018-eb005e5b78ba}</author>
    <author>tc={f31f3c55-e11d-43a7-9ea0-304241aa4364}</author>
    <author>tc={f32c5b85-a2d3-41a1-b3e0-ffe6039c8638}</author>
    <author>tc={f344a0a6-4e87-4193-99ac-2a8459808843}</author>
    <author>tc={f35ea625-18d6-404c-9306-866718ec13ae}</author>
    <author>tc={f36736dc-803a-429a-8d7e-aaf531c7a70d}</author>
    <author>tc={f379e0eb-ac64-4913-a40f-7a8ef0a9a2c2}</author>
    <author>tc={f39c4d7b-9e90-4147-94f1-c6a93c5b4fb1}</author>
    <author>tc={f39c6e7b-6933-40fe-b354-7fcf11b7a358}</author>
    <author>tc={f39ce49f-5a28-4209-b8a6-9eb5fc3b7911}</author>
    <author>tc={f3ab82e6-353b-43e3-b6e4-11a4d06143a5}</author>
    <author>tc={f3d4cdff-8481-4481-ad9f-75f856040168}</author>
    <author>tc={f3eb83e6-df35-431c-b062-88f0115d982c}</author>
    <author>tc={f3f5c637-82aa-445a-a801-64305e68406b}</author>
    <author>tc={f4021574-33da-43e5-abd4-03f8f6395759}</author>
    <author>tc={f40fcf21-5944-4c3b-af69-02bedbd57503}</author>
    <author>tc={f41d7253-5f00-4ea9-b7b5-53f71ada8738}</author>
    <author>tc={f421d8c2-4729-4ac7-99ec-e042c6cee4b9}</author>
    <author>tc={f43951c6-9394-461c-8b34-ac92a55f1922}</author>
    <author>tc={f454f6d2-2d4a-4c9d-bd9c-c7a1881e96f9}</author>
    <author>tc={f4851687-75a9-420c-afbe-02135283b0f8}</author>
    <author>tc={f4853a7b-01a7-4b6f-804e-eaef29be9a97}</author>
    <author>tc={f4a109a1-2b63-471e-a39e-9aaaec2b0192}</author>
    <author>tc={f4cb187a-ea87-4bd1-a3ff-42d9b66c58d1}</author>
    <author>tc={f4d25d4d-1ead-4e0e-8099-19006f978c64}</author>
    <author>tc={f4e04bd2-a8d9-47c8-bee9-18e2be44e007}</author>
    <author>tc={f5018dae-f0cd-4f3d-a86a-8156095d56e1}</author>
    <author>tc={f5187391-fdf0-4fd2-bd59-31b60b99db9d}</author>
    <author>tc={f518c7a1-feff-414b-9b2f-91c7a1f25f46}</author>
    <author>tc={f51a0114-983f-4557-8bf8-fa775ca7d7f9}</author>
    <author>tc={f544594f-fe00-44d4-aa39-c3d796d75bde}</author>
    <author>tc={f54897b1-53f0-48ee-9468-4ccda7bdab02}</author>
    <author>tc={f55115be-6721-4f06-b21a-4d94e4497703}</author>
    <author>tc={f55468fa-c815-4517-b913-93e0ccb50e90}</author>
    <author>tc={f56267aa-6569-4c10-834b-df60bf481e67}</author>
    <author>tc={f5742b6b-220a-4240-a9fe-2fde77ab010a}</author>
    <author>tc={f585e650-856a-4887-95fb-b890aea6329a}</author>
    <author>tc={f5893d89-f7e1-48b6-bbe4-8580cc9b61f8}</author>
    <author>tc={f5952053-2fd4-4141-b400-5c05a9c9ec00}</author>
    <author>tc={f5ba3f56-6315-4412-932c-98025f590eff}</author>
    <author>tc={f5dfba1c-3cd8-4a3a-a364-49402e5cca03}</author>
    <author>tc={f5e89956-9dd8-4e5c-9ff3-856a7e90237a}</author>
    <author>tc={f643b733-5c9f-4982-b839-e9322a270fe6}</author>
    <author>tc={f6856b07-5b9c-45a4-8a4b-efff7a5744f6}</author>
    <author>tc={f6b45021-8d79-48e8-b495-ea8e744ae3e8}</author>
    <author>tc={f6c27261-87c7-46ad-812a-05df14f01b50}</author>
    <author>tc={f6dbe440-6715-4c85-b081-d7ee95188533}</author>
    <author>tc={f6ee7b6c-577f-4b31-ba72-0952fb31b5d8}</author>
    <author>tc={f72ae3de-7335-4aa2-a510-737898ee99d9}</author>
    <author>tc={f72af4db-ca4a-4926-a4c4-da30335b140a}</author>
    <author>tc={f750945f-7385-4027-b7f0-894b47cb62fd}</author>
    <author>tc={f7588713-5675-4187-bf70-985eb367c50c}</author>
    <author>tc={f78ba00a-02b4-40ec-b2f4-13a222dd69a6}</author>
    <author>tc={f799683e-f6b9-4260-931e-72193e99d059}</author>
    <author>tc={f7a55878-ccd8-4156-8f4d-ff29f4975a43}</author>
    <author>tc={f7e115e4-e389-4150-89af-8a96cbee3bcc}</author>
    <author>tc={f8108304-c498-48a1-a8ee-1c275b17c86d}</author>
    <author>tc={f8538548-8191-4580-b3b2-82a148933127}</author>
    <author>tc={f875b18e-7d7b-4ee6-b462-c23d25444c5e}</author>
    <author>tc={f889371e-048e-4859-81e4-5ee6e23024b0}</author>
    <author>tc={f88fe7b2-28f8-411d-aadc-db83b9b74481}</author>
    <author>tc={f8dca8ce-5e14-4576-934b-4a8c44366489}</author>
    <author>tc={f8efcdd7-cc44-47b1-a780-276d2596b6d3}</author>
    <author>tc={f8efd7a3-ea82-4502-b2d1-3aef0054a47f}</author>
    <author>tc={f8f51684-2aa7-44d1-a258-2c18afc035f9}</author>
    <author>tc={f913e78f-3ab3-4071-886a-89dbb05fcd89}</author>
    <author>tc={f927373b-7f56-49c3-bbc9-395d6ea1ef9d}</author>
    <author>tc={f94c5112-2530-44e5-949a-2bc2be7c18de}</author>
    <author>tc={f975fe6b-ea13-4196-abc9-e0938a895e8b}</author>
    <author>tc={f97c5427-1417-41bd-99f5-d83de8e27552}</author>
    <author>tc={f995f089-2c98-4e27-bf9d-3020e19a3fb4}</author>
    <author>tc={f9b1f9cf-0ef9-4a27-91b3-1f1187eb2050}</author>
    <author>tc={f9c3e6a4-41f3-4b86-bafd-e276bccd1139}</author>
    <author>tc={f9e36d02-ddd9-455a-8e87-bdf58ea419f5}</author>
    <author>tc={f9fd0a45-c206-4506-8574-ca9766303b58}</author>
    <author>tc={fa1d2821-34ad-4d6d-975e-d8a544c2e6f4}</author>
    <author>tc={fa4769c3-1aea-42ce-bf6a-0650dafb46b2}</author>
    <author>tc={fa4d6787-083f-472a-81c8-daed2d0e3a81}</author>
    <author>tc={fa4e0a98-16fa-4b4e-9e34-3af7b7577340}</author>
    <author>tc={fa5fa3dc-32fe-456f-be02-c74ffa727f24}</author>
    <author>tc={fa881277-cf2c-4bed-b432-ac7fd14c0527}</author>
    <author>tc={faaf2de4-1697-4977-86eb-cf99a4ae9f28}</author>
    <author>tc={fab6e829-84be-401e-86ad-c5a5042a03bd}</author>
    <author>tc={fae7d26e-1e57-45d7-bb72-e3059e81f7d1}</author>
    <author>tc={faebd9b9-8632-4368-acab-d40c0171dace}</author>
    <author>tc={fafa6df3-e098-4f73-b5c6-5c0c5b81a5ae}</author>
    <author>tc={fb06b37b-3ff6-4a3c-b5e3-a5a7fd78ceb8}</author>
    <author>tc={fb482b73-b50d-4f4f-8803-e4c63aa4f70d}</author>
    <author>tc={fb48bd94-507b-4660-a1fd-3d979343fd1f}</author>
    <author>tc={fb4d3d72-b261-4e03-8823-d363041fcd8d}</author>
    <author>tc={fb66ba90-3abf-412d-ae11-abd9f7460a37}</author>
    <author>tc={fb6fd4a1-450e-4270-9d27-f00565cf2885}</author>
    <author>tc={fb7348df-b688-4737-827e-f41a71713691}</author>
    <author>tc={fb7982d6-3531-44be-8d0e-bbda540583c0}</author>
    <author>tc={fb86e751-201c-412b-bf02-8174e18f2ab2}</author>
    <author>tc={fb9ef2ed-8f38-46b3-9aaf-0a8ebe833bcf}</author>
    <author>tc={fbaa20a9-7eb0-4c5b-b4d5-152712382663}</author>
    <author>tc={fbbcd179-a9cc-446b-9e0c-495eee15bef2}</author>
    <author>tc={fbbd4eba-83e9-4ade-b1a6-9e6bbd0e6f68}</author>
    <author>tc={fbdd9368-87c5-4b58-88cb-9633d71e6eaf}</author>
    <author>tc={fbec217e-70c0-401d-bb76-15b74f89a266}</author>
    <author>tc={fbf0cc61-8f06-4f83-ba44-9205ba30be4e}</author>
    <author>tc={fc0d49c0-9d39-4919-ae14-9fe2d6148804}</author>
    <author>tc={fc0ebbd3-b847-468c-afa7-481e4d4066d4}</author>
    <author>tc={fc1d0560-20d5-409f-984e-fdf7cb2309ce}</author>
    <author>tc={fc34c477-45d8-4964-bbda-53adfd8255f6}</author>
    <author>tc={fc428b95-957e-4595-996d-7995cff23212}</author>
    <author>tc={fc442b5c-f977-4480-bb8d-dc0b0f7faf2c}</author>
    <author>tc={fc47d166-9415-4c2b-b23c-1431481d1288}</author>
    <author>tc={fc62a783-5c17-446d-9b6c-86b8c1c0aebf}</author>
    <author>tc={fc94081e-acc0-419e-a53f-e4691bdeb7a0}</author>
    <author>tc={fc9c66b5-6f33-4eac-9896-df750efa64ea}</author>
    <author>tc={fcaac5a1-f33a-47ac-b8c9-f89d9483ccde}</author>
    <author>tc={fcb03a84-21b0-49b0-8462-1a0e2b0bd66f}</author>
    <author>tc={fcb24218-7cfc-4657-8e7d-2834c3279086}</author>
    <author>tc={fcd76a12-3152-4803-9573-987654951f1e}</author>
    <author>tc={fceb0dd9-0113-4cd4-9d7e-10772706962f}</author>
    <author>tc={fcf47243-457b-42d3-bca9-837bc707fcc8}</author>
    <author>tc={fd171448-71cf-4ae8-b74e-19c969b73317}</author>
    <author>tc={fd17579c-9495-433f-9432-ca28fbfe3e33}</author>
    <author>tc={fd207cc7-d501-4ffe-b8a1-43db9649c1c4}</author>
    <author>tc={fd24587c-23b0-4ebc-a778-e560530eb70a}</author>
    <author>tc={fd2dbff1-2643-44b9-a1bf-3c0a67dbbbf7}</author>
    <author>tc={fd64d51b-66b5-46dc-861c-b88e2e46c40e}</author>
    <author>tc={fd79ad14-ec55-49ca-85e9-d20531eeb595}</author>
    <author>tc={fd7bba06-1564-4e23-aee1-acecf3f0b981}</author>
    <author>tc={fd843bf7-06d1-4d72-85cb-6910d4865574}</author>
    <author>tc={fdaf0c81-0242-4690-b1fd-5351bbec1050}</author>
    <author>tc={fdbb6697-0121-4cb2-8f49-d4d90e6d0d04}</author>
    <author>tc={fddaf68c-e25a-4cf4-a0ad-3883efc6f749}</author>
    <author>tc={fde4540f-9461-4993-8498-b36151a3d3dc}</author>
    <author>tc={fe3a8a7d-1c13-4bcb-80ae-335d5648fae6}</author>
    <author>tc={fe5c4434-1e8f-49a7-91fd-5f8d9fe68e0c}</author>
    <author>tc={fe621f54-0774-4c7c-bb12-b2b9fbb392bc}</author>
    <author>tc={fe9c6280-9288-49ed-8d8e-729ccf98cb72}</author>
    <author>tc={fea369a8-9e8a-4e9b-937f-c082fd33e401}</author>
    <author>tc={feb86826-4115-4d70-aa32-9a9e1bd6fbe5}</author>
    <author>tc={fed57fa6-30e6-4be3-a659-30305e939c69}</author>
    <author>tc={feeb417c-e88d-47e9-937d-3e8728efea4c}</author>
    <author>tc={ff180c5e-dda2-4a51-af93-5eef6f6d7102}</author>
    <author>tc={ff365e98-6fb2-4b06-98bc-abfac4c84e18}</author>
    <author>tc={ff4418bb-6b12-4b63-bd39-e6d015db9677}</author>
    <author>tc={ff466c50-ec25-4507-8ba4-08774f9a9219}</author>
    <author>tc={ff5c87cb-8774-41c4-8e07-952a628cdd0d}</author>
    <author>tc={ff72d8a7-5c49-43d6-b405-ab03f16d5cb7}</author>
    <author>tc={ff8e7a90-dfec-4e2c-ac72-b4572950421b}</author>
    <author>tc={ff9a2879-f9b5-426d-9e19-cb5a10f59eca}</author>
    <author>tc={ffdb2b66-2d70-4552-b724-c4696e2ba099}</author>
    <author>tc={ffe7c499-5161-499b-90f0-87953f837eab}</author>
    <author>tc={ffe9d3f7-3156-4125-8b9c-5279b3a24e7a}</author>
    <author>tc={ffec8d56-ce1c-4470-8cd9-b1999cfa2912}</author>
    <author>tc={fff1517b-60eb-4e66-9a1a-45f85f484296}</author>
  </authors>
  <commentList>
    <comment authorId="0" ref="F38">
      <text>
        <t xml:space="preserve">Anteriormente se compró en amazon pero se canceló, ahora se compró en ebay</t>
      </text>
    </comment>
    <comment authorId="0" ref="AF702">
      <text>
        <t xml:space="preserve">Adelanto verificado
</t>
      </text>
    </comment>
    <comment authorId="0" ref="K711">
      <text>
        <t xml:space="preserve">esta en el 5 de junio
</t>
      </text>
    </comment>
    <comment authorId="0" ref="W306">
      <text>
        <t xml:space="preserve">FACTURA ENVIAR A UN CORREO
</t>
      </text>
    </comment>
    <comment authorId="0" ref="AF665">
      <text>
        <t xml:space="preserve">Adelanto verificado
</t>
      </text>
    </comment>
    <comment authorId="0" ref="AF694">
      <text>
        <t xml:space="preserve">Adelanto verificado
</t>
      </text>
    </comment>
    <comment authorId="0" ref="AF661">
      <text>
        <t xml:space="preserve">Adelanto verificado
</t>
      </text>
    </comment>
    <comment authorId="0" ref="K575">
      <text>
        <t xml:space="preserve">EN SUPROPIO CHAT EL 12 DE MARZO
</t>
      </text>
    </comment>
    <comment authorId="0" ref="K571">
      <text>
        <t xml:space="preserve">ESTA EN SU PROPIO CHAT 
</t>
      </text>
    </comment>
    <comment authorId="0" ref="T1">
      <text>
        <t xml:space="preserve">el cliente pagó extra por estos accesorios</t>
      </text>
    </comment>
    <comment authorId="0" ref="F691">
      <text>
        <t xml:space="preserve">YA SE COMPRO, TODO OK, en vez de esta que fue cancelada
ke-bh-1128545453</t>
      </text>
    </comment>
    <comment authorId="0" ref="U1">
      <text>
        <t xml:space="preserve">se le dio al cliente de regalo </t>
      </text>
    </comment>
    <comment authorId="0" ref="AG715">
      <text>
        <t xml:space="preserve">LAPTOP CANCELADA</t>
      </text>
    </comment>
    <comment authorId="0" ref="Y162">
      <text>
        <t xml:space="preserve">revisar después
</t>
      </text>
    </comment>
    <comment authorId="0" ref="M790">
      <text>
        <t xml:space="preserve">FACTURA
</t>
      </text>
    </comment>
    <comment authorId="0" ref="AF711">
      <text>
        <t xml:space="preserve">Adelanto verificado
</t>
      </text>
    </comment>
    <comment authorId="0" ref="K720">
      <text>
        <t xml:space="preserve">28 DE MAYO
</t>
      </text>
    </comment>
    <comment authorId="0" ref="K559">
      <text>
        <t xml:space="preserve">Sí estan, Maryory me mando foto</t>
      </text>
    </comment>
    <comment authorId="0" ref="AF707">
      <text>
        <t xml:space="preserve">Adelanto verificado
</t>
      </text>
    </comment>
    <comment authorId="0" ref="K749">
      <text>
        <t xml:space="preserve">pago 3 de junio</t>
      </text>
    </comment>
    <comment authorId="0" ref="K683">
      <text>
        <t xml:space="preserve">en su chat esta
</t>
      </text>
    </comment>
    <comment authorId="0" ref="AF670">
      <text>
        <t xml:space="preserve">Adelanto verificado
</t>
      </text>
    </comment>
    <comment authorId="0" ref="K551">
      <text>
        <t xml:space="preserve">esta en el día 10 de marzo</t>
      </text>
    </comment>
    <comment authorId="0" ref="AF666">
      <text>
        <t xml:space="preserve">Adelanto verificado
</t>
      </text>
    </comment>
    <comment authorId="0" ref="J638">
      <text>
        <t xml:space="preserve">Adelanto verificado
</t>
      </text>
    </comment>
    <comment authorId="0" ref="M737">
      <text>
        <t xml:space="preserve">Link de pago de Culqui, se le agregó la comisión por eso difiere del de abajo
</t>
      </text>
    </comment>
    <comment authorId="0" ref="T167">
      <text>
        <t xml:space="preserve">mouse  30 soles + soporte 20 soles</t>
      </text>
    </comment>
    <comment authorId="0" ref="AF691">
      <text>
        <t xml:space="preserve">Adelanto verificado
</t>
      </text>
    </comment>
    <comment authorId="0" ref="AF658">
      <text>
        <t xml:space="preserve">Adelanto verificado
</t>
      </text>
    </comment>
    <comment authorId="0" ref="K700">
      <text>
        <t xml:space="preserve">en su chat
</t>
      </text>
    </comment>
    <comment authorId="0" ref="F758">
      <text>
        <t xml:space="preserve">Cambiar por la de MICROCENTER
</t>
      </text>
    </comment>
    <comment authorId="0" ref="K696">
      <text>
        <t xml:space="preserve">Voucher el día 7 de mayo
</t>
      </text>
    </comment>
    <comment authorId="0" ref="K688">
      <text>
        <t xml:space="preserve">esta en su chat
</t>
      </text>
    </comment>
    <comment authorId="0" ref="AF675">
      <text>
        <t xml:space="preserve">Adelanto verificado
</t>
      </text>
    </comment>
    <comment authorId="0" ref="AG704">
      <text>
        <t xml:space="preserve">va para mayo porque la laptop de donde se quiere sacar excedente todavía no se vendio
</t>
      </text>
    </comment>
    <comment authorId="0" ref="K713">
      <text>
        <t xml:space="preserve">voucher en chat
</t>
      </text>
    </comment>
    <comment authorId="0" ref="M779">
      <text>
        <t xml:space="preserve">FACTURA</t>
      </text>
    </comment>
    <comment authorId="0" ref="K701">
      <text>
        <t xml:space="preserve">voucher en su chat</t>
      </text>
    </comment>
    <comment authorId="0" ref="E759">
      <text>
        <t xml:space="preserve">NO HAY APURO
</t>
      </text>
    </comment>
    <comment authorId="0" ref="AF238">
      <text>
        <t xml:space="preserve">Venta final, fixit, boleta
</t>
      </text>
    </comment>
    <comment authorId="0" ref="AE717">
      <text>
        <t xml:space="preserve">voucher inicial
</t>
      </text>
    </comment>
    <comment authorId="0" ref="N759">
      <text>
        <t xml:space="preserve">ok
</t>
      </text>
    </comment>
    <comment authorId="0" ref="K722">
      <text>
        <t xml:space="preserve">voucher en chat</t>
      </text>
    </comment>
    <comment authorId="0" ref="AF705">
      <text>
        <t xml:space="preserve">Adelanto verificado
</t>
      </text>
    </comment>
    <comment authorId="0" ref="AF672">
      <text>
        <t xml:space="preserve">Adelanto verificado
</t>
      </text>
    </comment>
    <comment authorId="0" ref="AF701">
      <text>
        <t xml:space="preserve">Adelanto verificado
</t>
      </text>
    </comment>
    <comment authorId="0" ref="AE763">
      <text>
        <t xml:space="preserve">cancelada</t>
      </text>
    </comment>
    <comment authorId="0" ref="T301">
      <text>
        <t xml:space="preserve">PAGAR COMISION A GONZALO</t>
      </text>
    </comment>
    <comment authorId="0" ref="K578">
      <text>
        <t xml:space="preserve">EN SUPROPIO CHAT EL 2 DE MARZO
</t>
      </text>
    </comment>
    <comment authorId="0" ref="AF693">
      <text>
        <t xml:space="preserve">Adelanto verificado
</t>
      </text>
    </comment>
    <comment authorId="0" ref="AG656">
      <text>
        <t xml:space="preserve">NO HAY
</t>
      </text>
    </comment>
    <comment authorId="0" ref="AF681">
      <text>
        <t xml:space="preserve">Adelanto verificado
</t>
      </text>
    </comment>
    <comment authorId="0" ref="AF710">
      <text>
        <t xml:space="preserve">Adelanto verificado
</t>
      </text>
    </comment>
    <comment authorId="0" ref="T793">
      <text>
        <t xml:space="preserve">YA no es necesario colocarlo, porque de abajo se van a restar por eso lo elimine
</t>
      </text>
    </comment>
    <comment authorId="0" ref="K719">
      <text>
        <t xml:space="preserve">voucher en chat</t>
      </text>
    </comment>
    <comment authorId="0" ref="K558">
      <text>
        <t xml:space="preserve">Sí estan, Maryory me mando foto</t>
      </text>
    </comment>
    <comment authorId="0" ref="AF706">
      <text>
        <t xml:space="preserve">Adelanto verificado
</t>
      </text>
    </comment>
    <comment authorId="1" xr:uid="{0006882c-6800-4b88-9355-0222a3eba40b}" ref="L191">
      <text>
        <t xml:space="preserve">[Threaded comment]
 Your version of Excel allows you to read this threaded comment; however, any edits to it will get removed if the file is opened in a newer version of Excel. Learn more: https://go.microsoft.com/fwlink/?linkid=870924
Comment:
	https://drive.google.com/file/d/1ErmssXxRp_KOn-FBF1sbup8fQnKXIVly/view?usp=drive_link
</t>
      </text>
    </comment>
    <comment authorId="2" xr:uid="{0017b120-4cad-43e6-b763-27f4b2aac5b4}" ref="K726">
      <text>
        <t xml:space="preserve">[Threaded comment]
 Your version of Excel allows you to read this threaded comment; however, any edits to it will get removed if the file is opened in a newer version of Excel. Learn more: https://go.microsoft.com/fwlink/?linkid=870924
Comment:
	https://drive.google.com/file/d/1RPD8C1G7Kqs5UPYtECroiYWjjxki2GiH/view?usp=drive_link
Reply:
	https://drive.google.com/file/d/1eUKH_nnKLYPDM00jFYaIzbJnd1KWFC_L/view?usp=drive_link
Reply:
	https://drive.google.com/file/d/1oEW1jdcFWRHIypOPm_pSSCCFy1jRADL8/view?usp=drive_link
</t>
      </text>
    </comment>
    <comment authorId="3" xr:uid="{002c8acb-3757-4c14-a9b2-df7fff959122}" ref="K494">
      <text>
        <t xml:space="preserve">[Threaded comment]
 Your version of Excel allows you to read this threaded comment; however, any edits to it will get removed if the file is opened in a newer version of Excel. Learn more: https://go.microsoft.com/fwlink/?linkid=870924
Comment:
	https://drive.google.com/file/d/1bIlvJjwjCF8uBLJv0aHdCA7ZSOqQALmP/view?usp=drive_link
</t>
      </text>
    </comment>
    <comment authorId="4" xr:uid="{002d30ed-42a8-4553-ab8e-0aacb0090de6}" ref="C315">
      <text>
        <t xml:space="preserve">[Threaded comment]
 Your version of Excel allows you to read this threaded comment; however, any edits to it will get removed if the file is opened in a newer version of Excel. Learn more: https://go.microsoft.com/fwlink/?linkid=870924
Comment:
	https://www.ebay.com/itm/127157824843?_skw=rog+flow&amp;itmmeta=01KABXXBZGRAX9F247QY9EPAQW&amp;hash=item1d9b326d4b:g:2jcAAeSwiVZpA8J1
</t>
      </text>
    </comment>
    <comment authorId="5" xr:uid="{0037447b-0e9a-4cad-8fef-6ca22b530706}" ref="C57">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https://www.bestbuy.com/site/asus-rog-strix-g18-18-2-5k-240hz-gaming-laptop-intel-core-ultra-9-hx-32gb-ram-nvidia-geforce-rtx-5080-2tb-ssd-eclipse-grey/6613958.p?skuId=6613958
</t>
      </text>
    </comment>
    <comment authorId="6" xr:uid="{0038a181-f6ce-42c6-99ca-dae527b8a959}" ref="AI774">
      <text>
        <t xml:space="preserve">[Threaded comment]
 Your version of Excel allows you to read this threaded comment; however, any edits to it will get removed if the file is opened in a newer version of Excel. Learn more: https://go.microsoft.com/fwlink/?linkid=870924
Comment:
	https://drive.google.com/file/d/1NMBpadZxQqsmt38RzjRiA3dFLa2hF7V-/view?usp=drive_link
</t>
      </text>
    </comment>
    <comment authorId="7" xr:uid="{0040614b-cd4a-4810-8991-519701e5863c}" ref="AF186">
      <text>
        <t xml:space="preserve">[Threaded comment]
 Your version of Excel allows you to read this threaded comment; however, any edits to it will get removed if the file is opened in a newer version of Excel. Learn more: https://go.microsoft.com/fwlink/?linkid=870924
Comment:
	FINAL: venta final y fixit
</t>
      </text>
    </comment>
    <comment authorId="8" xr:uid="{00453222-19f1-471d-b483-3a6db395b2b9}" ref="W293">
      <text>
        <t xml:space="preserve">[Threaded comment]
 Your version of Excel allows you to read this threaded comment; however, any edits to it will get removed if the file is opened in a newer version of Excel. Learn more: https://go.microsoft.com/fwlink/?linkid=870924
Comment:
	https://drive.google.com/file/d/1cim-XS_YJk6Rx7bl6FbqAbsPQRP_6SGL/view?usp=drive_link
</t>
      </text>
    </comment>
    <comment authorId="9" xr:uid="{00501d2a-807c-4a66-a6dc-beac67a0c2be}" ref="J531">
      <text>
        <t xml:space="preserve">[Threaded comment]
 Your version of Excel allows you to read this threaded comment; however, any edits to it will get removed if the file is opened in a newer version of Excel. Learn more: https://go.microsoft.com/fwlink/?linkid=870924
Comment:
	https://drive.google.com/file/d/1TgvgmoMXHIxORsB5edxxUF2miIVQridI/view?usp=drive_link
</t>
      </text>
    </comment>
    <comment authorId="10" xr:uid="{0054a9af-d99d-4c1f-aac6-4a8b4ad2e992}" ref="K774">
      <text>
        <t xml:space="preserve">[Threaded comment]
 Your version of Excel allows you to read this threaded comment; however, any edits to it will get removed if the file is opened in a newer version of Excel. Learn more: https://go.microsoft.com/fwlink/?linkid=870924
Comment:
	https://drive.google.com/file/d/1DHNAAxJTvGfPwN95OEIH8yvfoNCS0Wul/view?usp=drive_link
</t>
      </text>
    </comment>
    <comment authorId="11" xr:uid="{00907ece-1adc-46e4-9c4f-216a4ab490a3}"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https://drive.google.com/file/d/18tyNATS0BVoX6GsnjAlCNzJcQEcIUT6N/view?usp=drive_link
</t>
      </text>
    </comment>
    <comment authorId="12" xr:uid="{00a7b95b-179b-4b7c-880a-57fcfd59245a}" ref="J551">
      <text>
        <t xml:space="preserve">[Threaded comment]
 Your version of Excel allows you to read this threaded comment; however, any edits to it will get removed if the file is opened in a newer version of Excel. Learn more: https://go.microsoft.com/fwlink/?linkid=870924
Comment:
	https://drive.google.com/file/d/1AuqYIGOQXLEmzn8LRoLxfLirK3CBqpYg/view?usp=drive_link
</t>
      </text>
    </comment>
    <comment authorId="13" xr:uid="{00d0fe5d-51f4-48c6-a362-23a63a0270ef}" ref="J766">
      <text>
        <t xml:space="preserve">[Threaded comment]
 Your version of Excel allows you to read this threaded comment; however, any edits to it will get removed if the file is opened in a newer version of Excel. Learn more: https://go.microsoft.com/fwlink/?linkid=870924
Comment:
	https://drive.google.com/file/d/1-v_2MLcnsAq0kZWdBfBM0Ecw0iMEz0ZY/view?usp=drive_link
</t>
      </text>
    </comment>
    <comment authorId="14" xr:uid="{011f5ba6-6a8e-4e31-91b9-2e83a52b654a}" ref="C485">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https://us-store.msi.com/Laptops/Gaming-Series/Vector-16-HX-AI-A2XWIG-420US
</t>
      </text>
    </comment>
    <comment authorId="15" xr:uid="{012b3aa5-5733-42f0-aaa0-61f9c10d4b75}" ref="J296">
      <text>
        <t xml:space="preserve">[Threaded comment]
 Your version of Excel allows you to read this threaded comment; however, any edits to it will get removed if the file is opened in a newer version of Excel. Learn more: https://go.microsoft.com/fwlink/?linkid=870924
Comment:
	https://drive.google.com/file/d/1D7oFXdpSGX-UQJZXw4vSJvjipr415s4b/view?usp=drive_link
</t>
      </text>
    </comment>
    <comment authorId="16" xr:uid="{0175aebe-90df-480a-9259-06b744704fc5}" ref="J771">
      <text>
        <t xml:space="preserve">[Threaded comment]
 Your version of Excel allows you to read this threaded comment; however, any edits to it will get removed if the file is opened in a newer version of Excel. Learn more: https://go.microsoft.com/fwlink/?linkid=870924
Comment:
	https://drive.google.com/file/d/1I1_DaRSLHFUyeVqPULvTjgDvRi0N2eu-/view?usp=drive_link
</t>
      </text>
    </comment>
    <comment authorId="17" xr:uid="{01a02726-06bf-4233-95c0-e164e38302cf}" ref="D285">
      <text>
        <t xml:space="preserve">[Threaded comment]
 Your version of Excel allows you to read this threaded comment; however, any edits to it will get removed if the file is opened in a newer version of Excel. Learn more: https://go.microsoft.com/fwlink/?linkid=870924
Comment:
	DNI 46291358
960722007
mauarq30490@gmail.com
</t>
      </text>
    </comment>
    <comment authorId="18" xr:uid="{01a58c02-a286-4ebd-b8b0-3f8e954dcb46}" ref="AF662">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9" xr:uid="{01b2ea57-7f49-4b4f-86c7-89dd29d043b6}" ref="K607">
      <text>
        <t xml:space="preserve">[Threaded comment]
 Your version of Excel allows you to read this threaded comment; however, any edits to it will get removed if the file is opened in a newer version of Excel. Learn more: https://go.microsoft.com/fwlink/?linkid=870924
Comment:
	https://drive.google.com/file/d/1v03RpQRcWVTafqvHdx9HBCgWkWBiGNC9/view?usp=drive_link
</t>
      </text>
    </comment>
    <comment authorId="20" xr:uid="{01c5c110-17d7-479d-939a-628cf9c72341}" ref="AF63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1" xr:uid="{01d19e7a-6145-45d4-b8ab-5395c87fc4d0}" ref="K407">
      <text>
        <t xml:space="preserve">[Threaded comment]
 Your version of Excel allows you to read this threaded comment; however, any edits to it will get removed if the file is opened in a newer version of Excel. Learn more: https://go.microsoft.com/fwlink/?linkid=870924
Comment:
	https://drive.google.com/file/d/1VMhB5YcN8cyq_hOMJKt2N3huhmxYU5Fb/view?usp=drive_link
</t>
      </text>
    </comment>
    <comment authorId="22" xr:uid="{01e4f68f-2237-49b5-a10d-fbb6830f826b}" ref="AF726">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3" xr:uid="{01e79820-aba5-4820-b56a-683242bca8dd}" ref="C10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https://www.microcenter.com/product/688173/apple-mac-mini-mu9d3ll-a-(late-2024)-desktop-computer
</t>
      </text>
    </comment>
    <comment authorId="24" xr:uid="{021ff332-6fba-42c8-9c82-46031a14d5c2}" ref="J70">
      <text>
        <t xml:space="preserve">[Threaded comment]
 Your version of Excel allows you to read this threaded comment; however, any edits to it will get removed if the file is opened in a newer version of Excel. Learn more: https://go.microsoft.com/fwlink/?linkid=870924
Comment:
	https://drive.google.com/file/d/15u1kbCfRWy54OMemecBA9PTugDgwbD-N/view?usp=drive_link
</t>
      </text>
    </comment>
    <comment authorId="25" xr:uid="{022d6e46-8946-4fd0-b96e-66097451f81f}" ref="K663">
      <text>
        <t xml:space="preserve">[Threaded comment]
 Your version of Excel allows you to read this threaded comment; however, any edits to it will get removed if the file is opened in a newer version of Excel. Learn more: https://go.microsoft.com/fwlink/?linkid=870924
Comment:
	https://drive.google.com/file/d/1keGY0X7p_n0wsdotZYgPfFBj2ej4Nv4_/view?usp=drive_link
Reply:
	https://drive.google.com/file/d/1z-JFhuDAClTaON6JeUjWpGpn4zm47XLm/view?usp=drive_link
</t>
      </text>
    </comment>
    <comment authorId="26" xr:uid="{024c5ac2-a94d-47e7-be5d-d2b027c8072a}" ref="AF43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7" xr:uid="{024f0646-c1df-40ac-a7ef-3bd190cf95ef}" ref="AF698">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8" xr:uid="{027044f2-816d-47b8-b8f9-147e0b8ad73d}" ref="T668">
      <text>
        <t xml:space="preserve">[Threaded comment]
 Your version of Excel allows you to read this threaded comment; however, any edits to it will get removed if the file is opened in a newer version of Excel. Learn more: https://go.microsoft.com/fwlink/?linkid=870924
Comment:
	apertura y configuracion de  fila 687 por exceso de dias
</t>
      </text>
    </comment>
    <comment authorId="29" xr:uid="{0280dcf0-1f21-42c5-81bc-5a4d2f59a927}" ref="J395">
      <text>
        <t xml:space="preserve">[Threaded comment]
 Your version of Excel allows you to read this threaded comment; however, any edits to it will get removed if the file is opened in a newer version of Excel. Learn more: https://go.microsoft.com/fwlink/?linkid=870924
Comment:
	https://drive.google.com/file/d/1PJvMq7xcWHRc0zYA2kZD1bdR8moF5eF3/view?usp=drive_link
https://drive.google.com/file/d/1hUZ1ofGEkxRPT70qpZc4ESjrq7_O9Dxf/view?usp=drive_link
</t>
      </text>
    </comment>
    <comment authorId="30" xr:uid="{02b1476c-ba87-432d-adae-f6cfeace23ef}" ref="T436">
      <text>
        <t xml:space="preserve">[Threaded comment]
 Your version of Excel allows you to read this threaded comment; however, any edits to it will get removed if the file is opened in a newer version of Excel. Learn more: https://go.microsoft.com/fwlink/?linkid=870924
Comment:
	Puse 80 soles del cliente de la FILA 13, que se debía ese excedente
</t>
      </text>
    </comment>
    <comment authorId="31" xr:uid="{02f8b93a-7a65-4e9d-8296-388266f75ff8}" ref="L74">
      <text>
        <t xml:space="preserve">[Threaded comment]
 Your version of Excel allows you to read this threaded comment; however, any edits to it will get removed if the file is opened in a newer version of Excel. Learn more: https://go.microsoft.com/fwlink/?linkid=870924
Comment:
	https://drive.google.com/file/d/1yafuO076zLv6cv8yKUK-xwqPT_2T_6vC/view?usp=drive_link
Reply:
	https://drive.google.com/file/d/1JawqE3fZvprkLhwp6pDcMtTmhaayJsm3/view?usp=drive_link
</t>
      </text>
    </comment>
    <comment authorId="32" xr:uid="{030d1c4f-c245-4e4b-a520-0bebb8e5d774}" ref="J303">
      <text>
        <t xml:space="preserve">[Threaded comment]
 Your version of Excel allows you to read this threaded comment; however, any edits to it will get removed if the file is opened in a newer version of Excel. Learn more: https://go.microsoft.com/fwlink/?linkid=870924
Comment:
	https://drive.google.com/file/d/1HPFK0iabLRXNxm-Gqb37ypU0mXNSG2Fa/view?usp=drive_link
</t>
      </text>
    </comment>
    <comment authorId="33" xr:uid="{033a5b50-7935-4b62-b483-77957c22629a}" ref="N489">
      <text>
        <t xml:space="preserve">[Threaded comment]
 Your version of Excel allows you to read this threaded comment; however, any edits to it will get removed if the file is opened in a newer version of Excel. Learn more: https://go.microsoft.com/fwlink/?linkid=870924
Comment:
	consideré el peso con 1.5 kg en total
</t>
      </text>
    </comment>
    <comment authorId="34" xr:uid="{0370178c-957d-459c-8908-25af875ef79c}" ref="J220">
      <text>
        <t xml:space="preserve">[Threaded comment]
 Your version of Excel allows you to read this threaded comment; however, any edits to it will get removed if the file is opened in a newer version of Excel. Learn more: https://go.microsoft.com/fwlink/?linkid=870924
Comment:
	https://drive.google.com/file/d/1vytH-VRwmLoOeDM7ECMwtbdsgUjlaWSF/view?usp=drive_link
</t>
      </text>
    </comment>
    <comment authorId="35" xr:uid="{0383c0c4-7969-4483-854a-3becfead3c53}" ref="C66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36" xr:uid="{03b01b5a-d18d-476a-b161-2507a323ec54}" ref="F431">
      <text>
        <t xml:space="preserve">[Threaded comment]
 Your version of Excel allows you to read this threaded comment; however, any edits to it will get removed if the file is opened in a newer version of Excel. Learn more: https://go.microsoft.com/fwlink/?linkid=870924
Comment:
	sale procesando la orden
</t>
      </text>
    </comment>
    <comment authorId="37" xr:uid="{03ca72f9-d79b-4430-b131-90714d4a68e1}" ref="Q356">
      <text>
        <t xml:space="preserve">[Threaded comment]
 Your version of Excel allows you to read this threaded comment; however, any edits to it will get removed if the file is opened in a newer version of Excel. Learn more: https://go.microsoft.com/fwlink/?linkid=870924
Comment:
	minino
</t>
      </text>
    </comment>
    <comment authorId="38" xr:uid="{03e1777d-a43f-4386-887a-956cd9688f82}" ref="J338">
      <text>
        <t xml:space="preserve">[Threaded comment]
 Your version of Excel allows you to read this threaded comment; however, any edits to it will get removed if the file is opened in a newer version of Excel. Learn more: https://go.microsoft.com/fwlink/?linkid=870924
Comment:
	https://drive.google.com/file/d/1BluHHDiTiQHmQNmh7F0Ry_JKWubqU_Jl/view?usp=drive_link
</t>
      </text>
    </comment>
    <comment authorId="39" xr:uid="{04222dc5-5778-4c85-9fd4-e9f21b810b61}" ref="C655">
      <text>
        <t xml:space="preserve">[Threaded comment]
 Your version of Excel allows you to read this threaded comment; however, any edits to it will get removed if the file is opened in a newer version of Excel. Learn more: https://go.microsoft.com/fwlink/?linkid=870924
Comment:
	https://www.amazon.com/Apple-Laptop-MacBook-2025-n%C3%BAcleos/dp/B0FWD623D1/ref=sr_1_1_sspa?__mk_es_US=%C3%85M%C3%85%C5%BD%C3%95%C3%91&amp;crid=3KB3PUBSST63D&amp;dib=eyJ2IjoiMSJ9.UtbcVQ6umCJbRtFCQ0Gpnh5FyHJeJWpFdL3DOBd2fnzTnTWfAc_-TuS6OBY2q2_kcjjEoMNcZUBbsceIz5cJ4YDyIMig6RXe2stw6uZHAFebU-bo2yw7N71i6byGitkB86MeknRKBdMkQqnMV9zplCZdeA3E7EDV5cmGHtMnytwTEzO6VvVEHwiNIy6Rw1atyTfIXfz-7h-j6D7LcxOLNguVboMy20bvCO6Xru7h-Ew.7p7oAPa7PPtShikCtElMyF3F6pqgI0v_-jrJWrPZ47I&amp;dib_tag=se&amp;keywords=Apple%2BLaptop%2BMacBook%2BPro%2B2025%2Bcon%2Bchip%2BApple%2BM5&amp;nsdOptOutParam=true&amp;qid=1775315516&amp;sprefix=apple%2Blaptop%2Bmacbook%2Bpro%2B2025%2Bcon%2Bchip%2Bapple%2Bm5%2B%2Caps%2C168&amp;sr=8-1-spons&amp;sp_csd=d2lkZ2V0TmFtZT1zcF9hdGY&amp;th=1
</t>
      </text>
    </comment>
    <comment authorId="40" xr:uid="{042ae6d6-95f8-4c95-8be2-b57e07e44206}" ref="T775">
      <text>
        <t xml:space="preserve">[Threaded comment]
 Your version of Excel allows you to read this threaded comment; however, any edits to it will get removed if the file is opened in a newer version of Excel. Learn more: https://go.microsoft.com/fwlink/?linkid=870924
Comment:
	MOUSE+ AUDIFONO
</t>
      </text>
    </comment>
    <comment authorId="41" xr:uid="{042e1c98-0685-4ac5-b6ff-cea6ad85778c}" ref="J110">
      <text>
        <t xml:space="preserve">[Threaded comment]
 Your version of Excel allows you to read this threaded comment; however, any edits to it will get removed if the file is opened in a newer version of Excel. Learn more: https://go.microsoft.com/fwlink/?linkid=870924
Comment:
	https://drive.google.com/file/d/1CN0-Y91Ho_vODHy3yjnNYoLouGYa5KqL/view?usp=drive_link
</t>
      </text>
    </comment>
    <comment authorId="42" xr:uid="{04d09aa5-874c-4432-a553-ad2bbeba108c}" ref="C358">
      <text>
        <t xml:space="preserve">[Threaded comment]
 Your version of Excel allows you to read this threaded comment; however, any edits to it will get removed if the file is opened in a newer version of Excel. Learn more: https://go.microsoft.com/fwlink/?linkid=870924
Comment:
	https://www.amazon.com/-/es/Port%C3%A1til-juegos-pantalla-Nebula-pulgadas/dp/B0F1C665XL/ref=sr_1_11?__mk_es_US=%C3%85M%C3%85%C5%BD%C3%95%C3%91&amp;crid=1WAMI701SU942&amp;dib=eyJ2IjoiMSJ9.TjE8w4xuPJzAbcvWIkUpzMXcDyxlZrBK-li8abYOBchKprNNhcqacr2IGBOU_LLjjP428k_LsZWVBn29-V5ByaWIF4eP1WKVYPcQrnJ9kIVIpPGmierwcRzYlBu1QaQoUUXfuAKrFJASA-F29a8m2ev_YlJJNRPXv7k3yZxFKB7XYdA2hH7gF_POOu7T7LO8_nrzY2Aijtmswmvd-KpO7pZSBKMGZ6m6zeYkhFZg6bjIZ256ccKAwUIp9kKcDi7zGF19nOp24DBOE5gvtheSvyVTJEzyB-Q8i6zAnlu1MN0.rX5lFtyvmhIFbe-WrlhBmNb2Bi5alTJjm6NctJu2OUU&amp;dib_tag=se&amp;keywords=laptop%2Bgaming&amp;psr=EY17&amp;qid=1764052621&amp;refinements=p_n_deal_type%3A23566064011&amp;rnid=23566063011&amp;s=electronics&amp;sprefix=laptop%2Bgamin%2Celectronics%2C206&amp;sr=1-11&amp;th=1
</t>
      </text>
    </comment>
    <comment authorId="43" xr:uid="{04e87606-232c-4cf0-ae41-9ac8eb7ea9ca}" ref="L166">
      <text>
        <t xml:space="preserve">[Threaded comment]
 Your version of Excel allows you to read this threaded comment; however, any edits to it will get removed if the file is opened in a newer version of Excel. Learn more: https://go.microsoft.com/fwlink/?linkid=870924
Comment:
	https://drive.google.com/file/d/14qvvFXDfLd92g2O6ijINXkHBwmXh4Aou/view?usp=drive_link
</t>
      </text>
    </comment>
    <comment authorId="44" xr:uid="{0519bf59-424c-417c-aff1-8fa2bfbacbad}" ref="J31">
      <text>
        <t xml:space="preserve">[Threaded comment]
 Your version of Excel allows you to read this threaded comment; however, any edits to it will get removed if the file is opened in a newer version of Excel. Learn more: https://go.microsoft.com/fwlink/?linkid=870924
Comment:
	https://drive.google.com/file/d/1cVY2Zs7wrjl7wPAAj81kimDL_xc_IMxn/view?usp=drive_link
</t>
      </text>
    </comment>
    <comment authorId="45" xr:uid="{0547fcfe-5d4b-4290-abb0-1213741f2f3e}" ref="AF352">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46" xr:uid="{054972e5-67c0-4bfc-96d6-825ec04a98d6}" ref="K640">
      <text>
        <t xml:space="preserve">[Threaded comment]
 Your version of Excel allows you to read this threaded comment; however, any edits to it will get removed if the file is opened in a newer version of Excel. Learn more: https://go.microsoft.com/fwlink/?linkid=870924
Comment:
	https://drive.google.com/file/d/1O5ARAsWNo5jw5a0Tz27QtEGnjV_ARTEn/view?usp=drive_link
</t>
      </text>
    </comment>
    <comment authorId="47" xr:uid="{054c3c55-dd4a-4a43-a2ae-4368463c967b}" ref="C573">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https://www.ebay.com/itm/326655425561?_skw=laptop+gaming&amp;itmmeta=01KJ7E3GBT8730A38PT6JSANEZ&amp;hash=item4c0e2e3c19:g:ibQAAeSwPwFpmr4u
</t>
      </text>
    </comment>
    <comment authorId="48" xr:uid="{0553cabf-b59e-4833-9eb0-dde904cf2c4f}" ref="AF327">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49" xr:uid="{05643eba-2382-45b5-b66d-c14cdf19443f}" ref="S250">
      <text>
        <t xml:space="preserve">[Threaded comment]
 Your version of Excel allows you to read this threaded comment; however, any edits to it will get removed if the file is opened in a newer version of Excel. Learn more: https://go.microsoft.com/fwlink/?linkid=870924
Comment:
	https://drive.google.com/file/d/17g6aXCB3J1ETvXCXQqoVfavZknVGhRqE/view?usp=drive_link
</t>
      </text>
    </comment>
    <comment authorId="50" xr:uid="{056cd372-1b44-40fd-9999-a093e4c766b9}" ref="AF235">
      <text>
        <t xml:space="preserve">[Threaded comment]
 Your version of Excel allows you to read this threaded comment; however, any edits to it will get removed if the file is opened in a newer version of Excel. Learn more: https://go.microsoft.com/fwlink/?linkid=870924
Comment:
	Venta final, fixit, comprobante
</t>
      </text>
    </comment>
    <comment authorId="51" xr:uid="{056d5b64-1572-4dec-93f0-83d5cb77210a}" ref="J434">
      <text>
        <t xml:space="preserve">[Threaded comment]
 Your version of Excel allows you to read this threaded comment; however, any edits to it will get removed if the file is opened in a newer version of Excel. Learn more: https://go.microsoft.com/fwlink/?linkid=870924
Comment:
	https://drive.google.com/file/d/1T7-TYwA_S2yq8DZsN6un3_QmFxksnv9J/view?usp=drive_link
</t>
      </text>
    </comment>
    <comment authorId="52" xr:uid="{05da447e-48b6-49d8-832c-0d06a1390131}" ref="C496">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https://us-store.msi.com/Laptops/Gaming-Series/msi-Vector-16-HX-AI-A2XWIG-050US
</t>
      </text>
    </comment>
    <comment authorId="53" xr:uid="{05ef9b93-8bf9-48d5-bdc0-79a3b1781569}" ref="AF570">
      <text>
        <t xml:space="preserve">[Threaded comment]
 Your version of Excel allows you to read this threaded comment; however, any edits to it will get removed if the file is opened in a newer version of Excel. Learn more: https://go.microsoft.com/fwlink/?linkid=870924
Comment:
	solo forms
</t>
      </text>
    </comment>
    <comment authorId="54" xr:uid="{05efd4f3-96d8-4e28-83cb-f89e057f7efd}" ref="L217">
      <text>
        <t xml:space="preserve">[Threaded comment]
 Your version of Excel allows you to read this threaded comment; however, any edits to it will get removed if the file is opened in a newer version of Excel. Learn more: https://go.microsoft.com/fwlink/?linkid=870924
Comment:
	https://drive.google.com/file/d/10BDsybrpZoWkhCQVwIHT5d_TQ3MNPVJD/view?usp=drive_link
</t>
      </text>
    </comment>
    <comment authorId="55" xr:uid="{060006a9-f615-4577-a6d7-a2ebdd68fb37}" ref="K543">
      <text>
        <t xml:space="preserve">[Threaded comment]
 Your version of Excel allows you to read this threaded comment; however, any edits to it will get removed if the file is opened in a newer version of Excel. Learn more: https://go.microsoft.com/fwlink/?linkid=870924
Comment:
	https://drive.google.com/file/d/1ktW4G5BPm6vszWc9As8O5yaFAUh0o_BF/view?usp=drive_link
</t>
      </text>
    </comment>
    <comment authorId="56" xr:uid="{060cecc5-083e-4dc8-b434-e40b8e3614f6}" ref="AF393">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57" xr:uid="{060e98e1-bf4c-44ca-8f3e-d889cbe8d526}" ref="C475">
      <text>
        <t xml:space="preserve">[Threaded comment]
 Your version of Excel allows you to read this threaded comment; however, any edits to it will get removed if the file is opened in a newer version of Excel. Learn more: https://go.microsoft.com/fwlink/?linkid=870924
Comment:
	https://www.ebay.com/itm/326840085180?_skw=laptop+gaming&amp;itmmeta=01KE98AQR48QZAKW98XR32B2HG&amp;hash=item4c192feabc:g:HFkAAeSwK2JpVzTk
</t>
      </text>
    </comment>
    <comment authorId="58" xr:uid="{0623df20-20d8-4dbc-92ca-268aeba5d07c}" ref="L281">
      <text>
        <t xml:space="preserve">[Threaded comment]
 Your version of Excel allows you to read this threaded comment; however, any edits to it will get removed if the file is opened in a newer version of Excel. Learn more: https://go.microsoft.com/fwlink/?linkid=870924
Comment:
	https://drive.google.com/file/d/1soOrgLqIO0z0G4tJYa8Vzd2spTKBQ6Qy/view?usp=drive_link
</t>
      </text>
    </comment>
    <comment authorId="59" xr:uid="{0631f3f6-0800-48bb-aaeb-abd942677ec6}" ref="C50">
      <text>
        <t xml:space="preserve">[Threaded comment]
 Your version of Excel allows you to read this threaded comment; however, any edits to it will get removed if the file is opened in a newer version of Excel. Learn more: https://go.microsoft.com/fwlink/?linkid=870924
Comment:
	https://www.ebay.com/itm/177043061277?_skw=laptop+gaming&amp;itmmeta=01JV5AGXM1DYJPR7J862T2T71Z&amp;hash=item293896ba1d%3Ag%3AHqEAAeSwfUdoC-BN&amp;LH_ItemCondition=1000
</t>
      </text>
    </comment>
    <comment authorId="60" xr:uid="{0634cb52-dee5-42ed-b77f-1d7cc49638e0}" ref="AF705">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61" xr:uid="{065da73f-3bcb-4752-b8f0-3370f02e7c77}" ref="N210">
      <text>
        <t xml:space="preserve">[Threaded comment]
 Your version of Excel allows you to read this threaded comment; however, any edits to it will get removed if the file is opened in a newer version of Excel. Learn more: https://go.microsoft.com/fwlink/?linkid=870924
Comment:
	+15 de envío
</t>
      </text>
    </comment>
    <comment authorId="62" xr:uid="{067de4f8-d892-4ac4-a221-6e3ef26ad47e}" ref="C396">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https://www.bhphotovideo.com/c/product/1875945-REG/lenovo_83f00007us_15_1_legion_5i_gaming.html
</t>
      </text>
    </comment>
    <comment authorId="63" xr:uid="{0683dd5e-43c1-423d-8075-9de77db9b378}" ref="K776">
      <text>
        <t xml:space="preserve">[Threaded comment]
 Your version of Excel allows you to read this threaded comment; however, any edits to it will get removed if the file is opened in a newer version of Excel. Learn more: https://go.microsoft.com/fwlink/?linkid=870924
Comment:
	https://drive.google.com/file/d/10jjfgECDYc47WlkrWo0jYsl3ZnyQQC65/view?usp=drive_link
</t>
      </text>
    </comment>
    <comment authorId="64" xr:uid="{06ae9b48-59a1-43fc-9a25-648e2cd40d9c}" ref="J88">
      <text>
        <t xml:space="preserve">[Threaded comment]
 Your version of Excel allows you to read this threaded comment; however, any edits to it will get removed if the file is opened in a newer version of Excel. Learn more: https://go.microsoft.com/fwlink/?linkid=870924
Comment:
	https://drive.google.com/file/d/156d2WxST4tqxiN9vkvLw6dOJxXf1Fij-/view?usp=drive_link
</t>
      </text>
    </comment>
    <comment authorId="65" xr:uid="{06d8a5b5-c23c-455f-b3ca-a49e1c98b4bf}" ref="J270">
      <text>
        <t xml:space="preserve">[Threaded comment]
 Your version of Excel allows you to read this threaded comment; however, any edits to it will get removed if the file is opened in a newer version of Excel. Learn more: https://go.microsoft.com/fwlink/?linkid=870924
Comment:
	https://drive.google.com/file/d/1VkynYxoB3vI4T1_pQRh63PAkSokn9jO9/view?usp=drive_link
</t>
      </text>
    </comment>
    <comment authorId="66" xr:uid="{06db9079-ebdc-4912-aca0-9272e633ac6e}" ref="AF558">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67" xr:uid="{06e14f4a-26cf-42a5-8c4c-b6cb45711d94}" ref="D227">
      <text>
        <t xml:space="preserve">[Threaded comment]
 Your version of Excel allows you to read this threaded comment; however, any edits to it will get removed if the file is opened in a newer version of Excel. Learn more: https://go.microsoft.com/fwlink/?linkid=870924
Comment:
	Heyser Israel Castañeda Romero 
DNI: 71331332
Cel: 991995683
castanedaromeroh@gmail.com
</t>
      </text>
    </comment>
    <comment authorId="68" xr:uid="{070b4882-a5c3-456d-8c06-fb3a2f626850}" ref="AF672">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69" xr:uid="{075bd36a-92c1-445f-beb0-e9ac93425584}" ref="C453">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70" xr:uid="{076faaae-61ae-4733-8f7f-16966871ef2d}" ref="Y188">
      <text>
        <t xml:space="preserve">[Threaded comment]
 Your version of Excel allows you to read this threaded comment; however, any edits to it will get removed if the file is opened in a newer version of Excel. Learn more: https://go.microsoft.com/fwlink/?linkid=870924
Comment:
	falta DNI
</t>
      </text>
    </comment>
    <comment authorId="71" xr:uid="{07b0b5a8-071f-41c7-a699-8b43684344c9}" ref="C628">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https://www.lenovo.com/us/en/p/laptops/legion-laptops/legion-pro-series/legion-pro-5i-gen-10-16-inch-intel/83f3000gus#features
</t>
      </text>
    </comment>
    <comment authorId="72" xr:uid="{07def5aa-30ea-4822-8fcf-86300e935c15}" ref="W321">
      <text>
        <t xml:space="preserve">[Threaded comment]
 Your version of Excel allows you to read this threaded comment; however, any edits to it will get removed if the file is opened in a newer version of Excel. Learn more: https://go.microsoft.com/fwlink/?linkid=870924
Comment:
	https://drive.google.com/file/d/11PrvYN1symoG1WjEfRfIygc8RN-AQNs1/view?usp=drive_link
</t>
      </text>
    </comment>
    <comment authorId="73" xr:uid="{07f21ada-ee42-4020-9108-aa7476e821e9}" ref="J715">
      <text>
        <t xml:space="preserve">[Threaded comment]
 Your version of Excel allows you to read this threaded comment; however, any edits to it will get removed if the file is opened in a newer version of Excel. Learn more: https://go.microsoft.com/fwlink/?linkid=870924
Comment:
	https://drive.google.com/file/d/14wlrkFjrCkZJYp_VPis596D9fm4vs8mm/view?usp=drive_link
</t>
      </text>
    </comment>
    <comment authorId="74" xr:uid="{07ff46a0-f38b-4467-a8fc-8276f192ed23}" ref="K563">
      <text>
        <t xml:space="preserve">[Threaded comment]
 Your version of Excel allows you to read this threaded comment; however, any edits to it will get removed if the file is opened in a newer version of Excel. Learn more: https://go.microsoft.com/fwlink/?linkid=870924
Comment:
	https://drive.google.com/file/d/1OeTchMW0qJfuEMmnBvPrR2oHariFtvZO/view?usp=drive_link
</t>
      </text>
    </comment>
    <comment authorId="75" xr:uid="{080acedc-b820-4359-9ebb-f72bb48f664f}" ref="C257">
      <text>
        <t xml:space="preserve">[Threaded comment]
 Your version of Excel allows you to read this threaded comment; however, any edits to it will get removed if the file is opened in a newer version of Excel. Learn more: https://go.microsoft.com/fwlink/?linkid=870924
Comment:
	https://www.bestbuy.com/product/lenovo-legion-pro-5i-16-2-5k-oled-gaming-laptop-intel-core-ultra-9-275hx-32gb-memory-nvidia-geforce-rtx-5070-1tb-ssd-eclipse-black/JJGSHXJRCS
</t>
      </text>
    </comment>
    <comment authorId="76" xr:uid="{080d5bd0-646d-4c74-8979-99af3a1c3a02}" ref="AF380">
      <text>
        <t xml:space="preserve">[Threaded comment]
 Your version of Excel allows you to read this threaded comment; however, any edits to it will get removed if the file is opened in a newer version of Excel. Learn more: https://go.microsoft.com/fwlink/?linkid=870924
Comment:
	VENTA FINAL, PRECIO FINAL POR COBRAR, FIXIT, EXCEDENTES
</t>
      </text>
    </comment>
    <comment authorId="77" xr:uid="{081b2216-0c6a-413c-a9b0-9e1e712f3014}" ref="Z156">
      <text>
        <t xml:space="preserve">[Threaded comment]
 Your version of Excel allows you to read this threaded comment; however, any edits to it will get removed if the file is opened in a newer version of Excel. Learn more: https://go.microsoft.com/fwlink/?linkid=870924
Comment:
	https://drive.google.com/file/d/1o8_2DDp0ihVPz_Dqe2nbgCEc8mtU_af_/view?usp=drive_link
</t>
      </text>
    </comment>
    <comment authorId="78" xr:uid="{0833845c-36d9-431f-8250-952b3c0e7c5b}" ref="C51">
      <text>
        <t xml:space="preserve">[Threaded comment]
 Your version of Excel allows you to read this threaded comment; however, any edits to it will get removed if the file is opened in a newer version of Excel. Learn more: https://go.microsoft.com/fwlink/?linkid=870924
Comment:
	https://www.ebay.com/itm/326068742080?_skw=laptop+gaming&amp;itmmeta=01JV3VKF10XY45VGH4S969XMV8&amp;hash=item4beb3627c0:g:MeUAAeSwbrxnopc7
</t>
      </text>
    </comment>
    <comment authorId="79" xr:uid="{083d56e4-e409-4173-ba01-4feeff9a4aa6}" ref="K379">
      <text>
        <t xml:space="preserve">[Threaded comment]
 Your version of Excel allows you to read this threaded comment; however, any edits to it will get removed if the file is opened in a newer version of Excel. Learn more: https://go.microsoft.com/fwlink/?linkid=870924
Comment:
	https://drive.google.com/file/d/13B0U9fBOLoVgryMi9yxyF1VLRR8C76vs/view?usp=drive_link
</t>
      </text>
    </comment>
    <comment authorId="80" xr:uid="{086e45ec-d2fa-4ec3-9779-adc080ac3834}" ref="J762">
      <text>
        <t xml:space="preserve">[Threaded comment]
 Your version of Excel allows you to read this threaded comment; however, any edits to it will get removed if the file is opened in a newer version of Excel. Learn more: https://go.microsoft.com/fwlink/?linkid=870924
Comment:
	https://drive.google.com/file/d/13yDz-zU87FcEjjhg2mMm7GDSnEecfO18/view?usp=drive_link
</t>
      </text>
    </comment>
    <comment authorId="81" xr:uid="{08866c2c-697f-46bd-ac9e-5c4ee7fc7bef}" ref="L54">
      <text>
        <t xml:space="preserve">[Threaded comment]
 Your version of Excel allows you to read this threaded comment; however, any edits to it will get removed if the file is opened in a newer version of Excel. Learn more: https://go.microsoft.com/fwlink/?linkid=870924
Comment:
	https://drive.google.com/file/d/1HwzxtRxYZLd3YxTfKtG0XiB2wy84LjwT/view?usp=drive_link
</t>
      </text>
    </comment>
    <comment authorId="82" xr:uid="{08bfa64b-96c2-4812-bd86-f456033f4959}" ref="L215">
      <text>
        <t xml:space="preserve">[Threaded comment]
 Your version of Excel allows you to read this threaded comment; however, any edits to it will get removed if the file is opened in a newer version of Excel. Learn more: https://go.microsoft.com/fwlink/?linkid=870924
Comment:
	https://drive.google.com/file/d/1OLNskYGYQVkgM-whp9Kd0ezfl6UHAqUZ/view?usp=drive_link
</t>
      </text>
    </comment>
    <comment authorId="83" xr:uid="{08e59fea-3929-4149-a5a1-3f974f47829e}" ref="W451">
      <text>
        <t xml:space="preserve">[Threaded comment]
 Your version of Excel allows you to read this threaded comment; however, any edits to it will get removed if the file is opened in a newer version of Excel. Learn more: https://go.microsoft.com/fwlink/?linkid=870924
Comment:
	https://drive.google.com/file/d/1GleglBrMWYpEQyPJ1zVry1qXqxeLfTJr/view?usp=drive_link
</t>
      </text>
    </comment>
    <comment authorId="84" xr:uid="{08fafae5-6bbd-452a-83cc-1f1643e84256}" ref="AF722">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85" xr:uid="{090b1cef-3304-4b7b-8a60-af8eb8ce5d53}" ref="J746">
      <text>
        <t xml:space="preserve">[Threaded comment]
 Your version of Excel allows you to read this threaded comment; however, any edits to it will get removed if the file is opened in a newer version of Excel. Learn more: https://go.microsoft.com/fwlink/?linkid=870924
Comment:
	https://drive.google.com/file/d/1AhwkbX9w1Fi7Otl98daqO9slYGvfcRwW/view?usp=drive_link
</t>
      </text>
    </comment>
    <comment authorId="86" xr:uid="{0934eb79-b221-4419-9839-624695d53acc}" ref="C64">
      <text>
        <t xml:space="preserve">[Threaded comment]
 Your version of Excel allows you to read this threaded comment; however, any edits to it will get removed if the file is opened in a newer version of Excel. Learn more: https://go.microsoft.com/fwlink/?linkid=870924
Comment:
	https://www.walmart.com/ip/ASUS-ROG-Strix-G16-16-inch-QHD-Nebula-240Hz-Gaming-Laptop-Intel-Core-i9-13980HX-NVIDIA-GeForce-RTX-4070-16GB-DDR5-1TB-SSD-Eclipse-Gray-2023/5136011874?filters=%5B%7B%22intent%22%3A%22retailer%22%2C%22values%22%3A%5B%22Walmart%22%5D%7D%5D&amp;classType=REGULAR&amp;athbdg=L1103&amp;from=/search
</t>
      </text>
    </comment>
    <comment authorId="87" xr:uid="{094bbba6-e288-4f92-beed-8b81403030aa}" ref="K567">
      <text>
        <t xml:space="preserve">[Threaded comment]
 Your version of Excel allows you to read this threaded comment; however, any edits to it will get removed if the file is opened in a newer version of Excel. Learn more: https://go.microsoft.com/fwlink/?linkid=870924
Comment:
	https://drive.google.com/file/d/19B7e-zgd8yF8BHhdhQEbvdRkuc-JTkXf/view?usp=drive_link PAGO 1
https://drive.google.com/file/d/1x8UW44sfIkbVd7A5-AujXg-lc9wB19dI/view?usp=drive_link PAGO 1
</t>
      </text>
    </comment>
    <comment authorId="88" xr:uid="{094da4b0-4c91-41c8-824e-147d7ca6f835}" ref="C449">
      <text>
        <t xml:space="preserve">[Threaded comment]
 Your version of Excel allows you to read this threaded comment; however, any edits to it will get removed if the file is opened in a newer version of Excel. Learn more: https://go.microsoft.com/fwlink/?linkid=870924
Comment:
	https://www.ebay.com/itm/127553183038
</t>
      </text>
    </comment>
    <comment authorId="89" xr:uid="{096c574d-024d-4996-9bdd-99570848fec0}" ref="J606">
      <text>
        <t xml:space="preserve">[Threaded comment]
 Your version of Excel allows you to read this threaded comment; however, any edits to it will get removed if the file is opened in a newer version of Excel. Learn more: https://go.microsoft.com/fwlink/?linkid=870924
Comment:
	https://drive.google.com/file/d/1NyOO-lX-aDS86hKTE6ddto9VuZPvNLtD/view?usp=drive_link
</t>
      </text>
    </comment>
    <comment authorId="90" xr:uid="{098f15be-c5ee-49c0-b4f3-75ebecaaa52a}" ref="AF454">
      <text>
        <t xml:space="preserve">[Threaded comment]
 Your version of Excel allows you to read this threaded comment; however, any edits to it will get removed if the file is opened in a newer version of Excel. Learn more: https://go.microsoft.com/fwlink/?linkid=870924
Comment:
	VENTAL FINAL, EXCEDENTE, FIXIT
</t>
      </text>
    </comment>
    <comment authorId="91" xr:uid="{0990a972-8707-4ed7-94cd-13afbdeaeae6}" ref="L154">
      <text>
        <t xml:space="preserve">[Threaded comment]
 Your version of Excel allows you to read this threaded comment; however, any edits to it will get removed if the file is opened in a newer version of Excel. Learn more: https://go.microsoft.com/fwlink/?linkid=870924
Comment:
	https://drive.google.com/file/d/18_0E4rq4wBf-ZplZ92XrwTjkuKcbV4Ca/view?usp=drive_link
Reply:
	https://drive.google.com/file/d/1ggFkT-lGyvpwmjxXeoGRHa7vWlgLU9yl/view?usp=drive_link
</t>
      </text>
    </comment>
    <comment authorId="92" xr:uid="{09af4a28-44c2-4e63-864c-cd4b4d3b279c}" ref="W363">
      <text>
        <t xml:space="preserve">[Threaded comment]
 Your version of Excel allows you to read this threaded comment; however, any edits to it will get removed if the file is opened in a newer version of Excel. Learn more: https://go.microsoft.com/fwlink/?linkid=870924
Comment:
	https://drive.google.com/file/d/10jHIsoUySKL6i38saOyDHXx52aGKNb97/view?usp=drive_link
</t>
      </text>
    </comment>
    <comment authorId="93" xr:uid="{09b5bdd9-5698-4a37-b66e-de0fab1a581a}" ref="O135">
      <text>
        <t xml:space="preserve">[Threaded comment]
 Your version of Excel allows you to read this threaded comment; however, any edits to it will get removed if the file is opened in a newer version of Excel. Learn more: https://go.microsoft.com/fwlink/?linkid=870924
Comment:
	hay 150 soles que se va a sacar de excedentes de otras laptops, con permiso de la srta sofía
</t>
      </text>
    </comment>
    <comment authorId="94" xr:uid="{09cfeb6c-e291-4642-9bba-a06f3c9da720}" ref="W145">
      <text>
        <t xml:space="preserve">[Threaded comment]
 Your version of Excel allows you to read this threaded comment; however, any edits to it will get removed if the file is opened in a newer version of Excel. Learn more: https://go.microsoft.com/fwlink/?linkid=870924
Comment:
	https://drive.google.com/file/d/1D1hPPOfVgthvrwKINAyd1t0unfxfBZUm/view?usp=drive_link
</t>
      </text>
    </comment>
    <comment authorId="95" xr:uid="{09eefacc-e888-4a21-ab2e-b354224cf6a3}" ref="K414">
      <text>
        <t xml:space="preserve">[Threaded comment]
 Your version of Excel allows you to read this threaded comment; however, any edits to it will get removed if the file is opened in a newer version of Excel. Learn more: https://go.microsoft.com/fwlink/?linkid=870924
Comment:
	https://drive.google.com/file/d/10t46kpSCapGj24GvUSMgQH6PZ2w9EUGn/view?usp=drive_link
Reply:
	https://drive.google.com/file/d/1wBv721K31PdRngN1MK9NfgeUN9j_T81g/view?usp=drive_link
</t>
      </text>
    </comment>
    <comment authorId="96" xr:uid="{09efb6d0-a040-49a8-8128-345e7d3f4dd0}" ref="L140">
      <text>
        <t xml:space="preserve">[Threaded comment]
 Your version of Excel allows you to read this threaded comment; however, any edits to it will get removed if the file is opened in a newer version of Excel. Learn more: https://go.microsoft.com/fwlink/?linkid=870924
Comment:
	adicional pagó el envío e instalacion de programas para fixit
https://drive.google.com/file/d/1ryIZQ4hgtL-bDYJvJYGZaCBzpqnvf-1I/view?usp=drive_link
</t>
      </text>
    </comment>
    <comment authorId="97" xr:uid="{0a0015ce-64e0-4c31-b19a-12f6c4bab04f}" ref="W348">
      <text>
        <t xml:space="preserve">[Threaded comment]
 Your version of Excel allows you to read this threaded comment; however, any edits to it will get removed if the file is opened in a newer version of Excel. Learn more: https://go.microsoft.com/fwlink/?linkid=870924
Comment:
	https://drive.google.com/file/d/1uk3dKtSI3cTGcBKhJVmAIX384N8x4F1u/view?usp=drive_link
</t>
      </text>
    </comment>
    <comment authorId="98" xr:uid="{0a194813-640a-4f49-9bf5-3bca00dff771}" ref="C42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99" xr:uid="{0a2b4a4d-4e26-4db3-8e4e-73a5ac48cbf5}" ref="K440">
      <text>
        <t xml:space="preserve">[Threaded comment]
 Your version of Excel allows you to read this threaded comment; however, any edits to it will get removed if the file is opened in a newer version of Excel. Learn more: https://go.microsoft.com/fwlink/?linkid=870924
Comment:
	https://drive.google.com/file/d/1-eupxyW_yk0nQ2avfNM8JX4zCYvfPDFt/view?usp=drive_link
Reply:
	https://drive.google.com/file/d/18oCFJPU1wkvGJLNpnsKN7_VJ4kIXU1bo/view?usp=drive_link
Reply:
	https://drive.google.com/file/d/1otXFyHTO3ECn3WnOEe9L3ykMzNdqeJcj/view?usp=drive_link
</t>
      </text>
    </comment>
    <comment authorId="100" xr:uid="{0a30efdf-487e-4dd5-a451-95c3ec049db7}" ref="K352">
      <text>
        <t xml:space="preserve">[Threaded comment]
 Your version of Excel allows you to read this threaded comment; however, any edits to it will get removed if the file is opened in a newer version of Excel. Learn more: https://go.microsoft.com/fwlink/?linkid=870924
Comment:
	https://drive.google.com/file/d/1lujjnWinAg-6Wjt7R6MUDgYGlfY1ukwq/view?usp=drive_link
</t>
      </text>
    </comment>
    <comment authorId="101" xr:uid="{0a618e99-b81d-4a92-b8b0-7436315f0a51}" ref="AF686">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02" xr:uid="{0a8597b0-e0f5-4ade-8467-c9e7e261340f}" ref="K572">
      <text>
        <t xml:space="preserve">[Threaded comment]
 Your version of Excel allows you to read this threaded comment; however, any edits to it will get removed if the file is opened in a newer version of Excel. Learn more: https://go.microsoft.com/fwlink/?linkid=870924
Comment:
	https://drive.google.com/file/d/1Kkj57-k-JulIjD3tAUF2xGPTq7a9-wpk/view?usp=drive_link
</t>
      </text>
    </comment>
    <comment authorId="103" xr:uid="{0a8c7c87-99cb-4987-8d3f-9457863233ac}" ref="J552">
      <text>
        <t xml:space="preserve">[Threaded comment]
 Your version of Excel allows you to read this threaded comment; however, any edits to it will get removed if the file is opened in a newer version of Excel. Learn more: https://go.microsoft.com/fwlink/?linkid=870924
Comment:
	https://drive.google.com/file/d/1ZIT-kpUNUBpUGLw46phWB5L3Ki2aNlXs/view?usp=drive_link
</t>
      </text>
    </comment>
    <comment authorId="104" xr:uid="{0aa45c5f-bc97-4b17-b243-45dc504eb718}" ref="W286">
      <text>
        <t xml:space="preserve">[Threaded comment]
 Your version of Excel allows you to read this threaded comment; however, any edits to it will get removed if the file is opened in a newer version of Excel. Learn more: https://go.microsoft.com/fwlink/?linkid=870924
Comment:
	https://drive.google.com/file/d/1nsPq6zpILQ2wr33NeJfuiJ4-BlLgpMfX/view?usp=drive_link
</t>
      </text>
    </comment>
    <comment authorId="105" xr:uid="{0ac21265-6bab-4d76-8824-32987e9afd9d}" ref="J241">
      <text>
        <t xml:space="preserve">[Threaded comment]
 Your version of Excel allows you to read this threaded comment; however, any edits to it will get removed if the file is opened in a newer version of Excel. Learn more: https://go.microsoft.com/fwlink/?linkid=870924
Comment:
	https://drive.google.com/file/d/1hoiCnFoz3euVszkC8NooGhj6vmMZWdmT/view?usp=drive_link
</t>
      </text>
    </comment>
    <comment authorId="106" xr:uid="{0aeec25d-6037-455f-b370-bccf4e5f67b7}" ref="J224">
      <text>
        <t xml:space="preserve">[Threaded comment]
 Your version of Excel allows you to read this threaded comment; however, any edits to it will get removed if the file is opened in a newer version of Excel. Learn more: https://go.microsoft.com/fwlink/?linkid=870924
Comment:
	https://drive.google.com/file/d/1oyojsKrIcbiC0JtlFN1cxy1VVFiYlc51/view?usp=drive_link
</t>
      </text>
    </comment>
    <comment authorId="107" xr:uid="{0af70ec4-2b9a-4c17-a0ff-b0bf7a04638e}" ref="J23">
      <text>
        <t xml:space="preserve">[Threaded comment]
 Your version of Excel allows you to read this threaded comment; however, any edits to it will get removed if the file is opened in a newer version of Excel. Learn more: https://go.microsoft.com/fwlink/?linkid=870924
Comment:
	https://drive.google.com/file/d/1FcfUaxaWK8tO0jVvtGaCG-xCQ6hGxjy5/view?usp=drive_link
</t>
      </text>
    </comment>
    <comment authorId="108" xr:uid="{0b0b784d-e9b5-45e9-b4d2-823033dc3688}" ref="J517">
      <text>
        <t xml:space="preserve">[Threaded comment]
 Your version of Excel allows you to read this threaded comment; however, any edits to it will get removed if the file is opened in a newer version of Excel. Learn more: https://go.microsoft.com/fwlink/?linkid=870924
Comment:
	https://drive.google.com/file/d/1leWlba6ch0C6ZeAffbgfBz8iQ-99GkUN/view?usp=drive_link
</t>
      </text>
    </comment>
    <comment authorId="109" xr:uid="{0b32227d-8212-4454-babc-5c5b5022c2c3}" ref="F417">
      <text>
        <t xml:space="preserve">[Threaded comment]
 Your version of Excel allows you to read this threaded comment; however, any edits to it will get removed if the file is opened in a newer version of Excel. Learn more: https://go.microsoft.com/fwlink/?linkid=870924
Comment:
	@yolinette152@gmail.com revisar si mañana no lo cancelan
Reply:
	No la cancelaron, está en camino
</t>
      </text>
    </comment>
    <comment authorId="110" xr:uid="{0b669fd9-e389-48be-8152-75d1a080e9bb}" ref="K452">
      <text>
        <t xml:space="preserve">[Threaded comment]
 Your version of Excel allows you to read this threaded comment; however, any edits to it will get removed if the file is opened in a newer version of Excel. Learn more: https://go.microsoft.com/fwlink/?linkid=870924
Comment:
	https://drive.google.com/file/d/1GiLpLYXRD1pqD_cagXHRb9ibzZaBXVRd/view?usp=drive_link
</t>
      </text>
    </comment>
    <comment authorId="111" xr:uid="{0b6f304c-9fc5-4c69-aa5c-d52d0d30a559}" ref="J567">
      <text>
        <t xml:space="preserve">[Threaded comment]
 Your version of Excel allows you to read this threaded comment; however, any edits to it will get removed if the file is opened in a newer version of Excel. Learn more: https://go.microsoft.com/fwlink/?linkid=870924
Comment:
	https://drive.google.com/file/d/1dftxCqHc0FHaEVHZvAtnVaGyvPbLas11/view?usp=drive_link
</t>
      </text>
    </comment>
    <comment authorId="112" xr:uid="{0b744d32-7f02-44f6-9a93-3191cf46e056}" ref="C338">
      <text>
        <t xml:space="preserve">[Threaded comment]
 Your version of Excel allows you to read this threaded comment; however, any edits to it will get removed if the file is opened in a newer version of Excel. Learn more: https://go.microsoft.com/fwlink/?linkid=870924
Comment:
	https://www.ebay.com/itm/326677329816?_skw=hp+5060&amp;itmmeta=01KAQAC57W28WG55H98WD50BNX&amp;hash=item4c0f7c7798:g:kV8AAeSwlyJpINwL
</t>
      </text>
    </comment>
    <comment authorId="113" xr:uid="{0b811370-d526-46b5-83f0-0738fe328497}" ref="W382">
      <text>
        <t xml:space="preserve">[Threaded comment]
 Your version of Excel allows you to read this threaded comment; however, any edits to it will get removed if the file is opened in a newer version of Excel. Learn more: https://go.microsoft.com/fwlink/?linkid=870924
Comment:
	https://drive.google.com/file/d/1x-8kUvk5rEpsechTUOnTaVsM1YCty5lH/view?usp=drive_link
</t>
      </text>
    </comment>
    <comment authorId="114" xr:uid="{0bb90c43-5d3b-490a-9cbb-5d7a6741281a}" ref="AF751">
      <text>
        <t xml:space="preserve">[Threaded comment]
 Your version of Excel allows you to read this threaded comment; however, any edits to it will get removed if the file is opened in a newer version of Excel. Learn more: https://go.microsoft.com/fwlink/?linkid=870924
Comment:
	excedentes, voucher final, fixit
</t>
      </text>
    </comment>
    <comment authorId="115" xr:uid="{0bc89830-c0d7-4f1b-a08d-00de384028c8}" ref="J204">
      <text>
        <t xml:space="preserve">[Threaded comment]
 Your version of Excel allows you to read this threaded comment; however, any edits to it will get removed if the file is opened in a newer version of Excel. Learn more: https://go.microsoft.com/fwlink/?linkid=870924
Comment:
	https://drive.google.com/file/d/18BOZmxUllj9b2QtIvhDpp17mj2B42iqU/view?usp=drive_link
https://drive.google.com/file/d/16z_Ob4jXZ6Ji8X-OenqweEuDbXXC7RyM/view?usp=drive_link
https://drive.google.com/file/d/1ifaqewc7MXGq59Avo71bEyrS2DwYIhQQ/view?usp=drive_link
</t>
      </text>
    </comment>
    <comment authorId="116" xr:uid="{0bd9cf9e-9c9b-46b3-b1ca-6dbced461efc}" ref="J221">
      <text>
        <t xml:space="preserve">[Threaded comment]
 Your version of Excel allows you to read this threaded comment; however, any edits to it will get removed if the file is opened in a newer version of Excel. Learn more: https://go.microsoft.com/fwlink/?linkid=870924
Comment:
	https://drive.google.com/file/d/1kNXR5mAtM1I73unfwGGFCuqvvyBLUprR/view?usp=drive_link
</t>
      </text>
    </comment>
    <comment authorId="117" xr:uid="{0c057eee-84a3-4bfc-9e15-7045a14e53b1}" ref="AF446">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18" xr:uid="{0c2be401-411d-471e-8db6-e93aa861c400}" ref="K480">
      <text>
        <t xml:space="preserve">[Threaded comment]
 Your version of Excel allows you to read this threaded comment; however, any edits to it will get removed if the file is opened in a newer version of Excel. Learn more: https://go.microsoft.com/fwlink/?linkid=870924
Comment:
	https://drive.google.com/file/d/1cNcGy6MNAZPkeDnIppNP-WhtbzP0BhFZ/view?usp=drive_link
Reply:
	https://drive.google.com/file/d/12tbKOoC0_KuvaYxu66dQ7T_WKVUWxRU5/view?usp=drive_link
</t>
      </text>
    </comment>
    <comment authorId="119" xr:uid="{0c371c09-c10a-4f3c-88c2-9c42c5489903}" ref="K585">
      <text>
        <t xml:space="preserve">[Threaded comment]
 Your version of Excel allows you to read this threaded comment; however, any edits to it will get removed if the file is opened in a newer version of Excel. Learn more: https://go.microsoft.com/fwlink/?linkid=870924
Comment:
	https://drive.google.com/file/d/1mKjcuHKlVrj0-smR7aFbH950btF256KT/view?usp=drive_link
</t>
      </text>
    </comment>
    <comment authorId="120" xr:uid="{0c3c254d-160d-4471-a5b6-8efa3ac8d27e}" ref="K635">
      <text>
        <t xml:space="preserve">[Threaded comment]
 Your version of Excel allows you to read this threaded comment; however, any edits to it will get removed if the file is opened in a newer version of Excel. Learn more: https://go.microsoft.com/fwlink/?linkid=870924
Comment:
	https://drive.google.com/file/d/1NGwHuX7V1Mxyek3eUNTTP8WVs5jQcpbp/view?usp=drive_link
</t>
      </text>
    </comment>
    <comment authorId="121" xr:uid="{0c56aa8d-515c-438f-8fc5-24d17ac5e9d3}" ref="F485">
      <text>
        <t xml:space="preserve">[Threaded comment]
 Your version of Excel allows you to read this threaded comment; however, any edits to it will get removed if the file is opened in a newer version of Excel. Learn more: https://go.microsoft.com/fwlink/?linkid=870924
Comment:
	Sigue procesando la orden
Reply:
	Ya sale preparando la orden
</t>
      </text>
    </comment>
    <comment authorId="122" xr:uid="{0c69ca99-64b3-4b17-b576-c206f38bb15c}" ref="E220">
      <text>
        <t xml:space="preserve">[Threaded comment]
 Your version of Excel allows you to read this threaded comment; however, any edits to it will get removed if the file is opened in a newer version of Excel. Learn more: https://go.microsoft.com/fwlink/?linkid=870924
Comment:
	amazon no nos lo entrega
</t>
      </text>
    </comment>
    <comment authorId="123" xr:uid="{0c76a932-5c46-44cf-bd98-503d3c006099}" ref="C15">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https://www.bhphotovideo.com/c/product/1881482-REG/asus_g713pi_xb96_17_3_rog_strix_g17.html
</t>
      </text>
    </comment>
    <comment authorId="124" xr:uid="{0c863716-23d2-402e-a9be-34620b035553}" ref="K521">
      <text>
        <t xml:space="preserve">[Threaded comment]
 Your version of Excel allows you to read this threaded comment; however, any edits to it will get removed if the file is opened in a newer version of Excel. Learn more: https://go.microsoft.com/fwlink/?linkid=870924
Comment:
	https://drive.google.com/file/d/13Nd74LbeLuzKRmprASRXhQhRhSATncZT/view?usp=drive_link
</t>
      </text>
    </comment>
    <comment authorId="125" xr:uid="{0cb0a324-4492-47df-a468-4d556c71b694}" ref="AF743">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26" xr:uid="{0cb43225-f194-4919-a27e-a45a8751c389}" ref="J723">
      <text>
        <t xml:space="preserve">[Threaded comment]
 Your version of Excel allows you to read this threaded comment; however, any edits to it will get removed if the file is opened in a newer version of Excel. Learn more: https://go.microsoft.com/fwlink/?linkid=870924
Comment:
	https://drive.google.com/file/d/1njt1n_-OYoxUDTculkK2At4CTqKI-IhN/view?usp=drive_link
</t>
      </text>
    </comment>
    <comment authorId="127" xr:uid="{0cd75dcd-bfe2-4618-b776-430935e614ae}" ref="U150">
      <text>
        <t xml:space="preserve">[Threaded comment]
 Your version of Excel allows you to read this threaded comment; however, any edits to it will get removed if the file is opened in a newer version of Excel. Learn more: https://go.microsoft.com/fwlink/?linkid=870924
Comment:
	mouse
</t>
      </text>
    </comment>
    <comment authorId="128" xr:uid="{0ce5c502-01a8-4bfb-b527-68f1afc9ef92}" ref="J400">
      <text>
        <t xml:space="preserve">[Threaded comment]
 Your version of Excel allows you to read this threaded comment; however, any edits to it will get removed if the file is opened in a newer version of Excel. Learn more: https://go.microsoft.com/fwlink/?linkid=870924
Comment:
	https://drive.google.com/file/d/1d02CpikcqUQ9REeW1vMSL9yFbL2yHzsR/view?usp=drive_link
</t>
      </text>
    </comment>
    <comment authorId="129" xr:uid="{0ce62f26-0234-4c39-9159-723503cd8e81}" ref="K595">
      <text>
        <t xml:space="preserve">[Threaded comment]
 Your version of Excel allows you to read this threaded comment; however, any edits to it will get removed if the file is opened in a newer version of Excel. Learn more: https://go.microsoft.com/fwlink/?linkid=870924
Comment:
	https://drive.google.com/file/d/190bTVszfBRJFaAqILFhV7wXyW7ZrT5-j/view?usp=drive_link
</t>
      </text>
    </comment>
    <comment authorId="130" xr:uid="{0cff2116-c9d2-4013-9ee0-bca76f093b1e}" ref="AF638">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31" xr:uid="{0d0ac476-5ddc-4307-b1d2-c9034f638b88}" ref="C57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https://www.microcenter.com/product/702373/acer-predator-helios-16-ai-ph16-73-99hd-oled-16-gaming-laptop-computer-abyssal-black
</t>
      </text>
    </comment>
    <comment authorId="132" xr:uid="{0d0ecc55-fe32-4ae4-adad-58552f06ade2}" ref="J201">
      <text>
        <t xml:space="preserve">[Threaded comment]
 Your version of Excel allows you to read this threaded comment; however, any edits to it will get removed if the file is opened in a newer version of Excel. Learn more: https://go.microsoft.com/fwlink/?linkid=870924
Comment:
	https://drive.google.com/file/d/1MiDKspRtyCOGlzfBO8O2Yf5Q-EY-hlo-/view?usp=drive_link
</t>
      </text>
    </comment>
    <comment authorId="133" xr:uid="{0d1adfcd-eb31-4e7f-9248-10a1c545573b}" ref="N229">
      <text>
        <t xml:space="preserve">[Threaded comment]
 Your version of Excel allows you to read this threaded comment; however, any edits to it will get removed if the file is opened in a newer version of Excel. Learn more: https://go.microsoft.com/fwlink/?linkid=870924
Comment:
	CONFIRMAR PRECIO DOLARES
</t>
      </text>
    </comment>
    <comment authorId="134" xr:uid="{0d1c02d3-e3c5-4dc9-9c86-5df494156209}" ref="C63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https://www.microcenter.com/product/691907/asus-rog-strix-scar-16-g635lw-xs97-16-gaming-laptop-computer-off-black?ob=1
</t>
      </text>
    </comment>
    <comment authorId="135" xr:uid="{0d6c0bf2-224c-4ecb-b445-ef01231cec10}" ref="Q685">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136" xr:uid="{0dcb6e25-f314-469c-bbbf-472227be4973}" ref="K500">
      <text>
        <t xml:space="preserve">[Threaded comment]
 Your version of Excel allows you to read this threaded comment; however, any edits to it will get removed if the file is opened in a newer version of Excel. Learn more: https://go.microsoft.com/fwlink/?linkid=870924
Comment:
	https://drive.google.com/file/d/1qeAEUA2CzPpt6YVv2_CMre5crg1Vcra3/view?usp=drive_link
</t>
      </text>
    </comment>
    <comment authorId="137" xr:uid="{0dd19c94-b686-4230-9621-00c701e65453}" ref="J453">
      <text>
        <t xml:space="preserve">[Threaded comment]
 Your version of Excel allows you to read this threaded comment; however, any edits to it will get removed if the file is opened in a newer version of Excel. Learn more: https://go.microsoft.com/fwlink/?linkid=870924
Comment:
	https://drive.google.com/file/d/1ZDJU8PXoCiJpXBhaYLc_2LaBd3Ew66lP/view?usp=drive_link
</t>
      </text>
    </comment>
    <comment authorId="138" xr:uid="{0dd7b8a8-67c9-4a46-ab36-5f9402abba3e}" ref="C783">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139" xr:uid="{0e0d3c1e-4be0-4273-b3b3-8351f37cea5b}" ref="J225">
      <text>
        <t xml:space="preserve">[Threaded comment]
 Your version of Excel allows you to read this threaded comment; however, any edits to it will get removed if the file is opened in a newer version of Excel. Learn more: https://go.microsoft.com/fwlink/?linkid=870924
Comment:
	https://drive.google.com/file/d/1Pj4dFTNE4JqZDach1zd7vZL8tMJO_uG_/view?usp=drive_link
</t>
      </text>
    </comment>
    <comment authorId="140" xr:uid="{0e22d132-c626-4f17-a554-abedb5f66df3}" ref="J322">
      <text>
        <t xml:space="preserve">[Threaded comment]
 Your version of Excel allows you to read this threaded comment; however, any edits to it will get removed if the file is opened in a newer version of Excel. Learn more: https://go.microsoft.com/fwlink/?linkid=870924
Comment:
	https://drive.google.com/file/d/15IxSKCc0i6pT_I5Y4zKIVCrsHADe6sXf/view?usp=drive_link
</t>
      </text>
    </comment>
    <comment authorId="141" xr:uid="{0e281113-ca17-4c85-b2db-f48965c7822b}" ref="J244">
      <text>
        <t xml:space="preserve">[Threaded comment]
 Your version of Excel allows you to read this threaded comment; however, any edits to it will get removed if the file is opened in a newer version of Excel. Learn more: https://go.microsoft.com/fwlink/?linkid=870924
Comment:
	https://drive.google.com/file/d/1cbNMgZ6nkJZvAj-1WhSAY6LsJyo-bQz3/view?usp=drive_link
</t>
      </text>
    </comment>
    <comment authorId="142" xr:uid="{0e2cdf5c-df4c-4f48-aecc-ee5670ed2072}" ref="J247">
      <text>
        <t xml:space="preserve">[Threaded comment]
 Your version of Excel allows you to read this threaded comment; however, any edits to it will get removed if the file is opened in a newer version of Excel. Learn more: https://go.microsoft.com/fwlink/?linkid=870924
Comment:
	https://drive.google.com/file/d/1mx3AEOURQUnPQqPzDEp6WuZIJpQ3a0JJ/view?usp=drive_link
</t>
      </text>
    </comment>
    <comment authorId="143" xr:uid="{0e38a53c-725e-4a4d-8dc5-318f39f2d613}" ref="W342">
      <text>
        <t xml:space="preserve">[Threaded comment]
 Your version of Excel allows you to read this threaded comment; however, any edits to it will get removed if the file is opened in a newer version of Excel. Learn more: https://go.microsoft.com/fwlink/?linkid=870924
Comment:
	https://drive.google.com/file/d/1AK0h0NI5zesgmzhCXX4V7GFcaxhn0BOV/view?usp=drive_link
</t>
      </text>
    </comment>
    <comment authorId="144" xr:uid="{0e3ca3fb-e976-4c60-874e-b2843a6c852d}" ref="J721">
      <text>
        <t xml:space="preserve">[Threaded comment]
 Your version of Excel allows you to read this threaded comment; however, any edits to it will get removed if the file is opened in a newer version of Excel. Learn more: https://go.microsoft.com/fwlink/?linkid=870924
Comment:
	https://drive.google.com/file/d/1acm2wf5aocZ4r5ZW396M7jR5remtxZA6/view?usp=drive_link
</t>
      </text>
    </comment>
    <comment authorId="145" xr:uid="{0e778387-6832-4164-8ce0-eeb76d9d776d}" ref="AI804">
      <text>
        <t xml:space="preserve">[Threaded comment]
 Your version of Excel allows you to read this threaded comment; however, any edits to it will get removed if the file is opened in a newer version of Excel. Learn more: https://go.microsoft.com/fwlink/?linkid=870924
Comment:
	https://drive.google.com/file/d/1TYkJklYGRFOWG5rQkVPqR3ysZmE_DAlU/view?usp=drive_link
</t>
      </text>
    </comment>
    <comment authorId="146" xr:uid="{0e8f88a2-8192-427e-98ee-ca97d3627e66}" ref="C757">
      <text>
        <t xml:space="preserve">[Threaded comment]
 Your version of Excel allows you to read this threaded comment; however, any edits to it will get removed if the file is opened in a newer version of Excel. Learn more: https://go.microsoft.com/fwlink/?linkid=870924
Comment:
	https://www.costco.com/p/-/acer-predator-helios-neo-16-ai-gaming-laptop-intel-core-ultra-9-275hx-processor-16-2560-x-1600-240hz-display-nvidia-rtx-5070-ti-12gb-1-tb-ssd-windows-11-home/4000398640?langId=-1
</t>
      </text>
    </comment>
    <comment authorId="147" xr:uid="{0e9d2d29-1ce2-4228-9acc-6bdb199da1e5}" ref="C413">
      <text>
        <t xml:space="preserve">[Threaded comment]
 Your version of Excel allows you to read this threaded comment; however, any edits to it will get removed if the file is opened in a newer version of Excel. Learn more: https://go.microsoft.com/fwlink/?linkid=870924
Comment:
	https://www.ebay.com/itm/277579676795?_skw=acer+predator+18&amp;itmmeta=01KCPJ63DWY7DHG1HVDFYV1G46&amp;hash=item40a109bc7b:g:zF0AAeSwoo1pQbo3&amp;itmprp=enc%3AAQAKAAAA8FkggFvd1GGDu0w3yXCmi1c7CQ46JjC0MtkiLjRUFb0zlxOJrlBNSpk1pZfQB3IoqDbPXzugTgomDf3tX%2FDTfHER%2FKTU4hPk1TLrc6WLlYreeeurr8olkNFhgyMgAcp3R2QD%2BmiK9ZRxo821a27AaZgdvA0O%2FkTNerh7Ci86KcnPn1%2F8uVY3CAJjh799xtcJcOkAEdX2iO2i5--1mAN%2B5%2FJ2xwyMLJSD8ADlnbjb0aun1tycU0dd5Q4huItSBszDIM1fy0ooWMnvb4Nmbq53BzpmWwwtNo9Qz66LggHPwJNeVYM7YTL%2FIAjbZIHEx8%2BdEw%3D%3D%7Ctkp%3ABk9SR5y3mNLlZg
</t>
      </text>
    </comment>
    <comment authorId="148" xr:uid="{0ea41fba-11ed-49e1-a58d-3fe7fdaff94d}" ref="K287">
      <text>
        <t xml:space="preserve">[Threaded comment]
 Your version of Excel allows you to read this threaded comment; however, any edits to it will get removed if the file is opened in a newer version of Excel. Learn more: https://go.microsoft.com/fwlink/?linkid=870924
Comment:
	https://drive.google.com/file/d/1NkcZ9rBGbyH4tA5QoLV4dcArT4zYe6n0/view?usp=drive_link
Reply:
	https://drive.google.com/file/d/1AJiVW3E5hr3XD2YEyFfNEU-XAPakQzJg/view?usp=drive_link
</t>
      </text>
    </comment>
    <comment authorId="149" xr:uid="{0ea69ad1-56ad-4159-a8a9-9cf5c74ff9a5}" ref="AF561">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50" xr:uid="{0eaea361-801b-440f-a729-4a799a19171b}" ref="K311">
      <text>
        <t xml:space="preserve">[Threaded comment]
 Your version of Excel allows you to read this threaded comment; however, any edits to it will get removed if the file is opened in a newer version of Excel. Learn more: https://go.microsoft.com/fwlink/?linkid=870924
Comment:
	https://drive.google.com/file/d/1F3FXXA-rpjC9XlTvW9gqDRwS5RaFlJwz/view?usp=drive_link
</t>
      </text>
    </comment>
    <comment authorId="151" xr:uid="{0ee05c40-80e6-44be-a6ea-212e0089af27}" ref="A1">
      <text>
        <t xml:space="preserve">[Threaded comment]
 Your version of Excel allows you to read this threaded comment; however, any edits to it will get removed if the file is opened in a newer version of Excel. Learn more: https://go.microsoft.com/fwlink/?linkid=870924
Comment:
	la persona no responde
</t>
      </text>
    </comment>
    <comment authorId="152" xr:uid="{0eefb079-1008-4cb9-a10e-87bd0843bae5}" ref="L22">
      <text>
        <t xml:space="preserve">[Threaded comment]
 Your version of Excel allows you to read this threaded comment; however, any edits to it will get removed if the file is opened in a newer version of Excel. Learn more: https://go.microsoft.com/fwlink/?linkid=870924
Comment:
	agregué 70 soles para configuración inicial. Quizás le pueda vender licencias después
Edit: le vendí 150 soles en licencia, se agregó al voucher final
</t>
      </text>
    </comment>
    <comment authorId="153" xr:uid="{0f343499-8fcd-4f98-923a-6f4605a97325}" ref="D499">
      <text>
        <t xml:space="preserve">[Threaded comment]
 Your version of Excel allows you to read this threaded comment; however, any edits to it will get removed if the file is opened in a newer version of Excel. Learn more: https://go.microsoft.com/fwlink/?linkid=870924
Comment:
	Rosa Anita Huayhuas Castro 
Dni 09914300
cel 956292794
correo rosa.huayhuas@hotmail.com
</t>
      </text>
    </comment>
    <comment authorId="154" xr:uid="{0f3d3276-d1f6-4812-8243-4721742fd517}" ref="J589">
      <text>
        <t xml:space="preserve">[Threaded comment]
 Your version of Excel allows you to read this threaded comment; however, any edits to it will get removed if the file is opened in a newer version of Excel. Learn more: https://go.microsoft.com/fwlink/?linkid=870924
Comment:
	https://drive.google.com/file/d/19laMsIhxJcxCPo3v_UuhOcLo2SwnjJCt/view?usp=drive_link
</t>
      </text>
    </comment>
    <comment authorId="155" xr:uid="{0f5410b3-c3fb-454b-8b93-303f290e1547}" ref="J300">
      <text>
        <t xml:space="preserve">[Threaded comment]
 Your version of Excel allows you to read this threaded comment; however, any edits to it will get removed if the file is opened in a newer version of Excel. Learn more: https://go.microsoft.com/fwlink/?linkid=870924
Comment:
	https://drive.google.com/file/d/1VZmLOajXMTsjFNs3HZlYcsm0lItDY28_/view?usp=drive_link
</t>
      </text>
    </comment>
    <comment authorId="156" xr:uid="{0f88e0a5-82f9-43db-b933-0b7912e21ebf}" ref="J673">
      <text>
        <t xml:space="preserve">[Threaded comment]
 Your version of Excel allows you to read this threaded comment; however, any edits to it will get removed if the file is opened in a newer version of Excel. Learn more: https://go.microsoft.com/fwlink/?linkid=870924
Comment:
	https://drive.google.com/file/d/1Kh4DJHIp8p5ardFJsPEB6fJ5HfjRjYKS/view?usp=drive_link
</t>
      </text>
    </comment>
    <comment authorId="157" xr:uid="{0f935171-e822-4546-9e41-b2ad8f1ca4f2}" ref="AF66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58" xr:uid="{0f9c85ff-4441-46dc-be5f-4947f1ce0d50}" ref="J35">
      <text>
        <t xml:space="preserve">[Threaded comment]
 Your version of Excel allows you to read this threaded comment; however, any edits to it will get removed if the file is opened in a newer version of Excel. Learn more: https://go.microsoft.com/fwlink/?linkid=870924
Comment:
	https://drive.google.com/file/d/1Aipo_8DHjYeatF8sSHIpth1wMTE4oFK-/view?usp=drive_link
</t>
      </text>
    </comment>
    <comment authorId="159" xr:uid="{0fa0a57c-2378-4def-a099-bbaaa0a5a2e7}" ref="C47">
      <text>
        <t xml:space="preserve">[Threaded comment]
 Your version of Excel allows you to read this threaded comment; however, any edits to it will get removed if the file is opened in a newer version of Excel. Learn more: https://go.microsoft.com/fwlink/?linkid=870924
Comment:
	https://www.amazon.com/-/es/protectora-compatible-Alienware-port%C3%A1tiles-X8323/dp/B0CHVKBFFT/ref=sr_1_3?__mk_es_US=%C3%85M%C3%85%C5%BD%C3%95%C3%91&amp;crid=3NC61J2VWCCI2&amp;dib=eyJ2IjoiMSJ9.-wnK0O_jggm7I01V9DIrYXR2yN5VqKMh14EVx__5wPVtuWoWo5DXiYNK9zZXRBC2tPTzzSyknz7O3yMXekyf2fpAFGYOpyutye0cpl0d9ap6L6F_Z7Fwm1J08CEvuGwRgrrgImlV1wdfQQFSad9TG2r70nGAt_nJ3p3jGnUX8fGIcaRr4XYlqeXIHlRehswB8ohOb6iAllvEG_0c1W7rBFTShF5apXDAJEpFFp6X2C4.kzZF155y2sqYiRdE3ygwebEO6gNIxMUbdcKL4nd92_c&amp;dib_tag=se&amp;keywords=alienware%2Bx16%2Bcarcasa%2Bdura&amp;qid=1747087190&amp;sprefix=alienware%2Bx16%2Bcarcasa%2Bdura%2Caps%2C357&amp;sr=8-3&amp;th=1
</t>
      </text>
    </comment>
    <comment authorId="160" xr:uid="{0fb3e68a-346e-4987-9198-220cf5407613}" ref="AF758">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161" xr:uid="{0ff34ccc-fb6a-43c8-8099-eec3d3be4400}" ref="W400">
      <text>
        <t xml:space="preserve">[Threaded comment]
 Your version of Excel allows you to read this threaded comment; however, any edits to it will get removed if the file is opened in a newer version of Excel. Learn more: https://go.microsoft.com/fwlink/?linkid=870924
Comment:
	https://drive.google.com/file/d/1DyJ3Y9WKuAgSQmaTyDTSoGtQYt6kYnWF/view?usp=drive_link
</t>
      </text>
    </comment>
    <comment authorId="162" xr:uid="{1005b58a-cbc3-4931-9c25-60f9d36179f3}" ref="AF575">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163" xr:uid="{100ff4df-247c-4927-a4c5-d66b837e9c23}" ref="J664">
      <text>
        <t xml:space="preserve">[Threaded comment]
 Your version of Excel allows you to read this threaded comment; however, any edits to it will get removed if the file is opened in a newer version of Excel. Learn more: https://go.microsoft.com/fwlink/?linkid=870924
Comment:
	https://drive.google.com/file/d/1h4-Tz7xyvryLznlk14WkY7SE_wWDKU80/view?usp=drive_link
</t>
      </text>
    </comment>
    <comment authorId="164" xr:uid="{101a2f75-c63f-437a-af2d-214add9a6c5c}" ref="O414">
      <text>
        <t xml:space="preserve">[Threaded comment]
 Your version of Excel allows you to read this threaded comment; however, any edits to it will get removed if the file is opened in a newer version of Excel. Learn more: https://go.microsoft.com/fwlink/?linkid=870924
Comment:
	168 para el viajero  soles ya que la perosna uq ecompro la laptop compro 50 solares mas
</t>
      </text>
    </comment>
    <comment authorId="165" xr:uid="{10358e63-1c8f-4073-976d-ebc05c54a41e}" ref="Q275">
      <text>
        <t xml:space="preserve">[Threaded comment]
 Your version of Excel allows you to read this threaded comment; however, any edits to it will get removed if the file is opened in a newer version of Excel. Learn more: https://go.microsoft.com/fwlink/?linkid=870924
Comment:
	COMPRO RAM Y SSD
</t>
      </text>
    </comment>
    <comment authorId="166" xr:uid="{103dd5f3-ecca-4b88-bae6-5925d5106fdf}" ref="J782">
      <text>
        <t xml:space="preserve">[Threaded comment]
 Your version of Excel allows you to read this threaded comment; however, any edits to it will get removed if the file is opened in a newer version of Excel. Learn more: https://go.microsoft.com/fwlink/?linkid=870924
Comment:
	https://drive.google.com/file/d/1ZcSnDwC-4_gegvKeiSA1k6P9UcSKR4uc/view?usp=drive_link
</t>
      </text>
    </comment>
    <comment authorId="167" xr:uid="{103eb23e-0a03-472f-a0b7-d1acb9ffa9ce}" ref="J139">
      <text>
        <t xml:space="preserve">[Threaded comment]
 Your version of Excel allows you to read this threaded comment; however, any edits to it will get removed if the file is opened in a newer version of Excel. Learn more: https://go.microsoft.com/fwlink/?linkid=870924
Comment:
	https://drive.google.com/file/d/1NVrwQ8MhAoZXwv_XJedsEP8U7SpnIrAw/view?usp=drive_link
</t>
      </text>
    </comment>
    <comment authorId="168" xr:uid="{103f2254-f1ae-451a-bdc1-bf13984bb462}" ref="W335">
      <text>
        <t xml:space="preserve">[Threaded comment]
 Your version of Excel allows you to read this threaded comment; however, any edits to it will get removed if the file is opened in a newer version of Excel. Learn more: https://go.microsoft.com/fwlink/?linkid=870924
Comment:
	https://drive.google.com/file/d/1yrrQbgCfrfUvxCi-oce5zL15xVlZO5bG/view?usp=drive_link
</t>
      </text>
    </comment>
    <comment authorId="169" xr:uid="{10429945-5f95-4d64-8b34-8e5a46447bae}" ref="J52">
      <text>
        <t xml:space="preserve">[Threaded comment]
 Your version of Excel allows you to read this threaded comment; however, any edits to it will get removed if the file is opened in a newer version of Excel. Learn more: https://go.microsoft.com/fwlink/?linkid=870924
Comment:
	https://drive.google.com/file/d/1U7atK1d_-OVBWaGIjYWMom5u3Q2sOU8k/view?usp=drive_link
</t>
      </text>
    </comment>
    <comment authorId="170" xr:uid="{104da6be-026b-480b-a261-47a01e2cdd55}" ref="C570">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https://www.ebay.com/itm/326655425561?_skw=laptop+gaming&amp;itmmeta=01KJ7E3GBT8730A38PT6JSANEZ&amp;hash=item4c0e2e3c19:g:ibQAAeSwPwFpmr4u
</t>
      </text>
    </comment>
    <comment authorId="171" xr:uid="{104ef0d0-6fe0-470d-841e-f58b4a42fc6a}" ref="AI731">
      <text>
        <t xml:space="preserve">[Threaded comment]
 Your version of Excel allows you to read this threaded comment; however, any edits to it will get removed if the file is opened in a newer version of Excel. Learn more: https://go.microsoft.com/fwlink/?linkid=870924
Comment:
	https://drive.google.com/file/d/1IxMWQIx1GRUwgB9Z-gbSejOi8XfnOotT/view?usp=drive_link
</t>
      </text>
    </comment>
    <comment authorId="172" xr:uid="{106cd911-04ed-48c9-9095-f15d066be571}" ref="C749">
      <text>
        <t xml:space="preserve">[Threaded comment]
 Your version of Excel allows you to read this threaded comment; however, any edits to it will get removed if the file is opened in a newer version of Excel. Learn more: https://go.microsoft.com/fwlink/?linkid=870924
Comment:
	https://www.ebay.com/itm/326796273689?_skw=ZEPHYRUS+g16&amp;itmmeta=01KRYQR6MTE8WXSGC08JVKV53D&amp;hash=item4c16936819:g:FgYAAeSwtppqC3Eu&amp;itmprp=enc%3AAQALAAAA8GfYFPkwiKCW4ZNSs2u11xAZ9LKD%2BMjI4GfnMeiBi3bYLl6XqpSbdc6cRFoYbicl2DPoYvw6nsNqAH9em1Vny2vybePiGHc6W3A9sH71CURznMMqZ9NNd1eTQTaXE7rXPl40Ads0jNDyjTTgV7cS1PmpIZsEJegkpWazI%2FOpc%2FJTLXyIE60ZQBQ7Ql3ZTovzCKUc2Yv3sS5DJSdLtEW5Ca5V5gk2sChqqJvvxTJOg3p6z%2F5yV%2FYWfQ6aQAwx82ii2P30UuivINrmeh4fVCdXViTOUf8bEaTlmwP43dlRfLQi5MLzssn0q%2BOz3Ca%2BBz39Sw%3D%3D%7Ctkp%3ABk9SR8zq4NfHZw
</t>
      </text>
    </comment>
    <comment authorId="173" xr:uid="{107557c8-5c72-4d00-8569-f1668fb66fae}" ref="J319">
      <text>
        <t xml:space="preserve">[Threaded comment]
 Your version of Excel allows you to read this threaded comment; however, any edits to it will get removed if the file is opened in a newer version of Excel. Learn more: https://go.microsoft.com/fwlink/?linkid=870924
Comment:
	https://drive.google.com/file/d/1c61VkmmCrf-sx_EtqrwY3U8InFa6KMJM/view?usp=drive_link
</t>
      </text>
    </comment>
    <comment authorId="174" xr:uid="{108da626-2955-4d3d-bfa8-6aeefdcd2fe4}" ref="K441">
      <text>
        <t xml:space="preserve">[Threaded comment]
 Your version of Excel allows you to read this threaded comment; however, any edits to it will get removed if the file is opened in a newer version of Excel. Learn more: https://go.microsoft.com/fwlink/?linkid=870924
Comment:
	https://drive.google.com/file/d/1S_Fj7Qr4KoZ7PmbwIsoHyVHHEgru-rTo/view?usp=drive_link
</t>
      </text>
    </comment>
    <comment authorId="175" xr:uid="{108fc323-6b62-4ad8-bfc5-957eeec5fd1f}" ref="K418">
      <text>
        <t xml:space="preserve">[Threaded comment]
 Your version of Excel allows you to read this threaded comment; however, any edits to it will get removed if the file is opened in a newer version of Excel. Learn more: https://go.microsoft.com/fwlink/?linkid=870924
Comment:
	https://drive.google.com/file/d/1V5auLoIx5HRUT5tE_DxKzLu2M1DvBkZN/view?usp=drive_link
</t>
      </text>
    </comment>
    <comment authorId="176" xr:uid="{1090a6a7-5592-487c-88b5-24371cd2addc}" ref="C328">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https://www.bhphotovideo.com/c/product/1875949-REG/lenovo_83f50052us_16_legion_pro_7.html
</t>
      </text>
    </comment>
    <comment authorId="177" xr:uid="{10ac8dc8-e0e4-4cff-bcfb-7d605b4ac67d}" ref="C34">
      <text>
        <t xml:space="preserve">[Threaded comment]
 Your version of Excel allows you to read this threaded comment; however, any edits to it will get removed if the file is opened in a newer version of Excel. Learn more: https://go.microsoft.com/fwlink/?linkid=870924
Comment:
	https://www.amazon.com/-/es/Procesador-i7-13620H-port%C3%A1til-Pantalla-pulgadas/dp/B0CMRGBXM9/ref=sr_1_3?crid=25G4E87LEN1E7&amp;dib=eyJ2IjoiMSJ9.cSZ4LLeuGMv8N9bhKAlPIqo01-Rynen49YssTr2fGAPWjop1UhmOd5sPBxhPjmpWrLUzpoXVHjW4_0lhhByeZJT5E_B2AXCBnfgBaOMPg9QjkZigixEpXGgttuLmpiYhMc5mPcfjG0hVaeoVDVLzbMkJO9oipTzEPa-y4KEDlrcIC3yP_YbHy-Bibcyrm86-NkQBw9Wu2l4rrZo3DEHvKyNdCGXRpEj-tb37RAJXcfw.Wg2TXCHwoZ5LfuMi4n3Gyf27MaUg63ht4AKvDlU47C4&amp;dib_tag=se&amp;keywords=acer%2Bnitro%2Bv&amp;qid=1746303283&amp;sprefix=acer%2Bnitro%2B%2Caps%2C181&amp;sr=8-3&amp;th=1
</t>
      </text>
    </comment>
    <comment authorId="178" xr:uid="{10b0e1d0-7ccf-4a85-a1b5-8d2266d144ef}" ref="L63">
      <text>
        <t xml:space="preserve">[Threaded comment]
 Your version of Excel allows you to read this threaded comment; however, any edits to it will get removed if the file is opened in a newer version of Excel. Learn more: https://go.microsoft.com/fwlink/?linkid=870924
Comment:
	https://drive.google.com/file/d/1NbkvNuOCGvORpfRXN3CBB8yH4fbDuewj/view?usp=drive_link
</t>
      </text>
    </comment>
    <comment authorId="179" xr:uid="{10b13516-f912-4850-817d-762609ddb710}" ref="AF47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80" xr:uid="{10b5b789-7bc6-4e51-8629-8d3fcb289a6a}" ref="L276">
      <text>
        <t xml:space="preserve">[Threaded comment]
 Your version of Excel allows you to read this threaded comment; however, any edits to it will get removed if the file is opened in a newer version of Excel. Learn more: https://go.microsoft.com/fwlink/?linkid=870924
Comment:
	https://drive.google.com/file/d/1mDPlRtmYF8UXx4GTf0yo0LCHYeU0BOHG/view?usp=drive_link
Reply:
	https://drive.google.com/file/d/1q4MUEEoVqfGSsr1oppVhVQFC16SokSLz/view?usp=drive_link
Reply:
	https://drive.google.com/file/d/11Bs9BnjVIB5_CUuUZg0mrFqkXt_m7Aie/view?usp=drive_link
Reply:
	https://drive.google.com/file/d/1aE4j5qQ_y_9pDZEUVPO60lpsClWwZccS/view?usp=drive_link
</t>
      </text>
    </comment>
    <comment authorId="181" xr:uid="{10bc6bb7-8c56-43ed-92d0-e35f48b4b87e}" ref="N269">
      <text>
        <t xml:space="preserve">[Threaded comment]
 Your version of Excel allows you to read this threaded comment; however, any edits to it will get removed if the file is opened in a newer version of Excel. Learn more: https://go.microsoft.com/fwlink/?linkid=870924
Comment:
	S/.891,73729
S/.1.052,2500
</t>
      </text>
    </comment>
    <comment authorId="182" xr:uid="{10c6dae8-9b61-4ab9-9ba3-9138980225d2}" ref="W141">
      <text>
        <t xml:space="preserve">[Threaded comment]
 Your version of Excel allows you to read this threaded comment; however, any edits to it will get removed if the file is opened in a newer version of Excel. Learn more: https://go.microsoft.com/fwlink/?linkid=870924
Comment:
	https://drive.google.com/file/d/12KCWbaEycd_JcagUfEQ21Dz6wRrZjw1S/view?usp=drive_link
</t>
      </text>
    </comment>
    <comment authorId="183" xr:uid="{10c8483e-d1c4-4878-91f3-dce7f56f521f}" ref="J539">
      <text>
        <t xml:space="preserve">[Threaded comment]
 Your version of Excel allows you to read this threaded comment; however, any edits to it will get removed if the file is opened in a newer version of Excel. Learn more: https://go.microsoft.com/fwlink/?linkid=870924
Comment:
	https://drive.google.com/file/d/1zNq4lL-IK15DCgC5uP9cD5GoPpB73Yv-/view?usp=drive_link
</t>
      </text>
    </comment>
    <comment authorId="184" xr:uid="{10c938cc-e106-4868-90ae-60f7e1c57559}" ref="AF704">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85" xr:uid="{10d15cb9-29ff-45b8-9b1d-b12a0ed933c0}" ref="D408">
      <text>
        <t xml:space="preserve">[Threaded comment]
 Your version of Excel allows you to read this threaded comment; however, any edits to it will get removed if the file is opened in a newer version of Excel. Learn more: https://go.microsoft.com/fwlink/?linkid=870924
Comment:
	memorira ram de 16 gb 521
</t>
      </text>
    </comment>
    <comment authorId="186" xr:uid="{10f63909-58ad-414a-b42d-501153068612}" ref="AF547">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187" xr:uid="{10f77edf-5d28-4ee2-aded-852e8a7d5d55}" ref="N564">
      <text>
        <t xml:space="preserve">[Threaded comment]
 Your version of Excel allows you to read this threaded comment; however, any edits to it will get removed if the file is opened in a newer version of Excel. Learn more: https://go.microsoft.com/fwlink/?linkid=870924
Comment:
	lo modifique porque en la boleta figura otro precio
</t>
      </text>
    </comment>
    <comment authorId="188" xr:uid="{10fdc2d7-00e0-4672-8f36-9623901f2381}" ref="K505">
      <text>
        <t xml:space="preserve">[Threaded comment]
 Your version of Excel allows you to read this threaded comment; however, any edits to it will get removed if the file is opened in a newer version of Excel. Learn more: https://go.microsoft.com/fwlink/?linkid=870924
Comment:
	https://drive.google.com/file/d/1UQqjLGw7fjunwgNKd7vnoJEL1nPVMFSR/view?usp=drive_link
Reply:
	https://drive.google.com/file/d/1ggoyqWaP09UzEzrolM8Z1iY-VTVKWSbC/view?usp=drive_link
Reply:
	https://drive.google.com/file/d/12GeO0tT0wSDSc3I7qjgLQlFcKzeSuxiR/view?usp=drive_link
</t>
      </text>
    </comment>
    <comment authorId="189" xr:uid="{111ecbf7-3fc1-465d-b33f-3ba48085de4b}" ref="C752">
      <text>
        <t xml:space="preserve">[Threaded comment]
 Your version of Excel allows you to read this threaded comment; however, any edits to it will get removed if the file is opened in a newer version of Excel. Learn more: https://go.microsoft.com/fwlink/?linkid=870924
Comment:
	https://www.amazon.com/-/es/Laptop-gamer-Strix-pulgadas-Nebula/dp/B0DW24Z28P/ref=sr_1_3?__mk_es_US=%C3%85M%C3%85%C5%BD%C3%95%C3%91&amp;crid=PNB0Q8OM58KG&amp;dib=eyJ2IjoiMSJ9.p8wIC8g93SILiBs__UVjOQG48U8_7YftU5_51mi2fwMEWCFfXBxvFVgD5NaXtQaNHpsLlR7Je2A4JlhoOxzJfpD3OS7NJlyDoEv2xI6K2ErZyiFFp4oB0hWFx8pnIhisvkzJYobBzb7AML8nKvCuS8-xDefKD1tRILeYIbwxtKca8l22wfbCSRb_FwZIQ2bKenZRigk_3nQguephMCfv9v7498YtAn3a02FqCMvV3pU.I1dipSejqTR7IMjAcFYB_7fw8yHpx5Xx4J_t1S-x8cA&amp;dib_tag=se&amp;keywords=SCAR%2B18&amp;qid=1779308935&amp;sprefix=scar%2B18%2Caps%2C361&amp;sr=8-3&amp;th=1
</t>
      </text>
    </comment>
    <comment authorId="190" xr:uid="{114e16c3-1759-46a6-bf39-1a74a329ee70}" ref="AF543">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191" xr:uid="{11a5ff13-fd25-4a77-80ef-8b1d84ded040}" ref="J121">
      <text>
        <t xml:space="preserve">[Threaded comment]
 Your version of Excel allows you to read this threaded comment; however, any edits to it will get removed if the file is opened in a newer version of Excel. Learn more: https://go.microsoft.com/fwlink/?linkid=870924
Comment:
	https://drive.google.com/file/d/1vIzoRV-EUC-RiyxT4fYwZnrw96Ma3pnD/view?usp=drive_link
Reply:
	https://drive.google.com/file/d/1IB5i1N10eHv91DC-KtdRrIH51yzwrQDM/view?usp=drive_link
</t>
      </text>
    </comment>
    <comment authorId="192" xr:uid="{11e7a96c-d812-42d3-ad0e-b4bc11ddbde8}" ref="T733">
      <text>
        <t xml:space="preserve">[Threaded comment]
 Your version of Excel allows you to read this threaded comment; however, any edits to it will get removed if the file is opened in a newer version of Excel. Learn more: https://go.microsoft.com/fwlink/?linkid=870924
Comment:
	Comisión al pagar en Puno
</t>
      </text>
    </comment>
    <comment authorId="193" xr:uid="{1233e890-7c31-46a0-8d68-4f41acd33aa7}" ref="J53">
      <text>
        <t xml:space="preserve">[Threaded comment]
 Your version of Excel allows you to read this threaded comment; however, any edits to it will get removed if the file is opened in a newer version of Excel. Learn more: https://go.microsoft.com/fwlink/?linkid=870924
Comment:
	https://drive.google.com/file/d/13Z4ompX68fkfapRp8fjP1KTj-MkZt-h5/view?usp=drive_link
</t>
      </text>
    </comment>
    <comment authorId="194" xr:uid="{124024b9-bade-4e21-9eaa-3b35c723067d}" ref="K698">
      <text>
        <t xml:space="preserve">[Threaded comment]
 Your version of Excel allows you to read this threaded comment; however, any edits to it will get removed if the file is opened in a newer version of Excel. Learn more: https://go.microsoft.com/fwlink/?linkid=870924
Comment:
	https://drive.google.com/file/d/1o0kPOxZCngL_cbNbN_kqjNcAAXB6XuYd/view?usp=drive_link
</t>
      </text>
    </comment>
    <comment authorId="195" xr:uid="{12421b78-6ff0-40ad-9552-054d5cde533b}" ref="K450">
      <text>
        <t xml:space="preserve">[Threaded comment]
 Your version of Excel allows you to read this threaded comment; however, any edits to it will get removed if the file is opened in a newer version of Excel. Learn more: https://go.microsoft.com/fwlink/?linkid=870924
Comment:
	https://drive.google.com/file/d/1EVqQe7mJsZiuvwiRSBrfPcDLX9d7Dt2P/view?usp=drive_link
Reply:
	https://drive.google.com/file/d/1DYQhWfGsJ8M1lwar70xGNSmpg1Ei5gXa/view?usp=drive_link
</t>
      </text>
    </comment>
    <comment authorId="196" xr:uid="{12517ef4-01c2-4722-990d-ed8f967d85a5}" ref="K515">
      <text>
        <t xml:space="preserve">[Threaded comment]
 Your version of Excel allows you to read this threaded comment; however, any edits to it will get removed if the file is opened in a newer version of Excel. Learn more: https://go.microsoft.com/fwlink/?linkid=870924
Comment:
	https://drive.google.com/file/d/10r3ZovJECGlKgjbdSLKcipBm0bwpua9Z/view?usp=drive_link
</t>
      </text>
    </comment>
    <comment authorId="197" xr:uid="{1262d594-88b3-40a8-9d68-c3d88cf96e0d}" ref="K599">
      <text>
        <t xml:space="preserve">[Threaded comment]
 Your version of Excel allows you to read this threaded comment; however, any edits to it will get removed if the file is opened in a newer version of Excel. Learn more: https://go.microsoft.com/fwlink/?linkid=870924
Comment:
	https://drive.google.com/file/d/1-oGD07rtqFr-QvMkOQkakhALEnxWH9gp/view?usp=drive_link
</t>
      </text>
    </comment>
    <comment authorId="198" xr:uid="{129627a1-8595-4ed7-bde7-84ac7a8eea18}" ref="L78">
      <text>
        <t xml:space="preserve">[Threaded comment]
 Your version of Excel allows you to read this threaded comment; however, any edits to it will get removed if the file is opened in a newer version of Excel. Learn more: https://go.microsoft.com/fwlink/?linkid=870924
Comment:
	https://drive.google.com/file/d/1F8XEfgBOxrNDA4RKJ_7Bai6jJjUjjSHV/view?usp=drive_link
Reply:
	https://drive.google.com/file/d/1jdXZ5-TNzh_2kBLQGQ73w8suv_RqFxWA/view?usp=drive_link
</t>
      </text>
    </comment>
    <comment authorId="199" xr:uid="{12ad214c-21f2-4356-97be-8b2153ea23d0}" ref="J790">
      <text>
        <t xml:space="preserve">[Threaded comment]
 Your version of Excel allows you to read this threaded comment; however, any edits to it will get removed if the file is opened in a newer version of Excel. Learn more: https://go.microsoft.com/fwlink/?linkid=870924
Comment:
	https://drive.google.com/file/d/1e-NNl0_XQUj_hiBLi_cuwO63plycoL1T/view?usp=drive_link
</t>
      </text>
    </comment>
    <comment authorId="200" xr:uid="{12db6e53-9a45-441b-bee7-0631a91a4b78}" ref="W110">
      <text>
        <t xml:space="preserve">[Threaded comment]
 Your version of Excel allows you to read this threaded comment; however, any edits to it will get removed if the file is opened in a newer version of Excel. Learn more: https://go.microsoft.com/fwlink/?linkid=870924
Comment:
	https://drive.google.com/file/d/1C40126kJOYCeG2Abej8239zJYf2T1a9B/view?usp=drive_link
</t>
      </text>
    </comment>
    <comment authorId="201" xr:uid="{12e47927-04a7-4d21-afd5-f78c0bad6f9a}" ref="J773">
      <text>
        <t xml:space="preserve">[Threaded comment]
 Your version of Excel allows you to read this threaded comment; however, any edits to it will get removed if the file is opened in a newer version of Excel. Learn more: https://go.microsoft.com/fwlink/?linkid=870924
Comment:
	https://drive.google.com/file/d/1NzAlnVKROHf6jIHA7xRZ92aPaDnfrHVb/view?usp=drive_link
Reply:
	https://drive.google.com/file/d/1SWxYbkLDWQx1QE7pWygMMKt3m1x-YI_5/view?usp=drive_link
Reply:
	https://drive.google.com/file/d/11SbR9_UupMAs9tvQuIqb-xEpc1WD66zM/view?usp=drive_link
</t>
      </text>
    </comment>
    <comment authorId="202" xr:uid="{12f503f5-d6c6-4b6d-be1a-4a691d6a7798}" ref="K507">
      <text>
        <t xml:space="preserve">[Threaded comment]
 Your version of Excel allows you to read this threaded comment; however, any edits to it will get removed if the file is opened in a newer version of Excel. Learn more: https://go.microsoft.com/fwlink/?linkid=870924
Comment:
	https://drive.google.com/file/d/15nT1cK9SALfpQae5Dbzwo_yj3-J-UnQN/view?usp=drive_link
</t>
      </text>
    </comment>
    <comment authorId="203" xr:uid="{1312e923-c89d-47ce-bebb-6e32dd24c580}" ref="W246">
      <text>
        <t xml:space="preserve">[Threaded comment]
 Your version of Excel allows you to read this threaded comment; however, any edits to it will get removed if the file is opened in a newer version of Excel. Learn more: https://go.microsoft.com/fwlink/?linkid=870924
Comment:
	https://drive.google.com/file/d/1Fqwaemm0wgNm6bZKngbuB089aLoulAZm/view?usp=drive_link
</t>
      </text>
    </comment>
    <comment authorId="204" xr:uid="{1324e4bc-5469-4b34-9bca-fb5141f91602}" ref="K725">
      <text>
        <t xml:space="preserve">[Threaded comment]
 Your version of Excel allows you to read this threaded comment; however, any edits to it will get removed if the file is opened in a newer version of Excel. Learn more: https://go.microsoft.com/fwlink/?linkid=870924
Comment:
	https://drive.google.com/file/d/148ZH3rmpmCHC9_e_qsrR0fQuUBqMAVsU/view?usp=drive_link
</t>
      </text>
    </comment>
    <comment authorId="205" xr:uid="{132c6b8e-ed70-4f46-ab20-94d7df9c3daf}" ref="W433">
      <text>
        <t xml:space="preserve">[Threaded comment]
 Your version of Excel allows you to read this threaded comment; however, any edits to it will get removed if the file is opened in a newer version of Excel. Learn more: https://go.microsoft.com/fwlink/?linkid=870924
Comment:
	https://drive.google.com/open?id=1LgcLgdDgtnDOd5rMSGBcdJEwL9llxYuf&amp;usp=drive_copy
</t>
      </text>
    </comment>
    <comment authorId="206" xr:uid="{133a23c9-b573-4181-b697-7b496b421b98}" ref="J597">
      <text>
        <t xml:space="preserve">[Threaded comment]
 Your version of Excel allows you to read this threaded comment; however, any edits to it will get removed if the file is opened in a newer version of Excel. Learn more: https://go.microsoft.com/fwlink/?linkid=870924
Comment:
	https://drive.google.com/file/d/1lj_OxhhXwJPS0Vr-h_TdOPW2n9K5Kob_/view?usp=drive_link
</t>
      </text>
    </comment>
    <comment authorId="207" xr:uid="{133ae6b2-b14a-4cfb-8fe7-f00e03a9d619}" ref="C529">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https://www.ebay.com/itm/326655425561?_skw=predator&amp;itmmeta=01KH2CDW56X8NFE92GMV2MWR1M&amp;hash=item4c0e2e3c19:g:lSsAAeSwwJdpe5j1
</t>
      </text>
    </comment>
    <comment authorId="208" xr:uid="{13aab4d5-38f4-45a0-8e3b-bb77cd16a1e9}" ref="AF203">
      <text>
        <t xml:space="preserve">[Threaded comment]
 Your version of Excel allows you to read this threaded comment; however, any edits to it will get removed if the file is opened in a newer version of Excel. Learn more: https://go.microsoft.com/fwlink/?linkid=870924
Comment:
	verificar el courier
</t>
      </text>
    </comment>
    <comment authorId="209" xr:uid="{13ac66bd-db31-4f65-844b-53fb2b87e99a}" ref="K587">
      <text>
        <t xml:space="preserve">[Threaded comment]
 Your version of Excel allows you to read this threaded comment; however, any edits to it will get removed if the file is opened in a newer version of Excel. Learn more: https://go.microsoft.com/fwlink/?linkid=870924
Comment:
	https://drive.google.com/file/d/1960pShx46zFET0xzol18xUBH9LiQOb5X/view?usp=drive_link
</t>
      </text>
    </comment>
    <comment authorId="210" xr:uid="{13b2f87d-e9db-4e9f-9a10-26f1095e2a33}" ref="J28">
      <text>
        <t xml:space="preserve">[Threaded comment]
 Your version of Excel allows you to read this threaded comment; however, any edits to it will get removed if the file is opened in a newer version of Excel. Learn more: https://go.microsoft.com/fwlink/?linkid=870924
Comment:
	https://drive.google.com/file/d/1Rh0NOslKxOo4B5jktlReoKAcXuhic63X/view?usp=drive_link
</t>
      </text>
    </comment>
    <comment authorId="211" xr:uid="{13bd561a-1b16-4cf8-8961-1caea8f0ae9c}" ref="J516">
      <text>
        <t xml:space="preserve">[Threaded comment]
 Your version of Excel allows you to read this threaded comment; however, any edits to it will get removed if the file is opened in a newer version of Excel. Learn more: https://go.microsoft.com/fwlink/?linkid=870924
Comment:
	https://drive.google.com/file/d/1xSmE5ufgNCF882dFOE6VBZ3Aoab6i-uy/view?usp=drive_link
Reply:
	https://drive.google.com/file/d/1DBb5lV_vvgTw36ubNvfI0OkiZtx-_aDg/view?usp=drive_link
</t>
      </text>
    </comment>
    <comment authorId="212" xr:uid="{13cd3356-f4a8-43d3-862e-0ba66a648ed7}" ref="AF674">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213" xr:uid="{13fc1f9e-4816-4af9-8e3c-3ff1bc7ab282}" ref="C29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https://www.microcenter.com/product/693716/asus-rog-strix-g16-g615lr-ms97-16-gaming-laptop-computer-platinum-collection-eclipse-gray?storeid=065
</t>
      </text>
    </comment>
    <comment authorId="214" xr:uid="{13ffa4e0-d09a-41d3-b410-49e6c54f8b99}" ref="W332">
      <text>
        <t xml:space="preserve">[Threaded comment]
 Your version of Excel allows you to read this threaded comment; however, any edits to it will get removed if the file is opened in a newer version of Excel. Learn more: https://go.microsoft.com/fwlink/?linkid=870924
Comment:
	https://drive.google.com/file/d/1_-nAlNrrJnmq8XlBZ3z1ngfg9m3x_lqS/view?usp=drive_link
</t>
      </text>
    </comment>
    <comment authorId="215" xr:uid="{141a7b42-e410-4977-b674-b943a6bba89b}" ref="C113">
      <text>
        <t xml:space="preserve">[Threaded comment]
 Your version of Excel allows you to read this threaded comment; however, any edits to it will get removed if the file is opened in a newer version of Excel. Learn more: https://go.microsoft.com/fwlink/?linkid=870924
Comment:
	https://www.ebay.com/itm/326642860310?_skw=rtx&amp;itmmeta=01JZMVNVYNRP2YKVBJK91MAC20&amp;hash=item4c0d6e8116:g:DMkAAeSw6JpoUEky
</t>
      </text>
    </comment>
    <comment authorId="216" xr:uid="{141ec96f-2983-4ca7-a6c6-76dc8547b627}" ref="C611">
      <text>
        <t xml:space="preserve">[Threaded comment]
 Your version of Excel allows you to read this threaded comment; however, any edits to it will get removed if the file is opened in a newer version of Excel. Learn more: https://go.microsoft.com/fwlink/?linkid=870924
Comment:
	https://www.ebay.com/itm/205814283481
</t>
      </text>
    </comment>
    <comment authorId="217" xr:uid="{14708fd9-e9fe-43b7-80e7-e4322605a533}" ref="F630">
      <text>
        <t xml:space="preserve">[Threaded comment]
 Your version of Excel allows you to read this threaded comment; however, any edits to it will get removed if the file is opened in a newer version of Excel. Learn more: https://go.microsoft.com/fwlink/?linkid=870924
Comment:
	el pago está siendo procesado, hay que verificar mañana
Reply:
	sigue procesando la orden
</t>
      </text>
    </comment>
    <comment authorId="218" xr:uid="{14866759-d119-4f73-8b41-a4a39fd94782}" ref="O48">
      <text>
        <t xml:space="preserve">[Threaded comment]
 Your version of Excel allows you to read this threaded comment; however, any edits to it will get removed if the file is opened in a newer version of Excel. Learn more: https://go.microsoft.com/fwlink/?linkid=870924
Comment:
	le di mouse y audifono
</t>
      </text>
    </comment>
    <comment authorId="219" xr:uid="{1496fd94-8bf5-4719-b38c-2bb0438e4f14}" ref="AF195">
      <text>
        <t xml:space="preserve">[Threaded comment]
 Your version of Excel allows you to read this threaded comment; however, any edits to it will get removed if the file is opened in a newer version of Excel. Learn more: https://go.microsoft.com/fwlink/?linkid=870924
Comment:
	FINAL: vental final y fixit
</t>
      </text>
    </comment>
    <comment authorId="220" xr:uid="{14a47bab-f573-4745-a48a-6d88477e361d}" ref="C54">
      <text>
        <t xml:space="preserve">[Threaded comment]
 Your version of Excel allows you to read this threaded comment; however, any edits to it will get removed if the file is opened in a newer version of Excel. Learn more: https://go.microsoft.com/fwlink/?linkid=870924
Comment:
	https://www.amazon.com/teclado-compatible-Alienware-pulgadas-protector/dp/B0DDPZHFDX/ref=mp_s_a_1_3_maf_2?crid=1BAWYIXJ9FN6W&amp;dib=eyJ2IjoiMSJ9.qUa4juBhsQmR89eL14_YZgDlcRM008ZkuxdyhFR-rgJkh8TuSu0Yrb-alJwKb3e0Q4KJpRpjq8eOlESGcbtmQEGnDom29lDu3gsE78v_DrcvtmNZaH_O-lR-_jxVqyOT4Ie_SwpnODaFvzWRi6AX5LytdyVb_rzZP3VFeRmXt3-Rgmffuez8y7z1dsSip12MdV8oNYo27jTiEK6DMoO6vQ.XfeYMyYB3p1QF9c_PhLWgXqmUvE_f8t1GQVdkxNNzWo&amp;dib_tag=se&amp;keywords=protector%2Bde%2Bteclado%2Balienware%2Bx16&amp;qid=1747098090&amp;sprefix=%2Caps%2C363&amp;sr=8-3&amp;th=1
</t>
      </text>
    </comment>
    <comment authorId="221" xr:uid="{14ad4021-3447-45ac-a8ae-25c52caf2c82}" ref="J583">
      <text>
        <t xml:space="preserve">[Threaded comment]
 Your version of Excel allows you to read this threaded comment; however, any edits to it will get removed if the file is opened in a newer version of Excel. Learn more: https://go.microsoft.com/fwlink/?linkid=870924
Comment:
	https://drive.google.com/file/d/17P7fVOx4i8Ec_CENUzDPCeoJQB7c43LH/view?usp=drive_link
</t>
      </text>
    </comment>
    <comment authorId="222" xr:uid="{14f6ae67-ad53-4989-a3ab-cc4c0d9cf21c}" ref="J605">
      <text>
        <t xml:space="preserve">[Threaded comment]
 Your version of Excel allows you to read this threaded comment; however, any edits to it will get removed if the file is opened in a newer version of Excel. Learn more: https://go.microsoft.com/fwlink/?linkid=870924
Comment:
	https://drive.google.com/file/d/1_slL1-Qyg2MblcauvehZwyavJoFDon5x/view?usp=drive_link
</t>
      </text>
    </comment>
    <comment authorId="223" xr:uid="{1501fb26-de69-430f-af71-e62c712bb787}" ref="C391">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https://www.lenovo.com/us/en/p/laptops/legion-laptops/legion-5-series/lenovo-legion-5i-gen-10-(15-inch-intel)/83f00006us
</t>
      </text>
    </comment>
    <comment authorId="224" xr:uid="{1519e88e-3bdd-41c0-a13b-52e0de96305a}" ref="J97">
      <text>
        <t xml:space="preserve">[Threaded comment]
 Your version of Excel allows you to read this threaded comment; however, any edits to it will get removed if the file is opened in a newer version of Excel. Learn more: https://go.microsoft.com/fwlink/?linkid=870924
Comment:
	https://drive.google.com/file/d/1WFbBXCUi3cu9jrsqXyGYOPbYY_lP4FyI/view?usp=drive_link
</t>
      </text>
    </comment>
    <comment authorId="225" xr:uid="{152a8005-01e7-4999-924d-937e52a631ac}" ref="T701">
      <text>
        <t xml:space="preserve">[Threaded comment]
 Your version of Excel allows you to read this threaded comment; however, any edits to it will get removed if the file is opened in a newer version of Excel. Learn more: https://go.microsoft.com/fwlink/?linkid=870924
Comment:
	se le saco el excedente por sobreprecio
</t>
      </text>
    </comment>
    <comment authorId="226" xr:uid="{152bae74-5571-4f11-9927-5d8c4668de1e}" ref="L153">
      <text>
        <t xml:space="preserve">[Threaded comment]
 Your version of Excel allows you to read this threaded comment; however, any edits to it will get removed if the file is opened in a newer version of Excel. Learn more: https://go.microsoft.com/fwlink/?linkid=870924
Comment:
	https://drive.google.com/file/d/1qphqhL-p_XVF4S8rq38XvwiCHxItmJQn/view?usp=drive_link
</t>
      </text>
    </comment>
    <comment authorId="227" xr:uid="{15364bf9-5f10-48ee-ba74-babea6151087}" ref="K490">
      <text>
        <t xml:space="preserve">[Threaded comment]
 Your version of Excel allows you to read this threaded comment; however, any edits to it will get removed if the file is opened in a newer version of Excel. Learn more: https://go.microsoft.com/fwlink/?linkid=870924
Comment:
	lo terminó de pagar junto a la laptop arriba
</t>
      </text>
    </comment>
    <comment authorId="228" xr:uid="{1545413d-9e0e-4101-bb6c-36cdf559231b}" ref="K419">
      <text>
        <t xml:space="preserve">[Threaded comment]
 Your version of Excel allows you to read this threaded comment; however, any edits to it will get removed if the file is opened in a newer version of Excel. Learn more: https://go.microsoft.com/fwlink/?linkid=870924
Comment:
	https://drive.google.com/file/d/1De5WETfiBw9_ZnUOg21xp-tKWAvOSPn3/view?usp=drive_link
</t>
      </text>
    </comment>
    <comment authorId="229" xr:uid="{154b8ba8-80e8-45b3-ab63-7f82a1909b88}" ref="J420">
      <text>
        <t xml:space="preserve">[Threaded comment]
 Your version of Excel allows you to read this threaded comment; however, any edits to it will get removed if the file is opened in a newer version of Excel. Learn more: https://go.microsoft.com/fwlink/?linkid=870924
Comment:
	https://drive.google.com/file/d/179raI_V--fUJ9FJEEefVHB-3Dn39C641/view?usp=drive_link
</t>
      </text>
    </comment>
    <comment authorId="230" xr:uid="{155de7a3-e33a-4d48-96ea-ff59b33c9350}" ref="W379">
      <text>
        <t xml:space="preserve">[Threaded comment]
 Your version of Excel allows you to read this threaded comment; however, any edits to it will get removed if the file is opened in a newer version of Excel. Learn more: https://go.microsoft.com/fwlink/?linkid=870924
Comment:
	https://drive.google.com/file/d/1et8PszPl_KJiyj8aWzj358dGL1SdRiGq/view?usp=drive_link
</t>
      </text>
    </comment>
    <comment authorId="231" xr:uid="{156fe5c1-3952-4191-b6c0-66e17ec0403b}" ref="Z434">
      <text>
        <t xml:space="preserve">[Threaded comment]
 Your version of Excel allows you to read this threaded comment; however, any edits to it will get removed if the file is opened in a newer version of Excel. Learn more: https://go.microsoft.com/fwlink/?linkid=870924
Comment:
	Para la boleta/factura del servicio por traer la laptop desde EEUU:
✅NOMBRES COMPLETOS O RAZÓN SOCIAL: Keit Nevsky Machaca Mamani 
✅DNI O RUC: 10701773921
✅NÚMERO DE CELULAR: 917367547
✅CORREO ELECTRÓNICO: keitroll7017@gmail.com
</t>
      </text>
    </comment>
    <comment authorId="232" xr:uid="{157f8cf7-3277-4993-b836-82cc07fa16e7}" ref="W259">
      <text>
        <t xml:space="preserve">[Threaded comment]
 Your version of Excel allows you to read this threaded comment; however, any edits to it will get removed if the file is opened in a newer version of Excel. Learn more: https://go.microsoft.com/fwlink/?linkid=870924
Comment:
	https://drive.google.com/file/d/1PdOhkjab3icnw0ZQyyqQ9kTrEuBygyZy/view?usp=drive_link
</t>
      </text>
    </comment>
    <comment authorId="233" xr:uid="{15906765-b01d-4d7e-ba97-4482a1f45f7d}" ref="L194">
      <text>
        <t xml:space="preserve">[Threaded comment]
 Your version of Excel allows you to read this threaded comment; however, any edits to it will get removed if the file is opened in a newer version of Excel. Learn more: https://go.microsoft.com/fwlink/?linkid=870924
Comment:
	https://drive.google.com/file/d/10Y7D_WNEhFIvmuMF7YPMJq77lNY7fP7-/view?usp=drive_link
</t>
      </text>
    </comment>
    <comment authorId="234" xr:uid="{1595fa3b-912b-444f-8c86-a477955863b8}" ref="K666">
      <text>
        <t xml:space="preserve">[Threaded comment]
 Your version of Excel allows you to read this threaded comment; however, any edits to it will get removed if the file is opened in a newer version of Excel. Learn more: https://go.microsoft.com/fwlink/?linkid=870924
Comment:
	https://drive.google.com/file/d/1008wDIctMTrP8fLHRR5lI4mMo5pPxoYW/view?usp=drive_link
</t>
      </text>
    </comment>
    <comment authorId="235" xr:uid="{159a1b27-ba47-4fd7-9c84-7e09e8b507ad}" ref="J535">
      <text>
        <t xml:space="preserve">[Threaded comment]
 Your version of Excel allows you to read this threaded comment; however, any edits to it will get removed if the file is opened in a newer version of Excel. Learn more: https://go.microsoft.com/fwlink/?linkid=870924
Comment:
	https://drive.google.com/file/d/1cuUcfEzDW5QaYPn1flqslhE4YQX8Xinv/view?usp=drive_link
</t>
      </text>
    </comment>
    <comment authorId="236" xr:uid="{15d77431-3d5e-48bf-9910-f60789b71c41}" ref="J238">
      <text>
        <t xml:space="preserve">[Threaded comment]
 Your version of Excel allows you to read this threaded comment; however, any edits to it will get removed if the file is opened in a newer version of Excel. Learn more: https://go.microsoft.com/fwlink/?linkid=870924
Comment:
	https://drive.google.com/file/d/1IjbTvHlJoPvYSBim0i9_qllzM6236dRU/view?usp=drive_link
</t>
      </text>
    </comment>
    <comment authorId="237" xr:uid="{15da459d-0129-4ffe-aafd-dbc57e88069d}" ref="W234">
      <text>
        <t xml:space="preserve">[Threaded comment]
 Your version of Excel allows you to read this threaded comment; however, any edits to it will get removed if the file is opened in a newer version of Excel. Learn more: https://go.microsoft.com/fwlink/?linkid=870924
Comment:
	https://drive.google.com/file/d/1UUyQnJz8Sa3cPtPRXc-G8tdEPo9q29Ea/view?usp=drive_link
</t>
      </text>
    </comment>
    <comment authorId="238" xr:uid="{15e6ac30-9213-4ea7-ba9b-1701d12f2b9b}" ref="AF713">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39" xr:uid="{16696175-be28-4bb7-9225-5a59df74fd98}" ref="AG485">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240" xr:uid="{166b4d0f-a1fb-4dfc-8804-7a3373bceb10}" ref="J404">
      <text>
        <t xml:space="preserve">[Threaded comment]
 Your version of Excel allows you to read this threaded comment; however, any edits to it will get removed if the file is opened in a newer version of Excel. Learn more: https://go.microsoft.com/fwlink/?linkid=870924
Comment:
	https://drive.google.com/file/d/1bGmZGqYJbClytjySPRt3y3rSQwcVvSVb/view?usp=drive_link
Reply:
	https://drive.google.com/file/d/12_SRMUrgaYT1E_RhFKjVrEJr991kSXGN/view?usp=drive_link
</t>
      </text>
    </comment>
    <comment authorId="241" xr:uid="{1687e7a2-418a-481b-bea6-7142e91c67b3}" ref="Q688">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242" xr:uid="{168bd8de-40e8-4c17-9596-b38f06674b5a}" ref="C643">
      <text>
        <t xml:space="preserve">[Threaded comment]
 Your version of Excel allows you to read this threaded comment; however, any edits to it will get removed if the file is opened in a newer version of Excel. Learn more: https://go.microsoft.com/fwlink/?linkid=870924
Comment:
	https://www.costco.com/p/-/acer-predator-helios-neo-16-ai-gaming-laptop-intel-core-ultra-9-275hx-processor-16-2560-x-1600-240hz-display-nvidia-rtx-5070-ti-12gb-1-tb-ssd-windows-11-home/4000398640?langId=-1
</t>
      </text>
    </comment>
    <comment authorId="243" xr:uid="{168e569b-bd02-4d4f-9dfc-5a92aed8f17e}" ref="J284">
      <text>
        <t xml:space="preserve">[Threaded comment]
 Your version of Excel allows you to read this threaded comment; however, any edits to it will get removed if the file is opened in a newer version of Excel. Learn more: https://go.microsoft.com/fwlink/?linkid=870924
Comment:
	https://drive.google.com/file/d/11U7g8ujiTXShSGpAOpLP8JAsL548P-1O/view?usp=drive_link
</t>
      </text>
    </comment>
    <comment authorId="244" xr:uid="{1693a439-7d53-423f-b92c-1acd4bd8c5fb}" ref="N47">
      <text>
        <t xml:space="preserve">[Threaded comment]
 Your version of Excel allows you to read this threaded comment; however, any edits to it will get removed if the file is opened in a newer version of Excel. Learn more: https://go.microsoft.com/fwlink/?linkid=870924
Comment:
	le coticé con 45.99 xd
</t>
      </text>
    </comment>
    <comment authorId="245" xr:uid="{169bc496-2cf2-4b07-869f-3a5aaee39a03}" ref="Q719">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246" xr:uid="{16b404a6-40e1-4330-9aad-4d8f746308ac}" ref="K528">
      <text>
        <t xml:space="preserve">[Threaded comment]
 Your version of Excel allows you to read this threaded comment; however, any edits to it will get removed if the file is opened in a newer version of Excel. Learn more: https://go.microsoft.com/fwlink/?linkid=870924
Comment:
	https://drive.google.com/file/d/1OgbFHFML5pC_2qa2YxBLL-7vbWcCz4Dq/view?usp=drive_link
</t>
      </text>
    </comment>
    <comment authorId="247" xr:uid="{16cbc25c-8afd-492e-b9e0-e71e427d6b5c}" ref="K630">
      <text>
        <t xml:space="preserve">[Threaded comment]
 Your version of Excel allows you to read this threaded comment; however, any edits to it will get removed if the file is opened in a newer version of Excel. Learn more: https://go.microsoft.com/fwlink/?linkid=870924
Comment:
	https://drive.google.com/file/d/1WxW2_SiEaJOlq4F9JWWTsaEnIPe01lz4/view?usp=drive_link
</t>
      </text>
    </comment>
    <comment authorId="248" xr:uid="{16f9e7e1-4ff4-474c-ad16-c5132775312c}" ref="W250">
      <text>
        <t xml:space="preserve">[Threaded comment]
 Your version of Excel allows you to read this threaded comment; however, any edits to it will get removed if the file is opened in a newer version of Excel. Learn more: https://go.microsoft.com/fwlink/?linkid=870924
Comment:
	https://drive.google.com/file/d/1UfZd_W7doxqdrTkIzh0nuioqNTI_d-IX/view?usp=drive_link
</t>
      </text>
    </comment>
    <comment authorId="249" xr:uid="{1722fcc1-44fd-409e-8113-4017b3ea9155}" ref="L142">
      <text>
        <t xml:space="preserve">[Threaded comment]
 Your version of Excel allows you to read this threaded comment; however, any edits to it will get removed if the file is opened in a newer version of Excel. Learn more: https://go.microsoft.com/fwlink/?linkid=870924
Comment:
	https://drive.google.com/file/d/1-VSRPUHn57D6SxQAwH4maucrmFzxR7yU/view?usp=drive_link
</t>
      </text>
    </comment>
    <comment authorId="250" xr:uid="{17256156-9c82-4f15-badd-d54436719ad4}" ref="W208">
      <text>
        <t xml:space="preserve">[Threaded comment]
 Your version of Excel allows you to read this threaded comment; however, any edits to it will get removed if the file is opened in a newer version of Excel. Learn more: https://go.microsoft.com/fwlink/?linkid=870924
Comment:
	https://drive.google.com/file/d/1yY5DSV_AEvTUNXupquJADxXBEDB6ZS6W/view?usp=drive_link
</t>
      </text>
    </comment>
    <comment authorId="251" xr:uid="{175510d1-b4ae-4844-bc42-e948857da113}" ref="K747">
      <text>
        <t xml:space="preserve">[Threaded comment]
 Your version of Excel allows you to read this threaded comment; however, any edits to it will get removed if the file is opened in a newer version of Excel. Learn more: https://go.microsoft.com/fwlink/?linkid=870924
Comment:
	https://drive.google.com/file/d/1zFBwXa8s7vsja_YVVZ75IKTP-GV-U0wk/view?usp=drive_link
</t>
      </text>
    </comment>
    <comment authorId="252" xr:uid="{17881f46-3ae2-497d-8928-0959147dd1aa}" ref="Q612">
      <text>
        <t xml:space="preserve">[Threaded comment]
 Your version of Excel allows you to read this threaded comment; however, any edits to it will get removed if the file is opened in a newer version of Excel. Learn more: https://go.microsoft.com/fwlink/?linkid=870924
Comment:
	apertura+antivirus
</t>
      </text>
    </comment>
    <comment authorId="253" xr:uid="{17e4750d-0c0f-4349-86b8-dc49e7505993}" ref="AF727">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54" xr:uid="{181fbb1a-5933-4ab8-b5f5-c0796f99f1b0}" ref="AF45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55" xr:uid="{1837083c-48ab-436b-9940-00b7ef3c830d}" ref="W274">
      <text>
        <t xml:space="preserve">[Threaded comment]
 Your version of Excel allows you to read this threaded comment; however, any edits to it will get removed if the file is opened in a newer version of Excel. Learn more: https://go.microsoft.com/fwlink/?linkid=870924
Comment:
	https://drive.google.com/file/d/1BQh3z2y7eRQFNy0hM6a_6CSW3xboYxjG/view?usp=drive_link
</t>
      </text>
    </comment>
    <comment authorId="256" xr:uid="{184a4cb8-2d8d-456b-b886-c3175fc4e611}" ref="W487">
      <text>
        <t xml:space="preserve">[Threaded comment]
 Your version of Excel allows you to read this threaded comment; however, any edits to it will get removed if the file is opened in a newer version of Excel. Learn more: https://go.microsoft.com/fwlink/?linkid=870924
Comment:
	https://drive.google.com/open?id=1IXeR68C_08HPO-14OHU3s0iM6YbX2dUi&amp;usp=drive_copy
</t>
      </text>
    </comment>
    <comment authorId="257" xr:uid="{186bf180-4ff7-4b48-be47-9c49bf8f1798}" ref="AI727">
      <text>
        <t xml:space="preserve">[Threaded comment]
 Your version of Excel allows you to read this threaded comment; however, any edits to it will get removed if the file is opened in a newer version of Excel. Learn more: https://go.microsoft.com/fwlink/?linkid=870924
Comment:
	https://drive.google.com/file/d/1PyUb7G-OqkFFbIasJXTNK2x70u8zni6w/view?usp=drive_link
</t>
      </text>
    </comment>
    <comment authorId="258" xr:uid="{1883722e-b23d-4a57-9360-e8cdde094180}" ref="C557">
      <text>
        <t xml:space="preserve">[Threaded comment]
 Your version of Excel allows you to read this threaded comment; however, any edits to it will get removed if the file is opened in a newer version of Excel. Learn more: https://go.microsoft.com/fwlink/?linkid=870924
Comment:
	https://us-store.msi.com/Vector-16-HX-AI-A2XWIG-420US?search=vector
</t>
      </text>
    </comment>
    <comment authorId="259" xr:uid="{189b119d-74d4-41d9-af3f-ca2a9a160ba3}" ref="J753">
      <text>
        <t xml:space="preserve">[Threaded comment]
 Your version of Excel allows you to read this threaded comment; however, any edits to it will get removed if the file is opened in a newer version of Excel. Learn more: https://go.microsoft.com/fwlink/?linkid=870924
Comment:
	https://drive.google.com/file/d/1qBdVX-uO7V1jaWyttPgkN7vxCXMf5ID8/view?usp=drive_link
Reply:
	https://drive.google.com/file/d/1r-aRnN785YdDuhBXwrCLwh7eTkWSz99U/view?usp=drive_link
</t>
      </text>
    </comment>
    <comment authorId="260" xr:uid="{18fe3369-b409-4133-96b8-030918156be4}" ref="J667">
      <text>
        <t xml:space="preserve">[Threaded comment]
 Your version of Excel allows you to read this threaded comment; however, any edits to it will get removed if the file is opened in a newer version of Excel. Learn more: https://go.microsoft.com/fwlink/?linkid=870924
Comment:
	https://drive.google.com/file/d/1ZnHzM4Yi3EQM4K-zb4BKbY_I7JlelzTu/view?usp=drive_link
</t>
      </text>
    </comment>
    <comment authorId="261" xr:uid="{19089986-94de-4f0d-832d-a308cea56c6d}" ref="AF549">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62" xr:uid="{1941cbbc-4c04-4ff3-b62d-6924cabe197e}" ref="K492">
      <text>
        <t xml:space="preserve">[Threaded comment]
 Your version of Excel allows you to read this threaded comment; however, any edits to it will get removed if the file is opened in a newer version of Excel. Learn more: https://go.microsoft.com/fwlink/?linkid=870924
Comment:
	https://drive.google.com/file/d/1-8AbM7v-ilmPAAsWg1NKg1MWfXC5HC0t/view?usp=drive_link
</t>
      </text>
    </comment>
    <comment authorId="263" xr:uid="{19501cc6-530c-417a-953e-a7b80a8dbaae}" ref="K432">
      <text>
        <t xml:space="preserve">[Threaded comment]
 Your version of Excel allows you to read this threaded comment; however, any edits to it will get removed if the file is opened in a newer version of Excel. Learn more: https://go.microsoft.com/fwlink/?linkid=870924
Comment:
	https://drive.google.com/file/d/1k09UKhVzylKFFKzBSTFra7lkMOulqRUy/view?usp=drive_link
</t>
      </text>
    </comment>
    <comment authorId="264" xr:uid="{196146df-7b98-4b09-982f-09ee562e10c8}" ref="AF752">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265" xr:uid="{1962ec4c-20c2-4210-b6e4-b8b8c2f485de}" ref="J380">
      <text>
        <t xml:space="preserve">[Threaded comment]
 Your version of Excel allows you to read this threaded comment; however, any edits to it will get removed if the file is opened in a newer version of Excel. Learn more: https://go.microsoft.com/fwlink/?linkid=870924
Comment:
	https://drive.google.com/file/d/1uNPQPRX2h_Wkzsf8mhPWy0Cn_lGa-s73/view?usp=drive_link
Reply:
	https://drive.google.com/file/d/1DsZVw203eg2UrE9LscEQXEsNXP4Zoysm/view?usp=drive_link
Reply:
	https://drive.google.com/file/d/1EGwcOT-nLRjVlc5hZpsH7NDXsYkQSkYb/view?usp=drive_link
</t>
      </text>
    </comment>
    <comment authorId="266" xr:uid="{19690d97-5847-4873-8f15-9290b578a9c7}" ref="S264">
      <text>
        <t xml:space="preserve">[Threaded comment]
 Your version of Excel allows you to read this threaded comment; however, any edits to it will get removed if the file is opened in a newer version of Excel. Learn more: https://go.microsoft.com/fwlink/?linkid=870924
Comment:
	https://drive.google.com/file/d/1qcgrM7e1t5_BSWaYdj6fH-xyVwr2Rem2/view?usp=drive_link
</t>
      </text>
    </comment>
    <comment authorId="267" xr:uid="{19e199ba-557a-42cd-9360-e7cba608b177}" ref="K297">
      <text>
        <t xml:space="preserve">[Threaded comment]
 Your version of Excel allows you to read this threaded comment; however, any edits to it will get removed if the file is opened in a newer version of Excel. Learn more: https://go.microsoft.com/fwlink/?linkid=870924
Comment:
	https://drive.google.com/file/d/10G-Pys1yBRedB5vv4QSgEtaMT81nx8QM/view?usp=drive_link
</t>
      </text>
    </comment>
    <comment authorId="268" xr:uid="{1a427e78-1461-4fcd-b752-112e71f811a7}" ref="C72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269" xr:uid="{1a48d67f-19de-4f21-80d8-ca3229b28763}" ref="AF688">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70" xr:uid="{1a554669-705c-4c43-a665-b5072b252ffe}" ref="J813">
      <text>
        <t xml:space="preserve">[Threaded comment]
 Your version of Excel allows you to read this threaded comment; however, any edits to it will get removed if the file is opened in a newer version of Excel. Learn more: https://go.microsoft.com/fwlink/?linkid=870924
Comment:
	https://drive.google.com/file/d/1Fch9ln02wN9t2CJe3n6qmctytz00jt4W/view?usp=drive_link
</t>
      </text>
    </comment>
    <comment authorId="271" xr:uid="{1a652796-7bcf-4b82-8c72-4c38ce894333}" ref="J767">
      <text>
        <t xml:space="preserve">[Threaded comment]
 Your version of Excel allows you to read this threaded comment; however, any edits to it will get removed if the file is opened in a newer version of Excel. Learn more: https://go.microsoft.com/fwlink/?linkid=870924
Comment:
	https://drive.google.com/file/d/1d7yHEkOFtlYbLfgGX87Mb3_iSvTwVXhr/view?usp=drive_link
Reply:
	https://drive.google.com/file/d/1UopR9lOyNbeXxRjJo0Ra2rxb1VNzP7U9/view?usp=drive_link
</t>
      </text>
    </comment>
    <comment authorId="272" xr:uid="{1a742ab3-2996-4ac2-b875-c1da322e9758}" ref="N263">
      <text>
        <t xml:space="preserve">[Threaded comment]
 Your version of Excel allows you to read this threaded comment; however, any edits to it will get removed if the file is opened in a newer version of Excel. Learn more: https://go.microsoft.com/fwlink/?linkid=870924
Comment:
	1399.99 pero se acordó un descuento
</t>
      </text>
    </comment>
    <comment authorId="273" xr:uid="{1a800350-df18-451b-9b89-f8c87e9bbd13}" ref="J391">
      <text>
        <t xml:space="preserve">[Threaded comment]
 Your version of Excel allows you to read this threaded comment; however, any edits to it will get removed if the file is opened in a newer version of Excel. Learn more: https://go.microsoft.com/fwlink/?linkid=870924
Comment:
	https://drive.google.com/file/d/1wz_xrIfNAGxcZC5xcJAKiX9CywKTzPii/view?usp=drive_link
</t>
      </text>
    </comment>
    <comment authorId="274" xr:uid="{1ab86195-2ba3-4e2c-aa29-d9bd4f14f09c}" ref="W157">
      <text>
        <t xml:space="preserve">[Threaded comment]
 Your version of Excel allows you to read this threaded comment; however, any edits to it will get removed if the file is opened in a newer version of Excel. Learn more: https://go.microsoft.com/fwlink/?linkid=870924
Comment:
	https://drive.google.com/file/d/1bg4-hcPbT40a8zvxKHhaQfoKItIVv_HB/view?usp=drive_link
</t>
      </text>
    </comment>
    <comment authorId="275" xr:uid="{1ac986b1-5e5f-44f6-84da-365cb2aff204}" ref="C71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76" xr:uid="{1af5ef80-e016-4b75-8489-52d490b5c424}" ref="C792">
      <text>
        <t xml:space="preserve">[Threaded comment]
 Your version of Excel allows you to read this threaded comment; however, any edits to it will get removed if the file is opened in a newer version of Excel. Learn more: https://go.microsoft.com/fwlink/?linkid=870924
Comment:
	https://www.ebay.com/itm/358642298122?_skw=asus+rog+strix+G16+Ryzen+9&amp;itmmeta=01KV6RQGVEZASFS8TEYQMNNA9D&amp;hash=item5380bf2d0a:g:RiUAAeSwMq5qIwNl&amp;itmprp=enc%3AAQALAAAA4GfYFPkwiKCW4ZNSs2u11xCLUN96aJtDCbbGl%2BFs16%2Bq2byOdJh5%2FcdyPwnEa%2FSSEUGkBOpBe4sqHFXCqEF6utyf5bGPhHWtAS3Xr7wrc2tk6VjEccP63XrZs9XP6VkIWh1gur5Du0r7ufTMgkaqKJn83A%2Fog1P2sk8OoPHJ2fnn7ZrNxlklK92Y1Xw7BGBLi0mH4kAW5UYusa3rG6TuGSE09Pv3%2FI5RR%2BH1UgnvhRUosOZvddtx%2BkEiAMbLz98gQ0Kw71svbUe3I%2FB1%2ByJPAxPE%2FP9fXw%2FvEQs2THdAUOtn%7Ctkp%3ABk9SR_KN3tjZZw
</t>
      </text>
    </comment>
    <comment authorId="277" xr:uid="{1b09f39b-1f99-4581-b006-c525e5de0b8a}" ref="J262">
      <text>
        <t xml:space="preserve">[Threaded comment]
 Your version of Excel allows you to read this threaded comment; however, any edits to it will get removed if the file is opened in a newer version of Excel. Learn more: https://go.microsoft.com/fwlink/?linkid=870924
Comment:
	https://drive.google.com/file/d/1ldlc27ZdlHv31qjy8pjdrNGJmXi03cLX/view?usp=drive_link
Reply:
	https://drive.google.com/file/d/1bfSqsBSRAYmbzShmVjh4nFPMc-HldMKh/view?usp=drive_link
Reply:
	https://drive.google.com/file/d/1UEri_ag7iMa30Lq7OfCjj7bB-mRk1DOT/view?usp=drive_link
</t>
      </text>
    </comment>
    <comment authorId="278" xr:uid="{1b189f4a-c8fe-454b-99dc-4147a4793115}" ref="C94">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https://www.bestbuy.com/site/asus-rog-strix-g18-18-2-5k-240hz-gaming-laptop-amd-ryzen-9-hx-32gb-ram-nvidia-geforce-rtx-5060-1tb-ssd-eclipse-gray/6633426.p?skuId=6633426&amp;intl=nosplash
</t>
      </text>
    </comment>
    <comment authorId="279" xr:uid="{1b3af884-5883-4bfa-b51f-e83206f3be24}" ref="K353">
      <text>
        <t xml:space="preserve">[Threaded comment]
 Your version of Excel allows you to read this threaded comment; however, any edits to it will get removed if the file is opened in a newer version of Excel. Learn more: https://go.microsoft.com/fwlink/?linkid=870924
Comment:
	https://drive.google.com/file/d/1L9VUqEaZhfsFY0FZRTxzrlKhZ-eVGut7/view?usp=drive_link
</t>
      </text>
    </comment>
    <comment authorId="280" xr:uid="{1b3b0331-630b-4e34-a804-190edffc7e72}" ref="C469">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https://us-store.msi.com/Laptops/Gaming-Series/Vector-16-HX-AI-A2XWIG-420US
</t>
      </text>
    </comment>
    <comment authorId="281" xr:uid="{1b9a958a-4dab-42e3-ad5f-1437e447cec2}" ref="K596">
      <text>
        <t xml:space="preserve">[Threaded comment]
 Your version of Excel allows you to read this threaded comment; however, any edits to it will get removed if the file is opened in a newer version of Excel. Learn more: https://go.microsoft.com/fwlink/?linkid=870924
Comment:
	https://drive.google.com/file/d/11cNxJJLF8RPljfw59B2a6OTdHCwpTHEy/view?usp=drive_link
Reply:
	https://drive.google.com/file/d/1h-fBrMm_xUL3BUaBR0EbKRuJyX16LDVI/view?usp=drive_link
</t>
      </text>
    </comment>
    <comment authorId="282" xr:uid="{1bab0f4a-6558-4596-9963-370a291793af}" ref="W183">
      <text>
        <t xml:space="preserve">[Threaded comment]
 Your version of Excel allows you to read this threaded comment; however, any edits to it will get removed if the file is opened in a newer version of Excel. Learn more: https://go.microsoft.com/fwlink/?linkid=870924
Comment:
	https://drive.google.com/file/d/1QBVlkK9VjcatkbbJoLrYmC13DDHMzXOv/view?usp=drive_link
</t>
      </text>
    </comment>
    <comment authorId="283" xr:uid="{1bb6acec-d3ef-4b56-9629-49bf619c8d0f}" ref="J191">
      <text>
        <t xml:space="preserve">[Threaded comment]
 Your version of Excel allows you to read this threaded comment; however, any edits to it will get removed if the file is opened in a newer version of Excel. Learn more: https://go.microsoft.com/fwlink/?linkid=870924
Comment:
	https://drive.google.com/file/d/1qh0M7hZ-ldV-UfRtRUdgPu1z5e6ukxQv/view?usp=drive_link
</t>
      </text>
    </comment>
    <comment authorId="284" xr:uid="{1bc39140-e05c-48db-a1c5-031c813a7775}" ref="C537">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https://www.ebay.com/itm/326655425561?_skw=laptop+gaming&amp;itmmeta=01KH37KYA760Z21A1PCK00FZ0K&amp;hash=item4c0e2e3c19:g:lSsAAeSwwJdpe5j1
</t>
      </text>
    </comment>
    <comment authorId="285" xr:uid="{1bc7e5dc-49e8-487e-b336-1c904b6c5c15}" ref="W392">
      <text>
        <t xml:space="preserve">[Threaded comment]
 Your version of Excel allows you to read this threaded comment; however, any edits to it will get removed if the file is opened in a newer version of Excel. Learn more: https://go.microsoft.com/fwlink/?linkid=870924
Comment:
	https://drive.google.com/file/d/1CwAs4Pv0cyBKbGTIPsrg_-brfjPgwZdw/view?usp=drive_link
</t>
      </text>
    </comment>
    <comment authorId="286" xr:uid="{1bd8df39-e02c-44be-a425-6ceb19d934ab}" ref="J431">
      <text>
        <t xml:space="preserve">[Threaded comment]
 Your version of Excel allows you to read this threaded comment; however, any edits to it will get removed if the file is opened in a newer version of Excel. Learn more: https://go.microsoft.com/fwlink/?linkid=870924
Comment:
	https://drive.google.com/file/d/1xlP4n6XGwOA1MHmFbDg_zNLfL1aJBpvO/view?usp=drive_link
</t>
      </text>
    </comment>
    <comment authorId="287" xr:uid="{1bf9b062-5a4e-47e8-b6a8-f0ccfab5ae41}" ref="A1">
      <text>
        <t xml:space="preserve">[Threaded comment]
 Your version of Excel allows you to read this threaded comment; however, any edits to it will get removed if the file is opened in a newer version of Excel. Learn more: https://go.microsoft.com/fwlink/?linkid=870924
Comment:
	https://www.ebay.com/itm/127113153538?_skw=laptop+rtx&amp;itmmeta=01JVPA77F8KHRK83FP5M8BN2D4&amp;hash=item1d9888cc02:g:SBgAAeSw8idoKsPG
</t>
      </text>
    </comment>
    <comment authorId="288" xr:uid="{1c0aefff-92ff-47aa-a71e-3bbe44be0d00}" ref="AF484">
      <text>
        <t xml:space="preserve">[Threaded comment]
 Your version of Excel allows you to read this threaded comment; however, any edits to it will get removed if the file is opened in a newer version of Excel. Learn more: https://go.microsoft.com/fwlink/?linkid=870924
Comment:
	Excdente, fixit, venta fianl
</t>
      </text>
    </comment>
    <comment authorId="289" xr:uid="{1c10eb42-a6b9-472f-836a-fcba2d1b119e}" ref="W426">
      <text>
        <t xml:space="preserve">[Threaded comment]
 Your version of Excel allows you to read this threaded comment; however, any edits to it will get removed if the file is opened in a newer version of Excel. Learn more: https://go.microsoft.com/fwlink/?linkid=870924
Comment:
	https://drive.google.com/file/d/1XQsFqayb_I2BtpBDQdAjVRGtbVTtuA4h/view?usp=drive_link
</t>
      </text>
    </comment>
    <comment authorId="290" xr:uid="{1c23e969-019c-4f80-8de5-a4453f419a23}" ref="L198">
      <text>
        <t xml:space="preserve">[Threaded comment]
 Your version of Excel allows you to read this threaded comment; however, any edits to it will get removed if the file is opened in a newer version of Excel. Learn more: https://go.microsoft.com/fwlink/?linkid=870924
Comment:
	https://drive.google.com/file/d/1ogBwWppAnOMUnsYASlNorbfFD4aLa001/view?usp=drive_link
</t>
      </text>
    </comment>
    <comment authorId="291" xr:uid="{1c33e36d-4c80-453d-b681-0475085b5f70}" ref="C227">
      <text>
        <t xml:space="preserve">[Threaded comment]
 Your version of Excel allows you to read this threaded comment; however, any edits to it will get removed if the file is opened in a newer version of Excel. Learn more: https://go.microsoft.com/fwlink/?linkid=870924
Comment:
	https://www.ebay.com/itm/388165827342?_skw=5080&amp;epid=13079624892&amp;itmmeta=01K4TKXQX36SHGEZDVXP0TAJR5&amp;hash=item5a607c7b0e:g:EUkAAeSwEbJn581h
</t>
      </text>
    </comment>
    <comment authorId="292" xr:uid="{1c443449-77b5-43dc-8004-c6c8ccbbe724}" ref="J87">
      <text>
        <t xml:space="preserve">[Threaded comment]
 Your version of Excel allows you to read this threaded comment; however, any edits to it will get removed if the file is opened in a newer version of Excel. Learn more: https://go.microsoft.com/fwlink/?linkid=870924
Comment:
	https://drive.google.com/file/d/1sHcf_DOQZaDpI41DRFRzPXekn9RAbuQj/view?usp=drive_link
</t>
      </text>
    </comment>
    <comment authorId="293" xr:uid="{1c607090-134b-4214-86c7-d06ec64eed88}" ref="J631">
      <text>
        <t xml:space="preserve">[Threaded comment]
 Your version of Excel allows you to read this threaded comment; however, any edits to it will get removed if the file is opened in a newer version of Excel. Learn more: https://go.microsoft.com/fwlink/?linkid=870924
Comment:
	https://drive.google.com/file/d/1LLFjh32prYot_1oWnXsalUJtPlqK0077/view?usp=drive_link
</t>
      </text>
    </comment>
    <comment authorId="294" xr:uid="{1c823498-a8f3-4aaf-923e-b2f65590fe9d}" ref="J168">
      <text>
        <t xml:space="preserve">[Threaded comment]
 Your version of Excel allows you to read this threaded comment; however, any edits to it will get removed if the file is opened in a newer version of Excel. Learn more: https://go.microsoft.com/fwlink/?linkid=870924
Comment:
	https://drive.google.com/file/d/1tj6EEljpAewOkX_2eDvZo_YRV5U4ldA9/view?usp=drive_link
</t>
      </text>
    </comment>
    <comment authorId="295" xr:uid="{1c90285b-9938-4e28-a2c0-ec47be1d6686}" ref="J297">
      <text>
        <t xml:space="preserve">[Threaded comment]
 Your version of Excel allows you to read this threaded comment; however, any edits to it will get removed if the file is opened in a newer version of Excel. Learn more: https://go.microsoft.com/fwlink/?linkid=870924
Comment:
	https://drive.google.com/file/d/1cIUEVCG_ZKZBj6K7NoEvniApzLZFuYw4/view?usp=drive_link
</t>
      </text>
    </comment>
    <comment authorId="296" xr:uid="{1caebd96-8ba8-4153-9bff-991ec46d3d07}" ref="J649">
      <text>
        <t xml:space="preserve">[Threaded comment]
 Your version of Excel allows you to read this threaded comment; however, any edits to it will get removed if the file is opened in a newer version of Excel. Learn more: https://go.microsoft.com/fwlink/?linkid=870924
Comment:
	https://drive.google.com/file/d/1y-uewRr49Kxi279YPCGa1wYdUfNStlDR/view?usp=drive_link
</t>
      </text>
    </comment>
    <comment authorId="297" xr:uid="{1cd8579b-4103-44d6-92f1-9f388e9b1413}" ref="J120">
      <text>
        <t xml:space="preserve">[Threaded comment]
 Your version of Excel allows you to read this threaded comment; however, any edits to it will get removed if the file is opened in a newer version of Excel. Learn more: https://go.microsoft.com/fwlink/?linkid=870924
Comment:
	https://drive.google.com/file/d/1ojmYde3KXi4KviZUEZBHuVI6ZkHGx4vk/view?usp=drive_link
</t>
      </text>
    </comment>
    <comment authorId="298" xr:uid="{1cdf9fe5-d941-4448-8ca5-7e36d5c32220}" ref="K687">
      <text>
        <t xml:space="preserve">[Threaded comment]
 Your version of Excel allows you to read this threaded comment; however, any edits to it will get removed if the file is opened in a newer version of Excel. Learn more: https://go.microsoft.com/fwlink/?linkid=870924
Comment:
	https://drive.google.com/file/d/1EZdMvj2jn9XQnELWnhiYdhxH6dG-C4K2/view?usp=drive_link
Reply:
	https://drive.google.com/file/d/1nl6smh41_pFsgjRHA7gNJioNp3zh2Sf4/view?usp=drive_link
</t>
      </text>
    </comment>
    <comment authorId="299" xr:uid="{1ceed0ba-5fe2-4276-949d-c0d895ca9f70}" ref="W313">
      <text>
        <t xml:space="preserve">[Threaded comment]
 Your version of Excel allows you to read this threaded comment; however, any edits to it will get removed if the file is opened in a newer version of Excel. Learn more: https://go.microsoft.com/fwlink/?linkid=870924
Comment:
	https://drive.google.com/file/d/1XyWCGUx0i_hc2qcQOwCYSAKACd8S4bm1/view?usp=drive_link
</t>
      </text>
    </comment>
    <comment authorId="300" xr:uid="{1ceffbab-1ac9-4efd-8734-91f08e6b3dea}" ref="W330">
      <text>
        <t xml:space="preserve">[Threaded comment]
 Your version of Excel allows you to read this threaded comment; however, any edits to it will get removed if the file is opened in a newer version of Excel. Learn more: https://go.microsoft.com/fwlink/?linkid=870924
Comment:
	https://drive.google.com/file/d/1tc1JNVxxYgUJBTOEFo7mnPsu0s7DGplM/view?usp=drive_link
</t>
      </text>
    </comment>
    <comment authorId="301" xr:uid="{1d00e88b-a5d4-40f2-914e-ee2e2c220d7f}" ref="K707">
      <text>
        <t xml:space="preserve">[Threaded comment]
 Your version of Excel allows you to read this threaded comment; however, any edits to it will get removed if the file is opened in a newer version of Excel. Learn more: https://go.microsoft.com/fwlink/?linkid=870924
Comment:
	https://drive.google.com/file/d/1d04fe-AjTvU8-J6ez949Ybor0H9XUMIu/view?usp=drive_link
</t>
      </text>
    </comment>
    <comment authorId="302" xr:uid="{1d442513-6af2-405f-8dfb-894a7b7db453}" ref="K657">
      <text>
        <t xml:space="preserve">[Threaded comment]
 Your version of Excel allows you to read this threaded comment; however, any edits to it will get removed if the file is opened in a newer version of Excel. Learn more: https://go.microsoft.com/fwlink/?linkid=870924
Comment:
	https://drive.google.com/file/d/1tUfBF1sGTB_ctTM5CinHgEtzcqznO7ei/view?usp=drive_link
Reply:
	https://drive.google.com/file/d/1oJhSog7c1lHJ-74gyIxK__Ru-poOuh3U/view?usp=drive_link
</t>
      </text>
    </comment>
    <comment authorId="303" xr:uid="{1d494b59-f652-4c09-9583-33b9b2d83228}" ref="L195">
      <text>
        <t xml:space="preserve">[Threaded comment]
 Your version of Excel allows you to read this threaded comment; however, any edits to it will get removed if the file is opened in a newer version of Excel. Learn more: https://go.microsoft.com/fwlink/?linkid=870924
Comment:
	https://drive.google.com/file/d/13hw8Y6fIj6TkHXbGObRIGEIwUuaFi8rN/view?usp=drive_link
</t>
      </text>
    </comment>
    <comment authorId="304" xr:uid="{1dc3773d-03dd-4c8a-9636-dba371b0f332}" ref="AF629">
      <text>
        <t xml:space="preserve">[Threaded comment]
 Your version of Excel allows you to read this threaded comment; however, any edits to it will get removed if the file is opened in a newer version of Excel. Learn more: https://go.microsoft.com/fwlink/?linkid=870924
Comment:
	venta final,excedentes, fixit
</t>
      </text>
    </comment>
    <comment authorId="305" xr:uid="{1de6eec4-842f-433d-93f1-86c811265017}" ref="C534">
      <text>
        <t xml:space="preserve">[Threaded comment]
 Your version of Excel allows you to read this threaded comment; however, any edits to it will get removed if the file is opened in a newer version of Excel. Learn more: https://go.microsoft.com/fwlink/?linkid=870924
Comment:
	https://www.ebay.es/itm/326655425561
Reply:
	https://www.ebay.com/itm/326655425561
</t>
      </text>
    </comment>
    <comment authorId="306" xr:uid="{1e21bce2-29dd-4853-93d2-ea269d8ab951}" ref="T227">
      <text>
        <t xml:space="preserve">[Threaded comment]
 Your version of Excel allows you to read this threaded comment; however, any edits to it will get removed if the file is opened in a newer version of Excel. Learn more: https://go.microsoft.com/fwlink/?linkid=870924
Comment:
	mouse + 2 audifonos + 2 soportes
</t>
      </text>
    </comment>
    <comment authorId="307" xr:uid="{1e284e2f-bc6c-4622-bab4-9df68b270fe7}" ref="AF287">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308" xr:uid="{1e45428e-0f35-446a-9cd8-dd140ef79564}" ref="K474">
      <text>
        <t xml:space="preserve">[Threaded comment]
 Your version of Excel allows you to read this threaded comment; however, any edits to it will get removed if the file is opened in a newer version of Excel. Learn more: https://go.microsoft.com/fwlink/?linkid=870924
Comment:
	https://drive.google.com/file/d/1nL-6LGp2Gm8b1G34xE_UfLlHKoQU_Xfo/view?usp=drive_link
</t>
      </text>
    </comment>
    <comment authorId="309" xr:uid="{1e6460d2-d773-4f28-81a7-b22044cfa8d6}" ref="J806">
      <text>
        <t xml:space="preserve">[Threaded comment]
 Your version of Excel allows you to read this threaded comment; however, any edits to it will get removed if the file is opened in a newer version of Excel. Learn more: https://go.microsoft.com/fwlink/?linkid=870924
Comment:
	https://drive.google.com/file/d/1-sRZLM4hUKR7r3id521oMWopDFODW7C7/view?usp=drive_link
</t>
      </text>
    </comment>
    <comment authorId="310" xr:uid="{1e6e9665-1d7a-456c-aa16-632f0fc3f4c9}" ref="K337">
      <text>
        <t xml:space="preserve">[Threaded comment]
 Your version of Excel allows you to read this threaded comment; however, any edits to it will get removed if the file is opened in a newer version of Excel. Learn more: https://go.microsoft.com/fwlink/?linkid=870924
Comment:
	https://drive.google.com/file/d/1JK0RGt8AjXDsvSMiq5yMKShJrTsC1SFo/view?usp=drive_link
</t>
      </text>
    </comment>
    <comment authorId="311" xr:uid="{1e909849-4a08-4374-9cf6-6daf648864b5}" ref="C640">
      <text>
        <t xml:space="preserve">[Threaded comment]
 Your version of Excel allows you to read this threaded comment; however, any edits to it will get removed if the file is opened in a newer version of Excel. Learn more: https://go.microsoft.com/fwlink/?linkid=870924
Comment:
	https://shop.asus.com/us/rog/90nr0jy1-m001l0-rog-flow-z13-2025.html?config=90NR0JY1-M001L0
</t>
      </text>
    </comment>
    <comment authorId="312" xr:uid="{1e9a027c-325b-45fb-95b6-8cbead258742}" ref="J678">
      <text>
        <t xml:space="preserve">[Threaded comment]
 Your version of Excel allows you to read this threaded comment; however, any edits to it will get removed if the file is opened in a newer version of Excel. Learn more: https://go.microsoft.com/fwlink/?linkid=870924
Comment:
	https://drive.google.com/file/d/17kVNvKdIBoiFlEsLvh2-4wSASwesIapK/view?usp=drive_link
</t>
      </text>
    </comment>
    <comment authorId="313" xr:uid="{1ea0fa58-83d9-4d6c-acfa-00973fe05b32}" ref="K489">
      <text>
        <t xml:space="preserve">[Threaded comment]
 Your version of Excel allows you to read this threaded comment; however, any edits to it will get removed if the file is opened in a newer version of Excel. Learn more: https://go.microsoft.com/fwlink/?linkid=870924
Comment:
	lo terminó de pagar junto a la laptop arriba
</t>
      </text>
    </comment>
    <comment authorId="314" xr:uid="{1eb98c3c-3b64-481c-abe0-16384a002733}" ref="F204">
      <text>
        <t xml:space="preserve">[Threaded comment]
 Your version of Excel allows you to read this threaded comment; however, any edits to it will get removed if the file is opened in a newer version of Excel. Learn more: https://go.microsoft.com/fwlink/?linkid=870924
Comment:
	se cambio
</t>
      </text>
    </comment>
    <comment authorId="315" xr:uid="{1ec978f7-9753-4955-b92a-c6f59298ded8}" ref="C390">
      <text>
        <t xml:space="preserve">[Threaded comment]
 Your version of Excel allows you to read this threaded comment; however, any edits to it will get removed if the file is opened in a newer version of Excel. Learn more: https://go.microsoft.com/fwlink/?linkid=870924
Comment:
	https://www.ebay.com/itm/326796273689?_skw=asus+g16&amp;itmmeta=01KBK4C7X9E24ZS495XBG17RBN&amp;hash=item4c16936819:g:-0IAAeSws35pMLPf&amp;itmprp=enc%3AAQAKAAAA4FkggFvd1GGDu0w3yXCmi1cti4YVk1x35j%2F1Kc78s8x5HQPK9uGWVDfyP3Q%2B1tkC7Eah%2Br50PXN%2Ff9JoPN7qJPNTi5V7SiG5%2Fu1gI6DimOQMBziF9a29%2FA7kNFBwZ3EVODaBIfSek3QPAjmGoP2sIXPiaTzzL6RElHBSTIJSF7RJfNbeuu33R%2BI2JvJxzrJxSgpxXz7%2B26uGK1brb%2BNSReYJk3sJYkbPZQJO%2BWoJgMRDJ6i4nmaFBFiFqLa3oDL9fBFUz8E%2BlWYAWnwZBvdWT1VT31zJ4Alt5erFSb9SYXZv%7Ctkp%3ABk9SR-b-sOTcZg
</t>
      </text>
    </comment>
    <comment authorId="316" xr:uid="{1ecc8c8a-dd59-4ca9-866a-5b62357f9f06}" ref="W304">
      <text>
        <t xml:space="preserve">[Threaded comment]
 Your version of Excel allows you to read this threaded comment; however, any edits to it will get removed if the file is opened in a newer version of Excel. Learn more: https://go.microsoft.com/fwlink/?linkid=870924
Comment:
	https://drive.google.com/file/d/18anC0To20hbU_1rkPKUVrxkjktd7pTrS/view?usp=drive_link
</t>
      </text>
    </comment>
    <comment authorId="317" xr:uid="{1f2fed3e-328f-4c6f-89ac-f926c5cb28a2}" ref="D409">
      <text>
        <t xml:space="preserve">[Threaded comment]
 Your version of Excel allows you to read this threaded comment; however, any edits to it will get removed if the file is opened in a newer version of Excel. Learn more: https://go.microsoft.com/fwlink/?linkid=870924
Comment:
	Mombres : Marco Antonio Mendez Zegarra
DNI : 48368409
Numero : 946079444
Correo : yuzuketz@gmail.com
</t>
      </text>
    </comment>
    <comment authorId="318" xr:uid="{1f33418e-2734-4ae8-a82a-2228e8355376}" ref="L23">
      <text>
        <t xml:space="preserve">[Threaded comment]
 Your version of Excel allows you to read this threaded comment; however, any edits to it will get removed if the file is opened in a newer version of Excel. Learn more: https://go.microsoft.com/fwlink/?linkid=870924
Comment:
	https://drive.google.com/file/d/134JEwTNvOXkloaaG2sQ8rgXz86P5ck-A/view?usp=drive_link
</t>
      </text>
    </comment>
    <comment authorId="319" xr:uid="{1f48a6de-f873-45f6-a958-856736965426}" ref="K613">
      <text>
        <t xml:space="preserve">[Threaded comment]
 Your version of Excel allows you to read this threaded comment; however, any edits to it will get removed if the file is opened in a newer version of Excel. Learn more: https://go.microsoft.com/fwlink/?linkid=870924
Comment:
	https://drive.google.com/file/d/15x0pLXmAA3lVqpNRBWullMbc2w9yr_wV/view?usp=drive_link
</t>
      </text>
    </comment>
    <comment authorId="320" xr:uid="{1f533a2a-1665-4810-8196-86b084c2398d}" ref="W297">
      <text>
        <t xml:space="preserve">[Threaded comment]
 Your version of Excel allows you to read this threaded comment; however, any edits to it will get removed if the file is opened in a newer version of Excel. Learn more: https://go.microsoft.com/fwlink/?linkid=870924
Comment:
	https://drive.google.com/file/d/1o9ukr1TpSgFBwGOrY9VqnKuMapPUlzqx/view?usp=drive_link
</t>
      </text>
    </comment>
    <comment authorId="321" xr:uid="{1f598c8e-c21d-4d25-9d1f-6674a69097c2}" ref="W123">
      <text>
        <t xml:space="preserve">[Threaded comment]
 Your version of Excel allows you to read this threaded comment; however, any edits to it will get removed if the file is opened in a newer version of Excel. Learn more: https://go.microsoft.com/fwlink/?linkid=870924
Comment:
	https://drive.google.com/file/d/1yh8d7i0XWnHCn9i3DGuWWPQ1qzS7c1NW/view?usp=drive_link
</t>
      </text>
    </comment>
    <comment authorId="322" xr:uid="{1f5f8cb3-470a-470c-b0dc-4754ae18b5b4}" ref="C649">
      <text>
        <t xml:space="preserve">[Threaded comment]
 Your version of Excel allows you to read this threaded comment; however, any edits to it will get removed if the file is opened in a newer version of Excel. Learn more: https://go.microsoft.com/fwlink/?linkid=870924
Comment:
	https://www.ebay.com/itm/197468116655
</t>
      </text>
    </comment>
    <comment authorId="323" xr:uid="{1f7ecabb-e5f0-423a-a551-843b83af8e49}" ref="J301">
      <text>
        <t xml:space="preserve">[Threaded comment]
 Your version of Excel allows you to read this threaded comment; however, any edits to it will get removed if the file is opened in a newer version of Excel. Learn more: https://go.microsoft.com/fwlink/?linkid=870924
Comment:
	https://drive.google.com/file/d/1mBc5QP_kHa14TBUkoUdf5qikXTDebiHv/view?usp=drive_link
</t>
      </text>
    </comment>
    <comment authorId="324" xr:uid="{1f813565-4143-4ca8-934e-756b657619ae}" ref="W165">
      <text>
        <t xml:space="preserve">[Threaded comment]
 Your version of Excel allows you to read this threaded comment; however, any edits to it will get removed if the file is opened in a newer version of Excel. Learn more: https://go.microsoft.com/fwlink/?linkid=870924
Comment:
	https://drive.google.com/file/d/1zHSLgodQVOn-0_i7tnH3NqgSAhmOaNnr/view?usp=drive_link
</t>
      </text>
    </comment>
    <comment authorId="325" xr:uid="{1f93a40e-948f-47d3-8250-57a7ffea82b1}" ref="K502">
      <text>
        <t xml:space="preserve">[Threaded comment]
 Your version of Excel allows you to read this threaded comment; however, any edits to it will get removed if the file is opened in a newer version of Excel. Learn more: https://go.microsoft.com/fwlink/?linkid=870924
Comment:
	https://drive.google.com/file/d/1VYI8NFnShkY8N3G_-nIc5QQo-iHNqQz9/view?usp=drive_link
</t>
      </text>
    </comment>
    <comment authorId="326" xr:uid="{1f9cb8ea-8d9f-4504-a9ba-b46691a9989e}" ref="J700">
      <text>
        <t xml:space="preserve">[Threaded comment]
 Your version of Excel allows you to read this threaded comment; however, any edits to it will get removed if the file is opened in a newer version of Excel. Learn more: https://go.microsoft.com/fwlink/?linkid=870924
Comment:
	https://drive.google.com/file/d/13GTBeELxgqKnJAcW603W_CtjlKgRuBoZ/view?usp=drive_link
</t>
      </text>
    </comment>
    <comment authorId="327" xr:uid="{1fb47a21-5a3f-4da8-b5ea-e625545fca67}" ref="J29">
      <text>
        <t xml:space="preserve">[Threaded comment]
 Your version of Excel allows you to read this threaded comment; however, any edits to it will get removed if the file is opened in a newer version of Excel. Learn more: https://go.microsoft.com/fwlink/?linkid=870924
Comment:
	https://drive.google.com/file/d/1hRNQq8CFCaYUzpdfRjaloAK4d8TfqphC/view?usp=drive_link
</t>
      </text>
    </comment>
    <comment authorId="328" xr:uid="{1fbc5499-96dd-4cf1-8eea-f8e29af356ce}" ref="J647">
      <text>
        <t xml:space="preserve">[Threaded comment]
 Your version of Excel allows you to read this threaded comment; however, any edits to it will get removed if the file is opened in a newer version of Excel. Learn more: https://go.microsoft.com/fwlink/?linkid=870924
Comment:
	https://drive.google.com/file/d/1K0xZzX60gFyZwiemD2NUVtOOw2EJIzLY/view?usp=drive_link
</t>
      </text>
    </comment>
    <comment authorId="329" xr:uid="{1fd97d16-b8e6-4e86-a553-8c501b903c0d}" ref="C505">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https://www.lenovo.com/us/en/p/laptops/legion-laptops/legion-pro-series/legion-pro-5-gen-10-16-inch-amd/83f20026us#tech_specs
</t>
      </text>
    </comment>
    <comment authorId="330" xr:uid="{1fe4e5eb-d6e8-4ad0-a187-b8cb0b4196e9}" ref="K362">
      <text>
        <t xml:space="preserve">[Threaded comment]
 Your version of Excel allows you to read this threaded comment; however, any edits to it will get removed if the file is opened in a newer version of Excel. Learn more: https://go.microsoft.com/fwlink/?linkid=870924
Comment:
	https://drive.google.com/file/d/12umc5arDAx9TXzkaI9_2y1TYrW6nOExx/view?usp=drive_link
</t>
      </text>
    </comment>
    <comment authorId="331" xr:uid="{1ff69423-aaa6-4bea-8797-206649d2ec99}" ref="J63">
      <text>
        <t xml:space="preserve">[Threaded comment]
 Your version of Excel allows you to read this threaded comment; however, any edits to it will get removed if the file is opened in a newer version of Excel. Learn more: https://go.microsoft.com/fwlink/?linkid=870924
Comment:
	https://drive.google.com/file/d/1AB8DVmyJEDm-Zt61J0A1vXJtK200Fa9L/view?usp=drive_link
</t>
      </text>
    </comment>
    <comment authorId="332" xr:uid="{20063c75-d6e9-483b-8053-7597ae892c5c}" ref="J725">
      <text>
        <t xml:space="preserve">[Threaded comment]
 Your version of Excel allows you to read this threaded comment; however, any edits to it will get removed if the file is opened in a newer version of Excel. Learn more: https://go.microsoft.com/fwlink/?linkid=870924
Comment:
	https://drive.google.com/file/d/1WiLkaFIXgWmGIY7q5MncYH30mBQ30DLS/view?usp=drive_link
</t>
      </text>
    </comment>
    <comment authorId="333" xr:uid="{2015285f-71f5-4699-9c81-607582c85873}" ref="F479">
      <text>
        <t xml:space="preserve">[Threaded comment]
 Your version of Excel allows you to read this threaded comment; however, any edits to it will get removed if the file is opened in a newer version of Excel. Learn more: https://go.microsoft.com/fwlink/?linkid=870924
Comment:
	Procesando orden
</t>
      </text>
    </comment>
    <comment authorId="334" xr:uid="{20346789-ddb1-4a58-a31c-4fd52d100650}" ref="C355">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335" xr:uid="{20447a67-ba6e-4a39-8043-92e27e0909ea}" ref="AF227">
      <text>
        <t xml:space="preserve">[Threaded comment]
 Your version of Excel allows you to read this threaded comment; however, any edits to it will get removed if the file is opened in a newer version of Excel. Learn more: https://go.microsoft.com/fwlink/?linkid=870924
Comment:
	Fixis
</t>
      </text>
    </comment>
    <comment authorId="336" xr:uid="{206c4533-b6a3-4429-800e-9ca426c81384}" ref="D269">
      <text>
        <t xml:space="preserve">[Threaded comment]
 Your version of Excel allows you to read this threaded comment; however, any edits to it will get removed if the file is opened in a newer version of Excel. Learn more: https://go.microsoft.com/fwlink/?linkid=870924
Comment:
	Christian Gabriel Velasquez Canessa
73614155
928680944
Bakuryumimo@gmail.com
</t>
      </text>
    </comment>
    <comment authorId="337" xr:uid="{208a42aa-c3fb-4334-90f1-4aebbbeb964c}" ref="K654">
      <text>
        <t xml:space="preserve">[Threaded comment]
 Your version of Excel allows you to read this threaded comment; however, any edits to it will get removed if the file is opened in a newer version of Excel. Learn more: https://go.microsoft.com/fwlink/?linkid=870924
Comment:
	https://drive.google.com/file/d/1FqrM2m0PLF2sRCY-potxd3As3HfNF6-I/view?usp=drive_link
</t>
      </text>
    </comment>
    <comment authorId="338" xr:uid="{208f4d46-7121-400a-8209-663ae24b8aaa}" ref="F685">
      <text>
        <t xml:space="preserve">[Threaded comment]
 Your version of Excel allows you to read this threaded comment; however, any edits to it will get removed if the file is opened in a newer version of Excel. Learn more: https://go.microsoft.com/fwlink/?linkid=870924
Comment:
	Reservado
</t>
      </text>
    </comment>
    <comment authorId="339" xr:uid="{20a2c429-db70-4b59-9344-f10aa13e7825}" ref="K310">
      <text>
        <t xml:space="preserve">[Threaded comment]
 Your version of Excel allows you to read this threaded comment; however, any edits to it will get removed if the file is opened in a newer version of Excel. Learn more: https://go.microsoft.com/fwlink/?linkid=870924
Comment:
	https://drive.google.com/file/d/1LVnh4PvZM8tj9FiPSF-7bqZ0atmACaXJ/view?usp=drive_link
</t>
      </text>
    </comment>
    <comment authorId="340" xr:uid="{20d3778a-3dbe-40c0-b135-cfeffb3cd090}" ref="C73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341" xr:uid="{20d586b5-5e2e-4c82-b80d-22b41cb973ee}" ref="K409">
      <text>
        <t xml:space="preserve">[Threaded comment]
 Your version of Excel allows you to read this threaded comment; however, any edits to it will get removed if the file is opened in a newer version of Excel. Learn more: https://go.microsoft.com/fwlink/?linkid=870924
Comment:
	https://drive.google.com/file/d/1pO6b1I9F6pA924-p0k2Bm5MpcMXICbW-/view?usp=drive_link
</t>
      </text>
    </comment>
    <comment authorId="342" xr:uid="{2103f893-eab1-424b-8bee-23e55c3ea18a}" ref="C479">
      <text>
        <t xml:space="preserve">[Threaded comment]
 Your version of Excel allows you to read this threaded comment; however, any edits to it will get removed if the file is opened in a newer version of Excel. Learn more: https://go.microsoft.com/fwlink/?linkid=870924
Comment:
	https://www.google.com/url?q=https://us-store.msi.com/Laptops/Gaming-Series/Vector-16-HX-AI-A2XWIG-420US&amp;sa=D&amp;source=editors&amp;ust=1768236322372991&amp;usg=AOvVaw1t4D9yPsgYK7CnwuXaEndT
</t>
      </text>
    </comment>
    <comment authorId="343" xr:uid="{211bf0d3-a584-42a3-8c24-f51c5dfef01b}" ref="C69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344" xr:uid="{2130e974-2c9d-492f-a44f-aea5e7376796}" ref="J788">
      <text>
        <t xml:space="preserve">[Threaded comment]
 Your version of Excel allows you to read this threaded comment; however, any edits to it will get removed if the file is opened in a newer version of Excel. Learn more: https://go.microsoft.com/fwlink/?linkid=870924
Comment:
	https://drive.google.com/file/d/13lzc7_zhjaM7_IF_C3JAzZxDmG6Dz6OK/view?usp=drive_link
</t>
      </text>
    </comment>
    <comment authorId="345" xr:uid="{213a027b-92ef-40e9-8e46-2264a3883577}" ref="K689">
      <text>
        <t xml:space="preserve">[Threaded comment]
 Your version of Excel allows you to read this threaded comment; however, any edits to it will get removed if the file is opened in a newer version of Excel. Learn more: https://go.microsoft.com/fwlink/?linkid=870924
Comment:
	https://drive.google.com/file/d/1ic37gA9mfePtQgT6ldhZnG7jLUmF9iY2/view?usp=drive_link
Reply:
	https://drive.google.com/file/d/1Q9it4IVyar53znszV1aAaixb39uCDMdl/view?usp=drive_link
</t>
      </text>
    </comment>
    <comment authorId="346" xr:uid="{2174cd15-c520-49dd-a60d-cdb835d1903c}" ref="J671">
      <text>
        <t xml:space="preserve">[Threaded comment]
 Your version of Excel allows you to read this threaded comment; however, any edits to it will get removed if the file is opened in a newer version of Excel. Learn more: https://go.microsoft.com/fwlink/?linkid=870924
Comment:
	https://drive.google.com/file/d/1uKCJTh45dysgnaoOt_CYQuE-G6GnBCd7/view?usp=drive_link
</t>
      </text>
    </comment>
    <comment authorId="347" xr:uid="{2181be49-2a95-45a6-b579-c18394848006}" ref="AI736">
      <text>
        <t xml:space="preserve">[Threaded comment]
 Your version of Excel allows you to read this threaded comment; however, any edits to it will get removed if the file is opened in a newer version of Excel. Learn more: https://go.microsoft.com/fwlink/?linkid=870924
Comment:
	https://drive.google.com/file/d/1GEC6ehYhYljtE2zDAhc4j4oX_qHhWigc/view?usp=drive_link
</t>
      </text>
    </comment>
    <comment authorId="348" xr:uid="{21b30284-e946-44a5-b99c-06b9df2664a0}" ref="J42">
      <text>
        <t xml:space="preserve">[Threaded comment]
 Your version of Excel allows you to read this threaded comment; however, any edits to it will get removed if the file is opened in a newer version of Excel. Learn more: https://go.microsoft.com/fwlink/?linkid=870924
Comment:
	https://drive.google.com/file/d/1ocXCTXeZHKE76Dk_n_1PJy5rqFE7Jt-a/view?usp=drive_link
</t>
      </text>
    </comment>
    <comment authorId="349" xr:uid="{21c1b7a5-10b9-4735-9a1e-e0a755cb1fcb}" ref="K390">
      <text>
        <t xml:space="preserve">[Threaded comment]
 Your version of Excel allows you to read this threaded comment; however, any edits to it will get removed if the file is opened in a newer version of Excel. Learn more: https://go.microsoft.com/fwlink/?linkid=870924
Comment:
	https://drive.google.com/file/d/1vLwbMaX0DGAn45KON7hbhUqfbQ98QwlH/view?usp=drive_link
</t>
      </text>
    </comment>
    <comment authorId="350" xr:uid="{21ecfaf2-871a-419f-9bd8-cb56b7b63edb}" ref="J446">
      <text>
        <t xml:space="preserve">[Threaded comment]
 Your version of Excel allows you to read this threaded comment; however, any edits to it will get removed if the file is opened in a newer version of Excel. Learn more: https://go.microsoft.com/fwlink/?linkid=870924
Comment:
	https://drive.google.com/file/d/1tGoi_rnBJTCQznVUbhROuBceYd5DYuK4/view?usp=drive_link
</t>
      </text>
    </comment>
    <comment authorId="351" xr:uid="{21f3e3ad-caac-4690-81cb-e055933eba55}" ref="K412">
      <text>
        <t xml:space="preserve">[Threaded comment]
 Your version of Excel allows you to read this threaded comment; however, any edits to it will get removed if the file is opened in a newer version of Excel. Learn more: https://go.microsoft.com/fwlink/?linkid=870924
Comment:
	https://drive.google.com/file/d/1LMuS-dv2JzZa0CYPjgealNBCLxIKYsC_/view?usp=drive_link
Reply:
	https://drive.google.com/file/d/1mReLzBaxYszfdX3Z2H0KdwSLRhoApcx5/view?usp=drive_link
</t>
      </text>
    </comment>
    <comment authorId="352" xr:uid="{21ff70d2-5a3f-40f8-9530-bdf02d59272a}" ref="J408">
      <text>
        <t xml:space="preserve">[Threaded comment]
 Your version of Excel allows you to read this threaded comment; however, any edits to it will get removed if the file is opened in a newer version of Excel. Learn more: https://go.microsoft.com/fwlink/?linkid=870924
Comment:
	https://drive.google.com/file/d/14q_NUZOo92KB7tcZkPkT8NrrodA8HADo/view?usp=drive_link
</t>
      </text>
    </comment>
    <comment authorId="353" xr:uid="{22071e4e-746a-4b6a-b7e7-681fc57cbc74}" ref="J164">
      <text>
        <t xml:space="preserve">[Threaded comment]
 Your version of Excel allows you to read this threaded comment; however, any edits to it will get removed if the file is opened in a newer version of Excel. Learn more: https://go.microsoft.com/fwlink/?linkid=870924
Comment:
	https://drive.google.com/file/d/1Oi1YkcZdt2dc83oTf-oMWdNthEnkN97T/view?usp=drive_link
</t>
      </text>
    </comment>
    <comment authorId="354" xr:uid="{223404f8-dbb7-454c-a00a-9b896abd53ad}" ref="J777">
      <text>
        <t xml:space="preserve">[Threaded comment]
 Your version of Excel allows you to read this threaded comment; however, any edits to it will get removed if the file is opened in a newer version of Excel. Learn more: https://go.microsoft.com/fwlink/?linkid=870924
Comment:
	https://drive.google.com/file/d/1TmjT2sQwNJByO84MLx2Yj_8dRWmBPmfb/view?usp=drive_link
Reply:
	https://drive.google.com/file/d/1RM7G39KRM1Yc2K9_ffzqzfz5k-wRGk8D/view?usp=drive_link
</t>
      </text>
    </comment>
    <comment authorId="355" xr:uid="{22343445-fb35-4f51-862c-1924cd77a983}" ref="D569">
      <text>
        <t xml:space="preserve">[Threaded comment]
 Your version of Excel allows you to read this threaded comment; however, any edits to it will get removed if the file is opened in a newer version of Excel. Learn more: https://go.microsoft.com/fwlink/?linkid=870924
Comment:
	Perez Romero Axhel Rose Treicy
70743624
935291423
Axhelrosetreicyperezromero@gmail.com
</t>
      </text>
    </comment>
    <comment authorId="356" xr:uid="{2242e6a7-122e-4450-8f0d-52cd2f9160cc}" ref="J764">
      <text>
        <t xml:space="preserve">[Threaded comment]
 Your version of Excel allows you to read this threaded comment; however, any edits to it will get removed if the file is opened in a newer version of Excel. Learn more: https://go.microsoft.com/fwlink/?linkid=870924
Comment:
	https://drive.google.com/file/d/1CgpB5iHYcA2n3FxbNcc8w5rk1LU4MhZX/view?usp=drive_link
</t>
      </text>
    </comment>
    <comment authorId="357" xr:uid="{2246a756-fa00-41f4-91e9-9f7a5e1c8a4e}" ref="C515">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358" xr:uid="{2273c901-5ab8-4086-8f5d-1d9d692e1ae0}" ref="C759">
      <text>
        <t xml:space="preserve">[Threaded comment]
 Your version of Excel allows you to read this threaded comment; however, any edits to it will get removed if the file is opened in a newer version of Excel. Learn more: https://go.microsoft.com/fwlink/?linkid=870924
Comment:
	https://shop.asus.com/us/30939-us-cnf-auto.html?config=90NR0KJ1-M00020
</t>
      </text>
    </comment>
    <comment authorId="359" xr:uid="{22cb3a55-d26c-43bf-9ee4-3ecc5e2e0678}" ref="C325">
      <text>
        <t xml:space="preserve">[Threaded comment]
 Your version of Excel allows you to read this threaded comment; however, any edits to it will get removed if the file is opened in a newer version of Excel. Learn more: https://go.microsoft.com/fwlink/?linkid=870924
Comment:
	https://www.amazon.com/-/es/Gaming-Laptop-juegos-pantalla-165Hz/dp/B0F1BWFMWN/ref=sr_1_15?__mk_es_US=%C3%85M%C3%85%C5%BD%C3%95%C3%91&amp;crid=KGAUTTN1T7Q0&amp;dib=eyJ2IjoiMSJ9._WIT-iaRjNIL2g36c9_f5q1zoUsd8quQEUoMatfCQz-Fh-38oZGUDVqtop-WHZ2zOqYGyYOSStBN1evJE7llFN8As3Ghtel1hy8RcdpUDDfINj0esTEampEh4T43H0jSS86Vl7Ky1QYbAzvjGTqca0PNzKXf_s1_6yWLfQs44UHVOigOy-kYsUKxRQhGjaN1yhycKDn2Eqe1rIpRwvYagpyedPs5Dcftooxw2UfA_Hs._nkoVuLmEsAG5yFEtCuWY84S66jIPgK8gJMlul0M7DU&amp;dib_tag=se&amp;keywords=laptop+gaming&amp;qid=1763451031&amp;refinements=p_n_deal_type%3A23566065011&amp;rnid=23566063011&amp;sprefix=laptop+gamin%2Caps%2C316&amp;sr=8-15
</t>
      </text>
    </comment>
    <comment authorId="360" xr:uid="{22e18b83-0171-41ce-a047-0b6371d37c95}" ref="W347">
      <text>
        <t xml:space="preserve">[Threaded comment]
 Your version of Excel allows you to read this threaded comment; however, any edits to it will get removed if the file is opened in a newer version of Excel. Learn more: https://go.microsoft.com/fwlink/?linkid=870924
Comment:
	https://drive.google.com/file/d/1xuhXoMvgh7wjp_rl8ySX7XVhd9hijiGU/view?usp=drive_link
</t>
      </text>
    </comment>
    <comment authorId="361" xr:uid="{22ef71a7-e6fa-41ca-87f3-64950f85b44e}" ref="C63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
</t>
      </text>
    </comment>
    <comment authorId="362" xr:uid="{22f99d23-d96d-4115-ac29-d8aa24d796b0}" ref="C31">
      <text>
        <t xml:space="preserve">[Threaded comment]
 Your version of Excel allows you to read this threaded comment; however, any edits to it will get removed if the file is opened in a newer version of Excel. Learn more: https://go.microsoft.com/fwlink/?linkid=870924
Comment:
	https://www.amazon.com/-/es/Procesador-i9-13900H-port%C3%A1til-Pantalla-pulgadas/dp/B0D8JXHZTH/ref=sr_1_3?__mk_es_US=%C3%85M%C3%85%C5%BD%C3%95%C3%91&amp;crid=2RVMSLBIWSWPB&amp;dib=eyJ2IjoiMSJ9.MF9TL9Mr8pg8Wg7oNPukERytcUe0A86mioCRjx-pPb8knvx2m9FQZBQgtqtZmNBpwUAy3aNslHepVWVjSu1_aAX5W-M2IyUayr5i36eVnMJsPeuX2T9GNzRhQI5FsVcCLe6U6L_kB70lqpfIwol9cyb4w6Q0lkdztNVT2S2i7p8z16_kQjNxCljtbFWDAKw9MHhajh48WsBeaOyXe3vjdzvwUIFkd6tp7cCv78SOyY0.1zWcldI2l0Nf7QkaqwMtm9KIt9xmj8F96gTUK04_wnM&amp;dib_tag=se&amp;keywords=acer%2B4060&amp;qid=1745448413&amp;sprefix=acer%2B4060%2Caps%2C208&amp;sr=8-3&amp;th=1
</t>
      </text>
    </comment>
    <comment authorId="363" xr:uid="{23a7c228-d5fb-4454-8826-946d4293e4a3}" ref="K458">
      <text>
        <t xml:space="preserve">[Threaded comment]
 Your version of Excel allows you to read this threaded comment; however, any edits to it will get removed if the file is opened in a newer version of Excel. Learn more: https://go.microsoft.com/fwlink/?linkid=870924
Comment:
	https://drive.google.com/file/d/1UBfZPnPorPLjeADTTit1xffVwlRCp0G5/view?usp=drive_link
</t>
      </text>
    </comment>
    <comment authorId="364" xr:uid="{23cfdff5-61da-4130-9574-9dc4f29f93c9}" ref="L254">
      <text>
        <t xml:space="preserve">[Threaded comment]
 Your version of Excel allows you to read this threaded comment; however, any edits to it will get removed if the file is opened in a newer version of Excel. Learn more: https://go.microsoft.com/fwlink/?linkid=870924
Comment:
	https://drive.google.com/file/d/10sCRKBfB75Ot5qfqXxWH_BbCyp3XSzjf/view?usp=drive_link
Reply:
	https://drive.google.com/file/d/1IeQgFs5Iwq_Ihn4FLT_APA0ajlQmihQN/view?usp=drive_link
Reply:
	https://drive.google.com/file/d/1epKdjEPO8xJYJ8nSNovu6pKMUnrWNZzj/view?usp=drive_link
Reply:
	https://drive.google.com/file/d/15KgN4hGfip7nfpOdzxf2URHbDeSlk8Ik/view?usp=drive_link
Reply:
	https://drive.google.com/file/d/1JCEv8eeuTauIRMC8FsEiElfPr6JU0cr0/view?usp=drive_link
</t>
      </text>
    </comment>
    <comment authorId="365" xr:uid="{23e70926-4cf3-4109-987b-61c3e8b5376a}" ref="J651">
      <text>
        <t xml:space="preserve">[Threaded comment]
 Your version of Excel allows you to read this threaded comment; however, any edits to it will get removed if the file is opened in a newer version of Excel. Learn more: https://go.microsoft.com/fwlink/?linkid=870924
Comment:
	https://drive.google.com/file/d/1sENsOo5B5GSzSlP134NJ4RnKH6d4BREM/view?usp=drive_link 500
https://drive.google.com/file/d/18zyd6FuNkOv8nlDdsOe2uWlsmtvspmwT/view?usp=drive_link 500
https://drive.google.com/file/d/12RLzbb6_upQF3-gKohkrxfzgRZov2-lk/view?usp=drive_link 119.80
</t>
      </text>
    </comment>
    <comment authorId="366" xr:uid="{240457e4-0465-4e44-b1b1-dc9132ea3f9d}" ref="C810">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
</t>
      </text>
    </comment>
    <comment authorId="367" xr:uid="{240f7622-6994-4429-a6d7-781947ae1122}" ref="K381">
      <text>
        <t xml:space="preserve">[Threaded comment]
 Your version of Excel allows you to read this threaded comment; however, any edits to it will get removed if the file is opened in a newer version of Excel. Learn more: https://go.microsoft.com/fwlink/?linkid=870924
Comment:
	https://drive.google.com/file/d/1VK-_ZRlrwrfrrqqXDebUI-E2zNLz_i7X/view?usp=drive_link
</t>
      </text>
    </comment>
    <comment authorId="368" xr:uid="{24154df6-48e6-408a-9751-72aaae4f6193}" ref="AF488">
      <text>
        <t xml:space="preserve">[Threaded comment]
 Your version of Excel allows you to read this threaded comment; however, any edits to it will get removed if the file is opened in a newer version of Excel. Learn more: https://go.microsoft.com/fwlink/?linkid=870924
Comment:
	FIXIT, excedentes
</t>
      </text>
    </comment>
    <comment authorId="369" xr:uid="{244ed047-4764-4d2a-b08a-4b0e8aff6827}" ref="J495">
      <text>
        <t xml:space="preserve">[Threaded comment]
 Your version of Excel allows you to read this threaded comment; however, any edits to it will get removed if the file is opened in a newer version of Excel. Learn more: https://go.microsoft.com/fwlink/?linkid=870924
Comment:
	https://drive.google.com/file/d/1uSNLhaGk9RmQrE6bPxiZ67Czlp7b4Ju1/view?usp=drive_link
</t>
      </text>
    </comment>
    <comment authorId="370" xr:uid="{244ee6c5-8028-4608-b361-b34f56671274}" ref="L69">
      <text>
        <t xml:space="preserve">[Threaded comment]
 Your version of Excel allows you to read this threaded comment; however, any edits to it will get removed if the file is opened in a newer version of Excel. Learn more: https://go.microsoft.com/fwlink/?linkid=870924
Comment:
	https://drive.google.com/file/d/1LkH2Upv_8O55m0A4J9MT2-wPkyXz0Th5/view?usp=drive_link
Reply:
	https://drive.google.com/file/d/1UQNGv7liDE7d5aYqcGEtYAavhPZqfrdM/view?usp=drive_link
</t>
      </text>
    </comment>
    <comment authorId="371" xr:uid="{245baa38-e46e-47bb-a2db-9f0b10036eec}" ref="W194">
      <text>
        <t xml:space="preserve">[Threaded comment]
 Your version of Excel allows you to read this threaded comment; however, any edits to it will get removed if the file is opened in a newer version of Excel. Learn more: https://go.microsoft.com/fwlink/?linkid=870924
Comment:
	https://drive.google.com/file/d/1e5Ywm6FCr3L6I4HqPLZcNA0OeBdgwAMV/view?usp=drive_link
</t>
      </text>
    </comment>
    <comment authorId="372" xr:uid="{24606991-3b06-4738-9cd6-997dc04319c6}" ref="O71">
      <text>
        <t xml:space="preserve">[Threaded comment]
 Your version of Excel allows you to read this threaded comment; however, any edits to it will get removed if the file is opened in a newer version of Excel. Learn more: https://go.microsoft.com/fwlink/?linkid=870924
Comment:
	resta 182 soles que son los 50 dolares para regresar el equipo mal, quedaria 138 de execedente
</t>
      </text>
    </comment>
    <comment authorId="373" xr:uid="{246fb257-57da-4421-b905-1941fb693b48}" ref="AF710">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374" xr:uid="{24707040-f59c-4412-a0d7-0c2f0a03296d}" ref="O130">
      <text>
        <t xml:space="preserve">[Threaded comment]
 Your version of Excel allows you to read this threaded comment; however, any edits to it will get removed if the file is opened in a newer version of Excel. Learn more: https://go.microsoft.com/fwlink/?linkid=870924
Comment:
	LE DI UN MOUSE DE 30 SOLES DE REGALO
</t>
      </text>
    </comment>
    <comment authorId="375" xr:uid="{24a679f8-5542-4589-b13b-5aeb6c0c740b}" ref="W350">
      <text>
        <t xml:space="preserve">[Threaded comment]
 Your version of Excel allows you to read this threaded comment; however, any edits to it will get removed if the file is opened in a newer version of Excel. Learn more: https://go.microsoft.com/fwlink/?linkid=870924
Comment:
	https://drive.google.com/file/d/1HZaM2BWozENZpXkamQB2395NyR0xQq4f/view?usp=drive_link
Reply:
	https://drive.google.com/file/d/191vWYA9zuvKaC-0aWnxyw2pm7O3Wohxl/view?usp=drive_link
</t>
      </text>
    </comment>
    <comment authorId="376" xr:uid="{24c51013-4e41-4f68-afbf-0044edba3b12}" ref="J402">
      <text>
        <t xml:space="preserve">[Threaded comment]
 Your version of Excel allows you to read this threaded comment; however, any edits to it will get removed if the file is opened in a newer version of Excel. Learn more: https://go.microsoft.com/fwlink/?linkid=870924
Comment:
	https://drive.google.com/file/d/1kSU8rDJFB92bYdG_JcpwZTonb3hCxoAq/view?usp=drive_link
</t>
      </text>
    </comment>
    <comment authorId="377" xr:uid="{24c95a97-465c-49bb-a0d2-00e88d3230cc}" ref="L103">
      <text>
        <t xml:space="preserve">[Threaded comment]
 Your version of Excel allows you to read this threaded comment; however, any edits to it will get removed if the file is opened in a newer version of Excel. Learn more: https://go.microsoft.com/fwlink/?linkid=870924
Comment:
	https://drive.google.com/file/d/1_v6jWvLMCgSfQ8V8TNk-uHnWDXwdTQxk/view?usp=drive_link
Reply:
	https://drive.google.com/file/d/1tTgGwuH-60nlhcZDNDDnnU2OUqMTKLcc/view?usp=drive_link
</t>
      </text>
    </comment>
    <comment authorId="378" xr:uid="{24e6cbd9-74be-4037-91b7-34ba19fd0674}" ref="J144">
      <text>
        <t xml:space="preserve">[Threaded comment]
 Your version of Excel allows you to read this threaded comment; however, any edits to it will get removed if the file is opened in a newer version of Excel. Learn more: https://go.microsoft.com/fwlink/?linkid=870924
Comment:
	https://drive.google.com/file/d/1gs_ngEAJnlcxU3L-heElezbjFLAJrxEg/view?usp=drive_link
</t>
      </text>
    </comment>
    <comment authorId="379" xr:uid="{24f188a1-e0ca-4501-9220-7f9a68a44c6a}" ref="L159">
      <text>
        <t xml:space="preserve">[Threaded comment]
 Your version of Excel allows you to read this threaded comment; however, any edits to it will get removed if the file is opened in a newer version of Excel. Learn more: https://go.microsoft.com/fwlink/?linkid=870924
Comment:
	https://drive.google.com/file/d/1FHD8eue0-E_4KHYwX2e_eHAOoMBzIJKK/view?usp=drive_link
</t>
      </text>
    </comment>
    <comment authorId="380" xr:uid="{250c7c40-4311-4042-a5b3-1ca648dee4ab}" ref="L61">
      <text>
        <t xml:space="preserve">[Threaded comment]
 Your version of Excel allows you to read this threaded comment; however, any edits to it will get removed if the file is opened in a newer version of Excel. Learn more: https://go.microsoft.com/fwlink/?linkid=870924
Comment:
	https://drive.google.com/file/d/1tKOQuCXwW3FEOe6-cJNiyS2cbveIGLu0/view?usp=drive_link
</t>
      </text>
    </comment>
    <comment authorId="381" xr:uid="{251f09ba-e7c7-4458-a425-0fdbcac6304a}" ref="K622">
      <text>
        <t xml:space="preserve">[Threaded comment]
 Your version of Excel allows you to read this threaded comment; however, any edits to it will get removed if the file is opened in a newer version of Excel. Learn more: https://go.microsoft.com/fwlink/?linkid=870924
Comment:
	https://drive.google.com/file/d/1-fWTjhniosX1iycvAhr2zertBHDBUvdz/view?usp=drive_link
</t>
      </text>
    </comment>
    <comment authorId="382" xr:uid="{25246a83-944d-4e2f-bfab-2cbaad5c0df2}" ref="J685">
      <text>
        <t xml:space="preserve">[Threaded comment]
 Your version of Excel allows you to read this threaded comment; however, any edits to it will get removed if the file is opened in a newer version of Excel. Learn more: https://go.microsoft.com/fwlink/?linkid=870924
Comment:
	https://drive.google.com/file/d/1PsI9Fh2Wk_xZkh32ynjkp7g8sxHJNm8J/view?usp=drive_link
</t>
      </text>
    </comment>
    <comment authorId="383" xr:uid="{25513dcc-ef05-4d60-a6c3-45b425852c8a}" ref="AF658">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384" xr:uid="{2552b793-0daf-4fd7-8356-5f5945b869f8}" ref="W268">
      <text>
        <t xml:space="preserve">[Threaded comment]
 Your version of Excel allows you to read this threaded comment; however, any edits to it will get removed if the file is opened in a newer version of Excel. Learn more: https://go.microsoft.com/fwlink/?linkid=870924
Comment:
	✅NOMBRES COMPLETOS O RAZÓN SOCIAL: Karina Janina Domínguez Dávalos 
✅DNI O RUC: 46364445
✅NÚMERO DE CELULAR: 938209044
✅CORREO ELECTRÓNICO: ing.karinadd@gmail.com
</t>
      </text>
    </comment>
    <comment authorId="385" xr:uid="{2553e6e2-f4ff-4d70-b3ba-4a27b25b4061}" ref="D279">
      <text>
        <t xml:space="preserve">[Threaded comment]
 Your version of Excel allows you to read this threaded comment; however, any edits to it will get removed if the file is opened in a newer version of Excel. Learn more: https://go.microsoft.com/fwlink/?linkid=870924
Comment:
	Ruc: 20601708311
Reenviado
Razon social: Constructora y Consultora QMED Eirl
Reenviado
Correo: constructora.qmed@gmail.com
</t>
      </text>
    </comment>
    <comment authorId="386" xr:uid="{2556cb93-db77-4fb1-9a96-ce5239c6398a}" ref="J266">
      <text>
        <t xml:space="preserve">[Threaded comment]
 Your version of Excel allows you to read this threaded comment; however, any edits to it will get removed if the file is opened in a newer version of Excel. Learn more: https://go.microsoft.com/fwlink/?linkid=870924
Comment:
	https://drive.google.com/file/d/1MvqzjvMlwwJEUlq9czFmM8bvNxnxeLaI/view?usp=drive_link
</t>
      </text>
    </comment>
    <comment authorId="387" xr:uid="{2573841d-bdf1-496d-9110-32ae04216fd3}" ref="K411">
      <text>
        <t xml:space="preserve">[Threaded comment]
 Your version of Excel allows you to read this threaded comment; however, any edits to it will get removed if the file is opened in a newer version of Excel. Learn more: https://go.microsoft.com/fwlink/?linkid=870924
Comment:
	https://drive.google.com/file/d/109j0RD3NiYKQ9pAVqFU-iqZsagTpO1sU/view?usp=drive_link
</t>
      </text>
    </comment>
    <comment authorId="388" xr:uid="{25930959-c1aa-498c-adba-4da2041f980c}" ref="J16">
      <text>
        <t xml:space="preserve">[Threaded comment]
 Your version of Excel allows you to read this threaded comment; however, any edits to it will get removed if the file is opened in a newer version of Excel. Learn more: https://go.microsoft.com/fwlink/?linkid=870924
Comment:
	https://drive.google.com/file/d/1j9ca5TJjR5NNTYa6znAXXLNS-2t3HQ4A/view?usp=drive_link
</t>
      </text>
    </comment>
    <comment authorId="389" xr:uid="{259545fb-9164-4ad3-b23f-c952b30cded7}" ref="J226">
      <text>
        <t xml:space="preserve">[Threaded comment]
 Your version of Excel allows you to read this threaded comment; however, any edits to it will get removed if the file is opened in a newer version of Excel. Learn more: https://go.microsoft.com/fwlink/?linkid=870924
Comment:
	https://drive.google.com/file/d/1mhMKQq6k-bJtlhcLydkJmFgJNNbL0EIP/view?usp=drive_link
</t>
      </text>
    </comment>
    <comment authorId="390" xr:uid="{25a73a77-eb9a-45f2-bcf7-e0035930b065}" ref="W341">
      <text>
        <t xml:space="preserve">[Threaded comment]
 Your version of Excel allows you to read this threaded comment; however, any edits to it will get removed if the file is opened in a newer version of Excel. Learn more: https://go.microsoft.com/fwlink/?linkid=870924
Comment:
	https://drive.google.com/file/d/1Y7ox12aFrkyGdxryZtXrejTPnS-M588C/view?usp=drive_link
</t>
      </text>
    </comment>
    <comment authorId="391" xr:uid="{25ba22eb-8229-4166-9b0b-95fd5c2dac98}" ref="C186">
      <text>
        <t xml:space="preserve">[Threaded comment]
 Your version of Excel allows you to read this threaded comment; however, any edits to it will get removed if the file is opened in a newer version of Excel. Learn more: https://go.microsoft.com/fwlink/?linkid=870924
Comment:
	https://www.ebay.com/itm/197444303642?_skw=zephyrus+g14&amp;itmmeta=01K39E5EH9013Q0FG1KJYADWK3&amp;hash=item2df898fb1a:g:5rwAAeSwQbtooaJs&amp;itmprp=enc%3AAQAKAAAA8FkggFvd1GGDu0w3yXCmi1doto8riVyORr3nQFJNF8hxTnj6OhowlDzqvK2zy49Meh7T%2BhmCK%2Biit8VULDwbyGrwB7owJjApcpkfp92JsVw4JB1Al6CcTFljwpvYc0V5%2FoyYSD1w3f1oy2vfVLZEiamZ0IPx%2BZrbQ4ksoQqIZrUiJJ8cCmzkmmhYEhZMaoZshDQTvDOVUC7EK7ep6Bgw2AWX4dGkmCGbRI0VgzliuGIhk35e1K%2Ba3VlTRKCqdckOEmJuuiODABWeiSvKfMxZZfsparNVWHG4rtEVR%2F9INZQ3E5hJoYeCvZNa0dDs5YggfA%3D%3D%7Ctkp%3ABk9SR-Lola6aZg
</t>
      </text>
    </comment>
    <comment authorId="392" xr:uid="{25bfe226-6980-4033-af25-75e935f5186b}" ref="S576">
      <text>
        <t xml:space="preserve">[Threaded comment]
 Your version of Excel allows you to read this threaded comment; however, any edits to it will get removed if the file is opened in a newer version of Excel. Learn more: https://go.microsoft.com/fwlink/?linkid=870924
Comment:
	https://drive.google.com/file/d/1sLE_TRHz1mf2mPmQ9gCVsgarOq3o6y-E/view?usp=drive_link
</t>
      </text>
    </comment>
    <comment authorId="393" xr:uid="{25e512fd-cb03-4d46-8576-abc82f1b33da}" ref="AI771">
      <text>
        <t xml:space="preserve">[Threaded comment]
 Your version of Excel allows you to read this threaded comment; however, any edits to it will get removed if the file is opened in a newer version of Excel. Learn more: https://go.microsoft.com/fwlink/?linkid=870924
Comment:
	https://drive.google.com/file/d/1D3bSL7V2o6dat20u1XZD8ocNi0YHdsJg/view?usp=drive_link
</t>
      </text>
    </comment>
    <comment authorId="394" xr:uid="{25fe2059-4925-48c3-8934-0abf0673cb73}" ref="J575">
      <text>
        <t xml:space="preserve">[Threaded comment]
 Your version of Excel allows you to read this threaded comment; however, any edits to it will get removed if the file is opened in a newer version of Excel. Learn more: https://go.microsoft.com/fwlink/?linkid=870924
Comment:
	https://drive.google.com/file/d/16UfAhUCMEHcRDn1268o8F5Aq-RvCCsZl/view?usp=drive_link
</t>
      </text>
    </comment>
    <comment authorId="395" xr:uid="{26061338-1043-4dc6-acc3-ae171517808e}" ref="AF541">
      <text>
        <t xml:space="preserve">[Threaded comment]
 Your version of Excel allows you to read this threaded comment; however, any edits to it will get removed if the file is opened in a newer version of Excel. Learn more: https://go.microsoft.com/fwlink/?linkid=870924
Comment:
	vental final, fixit, excedentes
</t>
      </text>
    </comment>
    <comment authorId="396" xr:uid="{262676e1-7291-400e-a8a1-83daca59cae9}" ref="J541">
      <text>
        <t xml:space="preserve">[Threaded comment]
 Your version of Excel allows you to read this threaded comment; however, any edits to it will get removed if the file is opened in a newer version of Excel. Learn more: https://go.microsoft.com/fwlink/?linkid=870924
Comment:
	https://drive.google.com/file/d/1jiDjc44V5J7O9Nqv6ZzWoOK0wllyTuMf/view?usp=drive_link
</t>
      </text>
    </comment>
    <comment authorId="397" xr:uid="{2629ba52-81b3-42ef-9014-be306e6b94c5}" ref="L100">
      <text>
        <t xml:space="preserve">[Threaded comment]
 Your version of Excel allows you to read this threaded comment; however, any edits to it will get removed if the file is opened in a newer version of Excel. Learn more: https://go.microsoft.com/fwlink/?linkid=870924
Comment:
	https://drive.google.com/file/d/14zgzcbX5rscIPoiB6Dj6fXlCfefAlJtt/view?usp=drive_link
https://drive.google.com/file/d/1UZr8ug9Mux_jUcsTeBs1cL-1ypFB6Lag/view?usp=drive_link
</t>
      </text>
    </comment>
    <comment authorId="398" xr:uid="{26503cef-b3e6-4a72-92b9-60c6e499d012}" ref="K340">
      <text>
        <t xml:space="preserve">[Threaded comment]
 Your version of Excel allows you to read this threaded comment; however, any edits to it will get removed if the file is opened in a newer version of Excel. Learn more: https://go.microsoft.com/fwlink/?linkid=870924
Comment:
	https://drive.google.com/file/d/11h0fhQ4-SnZX3aZbiBb9yguHtCCZaUVn/view?usp=drive_link
</t>
      </text>
    </comment>
    <comment authorId="399" xr:uid="{26529378-3cd9-42d4-b0a4-fe8a951ad2ce}" ref="W147">
      <text>
        <t xml:space="preserve">[Threaded comment]
 Your version of Excel allows you to read this threaded comment; however, any edits to it will get removed if the file is opened in a newer version of Excel. Learn more: https://go.microsoft.com/fwlink/?linkid=870924
Comment:
	https://drive.google.com/file/d/1Pic1y2JOVIDToJ9mzs2jf3hsI80T9E7W/view?usp=drive_link
</t>
      </text>
    </comment>
    <comment authorId="400" xr:uid="{2681a6d5-14a4-475f-9d92-9d5f57a90cfa}" ref="AF398">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401" xr:uid="{26a430c1-bbd0-40d7-9918-4358a34b0312}" ref="L37">
      <text>
        <t xml:space="preserve">[Threaded comment]
 Your version of Excel allows you to read this threaded comment; however, any edits to it will get removed if the file is opened in a newer version of Excel. Learn more: https://go.microsoft.com/fwlink/?linkid=870924
Comment:
	https://drive.google.com/file/d/158UKvBx-VEM4KsuAIOQSZTD99RcCQ1gQ/view?usp=drive_link
</t>
      </text>
    </comment>
    <comment authorId="402" xr:uid="{26cab21c-9690-4cd7-bc0d-53af9e665a39}" ref="K646">
      <text>
        <t xml:space="preserve">[Threaded comment]
 Your version of Excel allows you to read this threaded comment; however, any edits to it will get removed if the file is opened in a newer version of Excel. Learn more: https://go.microsoft.com/fwlink/?linkid=870924
Comment:
	https://drive.google.com/file/d/118GSc5ZpMO7mJ1qhyNfPlggfGfagByKE/view?usp=drive_link
</t>
      </text>
    </comment>
    <comment authorId="403" xr:uid="{27047619-a954-4f4d-a973-e1082829253a}" ref="W280">
      <text>
        <t xml:space="preserve">[Threaded comment]
 Your version of Excel allows you to read this threaded comment; however, any edits to it will get removed if the file is opened in a newer version of Excel. Learn more: https://go.microsoft.com/fwlink/?linkid=870924
Comment:
	https://drive.google.com/file/d/1Q38awA60bYaK_w_tJigP9EdSPefaFaGT/view?usp=drive_link
</t>
      </text>
    </comment>
    <comment authorId="404" xr:uid="{271e392c-5c6a-4f54-9998-3c1d81139ca2}" ref="J343">
      <text>
        <t xml:space="preserve">[Threaded comment]
 Your version of Excel allows you to read this threaded comment; however, any edits to it will get removed if the file is opened in a newer version of Excel. Learn more: https://go.microsoft.com/fwlink/?linkid=870924
Comment:
	https://drive.google.com/file/d/1Pt6Elbqk2QTRfu9qM4q9sJ_-wWTlOoEv/view?usp=drive_link
</t>
      </text>
    </comment>
    <comment authorId="405" xr:uid="{27278a41-9cac-4c63-b882-95341081ce45}" ref="L219">
      <text>
        <t xml:space="preserve">[Threaded comment]
 Your version of Excel allows you to read this threaded comment; however, any edits to it will get removed if the file is opened in a newer version of Excel. Learn more: https://go.microsoft.com/fwlink/?linkid=870924
Comment:
	https://drive.google.com/file/d/1u80daO20HmU7OI3RxsIFNhz0IF70exKm/view?usp=drive_link
</t>
      </text>
    </comment>
    <comment authorId="406" xr:uid="{27399f59-c84c-4036-837b-7e97afaca13f}" ref="AF199">
      <text>
        <t xml:space="preserve">[Threaded comment]
 Your version of Excel allows you to read this threaded comment; however, any edits to it will get removed if the file is opened in a newer version of Excel. Learn more: https://go.microsoft.com/fwlink/?linkid=870924
Comment:
	FINAL: vental final y fixit
</t>
      </text>
    </comment>
    <comment authorId="407" xr:uid="{273f7543-8bbb-48b0-9a9d-d33d944492e0}" ref="J613">
      <text>
        <t xml:space="preserve">[Threaded comment]
 Your version of Excel allows you to read this threaded comment; however, any edits to it will get removed if the file is opened in a newer version of Excel. Learn more: https://go.microsoft.com/fwlink/?linkid=870924
Comment:
	https://drive.google.com/file/d/1GkeqQEJC0Nxjg19aHKAPq_ObLmuOgv00/view?usp=drive_link
</t>
      </text>
    </comment>
    <comment authorId="408" xr:uid="{2754f9a5-aba2-4dbc-a7fb-7fbca27cda42}" ref="J770">
      <text>
        <t xml:space="preserve">[Threaded comment]
 Your version of Excel allows you to read this threaded comment; however, any edits to it will get removed if the file is opened in a newer version of Excel. Learn more: https://go.microsoft.com/fwlink/?linkid=870924
Comment:
	https://drive.google.com/file/d/1rKR9EmyYhCNfmOu04W7xXe8bj1SadPzv/view?usp=drive_link
</t>
      </text>
    </comment>
    <comment authorId="409" xr:uid="{27806ec8-bc31-46e6-94b8-f700e4a5f885}" ref="J636">
      <text>
        <t xml:space="preserve">[Threaded comment]
 Your version of Excel allows you to read this threaded comment; however, any edits to it will get removed if the file is opened in a newer version of Excel. Learn more: https://go.microsoft.com/fwlink/?linkid=870924
Comment:
	https://drive.google.com/file/d/181W3JxnnZYaPvqXgtn7Zo8NYac-lLUIU/view?usp=drive_link
</t>
      </text>
    </comment>
    <comment authorId="410" xr:uid="{278f75a0-6148-479e-a0a1-3796ab54c585}" ref="C269">
      <text>
        <t xml:space="preserve">[Threaded comment]
 Your version of Excel allows you to read this threaded comment; however, any edits to it will get removed if the file is opened in a newer version of Excel. Learn more: https://go.microsoft.com/fwlink/?linkid=870924
Comment:
	https://www.amazon.com/-/es/Port%C3%A1til-juegos-pantalla-Nebula-pulgadas/dp/B0F1C665XL/ref=sr_1_4?__mk_es_US=%C3%85M%C3%85%C5%BD%C3%95%C3%91&amp;crid=2KT2DBD3MUH8&amp;dib=eyJ2IjoiMSJ9.FPerDUhmcVxPN4EGLCr0hwPA0ITKko4mO71AXZ2v079xgU1Jimn4OtI-558zkUAuo-GghNU3ymTdY_hAT19h09E5mLdSXxjZzS2pqiGlFU5WLYokfmwQOMtoSz-xfi0cu_tideHRKyKKvRj5MGxY7GvOq8j_FK_MpwLQ0dm7WOV9bM79uCH6OIK19BbsFDf0skOEH04Wh6NS7w8BEF_UASkb4K6WW0O2CYqPkl6bJEc.HHtmENR1n2Co3JnghbMYrNi0tnkukI-0CvtWgN30WUA&amp;dib_tag=se&amp;keywords=ultra%2B9%2Bg16&amp;qid=1759792501&amp;sprefix=ultra%2B9%2Bg16%2Caps%2C268&amp;sr=8-4&amp;th=1
</t>
      </text>
    </comment>
    <comment authorId="411" xr:uid="{2790c40d-070b-438f-8cfd-f4b0ee963bd0}" ref="J114">
      <text>
        <t xml:space="preserve">[Threaded comment]
 Your version of Excel allows you to read this threaded comment; however, any edits to it will get removed if the file is opened in a newer version of Excel. Learn more: https://go.microsoft.com/fwlink/?linkid=870924
Comment:
	https://drive.google.com/file/d/1LqkVfaRlXE5CQhwS4TP2FHh0EtASzdbn/view?usp=drive_link
</t>
      </text>
    </comment>
    <comment authorId="412" xr:uid="{27983a32-2b3d-49c5-a0fc-cbca2b992367}" ref="W357">
      <text>
        <t xml:space="preserve">[Threaded comment]
 Your version of Excel allows you to read this threaded comment; however, any edits to it will get removed if the file is opened in a newer version of Excel. Learn more: https://go.microsoft.com/fwlink/?linkid=870924
Comment:
	https://drive.google.com/file/d/1REXhPjsajBsXzFuKVdeDUhTRCWJF5NWC/view?usp=drive_link
</t>
      </text>
    </comment>
    <comment authorId="413" xr:uid="{27ae3f84-a982-4559-9489-4a58da624bf3}" ref="J599">
      <text>
        <t xml:space="preserve">[Threaded comment]
 Your version of Excel allows you to read this threaded comment; however, any edits to it will get removed if the file is opened in a newer version of Excel. Learn more: https://go.microsoft.com/fwlink/?linkid=870924
Comment:
	https://drive.google.com/file/d/19X4apOYR0LKgS8XY8zin6A08hZv7t4Bf/view?usp=drive_link
</t>
      </text>
    </comment>
    <comment authorId="414" xr:uid="{27e8d58e-05ef-417b-b66f-3c35b87ac97f}" ref="C766">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https://www.bestbuy.com/product/asus-rog-zephyrus-g16-16-oled-2-5k-240hz-gaming-laptop-intel-core-ultra-9-32gb-ram-nvidia-rtx-5070-ti-12gb-1tb-ssd-eclipse-gray/JJGGLHXFTQ
</t>
      </text>
    </comment>
    <comment authorId="415" xr:uid="{28125f1a-9585-4db1-ad5a-d44dd89dcb9b}" ref="K481">
      <text>
        <t xml:space="preserve">[Threaded comment]
 Your version of Excel allows you to read this threaded comment; however, any edits to it will get removed if the file is opened in a newer version of Excel. Learn more: https://go.microsoft.com/fwlink/?linkid=870924
Comment:
	https://drive.google.com/file/d/1u6CzCtzkIPGVllkoNJCisxjFYWuIdJz8/view?usp=drive_link
</t>
      </text>
    </comment>
    <comment authorId="416" xr:uid="{283316a7-c10d-4c11-a605-2ff598ae6719}" ref="Q716">
      <text>
        <t xml:space="preserve">[Threaded comment]
 Your version of Excel allows you to read this threaded comment; however, any edits to it will get removed if the file is opened in a newer version of Excel. Learn more: https://go.microsoft.com/fwlink/?linkid=870924
Comment:
	FILA 707
Reply:
	esta en mayo y junio, total 200, pero esta separado 100 aca y 100 en la fila 707
</t>
      </text>
    </comment>
    <comment authorId="417" xr:uid="{2875c25a-6dd8-4e43-bfc8-acba49d3d271}" ref="W370">
      <text>
        <t xml:space="preserve">[Threaded comment]
 Your version of Excel allows you to read this threaded comment; however, any edits to it will get removed if the file is opened in a newer version of Excel. Learn more: https://go.microsoft.com/fwlink/?linkid=870924
Comment:
	https://drive.google.com/file/d/1dxp4iCeG3jnn8bxWfb5tYIxt7MLt1pJA/view?usp=drive_link
</t>
      </text>
    </comment>
    <comment authorId="418" xr:uid="{288bcc35-23f1-4215-9572-75ae71b299c8}" ref="J629">
      <text>
        <t xml:space="preserve">[Threaded comment]
 Your version of Excel allows you to read this threaded comment; however, any edits to it will get removed if the file is opened in a newer version of Excel. Learn more: https://go.microsoft.com/fwlink/?linkid=870924
Comment:
	https://drive.google.com/file/d/18_slVCn9KTtHRmPnhJ_joK95GqC60kEK/view?usp=drive_link
</t>
      </text>
    </comment>
    <comment authorId="419" xr:uid="{2891283c-c20a-4a7f-b92e-7502005a72f0}" ref="Q724">
      <text>
        <t xml:space="preserve">[Threaded comment]
 Your version of Excel allows you to read this threaded comment; however, any edits to it will get removed if the file is opened in a newer version of Excel. Learn more: https://go.microsoft.com/fwlink/?linkid=870924
Comment:
	fila 802 129.01
</t>
      </text>
    </comment>
    <comment authorId="420" xr:uid="{28b5f269-6b72-46a5-a17f-4e696532cfb4}" ref="P291">
      <text>
        <t xml:space="preserve">[Threaded comment]
 Your version of Excel allows you to read this threaded comment; however, any edits to it will get removed if the file is opened in a newer version of Excel. Learn more: https://go.microsoft.com/fwlink/?linkid=870924
Comment:
	se le resto 55.22 de la fila 284
</t>
      </text>
    </comment>
    <comment authorId="421" xr:uid="{28d0a394-97d0-4fdb-b18d-83b9c912b1f4}" ref="Q699">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422" xr:uid="{28d3da8b-c832-4ee1-b25f-98b32ff5ed9a}" ref="K378">
      <text>
        <t xml:space="preserve">[Threaded comment]
 Your version of Excel allows you to read this threaded comment; however, any edits to it will get removed if the file is opened in a newer version of Excel. Learn more: https://go.microsoft.com/fwlink/?linkid=870924
Comment:
	https://drive.google.com/file/d/1uL2kEvdwOU91A-o9DRUbDUi9W7uGSZLe/view?usp=drive_link
</t>
      </text>
    </comment>
    <comment authorId="423" xr:uid="{28e5ac68-ac40-4303-8b63-2f715ae6b9f2}" ref="W377">
      <text>
        <t xml:space="preserve">[Threaded comment]
 Your version of Excel allows you to read this threaded comment; however, any edits to it will get removed if the file is opened in a newer version of Excel. Learn more: https://go.microsoft.com/fwlink/?linkid=870924
Comment:
	https://drive.google.com/file/d/1pPNSvkxD9NmB8pZz_8WOkvyeL0_GI2nq/view?usp=drive_link
</t>
      </text>
    </comment>
    <comment authorId="424" xr:uid="{28f66fbc-9afe-420e-bd0d-95dcd798c634}" ref="C734">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https://www.bhphotovideo.com/c/product/1875946-REG/lenovo_83f00008us_15_1_legion_5i_gaming.html/specs
</t>
      </text>
    </comment>
    <comment authorId="425" xr:uid="{29126fdf-87d9-48fc-a8b7-c518603c9916}" ref="L82">
      <text>
        <t xml:space="preserve">[Threaded comment]
 Your version of Excel allows you to read this threaded comment; however, any edits to it will get removed if the file is opened in a newer version of Excel. Learn more: https://go.microsoft.com/fwlink/?linkid=870924
Comment:
	https://drive.google.com/file/d/1dypYBgm02MNQAnhgpTEjCZvcKt_A-1fH/view?usp=drive_link
</t>
      </text>
    </comment>
    <comment authorId="426" xr:uid="{2920b1f6-9920-4d49-8696-fa79b52ed8d9}" ref="J593">
      <text>
        <t xml:space="preserve">[Threaded comment]
 Your version of Excel allows you to read this threaded comment; however, any edits to it will get removed if the file is opened in a newer version of Excel. Learn more: https://go.microsoft.com/fwlink/?linkid=870924
Comment:
	https://drive.google.com/file/d/1vHwM8F_Ou_D3EMf3y4N9NG6i9bHXMJ1L/view?usp=drive_link
</t>
      </text>
    </comment>
    <comment authorId="427" xr:uid="{29452769-3f08-42ab-aeab-f297cd1dd7b2}" ref="N295">
      <text>
        <t xml:space="preserve">[Threaded comment]
 Your version of Excel allows you to read this threaded comment; however, any edits to it will get removed if the file is opened in a newer version of Excel. Learn more: https://go.microsoft.com/fwlink/?linkid=870924
Comment:
	S/.1.190,40678
S/.1.404,6800
</t>
      </text>
    </comment>
    <comment authorId="428" xr:uid="{298204a1-aabf-4496-98fb-b79de2a8adca}" ref="K629">
      <text>
        <t xml:space="preserve">[Threaded comment]
 Your version of Excel allows you to read this threaded comment; however, any edits to it will get removed if the file is opened in a newer version of Excel. Learn more: https://go.microsoft.com/fwlink/?linkid=870924
Comment:
	https://drive.google.com/file/d/14VHSw7lqFI0awm8FrMj35YjaEIPNY8do/view?usp=drive_link
</t>
      </text>
    </comment>
    <comment authorId="429" xr:uid="{29a7b9b2-581e-450a-8d97-e2ec2d3f1001}" ref="E723">
      <text>
        <t xml:space="preserve">[Threaded comment]
 Your version of Excel allows you to read this threaded comment; however, any edits to it will get removed if the file is opened in a newer version of Excel. Learn more: https://go.microsoft.com/fwlink/?linkid=870924
Comment:
	comprar cuando baje de precio
</t>
      </text>
    </comment>
    <comment authorId="430" xr:uid="{29a80c31-b661-42cb-a945-6699b3d7af21}" ref="C25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https://www.microcenter.com/product/692118/msi-raider-18-hx-ai-a2xwjg-416us-18-gaming-laptop-computer-core-black?storeid=185
</t>
      </text>
    </comment>
    <comment authorId="431" xr:uid="{29adb16d-0c1e-4645-babc-3b96e0c4604f}" ref="K344">
      <text>
        <t xml:space="preserve">[Threaded comment]
 Your version of Excel allows you to read this threaded comment; however, any edits to it will get removed if the file is opened in a newer version of Excel. Learn more: https://go.microsoft.com/fwlink/?linkid=870924
Comment:
	https://drive.google.com/file/d/1NJPkAfp_HaHyi8ipfYfRbglmay0TpJUl/view?usp=drive_link
</t>
      </text>
    </comment>
    <comment authorId="432" xr:uid="{29bac587-dc83-4e34-9bd2-5704c27a2907}" ref="AF384">
      <text>
        <t xml:space="preserve">[Threaded comment]
 Your version of Excel allows you to read this threaded comment; however, any edits to it will get removed if the file is opened in a newer version of Excel. Learn more: https://go.microsoft.com/fwlink/?linkid=870924
Comment:
	venta final + excedentes
</t>
      </text>
    </comment>
    <comment authorId="433" xr:uid="{29be0131-6783-4112-ba75-709dfc664e66}" ref="C272">
      <text>
        <t xml:space="preserve">[Threaded comment]
 Your version of Excel allows you to read this threaded comment; however, any edits to it will get removed if the file is opened in a newer version of Excel. Learn more: https://go.microsoft.com/fwlink/?linkid=870924
Comment:
	https://www.ebay.com/itm/226967926710?_skw=laptop+gaming+5060&amp;itmmeta=01K81580T6M9EPJVG2HBBGBA5T&amp;hash=item34d857b7b6:g:F2sAAeSwTKNo8oW4
</t>
      </text>
    </comment>
    <comment authorId="434" xr:uid="{29ed7936-9894-49b1-9c29-b2b0a954a7bb}" ref="Q511">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435" xr:uid="{2a32156e-3956-4de7-b3ab-63ce4f09404f}" ref="U624">
      <text>
        <t xml:space="preserve">[Threaded comment]
 Your version of Excel allows you to read this threaded comment; however, any edits to it will get removed if the file is opened in a newer version of Excel. Learn more: https://go.microsoft.com/fwlink/?linkid=870924
Comment:
	soporte
</t>
      </text>
    </comment>
    <comment authorId="436" xr:uid="{2a3864d7-310c-4bce-aae6-9401626155a2}" ref="K459">
      <text>
        <t xml:space="preserve">[Threaded comment]
 Your version of Excel allows you to read this threaded comment; however, any edits to it will get removed if the file is opened in a newer version of Excel. Learn more: https://go.microsoft.com/fwlink/?linkid=870924
Comment:
	https://drive.google.com/file/d/1f_ctkKAogJsWlnfryyRF3VlThdDcyc_S/view?usp=drive_link
</t>
      </text>
    </comment>
    <comment authorId="437" xr:uid="{2a3b8493-5969-4ea1-9e6f-12fdbdbb27f7}" ref="Q479">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438" xr:uid="{2a3d84ba-f596-41df-96fe-ddcc81bc62f1}" ref="C322">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https://www.bhphotovideo.com/c/product/1875948-REG/lenovo_83f5001bus_16_legion_pro_7i.html/specs
</t>
      </text>
    </comment>
    <comment authorId="439" xr:uid="{2a40f67e-500c-4aaf-bb77-717760e21917}" ref="C175">
      <text>
        <t xml:space="preserve">[Threaded comment]
 Your version of Excel allows you to read this threaded comment; however, any edits to it will get removed if the file is opened in a newer version of Excel. Learn more: https://go.microsoft.com/fwlink/?linkid=870924
Comment:
	https://www.ebay.com/itm/388165827342?_skw=rtx&amp;epid=13079624892&amp;itmmeta=01K2F1G8M5E3KMTENT3CMZYV8A&amp;hash=item5a607c7b0e%3Ag%3AEUkAAeSwEbJn581h&amp;LH_ItemCondition=1000
</t>
      </text>
    </comment>
    <comment authorId="440" xr:uid="{2a512a3a-2571-4d5d-8d09-9013b0be2be3}" ref="W245">
      <text>
        <t xml:space="preserve">[Threaded comment]
 Your version of Excel allows you to read this threaded comment; however, any edits to it will get removed if the file is opened in a newer version of Excel. Learn more: https://go.microsoft.com/fwlink/?linkid=870924
Comment:
	https://drive.google.com/file/d/1F4U_mYuJBJ0Xur3fLl2ei0VnILvQBSdB/view?usp=drive_link
</t>
      </text>
    </comment>
    <comment authorId="441" xr:uid="{2a539991-61b1-47f6-b003-4ef77a608f6c}" ref="J329">
      <text>
        <t xml:space="preserve">[Threaded comment]
 Your version of Excel allows you to read this threaded comment; however, any edits to it will get removed if the file is opened in a newer version of Excel. Learn more: https://go.microsoft.com/fwlink/?linkid=870924
Comment:
	https://drive.google.com/file/d/1U3MZT7wwuUAfJIAPSeSLqHCsvZrdnT_J/view?usp=drive_link
https://drive.google.com/file/d/1qwZcjnU6Woi4C1WUAbNxCUcifg_KEbd6/view?usp=drive_link
https://drive.google.com/file/d/1fqUGdUTeng3Rz_lsP1HzSVcmAgIGm3Rr/view?usp=drive_link
</t>
      </text>
    </comment>
    <comment authorId="442" xr:uid="{2a7d2254-34d6-471f-87c1-2b32acc52675}" ref="C55">
      <text>
        <t xml:space="preserve">[Threaded comment]
 Your version of Excel allows you to read this threaded comment; however, any edits to it will get removed if the file is opened in a newer version of Excel. Learn more: https://go.microsoft.com/fwlink/?linkid=870924
Comment:
	https://www.amazon.com/dp/B0D29GC96C?ref=cm_sw_r_cso_wa_mwn_dp_W49CBAW6WYFG9VTKTTNG&amp;ref_=cm_sw_r_cso_wa_mwn_dp_W49CBAW6WYFG9VTKTTNG&amp;social_share=cm_sw_r_cso_wa_mwn_dp_W49CBAW6WYFG9VTKTTNG&amp;previewDoh=1
</t>
      </text>
    </comment>
    <comment authorId="443" xr:uid="{2a8185fe-01e8-47e3-b899-64fb3c071e10}" ref="W371">
      <text>
        <t xml:space="preserve">[Threaded comment]
 Your version of Excel allows you to read this threaded comment; however, any edits to it will get removed if the file is opened in a newer version of Excel. Learn more: https://go.microsoft.com/fwlink/?linkid=870924
Comment:
	https://drive.google.com/file/d/1Xknn_HKO0FA7S_NH9UHRXoukxyc4oTYf/view?usp=drive_link
</t>
      </text>
    </comment>
    <comment authorId="444" xr:uid="{2a8c5476-c514-4dc7-9ffc-78dc0d19bf22}" ref="L118">
      <text>
        <t xml:space="preserve">[Threaded comment]
 Your version of Excel allows you to read this threaded comment; however, any edits to it will get removed if the file is opened in a newer version of Excel. Learn more: https://go.microsoft.com/fwlink/?linkid=870924
Comment:
	https://drive.google.com/file/d/1fJj94mC5_JXeqS7MnyYk_BTXOL4REh19/view?usp=drive_link
</t>
      </text>
    </comment>
    <comment authorId="445" xr:uid="{2aa9f12b-da85-4b54-8bd6-542258d23ded}" ref="AF668">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446" xr:uid="{2ab1aa5b-413c-4567-81b9-20abdfbbd5a7}" ref="K469">
      <text>
        <t xml:space="preserve">[Threaded comment]
 Your version of Excel allows you to read this threaded comment; however, any edits to it will get removed if the file is opened in a newer version of Excel. Learn more: https://go.microsoft.com/fwlink/?linkid=870924
Comment:
	https://drive.google.com/file/d/1OWoCe_UY2jjlvrOeMtb73oJPu9118G7C/view?usp=drive_link
</t>
      </text>
    </comment>
    <comment authorId="447" xr:uid="{2ab50836-4a2d-46fa-be23-2372f358b794}" ref="J189">
      <text>
        <t xml:space="preserve">[Threaded comment]
 Your version of Excel allows you to read this threaded comment; however, any edits to it will get removed if the file is opened in a newer version of Excel. Learn more: https://go.microsoft.com/fwlink/?linkid=870924
Comment:
	https://drive.google.com/file/d/1LUskICJ4l8p1j3VpAlEhiHNnqA_KQ2cA/view?usp=drive_link
Reply:
	https://drive.google.com/file/d/1NoU10wqToA7AxRAkAGzH0ASe-0xda5Ak/view?usp=drive_link
</t>
      </text>
    </comment>
    <comment authorId="448" xr:uid="{2ae2c4ac-edff-4b23-b16a-bdac4581f612}" ref="C411">
      <text>
        <t xml:space="preserve">[Threaded comment]
 Your version of Excel allows you to read this threaded comment; however, any edits to it will get removed if the file is opened in a newer version of Excel. Learn more: https://go.microsoft.com/fwlink/?linkid=870924
Comment:
	https://www.ebay.com/itm/326796273689?_skw=g16&amp;itmmeta=01KCPKTEQHSE7F8J89SD13MGBG&amp;hash=item4c16936819:g:9lQAAeSwvZ9pOcsP
</t>
      </text>
    </comment>
    <comment authorId="449" xr:uid="{2b17a4c3-bad4-4863-a29d-7edef510c159}" ref="L58">
      <text>
        <t xml:space="preserve">[Threaded comment]
 Your version of Excel allows you to read this threaded comment; however, any edits to it will get removed if the file is opened in a newer version of Excel. Learn more: https://go.microsoft.com/fwlink/?linkid=870924
Comment:
	https://drive.google.com/file/d/1IEiFupqevOorDEl4niIw7m92cGR5IHp9/view?usp=drive_link
https://drive.google.com/file/d/10xhUSyZLpAgVJ3vdbcBu8Lrg7X9_Vse1/view?usp=drive_link
</t>
      </text>
    </comment>
    <comment authorId="450" xr:uid="{2b1f0625-fe46-45d9-a40e-0ef63eaad67d}" ref="C70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451" xr:uid="{2b2f701d-6b51-4751-b3f9-475a3d0e4a0b}" ref="AF197">
      <text>
        <t xml:space="preserve">[Threaded comment]
 Your version of Excel allows you to read this threaded comment; however, any edits to it will get removed if the file is opened in a newer version of Excel. Learn more: https://go.microsoft.com/fwlink/?linkid=870924
Comment:
	Falta solo DNI
FINAL: vental final y fixit
</t>
      </text>
    </comment>
    <comment authorId="452" xr:uid="{2b4e3984-3d83-49fd-9fc8-3998b2626f82}" ref="K633">
      <text>
        <t xml:space="preserve">[Threaded comment]
 Your version of Excel allows you to read this threaded comment; however, any edits to it will get removed if the file is opened in a newer version of Excel. Learn more: https://go.microsoft.com/fwlink/?linkid=870924
Comment:
	https://drive.google.com/file/d/1-OhOXM1F1IqNTyFHAjk4EVZ0UJyS2m32/view?usp=drive_link
Reply:
	https://drive.google.com/file/d/1UESRKe_3BKuMZQ90DPNSPe916JVk_Lv2/view?usp=drive_link
</t>
      </text>
    </comment>
    <comment authorId="453" xr:uid="{2b56f0ad-e99d-4f53-8d5c-d0553bd68f36}" ref="AF700">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454" xr:uid="{2b5c18ab-9c8d-4bbb-b88e-bb444be593a3}" ref="C508">
      <text>
        <t xml:space="preserve">[Threaded comment]
 Your version of Excel allows you to read this threaded comment; however, any edits to it will get removed if the file is opened in a newer version of Excel. Learn more: https://go.microsoft.com/fwlink/?linkid=870924
Comment:
	https://www.ebay.com/itm/197489937322?_skw=legion&amp;itmmeta=01KG4Y29XBH660Z39JHBBJRFEE&amp;hash=item2dfb514baa:g:gjkAAeSwKGlpc4jX&amp;itmprp=enc%3AAQALAAAA4O7PUuNWmJ%2B%2BUShgI9tQz%2FqTe9Hc6xBhwynYKRu5CQAcJw8Mqo73gb4gzUB6KNb%2FYQSJy63sIvFi02VglH8nqfmXB3xA3ELHpB2kaTX89e%2FMVK4u46jK%2BpbMwjbE16bDj2Rt0FL8eoLaPoxeuYO7GK%2Bh1GmMme0yH5vO%2FBgJtWkh3pLcVUkEurrqsf0OFO6moW7OOD2%2BOqKgiknY6bBCv6dZlfYOqLs25%2B6St76r5zXPiYmOxs5lUrpidtootS0NggP8b1A2BzcIibg31ZAR1QaGYW%2FN9z29aMf2biZRz0r6%7Ctkp%3ABk9SR_ieiZ6BZw
</t>
      </text>
    </comment>
    <comment authorId="455" xr:uid="{2b5e0f8b-cf78-47a4-8700-933dcfd57eab}" ref="W442">
      <text>
        <t xml:space="preserve">[Threaded comment]
 Your version of Excel allows you to read this threaded comment; however, any edits to it will get removed if the file is opened in a newer version of Excel. Learn more: https://go.microsoft.com/fwlink/?linkid=870924
Comment:
	https://drive.google.com/file/d/1685GRdMaTVIreXsL3zTX6P_RFyt84k4O/view?usp=drive_link
</t>
      </text>
    </comment>
    <comment authorId="456" xr:uid="{2b7c1eb7-2880-4d84-9d1f-9ef735d42c68}" ref="Q558">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iniical con formateo + eset nod 32 + windows 11 pro + office 2024
</t>
      </text>
    </comment>
    <comment authorId="457" xr:uid="{2bcb8572-cd71-4920-a86b-c19582bc35f6}" ref="C371">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https://www.bhphotovideo.com/c/product/1875946-REG/lenovo_83f00008us_15_1_legion_5i_gaming.html
</t>
      </text>
    </comment>
    <comment authorId="458" xr:uid="{2bfe0d85-8c42-457c-a1a5-4f624fce3472}" ref="AF716">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459" xr:uid="{2c11989d-8e60-4816-bd84-009ccd65ca9f}" ref="J445">
      <text>
        <t xml:space="preserve">[Threaded comment]
 Your version of Excel allows you to read this threaded comment; however, any edits to it will get removed if the file is opened in a newer version of Excel. Learn more: https://go.microsoft.com/fwlink/?linkid=870924
Comment:
	https://drive.google.com/file/d/13wvAsE8rfkIG73ssTq3peLTfaKchXfNK/view?usp=drive_link
Reply:
	https://drive.google.com/file/d/1FJImJ_EpvRCGla4kQHtWCYAbLgK-f15u/view?usp=drive_link
Reply:
	https://drive.google.com/file/d/1Zc_WmGxTY1d6vyGBJrn4CjiwWlyHXuwq/view?usp=drive_link
Reply:
	https://drive.google.com/file/d/1zmtgQnPhVz7ZbVhV5pe3BNu-zAsEUJY_/view?usp=drive_link
</t>
      </text>
    </comment>
    <comment authorId="460" xr:uid="{2c152979-fabb-4b8d-bfda-f708da25e71d}" ref="W424">
      <text>
        <t xml:space="preserve">[Threaded comment]
 Your version of Excel allows you to read this threaded comment; however, any edits to it will get removed if the file is opened in a newer version of Excel. Learn more: https://go.microsoft.com/fwlink/?linkid=870924
Comment:
	https://drive.google.com/file/d/1YUh92dYYOf2V06Lad6c9jF43YvZsdgux/view?usp=drive_link
</t>
      </text>
    </comment>
    <comment authorId="461" xr:uid="{2c2977c2-1c21-4b55-a67b-714d1f1353ee}" ref="J595">
      <text>
        <t xml:space="preserve">[Threaded comment]
 Your version of Excel allows you to read this threaded comment; however, any edits to it will get removed if the file is opened in a newer version of Excel. Learn more: https://go.microsoft.com/fwlink/?linkid=870924
Comment:
	https://drive.google.com/file/d/13ZFldRmO14ho6wH2rLNkZ8M47jKdtCX_/view?usp=drive_link
</t>
      </text>
    </comment>
    <comment authorId="462" xr:uid="{2c376893-34ed-4008-b3a8-1626ba2836ef}" ref="D320">
      <text>
        <t xml:space="preserve">[Threaded comment]
 Your version of Excel allows you to read this threaded comment; however, any edits to it will get removed if the file is opened in a newer version of Excel. Learn more: https://go.microsoft.com/fwlink/?linkid=870924
Comment:
	✅NOMBRES COMPLETOS O RAZÓN SOCIAL: 20614680823
✅DNI O RUC: R Y B SERVICIOS GENERALES E.I.R.L.
✅NÚMERO DE CELULAR: 917861193
✅CORREO ELECTRÓNICO: francckeny@gmail.com
</t>
      </text>
    </comment>
    <comment authorId="463" xr:uid="{2c437dc1-c950-428c-b15c-de3ee7f5a861}" ref="C46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464" xr:uid="{2c6ef71f-7b74-400b-a0de-6b1785372b5d}" ref="AF676">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465" xr:uid="{2cc164fb-f30e-45c0-8db7-9ecc5facd7cb}" ref="AF362">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466" xr:uid="{2cd563c1-e057-43cf-aad7-840c8e35bd8b}" ref="J619">
      <text>
        <t xml:space="preserve">[Threaded comment]
 Your version of Excel allows you to read this threaded comment; however, any edits to it will get removed if the file is opened in a newer version of Excel. Learn more: https://go.microsoft.com/fwlink/?linkid=870924
Comment:
	https://drive.google.com/file/d/1WI4YKi8nwcb2vWzGzpYqH8ZdpO-R-uUi/view?usp=drive_link
</t>
      </text>
    </comment>
    <comment authorId="467" xr:uid="{2cd984e9-d9bc-401f-8d0e-4804020b49a7}" ref="J49">
      <text>
        <t xml:space="preserve">[Threaded comment]
 Your version of Excel allows you to read this threaded comment; however, any edits to it will get removed if the file is opened in a newer version of Excel. Learn more: https://go.microsoft.com/fwlink/?linkid=870924
Comment:
	https://drive.google.com/file/d/1pI26tygF3-F_1PbZRKO5zxwPSGF1_8_m/view?usp=drive_link
</t>
      </text>
    </comment>
    <comment authorId="468" xr:uid="{2d077560-037b-431f-81c8-43e74d084525}" ref="J637">
      <text>
        <t xml:space="preserve">[Threaded comment]
 Your version of Excel allows you to read this threaded comment; however, any edits to it will get removed if the file is opened in a newer version of Excel. Learn more: https://go.microsoft.com/fwlink/?linkid=870924
Comment:
	https://drive.google.com/file/d/1j_JwfzG1kr5S4-fF13wfBio9lnrzcBsC/view?usp=drive_link
</t>
      </text>
    </comment>
    <comment authorId="469" xr:uid="{2d42a264-3f34-4ca1-8a26-9a0b1d27bdac}" ref="J525">
      <text>
        <t xml:space="preserve">[Threaded comment]
 Your version of Excel allows you to read this threaded comment; however, any edits to it will get removed if the file is opened in a newer version of Excel. Learn more: https://go.microsoft.com/fwlink/?linkid=870924
Comment:
	https://drive.google.com/file/d/1NMPgCnJvFnHnX_hX6Gp6uB5Q6EJPmuz7/view?usp=drive_link
</t>
      </text>
    </comment>
    <comment authorId="470" xr:uid="{2d5a9bf6-4e6e-4f92-abc1-e2a9979ea64f}" ref="C36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https://www.microcenter.com/product/695521/dell-alienware-16-area-51-aa16250-16-gaming-laptop-computer-liquid-teal?storeid=185
</t>
      </text>
    </comment>
    <comment authorId="471" xr:uid="{2d73bc91-5ea7-42d2-8d3c-b8d6f163a3f2}" ref="J802">
      <text>
        <t xml:space="preserve">[Threaded comment]
 Your version of Excel allows you to read this threaded comment; however, any edits to it will get removed if the file is opened in a newer version of Excel. Learn more: https://go.microsoft.com/fwlink/?linkid=870924
Comment:
	https://drive.google.com/file/d/1G5kzcIvcLxA4Pz-Rh-Ydpc7DGe5u4ksB/view?usp=drive_link
Reply:
	https://drive.google.com/file/d/1W9oIv4C9i0USQi2_T2kb_pMeWFGvZGJv/view?usp=drive_link
</t>
      </text>
    </comment>
    <comment authorId="472" xr:uid="{2d926281-08a6-49e4-abba-5a44e6c00b83}" ref="AF224">
      <text>
        <t xml:space="preserve">[Threaded comment]
 Your version of Excel allows you to read this threaded comment; however, any edits to it will get removed if the file is opened in a newer version of Excel. Learn more: https://go.microsoft.com/fwlink/?linkid=870924
Comment:
	precio
</t>
      </text>
    </comment>
    <comment authorId="473" xr:uid="{2d9b8ce1-8788-4659-864e-b0c18e3f3b6b}" ref="C466">
      <text>
        <t xml:space="preserve">[Threaded comment]
 Your version of Excel allows you to read this threaded comment; however, any edits to it will get removed if the file is opened in a newer version of Excel. Learn more: https://go.microsoft.com/fwlink/?linkid=870924
Comment:
	https://www.ebay.com/itm/226967927108?_skw=laptop+gaming+32gb&amp;itmmeta=01KE7P9VB3C61K9XZ6Y1WJSFTF&amp;hash=item34d857b944:g:5JoAAeSwXlBo6UQF
</t>
      </text>
    </comment>
    <comment authorId="474" xr:uid="{2da4537c-8b1a-4716-a03a-b85e26ccb6c7}" ref="W436">
      <text>
        <t xml:space="preserve">[Threaded comment]
 Your version of Excel allows you to read this threaded comment; however, any edits to it will get removed if the file is opened in a newer version of Excel. Learn more: https://go.microsoft.com/fwlink/?linkid=870924
Comment:
	https://drive.google.com/file/d/1fpEkdKPQQKrY65gQNUBSz6x9QfzIqD4C/view?usp=drive_link
</t>
      </text>
    </comment>
    <comment authorId="475" xr:uid="{2db65483-08d7-45bc-8d8e-0aa3de59e264}" ref="W452">
      <text>
        <t xml:space="preserve">[Threaded comment]
 Your version of Excel allows you to read this threaded comment; however, any edits to it will get removed if the file is opened in a newer version of Excel. Learn more: https://go.microsoft.com/fwlink/?linkid=870924
Comment:
	https://drive.google.com/open?id=1kcKfKZcN9ErGFn4Uaujl0eonpPfzlLv-&amp;usp=drive_copy
</t>
      </text>
    </comment>
    <comment authorId="476" xr:uid="{2dda7b2f-ca0e-4a26-bf54-23706ec560ca}" ref="C412">
      <text>
        <t xml:space="preserve">[Threaded comment]
 Your version of Excel allows you to read this threaded comment; however, any edits to it will get removed if the file is opened in a newer version of Excel. Learn more: https://go.microsoft.com/fwlink/?linkid=870924
Comment:
	https://www.ebay.com/itm/197489937322?_skw=laptop+gaming&amp;itmmeta=01KCJDZ0EWFM7N9M765PFY50Q6&amp;hash=item2dfb514baa:g:FBcAAeSwRfJpNxMD
</t>
      </text>
    </comment>
    <comment authorId="477" xr:uid="{2de3ed32-68d7-4c2f-8fcb-57566fa67206}" ref="K642">
      <text>
        <t xml:space="preserve">[Threaded comment]
 Your version of Excel allows you to read this threaded comment; however, any edits to it will get removed if the file is opened in a newer version of Excel. Learn more: https://go.microsoft.com/fwlink/?linkid=870924
Comment:
	https://drive.google.com/file/d/1vfeMi-yMqYNvNBYq3VS5HKIlfI3ouED4/view?usp=drive_link
Reply:
	https://drive.google.com/file/d/1KTtzDIB5aBNhHVvevcsLqAVOBNVtBJSt/view?usp=drive_link
</t>
      </text>
    </comment>
    <comment authorId="478" xr:uid="{2deb961b-3cf7-4256-808d-c98c78f3b595}" ref="J186">
      <text>
        <t xml:space="preserve">[Threaded comment]
 Your version of Excel allows you to read this threaded comment; however, any edits to it will get removed if the file is opened in a newer version of Excel. Learn more: https://go.microsoft.com/fwlink/?linkid=870924
Comment:
	https://drive.google.com/file/d/1fFwetBBlVFyfK4ZpXI2BYSVecGxdaHvs/view?usp=drive_link
</t>
      </text>
    </comment>
    <comment authorId="479" xr:uid="{2e01c0e6-a9a3-4464-b272-03402b2a7e33}" ref="K408">
      <text>
        <t xml:space="preserve">[Threaded comment]
 Your version of Excel allows you to read this threaded comment; however, any edits to it will get removed if the file is opened in a newer version of Excel. Learn more: https://go.microsoft.com/fwlink/?linkid=870924
Comment:
	https://drive.google.com/file/d/1embCuXNEH09vFlTEPxUlT_9_3zdupTNo/view?usp=drive_link
</t>
      </text>
    </comment>
    <comment authorId="480" xr:uid="{2e087ec8-1c35-4448-a965-914b6fe98ece}" ref="J287">
      <text>
        <t xml:space="preserve">[Threaded comment]
 Your version of Excel allows you to read this threaded comment; however, any edits to it will get removed if the file is opened in a newer version of Excel. Learn more: https://go.microsoft.com/fwlink/?linkid=870924
Comment:
	https://drive.google.com/file/d/1cqulx1I7a7Aq5eylSaIwEjCp45DvF8dM/view?usp=drive_link
</t>
      </text>
    </comment>
    <comment authorId="481" xr:uid="{2e1cab35-7c9f-4613-9d9c-52c69880b359}" ref="K405">
      <text>
        <t xml:space="preserve">[Threaded comment]
 Your version of Excel allows you to read this threaded comment; however, any edits to it will get removed if the file is opened in a newer version of Excel. Learn more: https://go.microsoft.com/fwlink/?linkid=870924
Comment:
	https://drive.google.com/file/d/15e7dl-Ea5e5IlzFY2HJ2rq_CLisHAlqa/view?usp=drive_link
</t>
      </text>
    </comment>
    <comment authorId="482" xr:uid="{2e20f614-d14d-4ab1-ab9f-26a723763b86}" ref="C787">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https://www.bhphotovideo.com/c/product/1875949-REG/lenovo_83f50052us_16_legion_pro_7.html
</t>
      </text>
    </comment>
    <comment authorId="483" xr:uid="{2e2ec85c-2c60-429e-836f-bcdffad72063}" ref="J196">
      <text>
        <t xml:space="preserve">[Threaded comment]
 Your version of Excel allows you to read this threaded comment; however, any edits to it will get removed if the file is opened in a newer version of Excel. Learn more: https://go.microsoft.com/fwlink/?linkid=870924
Comment:
	https://drive.google.com/file/d/1ViEN6YB_6X-DFZW_7e_CLpUsAfIg0VPf/view?usp=drive_link
</t>
      </text>
    </comment>
    <comment authorId="484" xr:uid="{2e338d96-7de6-48b0-a8e1-79d4f1bb9d21}" ref="K457">
      <text>
        <t xml:space="preserve">[Threaded comment]
 Your version of Excel allows you to read this threaded comment; however, any edits to it will get removed if the file is opened in a newer version of Excel. Learn more: https://go.microsoft.com/fwlink/?linkid=870924
Comment:
	https://drive.google.com/file/d/1ITHkWHSS1XLSFJbRJaIwgwLPXI0FxMDl/view?usp=drive_link
</t>
      </text>
    </comment>
    <comment authorId="485" xr:uid="{2e35eb3b-f235-4078-a1d6-837b3bee6bf1}" ref="Q501">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486" xr:uid="{2e41bbec-4cf8-45ea-a6a0-dc2d8050154d}" ref="K435">
      <text>
        <t xml:space="preserve">[Threaded comment]
 Your version of Excel allows you to read this threaded comment; however, any edits to it will get removed if the file is opened in a newer version of Excel. Learn more: https://go.microsoft.com/fwlink/?linkid=870924
Comment:
	https://drive.google.com/file/d/1YRBCtCD5GHRZOjXIDl4kPfGGskAui_zy/view?usp=drive_link
</t>
      </text>
    </comment>
    <comment authorId="487" xr:uid="{2e650c7e-49a2-4289-95f8-9af92bee6a3e}" ref="C595">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https://www.bhphotovideo.com/c/product/1883233-REG/lenovo_83f0001uus_15_1_legion_5i_gaming.html/specs
</t>
      </text>
    </comment>
    <comment authorId="488" xr:uid="{2eef1ff8-b03c-4b21-824f-8d5048552c55}" ref="J778">
      <text>
        <t xml:space="preserve">[Threaded comment]
 Your version of Excel allows you to read this threaded comment; however, any edits to it will get removed if the file is opened in a newer version of Excel. Learn more: https://go.microsoft.com/fwlink/?linkid=870924
Comment:
	https://drive.google.com/file/d/1VYApvPsLOE9DnQnPgOtYkImmClxYN3xF/view?usp=drive_link
</t>
      </text>
    </comment>
    <comment authorId="489" xr:uid="{2eeffa14-a967-4548-9699-6ab18f3bc93e}" ref="J546">
      <text>
        <t xml:space="preserve">[Threaded comment]
 Your version of Excel allows you to read this threaded comment; however, any edits to it will get removed if the file is opened in a newer version of Excel. Learn more: https://go.microsoft.com/fwlink/?linkid=870924
Comment:
	https://drive.google.com/file/d/1vFJpzw6EEgiNHoxfad9QbIg6g3u_kznu/view?usp=drive_link
</t>
      </text>
    </comment>
    <comment authorId="490" xr:uid="{2ef48dd4-f4a8-424a-ac28-fa51c932579b}" ref="J471">
      <text>
        <t xml:space="preserve">[Threaded comment]
 Your version of Excel allows you to read this threaded comment; however, any edits to it will get removed if the file is opened in a newer version of Excel. Learn more: https://go.microsoft.com/fwlink/?linkid=870924
Comment:
	https://drive.google.com/file/d/1aX-tFVpdkXxToBvSwWTzRpcNUwbcij35/view?usp=drive_link
</t>
      </text>
    </comment>
    <comment authorId="491" xr:uid="{2f17522d-7648-48bd-9300-210a8187cdfc}" ref="C568">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492" xr:uid="{2f1bdae2-5e26-42bd-8d95-f385956fa006}" ref="K496">
      <text>
        <t xml:space="preserve">[Threaded comment]
 Your version of Excel allows you to read this threaded comment; however, any edits to it will get removed if the file is opened in a newer version of Excel. Learn more: https://go.microsoft.com/fwlink/?linkid=870924
Comment:
	https://drive.google.com/file/d/1xqxxCeXmoTUQbLz3l_P8y4uTEsIcF2sG/view?usp=drive_link
</t>
      </text>
    </comment>
    <comment authorId="493" xr:uid="{2f2ed814-8646-4e46-aea7-a4753c022110}" ref="C762">
      <text>
        <t xml:space="preserve">[Threaded comment]
 Your version of Excel allows you to read this threaded comment; however, any edits to it will get removed if the file is opened in a newer version of Excel. Learn more: https://go.microsoft.com/fwlink/?linkid=870924
Comment:
	https://www.ebay.com/itm/205579362723
</t>
      </text>
    </comment>
    <comment authorId="494" xr:uid="{2f340df0-3acc-46c3-902a-cffdb4333a07}" ref="Y433">
      <text>
        <t xml:space="preserve">[Threaded comment]
 Your version of Excel allows you to read this threaded comment; however, any edits to it will get removed if the file is opened in a newer version of Excel. Learn more: https://go.microsoft.com/fwlink/?linkid=870924
Comment:
	Envió DNI al privado
</t>
      </text>
    </comment>
    <comment authorId="495" xr:uid="{2f50ad8e-aa93-4f4c-9c54-d4f992cb6b98}" ref="K319">
      <text>
        <t xml:space="preserve">[Threaded comment]
 Your version of Excel allows you to read this threaded comment; however, any edits to it will get removed if the file is opened in a newer version of Excel. Learn more: https://go.microsoft.com/fwlink/?linkid=870924
Comment:
	https://drive.google.com/file/d/17wCyRcPkbc9GwBSCxB1OgsAeQUP-ZuCv/view?usp=drive_link
Reply:
	https://drive.google.com/file/d/11kQlnn0fhkR9UxjErAYzbs21wwv60aKq/view?usp=drive_link
</t>
      </text>
    </comment>
    <comment authorId="496" xr:uid="{2f70b032-7528-4506-b4f1-d8be060fa003}" ref="J365">
      <text>
        <t xml:space="preserve">[Threaded comment]
 Your version of Excel allows you to read this threaded comment; however, any edits to it will get removed if the file is opened in a newer version of Excel. Learn more: https://go.microsoft.com/fwlink/?linkid=870924
Comment:
	https://drive.google.com/file/d/10VX8qoNTLCa7H6ZGZF_gIwVABL_4Qb46/view?usp=drive_link
Reply:
	https://drive.google.com/file/d/1lbyZsrjiM_jwQPipo_6osxrT1C5TWFn9/view?usp=drive_link
</t>
      </text>
    </comment>
    <comment authorId="497" xr:uid="{2faa3cd0-d81e-4241-86fb-3b3bc208ed36}" ref="C576">
      <text>
        <t xml:space="preserve">[Threaded comment]
 Your version of Excel allows you to read this threaded comment; however, any edits to it will get removed if the file is opened in a newer version of Excel. Learn more: https://go.microsoft.com/fwlink/?linkid=870924
Comment:
	https://www.costco.com/p/-/acer-predator-helios-neo-16-ai-gaming-laptop-intel-core-ultra-9-275hx-processor-16-2560-x-1600-240hz-display-nvidia-rtx-5070-ti-12gb-1-tb-ssd-windows-11-home/4000398640?langId=-1
</t>
      </text>
    </comment>
    <comment authorId="498" xr:uid="{2facbb72-62fa-42c7-878a-005e04b4233f}" ref="K581">
      <text>
        <t xml:space="preserve">[Threaded comment]
 Your version of Excel allows you to read this threaded comment; however, any edits to it will get removed if the file is opened in a newer version of Excel. Learn more: https://go.microsoft.com/fwlink/?linkid=870924
Comment:
	https://drive.google.com/file/d/1o5Bk5a03wkvjgoILHyO0vH2GpHeZ7a6Y/view?usp=drive_link
</t>
      </text>
    </comment>
    <comment authorId="499" xr:uid="{2fde6cd5-e309-4335-bea2-813d2ce5b9e1}"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https://drive.google.com/file/d/1LhzIMLNGuX_k_86ikKsbdfOVSYuFNvLm/view?usp=drive_link
Reply:
	https://drive.google.com/file/d/1EuAWAT-G4-0Wuh2_Eqg6axJs98NvtvLR/view?usp=drive_link
</t>
      </text>
    </comment>
    <comment authorId="500" xr:uid="{2fe9137b-c0b2-4297-96c0-7f644e83dda5}" ref="AF640">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501" xr:uid="{2ff10d61-2be1-4849-932c-a5f01b09e1e9}" ref="AF431">
      <text>
        <t xml:space="preserve">[Threaded comment]
 Your version of Excel allows you to read this threaded comment; however, any edits to it will get removed if the file is opened in a newer version of Excel. Learn more: https://go.microsoft.com/fwlink/?linkid=870924
Comment:
	VENTAL FINAL, EXCEDENTE, FIXIT
</t>
      </text>
    </comment>
    <comment authorId="502" xr:uid="{3019e34f-6a8b-4079-9fed-9bda511d9d8a}" ref="J111">
      <text>
        <t xml:space="preserve">[Threaded comment]
 Your version of Excel allows you to read this threaded comment; however, any edits to it will get removed if the file is opened in a newer version of Excel. Learn more: https://go.microsoft.com/fwlink/?linkid=870924
Comment:
	https://drive.google.com/file/d/1gVfoB9ANYPQpWnNwp9-JIaCpsNUATt6C/view?usp=drive_link
</t>
      </text>
    </comment>
    <comment authorId="503" xr:uid="{302dc4f6-e176-4029-acf1-5b57c7df73db}" ref="J59">
      <text>
        <t xml:space="preserve">[Threaded comment]
 Your version of Excel allows you to read this threaded comment; however, any edits to it will get removed if the file is opened in a newer version of Excel. Learn more: https://go.microsoft.com/fwlink/?linkid=870924
Comment:
	https://drive.google.com/file/d/1qgWF90HHKfBkcHsYDuhErH8kLuuXEWPS/view?usp=drive_link
</t>
      </text>
    </comment>
    <comment authorId="504" xr:uid="{3032d387-7929-4633-8ed7-2be613d9539e}" ref="W166">
      <text>
        <t xml:space="preserve">[Threaded comment]
 Your version of Excel allows you to read this threaded comment; however, any edits to it will get removed if the file is opened in a newer version of Excel. Learn more: https://go.microsoft.com/fwlink/?linkid=870924
Comment:
	https://drive.google.com/file/d/1uXGbTCFw3U4NEGAJEkbN7w4QLHWGRCNY/view?usp=drive_link
</t>
      </text>
    </comment>
    <comment authorId="505" xr:uid="{30468cc0-2e02-426a-9ecf-2c10449b08ed}" ref="AF42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506" xr:uid="{3057f8a5-6131-4ad3-ac1e-e9cfac70092c}" ref="C381">
      <text>
        <t xml:space="preserve">[Threaded comment]
 Your version of Excel allows you to read this threaded comment; however, any edits to it will get removed if the file is opened in a newer version of Excel. Learn more: https://go.microsoft.com/fwlink/?linkid=870924
Comment:
	https://www.ebay.com/itm/306423604443?_skw=5070&amp;itmmeta=01KB8W4S9GH2PPBWC0WRH18EPD&amp;hash=item47584524db:g:IvYAAeSw5YZpJxRn
</t>
      </text>
    </comment>
    <comment authorId="507" xr:uid="{3075320a-18b3-4234-9362-a498f114264e}" ref="AF489">
      <text>
        <t xml:space="preserve">[Threaded comment]
 Your version of Excel allows you to read this threaded comment; however, any edits to it will get removed if the file is opened in a newer version of Excel. Learn more: https://go.microsoft.com/fwlink/?linkid=870924
Comment:
	accesorios
</t>
      </text>
    </comment>
    <comment authorId="508" xr:uid="{309d1810-8ea8-4b7d-836e-7e7591882fbf}" ref="W155">
      <text>
        <t xml:space="preserve">[Threaded comment]
 Your version of Excel allows you to read this threaded comment; however, any edits to it will get removed if the file is opened in a newer version of Excel. Learn more: https://go.microsoft.com/fwlink/?linkid=870924
Comment:
	https://drive.google.com/file/d/1bMKzARbxdGkuKgXv_i8QzAR8Y-5YbDOh/view?usp=drive_link
</t>
      </text>
    </comment>
    <comment authorId="509" xr:uid="{30a1b004-0da2-4203-b8ee-882f20694ed1}" ref="W359">
      <text>
        <t xml:space="preserve">[Threaded comment]
 Your version of Excel allows you to read this threaded comment; however, any edits to it will get removed if the file is opened in a newer version of Excel. Learn more: https://go.microsoft.com/fwlink/?linkid=870924
Comment:
	https://drive.google.com/file/d/1geBAHFUFUNZnA3atNWiZ4PtSrUcJXbRW/view?usp=drive_link
</t>
      </text>
    </comment>
    <comment authorId="510" xr:uid="{30ab832d-e177-44aa-b623-7851c3f7e218}" ref="K566">
      <text>
        <t xml:space="preserve">[Threaded comment]
 Your version of Excel allows you to read this threaded comment; however, any edits to it will get removed if the file is opened in a newer version of Excel. Learn more: https://go.microsoft.com/fwlink/?linkid=870924
Comment:
	https://drive.google.com/file/d/1Y2EHKLixXIxoMyGCs7iZ1jSAhz4gT26R/view?usp=drive_link
Reply:
	https://drive.google.com/file/d/1vvSScCWI4myjbHN2t3MuFUmeo8wxWDXK/view?usp=drive_link
</t>
      </text>
    </comment>
    <comment authorId="511" xr:uid="{30b60144-e6e9-4754-91bf-691f41c5df54}" ref="J435">
      <text>
        <t xml:space="preserve">[Threaded comment]
 Your version of Excel allows you to read this threaded comment; however, any edits to it will get removed if the file is opened in a newer version of Excel. Learn more: https://go.microsoft.com/fwlink/?linkid=870924
Comment:
	https://drive.google.com/file/d/1rAFiWKNiSCoAIxvBccnmJMygduKPni8o/view?usp=drive_link
https://drive.google.com/file/d/1JaAUHlpIQxR8SH9LLWcJf4MrUbYZhhG0/view?usp=drive_link
https://drive.google.com/file/d/1zp94xDIHVrFjbzIT4PlXjE1km4265asW/view?usp=drive_link
</t>
      </text>
    </comment>
    <comment authorId="512" xr:uid="{30cf345f-2bc9-4afd-ab3d-b3b975a72e3e}" ref="C765">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https://us-store.msi.com/Laptops/Gaming-Series/Vector-GP-Series/Vector-16-HX-AI-A2XWIG-420US
</t>
      </text>
    </comment>
    <comment authorId="513" xr:uid="{30de5951-08f1-4b5e-bd4a-ac1ec14876b6}" ref="J341">
      <text>
        <t xml:space="preserve">[Threaded comment]
 Your version of Excel allows you to read this threaded comment; however, any edits to it will get removed if the file is opened in a newer version of Excel. Learn more: https://go.microsoft.com/fwlink/?linkid=870924
Comment:
	https://drive.google.com/file/d/1WcCuNg0UvGVOpY9caEhfJC6Zu4OzETh_/view?usp=drive_link
Reply:
	https://drive.google.com/file/d/1X4eWynATNA1-qSPKtduOiltq4_OdqRaE/view?usp=drive_link
Reply:
	https://drive.google.com/file/d/1u8hnwcU6oi-cotnKN6NLDne0q3pCWS3Q/view?usp=drive_link
Reply:
	https://drive.google.com/file/d/1EDlgqzC-xQuF0xHtE5094K-ud5UHY9-k/view?usp=drive_link
Reply:
	https://drive.google.com/file/d/1FWFDGwPa2xTIkbXA1lxfxTgEdpcIcRse/view?usp=drive_link
</t>
      </text>
    </comment>
    <comment authorId="514" xr:uid="{30fe33fc-fe9f-49d2-b036-f76649712664}" ref="C259">
      <text>
        <t xml:space="preserve">[Threaded comment]
 Your version of Excel allows you to read this threaded comment; however, any edits to it will get removed if the file is opened in a newer version of Excel. Learn more: https://go.microsoft.com/fwlink/?linkid=870924
Comment:
	https://www.ebay.com/itm/197444306465?_skw=laptop+rtx&amp;itmmeta=01K6CRG707NE0A31SQRZ74DF9Z&amp;hash=item2df8990621:g:qo0AAeSwwfdo15Hx
</t>
      </text>
    </comment>
    <comment authorId="515" xr:uid="{310a28f7-0e70-44ed-95b4-f1a1d7edcaf4}" ref="C22">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https://www.bhphotovideo.com/c/product/1881482-REG/asus_g713pi_xb96_17_3_rog_strix_g17.html
</t>
      </text>
    </comment>
    <comment authorId="516" xr:uid="{310e1ccf-b029-4ae7-8cf0-791e1f28b0cc}" ref="J684">
      <text>
        <t xml:space="preserve">[Threaded comment]
 Your version of Excel allows you to read this threaded comment; however, any edits to it will get removed if the file is opened in a newer version of Excel. Learn more: https://go.microsoft.com/fwlink/?linkid=870924
Comment:
	https://drive.google.com/file/d/1qfXBx7d3fRsVgxP6Lw1vtpgdzHwQCWEW/view?usp=drive_link
</t>
      </text>
    </comment>
    <comment authorId="517" xr:uid="{31155cb2-b8a5-4274-82d1-5911d2d1f320}" ref="W349">
      <text>
        <t xml:space="preserve">[Threaded comment]
 Your version of Excel allows you to read this threaded comment; however, any edits to it will get removed if the file is opened in a newer version of Excel. Learn more: https://go.microsoft.com/fwlink/?linkid=870924
Comment:
	https://drive.google.com/file/d/14SPALSXmH9m8Z5cB-AEjRQm7ksORboPH/view?usp=drive_link
</t>
      </text>
    </comment>
    <comment authorId="518" xr:uid="{31979768-0938-40f7-a53d-02d38e79301b}" ref="J556">
      <text>
        <t xml:space="preserve">[Threaded comment]
 Your version of Excel allows you to read this threaded comment; however, any edits to it will get removed if the file is opened in a newer version of Excel. Learn more: https://go.microsoft.com/fwlink/?linkid=870924
Comment:
	hizo pago del equipo+garantia 449 https://drive.google.com/file/d/1nt2OsrczxWNt39ezaPhFOhVMcDIQwTw_/view?usp=drive_link
</t>
      </text>
    </comment>
    <comment authorId="519" xr:uid="{3198bd20-3d17-44ba-a693-5fcbe0505f0c}" ref="W193">
      <text>
        <t xml:space="preserve">[Threaded comment]
 Your version of Excel allows you to read this threaded comment; however, any edits to it will get removed if the file is opened in a newer version of Excel. Learn more: https://go.microsoft.com/fwlink/?linkid=870924
Comment:
	https://drive.google.com/file/d/18gekpNEhF4KkMIJjd9K4pBMs4h8CqIUQ/view?usp=drive_link
</t>
      </text>
    </comment>
    <comment authorId="520" xr:uid="{31a49965-1cd0-48f0-8abb-96a54d0e6814}" ref="O291">
      <text>
        <t xml:space="preserve">[Threaded comment]
 Your version of Excel allows you to read this threaded comment; however, any edits to it will get removed if the file is opened in a newer version of Excel. Learn more: https://go.microsoft.com/fwlink/?linkid=870924
Comment:
	75 es para mouse y audifonos
</t>
      </text>
    </comment>
    <comment authorId="521" xr:uid="{31cd14f6-eef3-487b-aeea-0ae5f90d9d8e}" ref="AF503">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522" xr:uid="{31d0ff9c-934d-42a8-8d77-8292ef7c58f2}" ref="J466">
      <text>
        <t xml:space="preserve">[Threaded comment]
 Your version of Excel allows you to read this threaded comment; however, any edits to it will get removed if the file is opened in a newer version of Excel. Learn more: https://go.microsoft.com/fwlink/?linkid=870924
Comment:
	https://drive.google.com/file/d/1w5oy60oBS-_xseJcVuyOVgh27lmGq4fA/view?usp=drive_link
</t>
      </text>
    </comment>
    <comment authorId="523" xr:uid="{31db4b97-b1fb-440c-881a-61d2906d9e77}" ref="N252">
      <text>
        <t xml:space="preserve">[Threaded comment]
 Your version of Excel allows you to read this threaded comment; however, any edits to it will get removed if the file is opened in a newer version of Excel. Learn more: https://go.microsoft.com/fwlink/?linkid=870924
Comment:
	S/.1.115,22034
S/.1.315,9600
</t>
      </text>
    </comment>
    <comment authorId="524" xr:uid="{31f93aaf-b3d7-475d-8e66-3e1b70fb7ba0}" ref="W184">
      <text>
        <t xml:space="preserve">[Threaded comment]
 Your version of Excel allows you to read this threaded comment; however, any edits to it will get removed if the file is opened in a newer version of Excel. Learn more: https://go.microsoft.com/fwlink/?linkid=870924
Comment:
	https://drive.google.com/file/d/1xJsqwRcC1ozvc-AlFUK3VlZxNBikp3mk/view?usp=drive_link
</t>
      </text>
    </comment>
    <comment authorId="525" xr:uid="{323b50ec-abd5-4540-ae8b-ed209ad153a8}" ref="U567">
      <text>
        <t xml:space="preserve">[Threaded comment]
 Your version of Excel allows you to read this threaded comment; however, any edits to it will get removed if the file is opened in a newer version of Excel. Learn more: https://go.microsoft.com/fwlink/?linkid=870924
Comment:
	soporte
</t>
      </text>
    </comment>
    <comment authorId="526" xr:uid="{3246d32d-6961-4f5c-8ccb-b620b6503393}" ref="J626">
      <text>
        <t xml:space="preserve">[Threaded comment]
 Your version of Excel allows you to read this threaded comment; however, any edits to it will get removed if the file is opened in a newer version of Excel. Learn more: https://go.microsoft.com/fwlink/?linkid=870924
Comment:
	https://drive.google.com/file/d/1-HZ9J_pWdLFjbV9kf4k7y8Dq593SAe5m/view?usp=drive_link
</t>
      </text>
    </comment>
    <comment authorId="527" xr:uid="{324a3974-8fba-4633-bfa3-d2d87073e126}" ref="C489">
      <text>
        <t xml:space="preserve">[Threaded comment]
 Your version of Excel allows you to read this threaded comment; however, any edits to it will get removed if the file is opened in a newer version of Excel. Learn more: https://go.microsoft.com/fwlink/?linkid=870924
Comment:
	https://www.amazon.com/Almohadilla-refrigeraci%C3%B3n-turboventilador-enfriamiento-concentrador/dp/B0CDC3XW44?th=1&amp;language=es_US&amp;currency=PEN
</t>
      </text>
    </comment>
    <comment authorId="528" xr:uid="{32811aa5-1048-49c0-9839-782cd8a4980c}" ref="W331">
      <text>
        <t xml:space="preserve">[Threaded comment]
 Your version of Excel allows you to read this threaded comment; however, any edits to it will get removed if the file is opened in a newer version of Excel. Learn more: https://go.microsoft.com/fwlink/?linkid=870924
Comment:
	https://drive.google.com/file/d/1DR7l6w3pJiR4wefmRwKyYbstCdmQTyTE/view?usp=drive_link
</t>
      </text>
    </comment>
    <comment authorId="529" xr:uid="{32929003-9406-47bd-9352-c316fb85f4d4}" ref="J548">
      <text>
        <t xml:space="preserve">[Threaded comment]
 Your version of Excel allows you to read this threaded comment; however, any edits to it will get removed if the file is opened in a newer version of Excel. Learn more: https://go.microsoft.com/fwlink/?linkid=870924
Comment:
	https://drive.google.com/file/d/11JX4ijCWC_vJh1Xr_6gp5JoDPyS3ccGF/view?usp=drive_link
</t>
      </text>
    </comment>
    <comment authorId="530" xr:uid="{329bafd4-62eb-46be-bd90-f09bb515ee63}" ref="W271">
      <text>
        <t xml:space="preserve">[Threaded comment]
 Your version of Excel allows you to read this threaded comment; however, any edits to it will get removed if the file is opened in a newer version of Excel. Learn more: https://go.microsoft.com/fwlink/?linkid=870924
Comment:
	https://drive.google.com/file/d/1oG-9o0wUELVo-L-dUVPdbrHxrnYx7ZCW/view?usp=drive_link
</t>
      </text>
    </comment>
    <comment authorId="531" xr:uid="{32aba9d5-238c-43ae-ab4a-0eadf5e36df3}" ref="K535">
      <text>
        <t xml:space="preserve">[Threaded comment]
 Your version of Excel allows you to read this threaded comment; however, any edits to it will get removed if the file is opened in a newer version of Excel. Learn more: https://go.microsoft.com/fwlink/?linkid=870924
Comment:
	https://drive.google.com/file/d/1aflHk_QIskeB2f9NgsUrNX9apU-v6vtz/view?usp=drive_link
https://drive.google.com/file/d/1kQtFCta-Ge8Ql7l14R4oMRzrs8kdT0FB/view?usp=drive_link
</t>
      </text>
    </comment>
    <comment authorId="532" xr:uid="{32ba1ec7-8b30-4e30-a8a3-58a3485a0725}" ref="K561">
      <text>
        <t xml:space="preserve">[Threaded comment]
 Your version of Excel allows you to read this threaded comment; however, any edits to it will get removed if the file is opened in a newer version of Excel. Learn more: https://go.microsoft.com/fwlink/?linkid=870924
Comment:
	https://drive.google.com/file/d/1vdI15oRmfcgtJu57a2jIL_8wLK5N_XvI/view?usp=drive_link
Reply:
	https://drive.google.com/file/d/17O14n7gCtrHdzPhCS2gl0lZ6ZCVdIT-Z/view?usp=drive_link
Reply:
	https://drive.google.com/file/d/14qNHJD0Pjl91NpIG6LGFNqjdZROHWFty/view?usp=drive_link
</t>
      </text>
    </comment>
    <comment authorId="533" xr:uid="{32cc0563-16ba-4f95-a5bc-ce07e948c0fe}" ref="J236">
      <text>
        <t xml:space="preserve">[Threaded comment]
 Your version of Excel allows you to read this threaded comment; however, any edits to it will get removed if the file is opened in a newer version of Excel. Learn more: https://go.microsoft.com/fwlink/?linkid=870924
Comment:
	https://drive.google.com/file/d/1lLdEOkK2wSRssxUQrqRmO2SYQDr0kqne/view?usp=drive_link
</t>
      </text>
    </comment>
    <comment authorId="534" xr:uid="{32cc981b-9bf7-4f82-87f0-9f648bc402dc}" ref="L245">
      <text>
        <t xml:space="preserve">[Threaded comment]
 Your version of Excel allows you to read this threaded comment; however, any edits to it will get removed if the file is opened in a newer version of Excel. Learn more: https://go.microsoft.com/fwlink/?linkid=870924
Comment:
	https://drive.google.com/file/d/1ijt0EZnWOlmzJLNY5HyLF5j3hem9JqvL/view?usp=drive_link
Reply:
	https://drive.google.com/file/d/16EYdKMtzEr9_CZ5VJUk2vmKy9XVkIwJN/view?usp=drive_link
</t>
      </text>
    </comment>
    <comment authorId="535" xr:uid="{32d0004e-8eb7-465d-9227-da4ae4864791}" ref="K691">
      <text>
        <t xml:space="preserve">[Threaded comment]
 Your version of Excel allows you to read this threaded comment; however, any edits to it will get removed if the file is opened in a newer version of Excel. Learn more: https://go.microsoft.com/fwlink/?linkid=870924
Comment:
	https://drive.google.com/file/d/1-ZtiKJz_TnYtndS1CU_u8v50EVaNOJtd/view?usp=drive_link
</t>
      </text>
    </comment>
    <comment authorId="536" xr:uid="{32f8c942-aac6-4ed4-8226-01ab71ed1a4a}" ref="Y286">
      <text>
        <t xml:space="preserve">[Threaded comment]
 Your version of Excel allows you to read this threaded comment; however, any edits to it will get removed if the file is opened in a newer version of Excel. Learn more: https://go.microsoft.com/fwlink/?linkid=870924
Comment:
	MENOR DE EDAD
</t>
      </text>
    </comment>
    <comment authorId="537" xr:uid="{332f767d-fc5e-442b-93d3-ff62338db2f5}" ref="J553">
      <text>
        <t xml:space="preserve">[Threaded comment]
 Your version of Excel allows you to read this threaded comment; however, any edits to it will get removed if the file is opened in a newer version of Excel. Learn more: https://go.microsoft.com/fwlink/?linkid=870924
Comment:
	https://drive.google.com/file/d/1eIJDDQfVAF7v3bTfw6_zWAaKh5O__gC-/view?usp=drive_link
</t>
      </text>
    </comment>
    <comment authorId="538" xr:uid="{336a781d-001b-435a-a30c-31ee82d6c19e}" ref="L87">
      <text>
        <t xml:space="preserve">[Threaded comment]
 Your version of Excel allows you to read this threaded comment; however, any edits to it will get removed if the file is opened in a newer version of Excel. Learn more: https://go.microsoft.com/fwlink/?linkid=870924
Comment:
	https://drive.google.com/file/d/1Ax4OC6_J1SXEKpKJJf1GSjs3gAwUBYq4/view?usp=drive_link
</t>
      </text>
    </comment>
    <comment authorId="539" xr:uid="{3379b20d-bea4-4ff1-9294-4ae8319a988a}" ref="C518">
      <text>
        <t xml:space="preserve">[Threaded comment]
 Your version of Excel allows you to read this threaded comment; however, any edits to it will get removed if the file is opened in a newer version of Excel. Learn more: https://go.microsoft.com/fwlink/?linkid=870924
Comment:
	https://www.ebay.com/itm/326645194194?_ul=PE
</t>
      </text>
    </comment>
    <comment authorId="540" xr:uid="{33821431-a1b5-499c-bcc7-07a82eee5d5b}" ref="K589">
      <text>
        <t xml:space="preserve">[Threaded comment]
 Your version of Excel allows you to read this threaded comment; however, any edits to it will get removed if the file is opened in a newer version of Excel. Learn more: https://go.microsoft.com/fwlink/?linkid=870924
Comment:
	https://drive.google.com/file/d/1p9Xdf6JwSxSH8PlvWTwsv-umkcLcjuvI/view?usp=drive_link
</t>
      </text>
    </comment>
    <comment authorId="541" xr:uid="{33af7c4c-ae5a-48da-a0f8-94587b86cc08}" ref="W383">
      <text>
        <t xml:space="preserve">[Threaded comment]
 Your version of Excel allows you to read this threaded comment; however, any edits to it will get removed if the file is opened in a newer version of Excel. Learn more: https://go.microsoft.com/fwlink/?linkid=870924
Comment:
	https://drive.google.com/file/d/1-rgK8y79kX3YJWQZZf_qypmF-9dvcSLl/view?usp=drive_link
</t>
      </text>
    </comment>
    <comment authorId="542" xr:uid="{33cf3208-566a-4e74-8f05-c04aecd44ecf}" ref="D246">
      <text>
        <t xml:space="preserve">[Threaded comment]
 Your version of Excel allows you to read this threaded comment; however, any edits to it will get removed if the file is opened in a newer version of Excel. Learn more: https://go.microsoft.com/fwlink/?linkid=870924
Comment:
	NOIMBRES: MICHAEL FERNANDO PEREZ CHOQUE
DNI: 74946707
NUMERO: 901293728
CORREO: cph.20ci@gmail.com
S/.858,99153
S/.1.013,6100
</t>
      </text>
    </comment>
    <comment authorId="543" xr:uid="{33f17831-1bef-461f-81be-36380c656b2a}" ref="L102">
      <text>
        <t xml:space="preserve">[Threaded comment]
 Your version of Excel allows you to read this threaded comment; however, any edits to it will get removed if the file is opened in a newer version of Excel. Learn more: https://go.microsoft.com/fwlink/?linkid=870924
Comment:
	https://drive.google.com/file/d/1y02B9FDLht-xxpa5--DeQmwRSfrs4lIX/view?usp=drive_link
</t>
      </text>
    </comment>
    <comment authorId="544" xr:uid="{341eb804-8973-4b97-b331-4fbe7e68b5df}" ref="AF62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545" xr:uid="{34540cab-4a8e-4a93-a4a4-91ebaa9c7a6f}" ref="W396">
      <text>
        <t xml:space="preserve">[Threaded comment]
 Your version of Excel allows you to read this threaded comment; however, any edits to it will get removed if the file is opened in a newer version of Excel. Learn more: https://go.microsoft.com/fwlink/?linkid=870924
Comment:
	https://drive.google.com/file/d/1XEnktLT5FYoEe6ZGF3NPHjJQ5Fk3-2ru/view?usp=drive_link
</t>
      </text>
    </comment>
    <comment authorId="546" xr:uid="{3459a5af-01da-41aa-91f4-f66a55067c62}" ref="K470">
      <text>
        <t xml:space="preserve">[Threaded comment]
 Your version of Excel allows you to read this threaded comment; however, any edits to it will get removed if the file is opened in a newer version of Excel. Learn more: https://go.microsoft.com/fwlink/?linkid=870924
Comment:
	https://drive.google.com/file/d/1h97JLnJRGk_YZh2YrBq46pLbJWwofG5M/view?usp=drive_link
</t>
      </text>
    </comment>
    <comment authorId="547" xr:uid="{34637084-6afe-4121-8feb-d6d10b1b858a}" ref="K453">
      <text>
        <t xml:space="preserve">[Threaded comment]
 Your version of Excel allows you to read this threaded comment; however, any edits to it will get removed if the file is opened in a newer version of Excel. Learn more: https://go.microsoft.com/fwlink/?linkid=870924
Comment:
	https://drive.google.com/file/d/1wB3iCzLYQ8L98Vym-oCjDdCGZHKf3QqJ/view?usp=drive_link
</t>
      </text>
    </comment>
    <comment authorId="548" xr:uid="{34fd4692-b5ae-4143-a010-4c3fd4440c6f}" ref="AF746">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549" xr:uid="{3503f40f-5543-4e2d-ba9d-d9c43904c52b}" ref="Q596">
      <text>
        <t xml:space="preserve">[Threaded comment]
 Your version of Excel allows you to read this threaded comment; however, any edits to it will get removed if the file is opened in a newer version of Excel. Learn more: https://go.microsoft.com/fwlink/?linkid=870924
Comment:
	FALTA PONER LO DE FIXIT
</t>
      </text>
    </comment>
    <comment authorId="550" xr:uid="{350abc12-add2-4140-89b7-8c2aa09054a1}" ref="C746">
      <text>
        <t xml:space="preserve">[Threaded comment]
 Your version of Excel allows you to read this threaded comment; however, any edits to it will get removed if the file is opened in a newer version of Excel. Learn more: https://go.microsoft.com/fwlink/?linkid=870924
Comment:
	https://shop.asus.com/us/30939-us-cnf-auto.html?config=90NR0KJ1-M00020
</t>
      </text>
    </comment>
    <comment authorId="551" xr:uid="{35126653-71cb-422d-9959-6d4ff3d12fe5}" ref="L303">
      <text>
        <t xml:space="preserve">[Threaded comment]
 Your version of Excel allows you to read this threaded comment; however, any edits to it will get removed if the file is opened in a newer version of Excel. Learn more: https://go.microsoft.com/fwlink/?linkid=870924
Comment:
	https://drive.google.com/file/d/1AMuA8xGTcdwfSAdCnGi-ob3hwClC4sN-/view?usp=drive_link
</t>
      </text>
    </comment>
    <comment authorId="552" xr:uid="{351f3798-6255-42a7-807d-a3020d3ecd6e}" ref="AG516">
      <text>
        <t xml:space="preserve">[Threaded comment]
 Your version of Excel allows you to read this threaded comment; however, any edits to it will get removed if the file is opened in a newer version of Excel. Learn more: https://go.microsoft.com/fwlink/?linkid=870924
Comment:
	no hay excedentes porque canceló la compra
</t>
      </text>
    </comment>
    <comment authorId="553" xr:uid="{354fe2f3-d8f7-4400-98d6-b63326e4d388}" ref="C770">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https://www.bhphotovideo.com/c/product/1875949-REG/lenovo_83f50052us_16_legion_pro_7.html
</t>
      </text>
    </comment>
    <comment authorId="554" xr:uid="{355d0c18-86f5-425c-9311-9326b77a619a}" ref="C802">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https://www.costco.com/p/-/asus-rog-strix-g18-18-gaming-laptop-intel-core-ultra-9-processor-275hx-geforce-rtx-5070ti-25k-240hz3ms-nebula-display-32gb-ram-2tb-ssd-windows-11-home/4000369199?sp=grs&amp;langId=-1
</t>
      </text>
    </comment>
    <comment authorId="555" xr:uid="{3586a0df-359c-4690-ac3f-712c31c65554}" ref="L150">
      <text>
        <t xml:space="preserve">[Threaded comment]
 Your version of Excel allows you to read this threaded comment; however, any edits to it will get removed if the file is opened in a newer version of Excel. Learn more: https://go.microsoft.com/fwlink/?linkid=870924
Comment:
	https://drive.google.com/file/d/1EgPqLwte2xJZiIz1rvt0e9qhjxgFXB0_/view?usp=drive_link
</t>
      </text>
    </comment>
    <comment authorId="556" xr:uid="{358a21fb-4d38-47eb-97fd-856065a89d11}" ref="K511">
      <text>
        <t xml:space="preserve">[Threaded comment]
 Your version of Excel allows you to read this threaded comment; however, any edits to it will get removed if the file is opened in a newer version of Excel. Learn more: https://go.microsoft.com/fwlink/?linkid=870924
Comment:
	https://drive.google.com/file/d/1D-zczMd3LGCLJnQqhS_8Uae6rlSQ_HJ4/view?usp=drive_link
</t>
      </text>
    </comment>
    <comment authorId="557" xr:uid="{358ea9de-1141-427e-afbf-706dd21ef7ea}" ref="K464">
      <text>
        <t xml:space="preserve">[Threaded comment]
 Your version of Excel allows you to read this threaded comment; however, any edits to it will get removed if the file is opened in a newer version of Excel. Learn more: https://go.microsoft.com/fwlink/?linkid=870924
Comment:
	https://drive.google.com/file/d/1OE_EGiq052Mi6keuH_y6bfuKXSH3KXha/view?usp=drive_link
Reply:
	https://drive.google.com/file/d/1NSzmm9WCyJbcjQeBE1SweG-RlE4kmlzD/view?usp=drive_link
</t>
      </text>
    </comment>
    <comment authorId="558" xr:uid="{35c0ff9f-52f5-4a15-aadb-fd865e67eb20}" ref="AF222">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559" xr:uid="{35c533ee-9fc3-4011-ab75-63f581c63e97}" ref="W315">
      <text>
        <t xml:space="preserve">[Threaded comment]
 Your version of Excel allows you to read this threaded comment; however, any edits to it will get removed if the file is opened in a newer version of Excel. Learn more: https://go.microsoft.com/fwlink/?linkid=870924
Comment:
	https://drive.google.com/file/d/1SK3kuZIAB6kj5fN_fDPGy6MXjrAewxJt/view?usp=drive_link
</t>
      </text>
    </comment>
    <comment authorId="560" xr:uid="{35d6c150-1392-475c-ad39-5d1c6d4fe514}" ref="W295">
      <text>
        <t xml:space="preserve">[Threaded comment]
 Your version of Excel allows you to read this threaded comment; however, any edits to it will get removed if the file is opened in a newer version of Excel. Learn more: https://go.microsoft.com/fwlink/?linkid=870924
Comment:
	https://drive.google.com/file/d/1bHDVF0w3GDa8n8wueBEVsYmBF81SAoXh/view?usp=drive_link
</t>
      </text>
    </comment>
    <comment authorId="561" xr:uid="{35dd8e1d-9af3-4861-852d-c1dba8e9f347}" ref="C38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562" xr:uid="{35dde276-0d00-4253-a0ae-55fc29276299}" ref="C68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563" xr:uid="{35ef30e5-80e6-4b95-88df-bfad6129fe87}" ref="S253">
      <text>
        <t xml:space="preserve">[Threaded comment]
 Your version of Excel allows you to read this threaded comment; however, any edits to it will get removed if the file is opened in a newer version of Excel. Learn more: https://go.microsoft.com/fwlink/?linkid=870924
Comment:
	https://drive.google.com/file/d/1hJJ0aZ_TrwsOCa9T-0M4zFdBNYGay4K3/view?usp=drive_link
</t>
      </text>
    </comment>
    <comment authorId="564" xr:uid="{36128bed-4013-4620-8cfc-a5f5acb517d3}" ref="Q514">
      <text>
        <t xml:space="preserve">[Threaded comment]
 Your version of Excel allows you to read this threaded comment; however, any edits to it will get removed if the file is opened in a newer version of Excel. Learn more: https://go.microsoft.com/fwlink/?linkid=870924
Comment:
	apertura+config inicial
</t>
      </text>
    </comment>
    <comment authorId="565" xr:uid="{361b3085-0a5b-463c-becc-7128ae907de0}" ref="L201">
      <text>
        <t xml:space="preserve">[Threaded comment]
 Your version of Excel allows you to read this threaded comment; however, any edits to it will get removed if the file is opened in a newer version of Excel. Learn more: https://go.microsoft.com/fwlink/?linkid=870924
Comment:
	https://drive.google.com/file/d/1ERFEnC0u173jb56l26F1FBjc9TtZytj5/view?usp=drive_link
</t>
      </text>
    </comment>
    <comment authorId="566" xr:uid="{36245875-69de-4cc1-9ee2-2932cf90ce6b}" ref="C620">
      <text>
        <t xml:space="preserve">[Threaded comment]
 Your version of Excel allows you to read this threaded comment; however, any edits to it will get removed if the file is opened in a newer version of Excel. Learn more: https://go.microsoft.com/fwlink/?linkid=870924
Comment:
	https://www.ebay.com/itm/326796274533?_skw=laptop+gaming&amp;itmmeta=01KKX6NN61STCVQPC9BRD6P2N7&amp;hash=item4c16936b65:g:iGwAAeSwpO5puFEd
</t>
      </text>
    </comment>
    <comment authorId="567" xr:uid="{3671f506-a983-4ea4-aaf1-3a8c45df6c7f}" ref="K325">
      <text>
        <t xml:space="preserve">[Threaded comment]
 Your version of Excel allows you to read this threaded comment; however, any edits to it will get removed if the file is opened in a newer version of Excel. Learn more: https://go.microsoft.com/fwlink/?linkid=870924
Comment:
	https://drive.google.com/file/d/1svTpFUMIdD9Djy4c2VsZF8py8Fx0HeAk/view?usp=drive_link
</t>
      </text>
    </comment>
    <comment authorId="568" xr:uid="{36b9d14b-45b1-4d67-9509-d8c2b260e5d4}" ref="C345">
      <text>
        <t xml:space="preserve">[Threaded comment]
 Your version of Excel allows you to read this threaded comment; however, any edits to it will get removed if the file is opened in a newer version of Excel. Learn more: https://go.microsoft.com/fwlink/?linkid=870924
Comment:
	https://www.ebay.com/itm/297569202248?_skw=laptop+gaming&amp;itmmeta=01KB0DCEBH3J8XWK1M4B49T1FP&amp;hash=item454881b048:g:QHcAAeSwe1RpJxWZ
</t>
      </text>
    </comment>
    <comment authorId="569" xr:uid="{36be7ba2-4b0a-4e8c-92bd-952752eac3f5}" ref="C24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https://www.microcenter.com/product/691907/asus-rog-strix-scar-16-g635lw-xs97-16-gaming-laptop-computer-off-black
</t>
      </text>
    </comment>
    <comment authorId="570" xr:uid="{36cb1bbf-44dc-4962-9ab2-51f8c98040e7}" ref="J163">
      <text>
        <t xml:space="preserve">[Threaded comment]
 Your version of Excel allows you to read this threaded comment; however, any edits to it will get removed if the file is opened in a newer version of Excel. Learn more: https://go.microsoft.com/fwlink/?linkid=870924
Comment:
	https://drive.google.com/file/d/1EpVwY3_VLXxgrPw2djkNCwo2JxlJgRFu/view?usp=drive_link
</t>
      </text>
    </comment>
    <comment authorId="571" xr:uid="{36d1b074-e952-494a-a2cc-5331ce22dc65}" ref="C446">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
</t>
      </text>
    </comment>
    <comment authorId="572" xr:uid="{36d649a4-bf18-42f0-abb7-5f69ce11f051}" ref="J476">
      <text>
        <t xml:space="preserve">[Threaded comment]
 Your version of Excel allows you to read this threaded comment; however, any edits to it will get removed if the file is opened in a newer version of Excel. Learn more: https://go.microsoft.com/fwlink/?linkid=870924
Comment:
	https://drive.google.com/file/d/1bMDmWTAyVWrmExZmKetVE3OdaS5T2Fil/view?usp=drive_link
</t>
      </text>
    </comment>
    <comment authorId="573" xr:uid="{36d795b7-1476-4cf0-9db1-ff9b107b3f1e}" ref="L210">
      <text>
        <t xml:space="preserve">[Threaded comment]
 Your version of Excel allows you to read this threaded comment; however, any edits to it will get removed if the file is opened in a newer version of Excel. Learn more: https://go.microsoft.com/fwlink/?linkid=870924
Comment:
	https://drive.google.com/file/d/1xxrD9qLkVXMjK45HnysAPNWpGAfPzOWB/view?usp=drive_link
</t>
      </text>
    </comment>
    <comment authorId="574" xr:uid="{37061a0f-7029-464c-9e44-9b6b0d8c1697}" ref="M727">
      <text>
        <t xml:space="preserve">[Threaded comment]
 Your version of Excel allows you to read this threaded comment; however, any edits to it will get removed if the file is opened in a newer version of Excel. Learn more: https://go.microsoft.com/fwlink/?linkid=870924
Comment:
	ya esta +20 dolares
</t>
      </text>
    </comment>
    <comment authorId="575" xr:uid="{37106a73-1a84-49cc-a100-4548c6a462fb}" ref="J596">
      <text>
        <t xml:space="preserve">[Threaded comment]
 Your version of Excel allows you to read this threaded comment; however, any edits to it will get removed if the file is opened in a newer version of Excel. Learn more: https://go.microsoft.com/fwlink/?linkid=870924
Comment:
	https://drive.google.com/file/d/1_tWRw1w1Bf-iDCN4klKsM3zynxIiqx2x/view?usp=drive_link
</t>
      </text>
    </comment>
    <comment authorId="576" xr:uid="{371bde9a-8bdb-4389-b776-ba739c244f23}" ref="W401">
      <text>
        <t xml:space="preserve">[Threaded comment]
 Your version of Excel allows you to read this threaded comment; however, any edits to it will get removed if the file is opened in a newer version of Excel. Learn more: https://go.microsoft.com/fwlink/?linkid=870924
Comment:
	https://drive.google.com/file/d/1yiI25L5nqoMXhP-cL7hlUhYaHHBCujGB/view?usp=drive_link
</t>
      </text>
    </comment>
    <comment authorId="577" xr:uid="{372d16e2-c880-400f-a4f8-d2e39f7aeea5}" ref="W206">
      <text>
        <t xml:space="preserve">[Threaded comment]
 Your version of Excel allows you to read this threaded comment; however, any edits to it will get removed if the file is opened in a newer version of Excel. Learn more: https://go.microsoft.com/fwlink/?linkid=870924
Comment:
	https://drive.google.com/file/d/1rPzjM-3bCgQ0ts5JujqxNaxcNWHkoggD/view?usp=drive_link
</t>
      </text>
    </comment>
    <comment authorId="578" xr:uid="{372eac6b-972d-46fd-939f-6c20dd8b1543}" ref="K388">
      <text>
        <t xml:space="preserve">[Threaded comment]
 Your version of Excel allows you to read this threaded comment; however, any edits to it will get removed if the file is opened in a newer version of Excel. Learn more: https://go.microsoft.com/fwlink/?linkid=870924
Comment:
	https://drive.google.com/file/d/1oQRGstVV2adfU90B1rr8DvxKrc6z24aC/view?usp=drive_link
</t>
      </text>
    </comment>
    <comment authorId="579" xr:uid="{3758b7a3-b3ca-4ce7-8192-611001817ebc}" ref="N197">
      <text>
        <t xml:space="preserve">[Threaded comment]
 Your version of Excel allows you to read this threaded comment; however, any edits to it will get removed if the file is opened in a newer version of Excel. Learn more: https://go.microsoft.com/fwlink/?linkid=870924
Comment:
	+15 envio
</t>
      </text>
    </comment>
    <comment authorId="580" xr:uid="{3774f310-49bc-4063-906a-58b539a69836}" ref="J401">
      <text>
        <t xml:space="preserve">[Threaded comment]
 Your version of Excel allows you to read this threaded comment; however, any edits to it will get removed if the file is opened in a newer version of Excel. Learn more: https://go.microsoft.com/fwlink/?linkid=870924
Comment:
	https://drive.google.com/file/d/1dkURh3pAvLJpLz_WHRduZ6qSqO3aLcdZ/view?usp=drive_link
</t>
      </text>
    </comment>
    <comment authorId="581" xr:uid="{377509f3-f031-4c0d-9195-60935d882697}" ref="AF365">
      <text>
        <t xml:space="preserve">[Threaded comment]
 Your version of Excel allows you to read this threaded comment; however, any edits to it will get removed if the file is opened in a newer version of Excel. Learn more: https://go.microsoft.com/fwlink/?linkid=870924
Comment:
	solo forms
</t>
      </text>
    </comment>
    <comment authorId="582" xr:uid="{378b3894-04e6-401d-924c-d4f71db8fd7e}" ref="O163">
      <text>
        <t xml:space="preserve">[Threaded comment]
 Your version of Excel allows you to read this threaded comment; however, any edits to it will get removed if the file is opened in a newer version of Excel. Learn more: https://go.microsoft.com/fwlink/?linkid=870924
Comment:
	200 dolares para el servicio de compra que equivale a 750 en soles
</t>
      </text>
    </comment>
    <comment authorId="583" xr:uid="{378d83bd-1009-4196-ba4e-4362c6aef50d}" ref="K339">
      <text>
        <t xml:space="preserve">[Threaded comment]
 Your version of Excel allows you to read this threaded comment; however, any edits to it will get removed if the file is opened in a newer version of Excel. Learn more: https://go.microsoft.com/fwlink/?linkid=870924
Comment:
	https://drive.google.com/file/d/1tgs68oqD1zVpzAcAsdxggdoyS-LQqriP/view?usp=drive_link
</t>
      </text>
    </comment>
    <comment authorId="584" xr:uid="{37b6eb5b-086d-4469-9d42-0e496922d219}" ref="Q484">
      <text>
        <t xml:space="preserve">[Threaded comment]
 Your version of Excel allows you to read this threaded comment; however, any edits to it will get removed if the file is opened in a newer version of Excel. Learn more: https://go.microsoft.com/fwlink/?linkid=870924
Comment:
	configuracion inicial con formateo y apertura
</t>
      </text>
    </comment>
    <comment authorId="585" xr:uid="{37cbbdf4-4a91-4fb9-a14d-8071b84442a1}" ref="K645">
      <text>
        <t xml:space="preserve">[Threaded comment]
 Your version of Excel allows you to read this threaded comment; however, any edits to it will get removed if the file is opened in a newer version of Excel. Learn more: https://go.microsoft.com/fwlink/?linkid=870924
Comment:
	https://drive.google.com/file/d/1BWR8DmDe1iUkm_vu3TAIE_Ga7vc2rdQD/view?usp=drive_link
</t>
      </text>
    </comment>
    <comment authorId="586" xr:uid="{37f8fc4d-8faf-48fd-8156-2194d4774ccf}" ref="T428">
      <text>
        <t xml:space="preserve">[Threaded comment]
 Your version of Excel allows you to read this threaded comment; however, any edits to it will get removed if the file is opened in a newer version of Excel. Learn more: https://go.microsoft.com/fwlink/?linkid=870924
Comment:
	100 dolares de servicio express
</t>
      </text>
    </comment>
    <comment authorId="587" xr:uid="{37fd4c95-6e99-4732-88ef-70444a8f7564}" ref="L285">
      <text>
        <t xml:space="preserve">[Threaded comment]
 Your version of Excel allows you to read this threaded comment; however, any edits to it will get removed if the file is opened in a newer version of Excel. Learn more: https://go.microsoft.com/fwlink/?linkid=870924
Comment:
	https://drive.google.com/file/d/147D17RJ30PuzZalfmw5x0SvxRuQC7n8_/view?usp=drive_link
</t>
      </text>
    </comment>
    <comment authorId="588" xr:uid="{381f8fe4-8f4c-4ed6-8365-9f4437e03e6a}" ref="C51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https://www.microcenter.com/product/704275/asus-rog-strix-g16-g615lw-cs94-16-gaming-laptop-computer-eclipse-gray
</t>
      </text>
    </comment>
    <comment authorId="589" xr:uid="{382c7ef8-7232-4812-bd35-e8efb7d544ee}" ref="J320">
      <text>
        <t xml:space="preserve">[Threaded comment]
 Your version of Excel allows you to read this threaded comment; however, any edits to it will get removed if the file is opened in a newer version of Excel. Learn more: https://go.microsoft.com/fwlink/?linkid=870924
Comment:
	https://drive.google.com/file/d/1fnry6L0stodkyug_TtwrdbrIxspYqlig/view?usp=drive_link
</t>
      </text>
    </comment>
    <comment authorId="590" xr:uid="{383b407a-9758-47aa-af30-d4dae0efceee}" ref="D256">
      <text>
        <t xml:space="preserve">[Threaded comment]
 Your version of Excel allows you to read this threaded comment; however, any edits to it will get removed if the file is opened in a newer version of Excel. Learn more: https://go.microsoft.com/fwlink/?linkid=870924
Comment:
	Christian Jhoel Quisca Vilca 
72469534
964678083
cjquisca@gmail.com
</t>
      </text>
    </comment>
    <comment authorId="591" xr:uid="{3861963f-90bb-487b-99ad-f12534d4b35c}" ref="C67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https://www.microcenter.com/product/698178/lenovo-legion-5-15ahp10-153-gaming-laptop-computer-eclipse-black
</t>
      </text>
    </comment>
    <comment authorId="592" xr:uid="{38a7a979-f3c2-4909-ac6a-b535e6fc9c48}" ref="L182">
      <text>
        <t xml:space="preserve">[Threaded comment]
 Your version of Excel allows you to read this threaded comment; however, any edits to it will get removed if the file is opened in a newer version of Excel. Learn more: https://go.microsoft.com/fwlink/?linkid=870924
Comment:
	https://drive.google.com/file/d/1LhzIMLNGuX_k_86ikKsbdfOVSYuFNvLm/view?usp=drive_link
Reply:
	https://drive.google.com/file/d/1EuAWAT-G4-0Wuh2_Eqg6axJs98NvtvLR/view?usp=drive_link
</t>
      </text>
    </comment>
    <comment authorId="593" xr:uid="{38af7c29-94bf-4fea-9dff-65b048a82231}" ref="K724">
      <text>
        <t xml:space="preserve">[Threaded comment]
 Your version of Excel allows you to read this threaded comment; however, any edits to it will get removed if the file is opened in a newer version of Excel. Learn more: https://go.microsoft.com/fwlink/?linkid=870924
Comment:
	https://drive.google.com/file/d/1je4gT-ahrnMYNSjp7V4f5oB2k7qstQii/view?usp=drive_link
Reply:
	4 mil lo pago Mercado Libre Link enviado por la Srta Sofia 27-6
</t>
      </text>
    </comment>
    <comment authorId="594" xr:uid="{38afa747-ffae-4def-b7eb-180f8e4dfa41}" ref="C535">
      <text>
        <t xml:space="preserve">[Threaded comment]
 Your version of Excel allows you to read this threaded comment; however, any edits to it will get removed if the file is opened in a newer version of Excel. Learn more: https://go.microsoft.com/fwlink/?linkid=870924
Comment:
	https://www.ebay.com/itm/306295101642?_skw=laptop+gaming&amp;itmmeta=01KH3A54ZV7H1R7DJZ2H3Y73X0&amp;hash=item47509c58ca:g:NAAAAeSwEvtoK4mm
</t>
      </text>
    </comment>
    <comment authorId="595" xr:uid="{38b3f228-32c8-4ef4-ac01-2c8b9c581e06}" ref="J206">
      <text>
        <t xml:space="preserve">[Threaded comment]
 Your version of Excel allows you to read this threaded comment; however, any edits to it will get removed if the file is opened in a newer version of Excel. Learn more: https://go.microsoft.com/fwlink/?linkid=870924
Comment:
	https://drive.google.com/file/d/1VVrbGWiPAfpN9vlMJslrkviuEvbrGzW-/view?usp=drive_link
</t>
      </text>
    </comment>
    <comment authorId="596" xr:uid="{38c4b089-e4f6-4e8f-a925-91f03649f6c5}" ref="Q604">
      <text>
        <t xml:space="preserve">[Threaded comment]
 Your version of Excel allows you to read this threaded comment; however, any edits to it will get removed if the file is opened in a newer version of Excel. Learn more: https://go.microsoft.com/fwlink/?linkid=870924
Comment:
	config inicial+apertura+antivirus
</t>
      </text>
    </comment>
    <comment authorId="597" xr:uid="{38c8d1fe-d4e5-4dd5-b2c0-74e83ded8d8e}" ref="AF703">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Reply:
	SOLO FIXIT
</t>
      </text>
    </comment>
    <comment authorId="598" xr:uid="{38f0b356-2131-466d-bd2f-c1cb4d129882}" ref="C16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
</t>
      </text>
    </comment>
    <comment authorId="599" xr:uid="{38fd9321-6d08-4c44-a6e2-a0006bf13199}" ref="P429">
      <text>
        <t xml:space="preserve">[Threaded comment]
 Your version of Excel allows you to read this threaded comment; however, any edits to it will get removed if the file is opened in a newer version of Excel. Learn more: https://go.microsoft.com/fwlink/?linkid=870924
Comment:
	no te olvides joselyn del kit de regalos &gt;-&lt;
</t>
      </text>
    </comment>
    <comment authorId="600" xr:uid="{3907041d-42f1-477c-ab07-a211ce1efcf8}" ref="C616">
      <text>
        <t xml:space="preserve">[Threaded comment]
 Your version of Excel allows you to read this threaded comment; however, any edits to it will get removed if the file is opened in a newer version of Excel. Learn more: https://go.microsoft.com/fwlink/?linkid=870924
Comment:
	https://www.ebay.com/itm/127666580768?_skw=ASUS+-+ROG+Strix+G18+18%22+2.5K+ryzen+9+RTX+5060&amp;itmmeta=01KKYRJ22A0FSXDM24K3GB555X&amp;hash=item1db9856d20:g:8jcAAeSw779piFqc&amp;itmprp=enc%3AAQALAAABEGfYFPkwiKCW4ZNSs2u11xBNDwsdiKG2p2yjy8%2FuhrsHtDATpT406khB%2Bfu6GrSBQC0b8ya%2BMBSRY4uI%2ByDdTjcbLdkW%2F10imAKk%2B22sKODh9tPowbaZ4sKz7uNc2lxxZdRgekuNeuPZVxjWxtCltv4LB%2BbFkLTdQGpJgZ9tjSi5TC0%2BT1nvr3nLx833LijeTXy6KnHKxTP81vVFxSuqXk5R6BVe3WXSrBZ%2FjMoJxS21lFq7midYo8QrUiHy2yaadJJO5szpeTjVJqUwrT%2BaSD5iOS2ZLWO%2FHyl9hc6PkYkEwhevVwbyAh4cx%2B3T5EaXB2I3APBztDRb0yFVWeQ7bCp%2BTfpsCTLXj%2F2zWyYZquYp%7Ctkp%3ABk9SR7ShyNifZw
</t>
      </text>
    </comment>
    <comment authorId="601" xr:uid="{39151b04-4c57-4081-9407-69216e8ac18f}" ref="AF187">
      <text>
        <t xml:space="preserve">[Threaded comment]
 Your version of Excel allows you to read this threaded comment; however, any edits to it will get removed if the file is opened in a newer version of Excel. Learn more: https://go.microsoft.com/fwlink/?linkid=870924
Comment:
	FINAL: venta precio final y fixit
</t>
      </text>
    </comment>
    <comment authorId="602" xr:uid="{3935e6a9-8872-4018-9c90-aaa1f4de54e0}" ref="J621">
      <text>
        <t xml:space="preserve">[Threaded comment]
 Your version of Excel allows you to read this threaded comment; however, any edits to it will get removed if the file is opened in a newer version of Excel. Learn more: https://go.microsoft.com/fwlink/?linkid=870924
Comment:
	https://drive.google.com/file/d/1-aJEI9mRrTZcqIcfESbOi_RcwPaUAsC3/view?usp=drive_link
</t>
      </text>
    </comment>
    <comment authorId="603" xr:uid="{3938943e-016a-4b4b-986e-4774de7ebd4e}" ref="AF211">
      <text>
        <t xml:space="preserve">[Threaded comment]
 Your version of Excel allows you to read this threaded comment; however, any edits to it will get removed if the file is opened in a newer version of Excel. Learn more: https://go.microsoft.com/fwlink/?linkid=870924
Comment:
	Solo BOLETA
</t>
      </text>
    </comment>
    <comment authorId="604" xr:uid="{394bb348-ebba-4940-b982-f189f8033923}" ref="W290">
      <text>
        <t xml:space="preserve">[Threaded comment]
 Your version of Excel allows you to read this threaded comment; however, any edits to it will get removed if the file is opened in a newer version of Excel. Learn more: https://go.microsoft.com/fwlink/?linkid=870924
Comment:
	https://drive.google.com/file/d/16-oA5G3Y6FtxAxoyH56I9U21JTtcEk3d/view?usp=drive_link
</t>
      </text>
    </comment>
    <comment authorId="605" xr:uid="{39686b43-7c4f-4211-b983-1cf6ab44a9d5}" ref="Q711">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606" xr:uid="{39a5bf8b-cb8e-4e88-af6f-4e13a26ef2a0}" ref="K363">
      <text>
        <t xml:space="preserve">[Threaded comment]
 Your version of Excel allows you to read this threaded comment; however, any edits to it will get removed if the file is opened in a newer version of Excel. Learn more: https://go.microsoft.com/fwlink/?linkid=870924
Comment:
	https://drive.google.com/file/d/1vCQrS9kxGGlM-M8A_XOVbFDDGVBL4Ccd/view?usp=drive_link
</t>
      </text>
    </comment>
    <comment authorId="607" xr:uid="{39d23018-b8d3-4b14-8134-c54b2d3c0881}" ref="AF329">
      <text>
        <t xml:space="preserve">[Threaded comment]
 Your version of Excel allows you to read this threaded comment; however, any edits to it will get removed if the file is opened in a newer version of Excel. Learn more: https://go.microsoft.com/fwlink/?linkid=870924
Comment:
	VENTA FINAL Y EXCEDENTES, precio laptop, envio. (todo)
Reply:
	Marcado como resuelto
Reply:
	Reabierto
</t>
      </text>
    </comment>
    <comment authorId="608" xr:uid="{39e844a1-ae9c-4e03-89bb-f7ad0179bb53}" ref="J328">
      <text>
        <t xml:space="preserve">[Threaded comment]
 Your version of Excel allows you to read this threaded comment; however, any edits to it will get removed if the file is opened in a newer version of Excel. Learn more: https://go.microsoft.com/fwlink/?linkid=870924
Comment:
	https://drive.google.com/file/d/1-fKaDI-7EuW8d1b6GOVbHCWthUdntIHN/view?usp=drive_link
</t>
      </text>
    </comment>
    <comment authorId="609" xr:uid="{3a1276f1-11ad-4a7a-969d-f60dd753f95b}" ref="K600">
      <text>
        <t xml:space="preserve">[Threaded comment]
 Your version of Excel allows you to read this threaded comment; however, any edits to it will get removed if the file is opened in a newer version of Excel. Learn more: https://go.microsoft.com/fwlink/?linkid=870924
Comment:
	https://drive.google.com/file/d/1o7cRkTMOjExm_hYkfucbMLtQhMt7EVvW/view?usp=drive_link
</t>
      </text>
    </comment>
    <comment authorId="610" xr:uid="{3a54f202-1614-4722-8960-c9315dca2c47}" ref="J150">
      <text>
        <t xml:space="preserve">[Threaded comment]
 Your version of Excel allows you to read this threaded comment; however, any edits to it will get removed if the file is opened in a newer version of Excel. Learn more: https://go.microsoft.com/fwlink/?linkid=870924
Comment:
	https://drive.google.com/file/d/1FWRX5zRzyimLPS1mYU9p7g-npTezq7zY/view?usp=drive_link
</t>
      </text>
    </comment>
    <comment authorId="611" xr:uid="{3a65b2a5-a311-4fa6-bfc4-1cc0f11fd92f}" ref="AF279">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precio de laptop
</t>
      </text>
    </comment>
    <comment authorId="612" xr:uid="{3a6eaffc-4e25-4a2a-95a9-3aa8b4cbda74}" ref="AF721">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613" xr:uid="{3a87bfe5-4b39-46a7-bbcb-22af7cb2689a}" ref="C523">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614" xr:uid="{3a9444f3-6e95-421b-8dea-9f5e6239e3b7}" ref="Q718">
      <text>
        <t xml:space="preserve">[Threaded comment]
 Your version of Excel allows you to read this threaded comment; however, any edits to it will get removed if the file is opened in a newer version of Excel. Learn more: https://go.microsoft.com/fwlink/?linkid=870924
Comment:
	Configuración inicial
</t>
      </text>
    </comment>
    <comment authorId="615" xr:uid="{3ab0a445-bc84-4bb2-bbd4-977e1f100a74}" ref="J624">
      <text>
        <t xml:space="preserve">[Threaded comment]
 Your version of Excel allows you to read this threaded comment; however, any edits to it will get removed if the file is opened in a newer version of Excel. Learn more: https://go.microsoft.com/fwlink/?linkid=870924
Comment:
	https://drive.google.com/file/d/1_jWB37C2PZenmeTorwZl6iQqMCbg9-G9/view?usp=drive_link
</t>
      </text>
    </comment>
    <comment authorId="616" xr:uid="{3ab29521-62c4-4186-af14-6025c46858cc}" ref="AF533">
      <text>
        <t xml:space="preserve">[Threaded comment]
 Your version of Excel allows you to read this threaded comment; however, any edits to it will get removed if the file is opened in a newer version of Excel. Learn more: https://go.microsoft.com/fwlink/?linkid=870924
Comment:
	fixit, excdentes
</t>
      </text>
    </comment>
    <comment authorId="617" xr:uid="{3ace15fc-f010-4f51-85b3-04820ac8a1d2}" ref="C134">
      <text>
        <t xml:space="preserve">[Threaded comment]
 Your version of Excel allows you to read this threaded comment; however, any edits to it will get removed if the file is opened in a newer version of Excel. Learn more: https://go.microsoft.com/fwlink/?linkid=870924
Comment:
	https://www.ebay.com/itm/205579362723?_trkparms=amclksrc%3DITM%26aid%3D777008%26algo%3DPERSONAL.TOPIC%26ao%3D1%26asc%3D20250528145715%26meid%3D05142434ab5f49dd8b63ee1046c3750c%26pid%3D102790%26rk%3D3%26rkt%3D15%26mehot%3Dnone%26itm%3D205579362723%26pmt%3D0%26noa%3D1%26pg%3D4375194%26algv%3DRecentlyViewedItemsV2WithMLRPboosterAndUpdatedFeatures_BP%26brand%3DASUS%26tu%3D01K0HSQ9DBP7WE9KFQ5SAR7R0Y
</t>
      </text>
    </comment>
    <comment authorId="618" xr:uid="{3ade2f82-1266-46c5-b58f-0e458bc0d383}" ref="J216">
      <text>
        <t xml:space="preserve">[Threaded comment]
 Your version of Excel allows you to read this threaded comment; however, any edits to it will get removed if the file is opened in a newer version of Excel. Learn more: https://go.microsoft.com/fwlink/?linkid=870924
Comment:
	https://drive.google.com/file/d/1NLTXGZxPPFAlqeC7TDW03V7nU8qoSTTg/view?usp=drive_link
</t>
      </text>
    </comment>
    <comment authorId="619" xr:uid="{3adecac5-d68b-4877-bae8-0d33e8cffe8c}" ref="AF437">
      <text>
        <t xml:space="preserve">[Threaded comment]
 Your version of Excel allows you to read this threaded comment; however, any edits to it will get removed if the file is opened in a newer version of Excel. Learn more: https://go.microsoft.com/fwlink/?linkid=870924
Comment:
	VENTAL FINAL, EXCEDENTE, FIXIT
</t>
      </text>
    </comment>
    <comment authorId="620" xr:uid="{3b22cee5-0ade-46c3-b33a-925fe9fb8e45}" ref="W261">
      <text>
        <t xml:space="preserve">[Threaded comment]
 Your version of Excel allows you to read this threaded comment; however, any edits to it will get removed if the file is opened in a newer version of Excel. Learn more: https://go.microsoft.com/fwlink/?linkid=870924
Comment:
	https://drive.google.com/file/d/1v549beGpFcIs9waFKcxYOUlPzmqN8i_6/view?usp=drive_link
</t>
      </text>
    </comment>
    <comment authorId="621" xr:uid="{3b6394ab-bb70-456c-aade-241558e9b7e8}" ref="J424">
      <text>
        <t xml:space="preserve">[Threaded comment]
 Your version of Excel allows you to read this threaded comment; however, any edits to it will get removed if the file is opened in a newer version of Excel. Learn more: https://go.microsoft.com/fwlink/?linkid=870924
Comment:
	https://drive.google.com/file/d/1D0yoW33_c9T5O5LuQyhlU6hxQT2y0s6W/view?usp=drive_link
</t>
      </text>
    </comment>
    <comment authorId="622" xr:uid="{3b8e0864-6c13-4b7b-ae44-b3f0d8a5e675}" ref="K308">
      <text>
        <t xml:space="preserve">[Threaded comment]
 Your version of Excel allows you to read this threaded comment; however, any edits to it will get removed if the file is opened in a newer version of Excel. Learn more: https://go.microsoft.com/fwlink/?linkid=870924
Comment:
	https://drive.google.com/file/d/1aPglbr7MbIdNTGnbNpWLNGLGTDVXTbdG/view?usp=drive_link
</t>
      </text>
    </comment>
    <comment authorId="623" xr:uid="{3bc08146-2ef3-4ff6-b6f4-de69aa94ed0f}" ref="W419">
      <text>
        <t xml:space="preserve">[Threaded comment]
 Your version of Excel allows you to read this threaded comment; however, any edits to it will get removed if the file is opened in a newer version of Excel. Learn more: https://go.microsoft.com/fwlink/?linkid=870924
Comment:
	https://drive.google.com/file/d/160t0sGFkKxaE8X6MpqhWrkv4im0PDuQo/view?usp=drive_link
</t>
      </text>
    </comment>
    <comment authorId="624" xr:uid="{3bf66137-47e4-4a22-96d2-9d213ed89099}" ref="J653">
      <text>
        <t xml:space="preserve">[Threaded comment]
 Your version of Excel allows you to read this threaded comment; however, any edits to it will get removed if the file is opened in a newer version of Excel. Learn more: https://go.microsoft.com/fwlink/?linkid=870924
Comment:
	https://drive.google.com/file/d/1eUbtu4rZPa0iWapJghLatGIbRM0yYuYy/view?usp=drive_link
</t>
      </text>
    </comment>
    <comment authorId="625" xr:uid="{3c2598e0-d27b-4ecd-a0d8-76e007d43ffe}" ref="J486">
      <text>
        <t xml:space="preserve">[Threaded comment]
 Your version of Excel allows you to read this threaded comment; however, any edits to it will get removed if the file is opened in a newer version of Excel. Learn more: https://go.microsoft.com/fwlink/?linkid=870924
Comment:
	https://drive.google.com/file/d/1odwGp6MSoL23bBwnfPVZmrvREigFHuFZ/view?usp=drive_link
Reply:
	https://drive.google.com/file/d/1_ZKCM-gtouzr-3JOcxHZoflRkZmeW3uF/view?usp=drive_link
</t>
      </text>
    </comment>
    <comment authorId="626" xr:uid="{3c78b250-822f-4e13-bfe9-8f83ae6f0288}" ref="C691">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https://www.bhphotovideo.com/c/product/1875949-REG/lenovo_83f50052us_16_legion_pro_7.html
</t>
      </text>
    </comment>
    <comment authorId="627" xr:uid="{3c8f7b9b-7eae-459e-aabe-e2224e3a5997}" ref="J592">
      <text>
        <t xml:space="preserve">[Threaded comment]
 Your version of Excel allows you to read this threaded comment; however, any edits to it will get removed if the file is opened in a newer version of Excel. Learn more: https://go.microsoft.com/fwlink/?linkid=870924
Comment:
	https://drive.google.com/file/d/1_o3jXzaT3ZXQ-u2CRzXIhrNVmYwVwldF/view?usp=drive_link
</t>
      </text>
    </comment>
    <comment authorId="628" xr:uid="{3c9e1340-0176-4bc2-b50c-b65cf19d54d7}" ref="C615">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https://www.ebay.com/itm/326655425561?_skw%3Dlaptop%2Bgaming%26itmmeta%3D01KKX6NN615576FGXJTV0BS1MJ%26hash%3Ditem4c0e2e3c19:g:RGMAAeSw20xptYNa&amp;sa=D&amp;source=editors&amp;ust=1773745320572021&amp;usg=AOvVaw3YfAxtozYH2gSV3yeAFIPr
</t>
      </text>
    </comment>
    <comment authorId="629" xr:uid="{3ca8e273-b914-4bf5-bd68-673eb46084d6}" ref="K610">
      <text>
        <t xml:space="preserve">[Threaded comment]
 Your version of Excel allows you to read this threaded comment; however, any edits to it will get removed if the file is opened in a newer version of Excel. Learn more: https://go.microsoft.com/fwlink/?linkid=870924
Comment:
	https://drive.google.com/file/d/107BPhOOuQPD5XHDf17lRXUubMa0PEyUl/view?usp=drive_link
</t>
      </text>
    </comment>
    <comment authorId="630" xr:uid="{3ce44d4d-5eb0-4b35-9d28-e71e5532248e}" ref="W241">
      <text>
        <t xml:space="preserve">[Threaded comment]
 Your version of Excel allows you to read this threaded comment; however, any edits to it will get removed if the file is opened in a newer version of Excel. Learn more: https://go.microsoft.com/fwlink/?linkid=870924
Comment:
	https://drive.google.com/file/d/159KgQUaHuTiPT5kH0rMTXxsb17qa2LJg/view?usp=drive_link
</t>
      </text>
    </comment>
    <comment authorId="631" xr:uid="{3d0a4f9b-9ecc-4130-9d58-30867856cf3a}" ref="J211">
      <text>
        <t xml:space="preserve">[Threaded comment]
 Your version of Excel allows you to read this threaded comment; however, any edits to it will get removed if the file is opened in a newer version of Excel. Learn more: https://go.microsoft.com/fwlink/?linkid=870924
Comment:
	https://drive.google.com/file/d/1yb5PSEbXR1mJ0JzzTt-xb9j3TgADQnJF/view?usp=drive_link
</t>
      </text>
    </comment>
    <comment authorId="632" xr:uid="{3d0ae6ca-beb5-4302-a0b2-5fadda4488d1}" ref="A1">
      <text>
        <t xml:space="preserve">[Threaded comment]
 Your version of Excel allows you to read this threaded comment; however, any edits to it will get removed if the file is opened in a newer version of Excel. Learn more: https://go.microsoft.com/fwlink/?linkid=870924
Comment:
	PRECIO DE LAPTOP: 11219
SERVICO EXPRES 100 DOLARES / 330 SOLES
</t>
      </text>
    </comment>
    <comment authorId="633" xr:uid="{3d3b182d-12bf-4007-92a8-45fa3e9e259c}" ref="K769">
      <text>
        <t xml:space="preserve">[Threaded comment]
 Your version of Excel allows you to read this threaded comment; however, any edits to it will get removed if the file is opened in a newer version of Excel. Learn more: https://go.microsoft.com/fwlink/?linkid=870924
Comment:
	https://drive.google.com/file/d/1xoeCmOxIzHYPMJy6lrRTtFH7jgqosW_t/view?usp=drive_link
</t>
      </text>
    </comment>
    <comment authorId="634" xr:uid="{3d4fd4ca-7a37-40ce-8e4c-8d1b83c16efc}" ref="C773">
      <text>
        <t xml:space="preserve">[Threaded comment]
 Your version of Excel allows you to read this threaded comment; however, any edits to it will get removed if the file is opened in a newer version of Excel. Learn more: https://go.microsoft.com/fwlink/?linkid=870924
Comment:
	https://www.ebay.com/itm/306966570935?_skw=msi+vector+16+hx+ai&amp;epid=15088480495&amp;itmmeta=01KT2H3BDH3W9K4DGDZX48Y6Q6&amp;hash=item4778a227b7:g:N6wAAeSwEJpqF1CY&amp;itmprp=enc%3AAQALAAAA0GfYFPkwiKCW4ZNSs2u11xCCxio93d5BSNVbQPjeopLmAbPIXQovylnaN9UKgCM82LEx9y2xLopGonCfdZq9LmzXTbjdykU92%2FenpCAZEL7E%2FpassxzBCCtMrg71C87SfgRpZ5tpmY4N7auEghteS9SElxjbR%2F6pLgCnrP6Cts%2BKvKIuzOSjQ%2Flg33a0uvCrI1L4bce%2FORnIg655YiCsEZptPMxT0g%2F5X1giZFiRbDqryQf1mW30SC%2B3J5Wul5euSJCU9%2BWk4PeectIA7KYf%2FJE%3D%7Ctkp%3ABk9SR5S3jdHQZw
</t>
      </text>
    </comment>
    <comment authorId="635" xr:uid="{3d51677b-0dca-4a38-b81a-6f1c02fd5487}" ref="K621">
      <text>
        <t xml:space="preserve">[Threaded comment]
 Your version of Excel allows you to read this threaded comment; however, any edits to it will get removed if the file is opened in a newer version of Excel. Learn more: https://go.microsoft.com/fwlink/?linkid=870924
Comment:
	https://drive.google.com/file/d/16-WLTHBpFM4YdoYF1kka7zqX3qF4bZWw/view?usp=drive_link
</t>
      </text>
    </comment>
    <comment authorId="636" xr:uid="{3d5a1438-e56c-460a-9f1b-3e0c4b5dc4bd}" ref="L120">
      <text>
        <t xml:space="preserve">[Threaded comment]
 Your version of Excel allows you to read this threaded comment; however, any edits to it will get removed if the file is opened in a newer version of Excel. Learn more: https://go.microsoft.com/fwlink/?linkid=870924
Comment:
	https://drive.google.com/file/d/18GvwwQ-V88uxGvC4Tt3IQ58owJTGokQE/view?usp=drive_link
</t>
      </text>
    </comment>
    <comment authorId="637" xr:uid="{3d5a593d-2587-42e6-b66c-1de3715ffe40}" ref="J282">
      <text>
        <t xml:space="preserve">[Threaded comment]
 Your version of Excel allows you to read this threaded comment; however, any edits to it will get removed if the file is opened in a newer version of Excel. Learn more: https://go.microsoft.com/fwlink/?linkid=870924
Comment:
	https://drive.google.com/file/d/1ccoNoLbJRPHJDq3NX2Ud6k1s9epJl1RW/view?usp=drive_link
</t>
      </text>
    </comment>
    <comment authorId="638" xr:uid="{3d8e45ed-f66a-4348-be80-ec0aacd283e8}" ref="J726">
      <text>
        <t xml:space="preserve">[Threaded comment]
 Your version of Excel allows you to read this threaded comment; however, any edits to it will get removed if the file is opened in a newer version of Excel. Learn more: https://go.microsoft.com/fwlink/?linkid=870924
Comment:
	https://drive.google.com/file/d/1YrQSMUlVFVnDdwCvzQ5Qa50yRyrz-dRb/view?usp=drive_link
</t>
      </text>
    </comment>
    <comment authorId="639" xr:uid="{3dcf90f3-8d2f-416c-91ac-ce1eaa5af7d8}" ref="C341">
      <text>
        <t xml:space="preserve">[Threaded comment]
 Your version of Excel allows you to read this threaded comment; however, any edits to it will get removed if the file is opened in a newer version of Excel. Learn more: https://go.microsoft.com/fwlink/?linkid=870924
Comment:
	https://www.amazon.com/ASUS-Gaming-Laptop-Nebula-Display/dp/B0DW1X5YCQ/?th=1
</t>
      </text>
    </comment>
    <comment authorId="640" xr:uid="{3dd0ba05-543d-4aa7-8195-b7cb58e4415a}" ref="L216">
      <text>
        <t xml:space="preserve">[Threaded comment]
 Your version of Excel allows you to read this threaded comment; however, any edits to it will get removed if the file is opened in a newer version of Excel. Learn more: https://go.microsoft.com/fwlink/?linkid=870924
Comment:
	https://drive.google.com/file/d/1gBdfu_TRqkSOIecELmwMP-szABMjPG7u/view?usp=drive_link
Reply:
	https://drive.google.com/file/d/1DXUo_8xfHNqA7hCx4SeRewnE1mxeyrID/view?usp=drive_link
</t>
      </text>
    </comment>
    <comment authorId="641" xr:uid="{3dea6c2a-b587-4c01-8569-feb69832c263}" ref="J696">
      <text>
        <t xml:space="preserve">[Threaded comment]
 Your version of Excel allows you to read this threaded comment; however, any edits to it will get removed if the file is opened in a newer version of Excel. Learn more: https://go.microsoft.com/fwlink/?linkid=870924
Comment:
	https://drive.google.com/file/d/1jVbY_sNa2ftFHTBOSAeK_Inb85B3LL81/view?usp=drive_link
</t>
      </text>
    </comment>
    <comment authorId="642" xr:uid="{3e0536c4-8aa0-4768-bcbb-0450d86faff2}" ref="U669">
      <text>
        <t xml:space="preserve">[Threaded comment]
 Your version of Excel allows you to read this threaded comment; however, any edits to it will get removed if the file is opened in a newer version of Excel. Learn more: https://go.microsoft.com/fwlink/?linkid=870924
Comment:
	mouse + soporte
</t>
      </text>
    </comment>
    <comment authorId="643" xr:uid="{3e145ca5-dc64-4759-a7a5-f89b7abfb98f}" ref="AF253">
      <text>
        <t xml:space="preserve">[Threaded comment]
 Your version of Excel allows you to read this threaded comment; however, any edits to it will get removed if the file is opened in a newer version of Excel. Learn more: https://go.microsoft.com/fwlink/?linkid=870924
Comment:
	solo dni
</t>
      </text>
    </comment>
    <comment authorId="644" xr:uid="{3e27f78c-8167-4b90-8454-8b8ee325254e}" ref="C430">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https://www.costco.com/p/-/asus-rog-strix-g18-18-gaming-laptop-intel-core-ultra-9-275hx-25k-nebula-display-geforce-rtx-5070-32gb-ram-1tb-ssd-windows-11/4000370428?langId=-1
</t>
      </text>
    </comment>
    <comment authorId="645" xr:uid="{3e439f62-d5dc-4873-a71e-6e2884fc1fa9}" ref="K564">
      <text>
        <t xml:space="preserve">[Threaded comment]
 Your version of Excel allows you to read this threaded comment; however, any edits to it will get removed if the file is opened in a newer version of Excel. Learn more: https://go.microsoft.com/fwlink/?linkid=870924
Comment:
	https://drive.google.com/file/d/1BJH-6XLQk_KrfFV16giQemGPErNLvkg8/view?usp=drive_link
</t>
      </text>
    </comment>
    <comment authorId="646" xr:uid="{3e4836fd-408e-4e70-a92f-0454a866c806}" ref="AF719">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647" xr:uid="{3e4e6df2-927a-4264-98eb-96b068cd4bd0}" ref="AF62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648" xr:uid="{3e5a507a-f8df-4375-ab69-c0b6d8173223}" ref="J522">
      <text>
        <t xml:space="preserve">[Threaded comment]
 Your version of Excel allows you to read this threaded comment; however, any edits to it will get removed if the file is opened in a newer version of Excel. Learn more: https://go.microsoft.com/fwlink/?linkid=870924
Comment:
	https://drive.google.com/file/d/1OBcq_tamQVLxtNIzdo6ajL2sMGqIBLti/view?usp=drive_link
</t>
      </text>
    </comment>
    <comment authorId="649" xr:uid="{3e7794c7-8091-49b2-a225-00ee97606110}" ref="W430">
      <text>
        <t xml:space="preserve">[Threaded comment]
 Your version of Excel allows you to read this threaded comment; however, any edits to it will get removed if the file is opened in a newer version of Excel. Learn more: https://go.microsoft.com/fwlink/?linkid=870924
Comment:
	10422848555 FACTURA
Reply:
	https://drive.google.com/open?id=1kNSB_QMR-rsfoHOAkJ3vl-Gxll2U50_U&amp;usp=drive_copy
</t>
      </text>
    </comment>
    <comment authorId="650" xr:uid="{3e7a8cf9-8409-41b7-8cd1-2df6d5b28ce1}" ref="J711">
      <text>
        <t xml:space="preserve">[Threaded comment]
 Your version of Excel allows you to read this threaded comment; however, any edits to it will get removed if the file is opened in a newer version of Excel. Learn more: https://go.microsoft.com/fwlink/?linkid=870924
Comment:
	https://drive.google.com/file/d/1ZtiIw0Esf1u73Cqtotu4rDRVpPTiLtzd/view?usp=drive_link
</t>
      </text>
    </comment>
    <comment authorId="651" xr:uid="{3efc9ab2-8ef8-460c-818b-e279d9c04efe}" ref="K681">
      <text>
        <t xml:space="preserve">[Threaded comment]
 Your version of Excel allows you to read this threaded comment; however, any edits to it will get removed if the file is opened in a newer version of Excel. Learn more: https://go.microsoft.com/fwlink/?linkid=870924
Comment:
	https://drive.google.com/file/d/1NATIwLK4KImPbIt-V-TJLF1q6mqUWEBL/view?usp=drive_link
</t>
      </text>
    </comment>
    <comment authorId="652" xr:uid="{3f0c5dca-1780-470b-a07d-92422fa2468b}" ref="C535">
      <text>
        <t xml:space="preserve">[Threaded comment]
 Your version of Excel allows you to read this threaded comment; however, any edits to it will get removed if the file is opened in a newer version of Excel. Learn more: https://go.microsoft.com/fwlink/?linkid=870924
Comment:
	https://www.ebay.com/itm/306295101642?_skw=laptop+gaming&amp;itmmeta=01KH3A54ZV7H1R7DJZ2H3Y73X0&amp;hash=item47509c58ca:g:NAAAAeSwEvtoK4mm
</t>
      </text>
    </comment>
    <comment authorId="653" xr:uid="{3f154470-cd50-4a7a-926a-02b4bc56b63e}" ref="J86">
      <text>
        <t xml:space="preserve">[Threaded comment]
 Your version of Excel allows you to read this threaded comment; however, any edits to it will get removed if the file is opened in a newer version of Excel. Learn more: https://go.microsoft.com/fwlink/?linkid=870924
Comment:
	https://drive.google.com/file/d/1Hq2pNdNFqWXW1rFfh8TD0vttCvtewNVW/view?usp=drive_link
</t>
      </text>
    </comment>
    <comment authorId="654" xr:uid="{3f2420a5-ca81-46df-9efb-555774094f5e}" ref="K619">
      <text>
        <t xml:space="preserve">[Threaded comment]
 Your version of Excel allows you to read this threaded comment; however, any edits to it will get removed if the file is opened in a newer version of Excel. Learn more: https://go.microsoft.com/fwlink/?linkid=870924
Comment:
	https://drive.google.com/file/d/1JjCQKe61b6_uSwo8YVfYRHjy5CDV__j3/view?usp=drive_link
</t>
      </text>
    </comment>
    <comment authorId="655" xr:uid="{3f42bf85-483f-49cf-a960-be154a97b9e8}" ref="AF282">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656" xr:uid="{3f431230-df7b-4365-bdfe-d54d00ae5513}" ref="J481">
      <text>
        <t xml:space="preserve">[Threaded comment]
 Your version of Excel allows you to read this threaded comment; however, any edits to it will get removed if the file is opened in a newer version of Excel. Learn more: https://go.microsoft.com/fwlink/?linkid=870924
Comment:
	https://drive.google.com/file/d/15hqdLW67QkanWjgvEACLIzlMb7G8EapZ/view?usp=drive_link
</t>
      </text>
    </comment>
    <comment authorId="657" xr:uid="{3f94eb6b-badb-4fbe-853c-629c8da0a3d1}" ref="Q495">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658" xr:uid="{3f976cd4-b73f-4853-ad2a-3e41edbcb9f6}" ref="C125">
      <text>
        <t xml:space="preserve">[Threaded comment]
 Your version of Excel allows you to read this threaded comment; however, any edits to it will get removed if the file is opened in a newer version of Excel. Learn more: https://go.microsoft.com/fwlink/?linkid=870924
Comment:
	https://shop.asus.com/us/90nr0ls1-m003k0-rog-strix-scar-18-2025.html?config=90NR0LS1-M003K0
</t>
      </text>
    </comment>
    <comment authorId="659" xr:uid="{3f9c914b-782c-4ea1-8d63-91f502fe0d9d}" ref="K299">
      <text>
        <t xml:space="preserve">[Threaded comment]
 Your version of Excel allows you to read this threaded comment; however, any edits to it will get removed if the file is opened in a newer version of Excel. Learn more: https://go.microsoft.com/fwlink/?linkid=870924
Comment:
	https://drive.google.com/file/d/13KHC_s2MGAmQKGSu9kgNV7xqONYypFlm/view?usp=drive_link
</t>
      </text>
    </comment>
    <comment authorId="660" xr:uid="{3f9dd424-50aa-4be8-963b-c79e56ef075e}" ref="J353">
      <text>
        <t xml:space="preserve">[Threaded comment]
 Your version of Excel allows you to read this threaded comment; however, any edits to it will get removed if the file is opened in a newer version of Excel. Learn more: https://go.microsoft.com/fwlink/?linkid=870924
Comment:
	https://drive.google.com/file/d/1FLtX4wr23Higlwk3dVoU34TbsifiYQWt/view?usp=drive_link
https://drive.google.com/file/d/1Zr1G5Df0xYcPz0QJtK6afpUv3BmUy7Z6/view?usp=drive_link
https://drive.google.com/file/d/1jKJuXQmsoLXWS3onE5l7_mznywBGCS-Y/view?usp=drive_link
https://drive.google.com/file/d/1uQ-FhlWDVy22GPPoOu7Xoq5q-9sX4UnR/view?usp=drive_link
</t>
      </text>
    </comment>
    <comment authorId="661" xr:uid="{3fb5fa31-9aa1-4456-9e68-b747aa25ad54}" ref="L162">
      <text>
        <t xml:space="preserve">[Threaded comment]
 Your version of Excel allows you to read this threaded comment; however, any edits to it will get removed if the file is opened in a newer version of Excel. Learn more: https://go.microsoft.com/fwlink/?linkid=870924
Comment:
	https://drive.google.com/file/d/1TYCi-fcOpdF4f3muTIS5MdAuOd2e9lRz/view?usp=drive_link
</t>
      </text>
    </comment>
    <comment authorId="662" xr:uid="{3fb6e7fd-225e-4de2-8d00-550cf66182c3}" ref="J22">
      <text>
        <t xml:space="preserve">[Threaded comment]
 Your version of Excel allows you to read this threaded comment; however, any edits to it will get removed if the file is opened in a newer version of Excel. Learn more: https://go.microsoft.com/fwlink/?linkid=870924
Comment:
	https://drive.google.com/file/d/16uyP_63DZNeDLEmDKdz9GpyNv8IAMndw/view?usp=sharing
https://drive.google.com/file/d/16uJeBUs-n_uJOtzya5JX7GfRmZpACP9D/view?usp=sharing
</t>
      </text>
    </comment>
    <comment authorId="663" xr:uid="{3fc2a19c-40e8-498f-89a2-638f287da31c}" ref="Q477">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664" xr:uid="{3fc2b0fb-f14e-47c8-a774-e270ebf35e8f}" ref="J260">
      <text>
        <t xml:space="preserve">[Threaded comment]
 Your version of Excel allows you to read this threaded comment; however, any edits to it will get removed if the file is opened in a newer version of Excel. Learn more: https://go.microsoft.com/fwlink/?linkid=870924
Comment:
	https://drive.google.com/file/d/150cQA0OpAvoRJwozrk3fKvWiASd_O_vM/view?usp=drive_link
</t>
      </text>
    </comment>
    <comment authorId="665" xr:uid="{3fc7c64b-a776-46bb-8dca-ad7b53efd919}" ref="W415">
      <text>
        <t xml:space="preserve">[Threaded comment]
 Your version of Excel allows you to read this threaded comment; however, any edits to it will get removed if the file is opened in a newer version of Excel. Learn more: https://go.microsoft.com/fwlink/?linkid=870924
Comment:
	https://drive.google.com/file/d/1e0alxxKW01mENCV4CkRLVQLu3RLKqecx/view?usp=drive_link
</t>
      </text>
    </comment>
    <comment authorId="666" xr:uid="{3fc991a3-341b-425c-b11d-c0570316b205}" ref="J614">
      <text>
        <t xml:space="preserve">[Threaded comment]
 Your version of Excel allows you to read this threaded comment; however, any edits to it will get removed if the file is opened in a newer version of Excel. Learn more: https://go.microsoft.com/fwlink/?linkid=870924
Comment:
	https://drive.google.com/file/d/1RHPk0T3oqFrlly1EtdVoC0RyL2IJi4AE/view?usp=drive_link
</t>
      </text>
    </comment>
    <comment authorId="667" xr:uid="{4023afd6-231e-4597-9f04-34d2247e28d0}" ref="J361">
      <text>
        <t xml:space="preserve">[Threaded comment]
 Your version of Excel allows you to read this threaded comment; however, any edits to it will get removed if the file is opened in a newer version of Excel. Learn more: https://go.microsoft.com/fwlink/?linkid=870924
Comment:
	https://drive.google.com/file/d/1vz80rw9ucWYNwRPhJKcvRtSVCFwc2_gk/view?usp=drive_link
</t>
      </text>
    </comment>
    <comment authorId="668" xr:uid="{40635a25-ede0-4301-ad50-2f44021a4cd4}" ref="AF63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669" xr:uid="{40778668-43df-4d15-9f21-b2bccc9cbc09}" ref="J169">
      <text>
        <t xml:space="preserve">[Threaded comment]
 Your version of Excel allows you to read this threaded comment; however, any edits to it will get removed if the file is opened in a newer version of Excel. Learn more: https://go.microsoft.com/fwlink/?linkid=870924
Comment:
	https://drive.google.com/file/d/1ynge40crniHhuWjXmdsVTxOEprID460H/view?usp=drive_link
</t>
      </text>
    </comment>
    <comment authorId="670" xr:uid="{40a6542c-701a-4061-8d39-964408802b2f}" ref="AF177">
      <text>
        <t xml:space="preserve">[Threaded comment]
 Your version of Excel allows you to read this threaded comment; however, any edits to it will get removed if the file is opened in a newer version of Excel. Learn more: https://go.microsoft.com/fwlink/?linkid=870924
Comment:
	FINAL: verificar precio final y fixit
</t>
      </text>
    </comment>
    <comment authorId="671" xr:uid="{40af3151-2708-463c-8dd4-35714b259fee}" ref="J532">
      <text>
        <t xml:space="preserve">[Threaded comment]
 Your version of Excel allows you to read this threaded comment; however, any edits to it will get removed if the file is opened in a newer version of Excel. Learn more: https://go.microsoft.com/fwlink/?linkid=870924
Comment:
	https://drive.google.com/file/d/10wP3qAfAJsh4l5NreLKhvFkfvluGhgn4/view?usp=drive_link
</t>
      </text>
    </comment>
    <comment authorId="672" xr:uid="{41149b42-775a-4b6e-ae24-ba7e0289df38}" ref="L223">
      <text>
        <t xml:space="preserve">[Threaded comment]
 Your version of Excel allows you to read this threaded comment; however, any edits to it will get removed if the file is opened in a newer version of Excel. Learn more: https://go.microsoft.com/fwlink/?linkid=870924
Comment:
	https://drive.google.com/file/d/1e369PmkKbhC0EtZdv9c7gl0uJf0rIkvq/view?usp=drive_link
</t>
      </text>
    </comment>
    <comment authorId="673" xr:uid="{411654da-5590-42e0-b5ae-dc75e9e707c8}" ref="C683">
      <text>
        <t xml:space="preserve">[Threaded comment]
 Your version of Excel allows you to read this threaded comment; however, any edits to it will get removed if the file is opened in a newer version of Excel. Learn more: https://go.microsoft.com/fwlink/?linkid=870924
Comment:
	https://shop.asus.com/us/90nr0l28-m000a0-rog-strix-g18-2025-g814.html?config=90NR0L28-M000A0
</t>
      </text>
    </comment>
    <comment authorId="674" xr:uid="{4119049d-4d22-4e99-88f3-d97c6ce639a2}" ref="C282">
      <text>
        <t xml:space="preserve">[Threaded comment]
 Your version of Excel allows you to read this threaded comment; however, any edits to it will get removed if the file is opened in a newer version of Excel. Learn more: https://go.microsoft.com/fwlink/?linkid=870924
Comment:
	https://www.ebay.com/itm/326796273441?_skw=rtx&amp;itmmeta=01K823H294CFBNF3WNE2SCNEA2&amp;hash=item4c16936721:g:BH0AAeSwoaBo80iW
</t>
      </text>
    </comment>
    <comment authorId="675" xr:uid="{411a9136-09db-4b24-89cc-d6e9b7dfcded}" ref="W267">
      <text>
        <t xml:space="preserve">[Threaded comment]
 Your version of Excel allows you to read this threaded comment; however, any edits to it will get removed if the file is opened in a newer version of Excel. Learn more: https://go.microsoft.com/fwlink/?linkid=870924
Comment:
	https://drive.google.com/file/d/1dSDDrFYbyKmjQxSIeFgSsbm5CqTd0UoX/view?usp=drive_link
</t>
      </text>
    </comment>
    <comment authorId="676" xr:uid="{411b6fbc-657c-4ee2-8dd0-fa230693d08b}" ref="J728">
      <text>
        <t xml:space="preserve">[Threaded comment]
 Your version of Excel allows you to read this threaded comment; however, any edits to it will get removed if the file is opened in a newer version of Excel. Learn more: https://go.microsoft.com/fwlink/?linkid=870924
Comment:
	https://drive.google.com/file/d/1ck-4z0hD_Q99DGAm-XeKKpClnwGdOZpU/view?usp=drive_link
</t>
      </text>
    </comment>
    <comment authorId="677" xr:uid="{411ee2fb-413a-4553-aa9e-c0b74d743e6f}" ref="J43">
      <text>
        <t xml:space="preserve">[Threaded comment]
 Your version of Excel allows you to read this threaded comment; however, any edits to it will get removed if the file is opened in a newer version of Excel. Learn more: https://go.microsoft.com/fwlink/?linkid=870924
Comment:
	https://drive.google.com/file/d/12nkbiukyqlIGRwLM3Flr6b5nR68cCftf/view?usp=drive_link
</t>
      </text>
    </comment>
    <comment authorId="678" xr:uid="{4125fb95-a7d7-477c-8fc6-bcf022b8bd73}" ref="L77">
      <text>
        <t xml:space="preserve">[Threaded comment]
 Your version of Excel allows you to read this threaded comment; however, any edits to it will get removed if the file is opened in a newer version of Excel. Learn more: https://go.microsoft.com/fwlink/?linkid=870924
Comment:
	https://drive.google.com/file/d/10pHZaPClic6dzYqlW8y7qxCOjR6sXQuL/view?usp=drive_link
</t>
      </text>
    </comment>
    <comment authorId="679" xr:uid="{414e6def-e2ac-4889-b906-740e758ed5b1}" ref="C549">
      <text>
        <t xml:space="preserve">[Threaded comment]
 Your version of Excel allows you to read this threaded comment; however, any edits to it will get removed if the file is opened in a newer version of Excel. Learn more: https://go.microsoft.com/fwlink/?linkid=870924
Comment:
	https://www.ebay.com/itm/326840072490?_skw=laptop+gaming&amp;itmmeta=01KHN5B21PYNDPA6E1QHAWW3DZ&amp;hash=item4c192fb92a:g:ingAAeSwviJpixKV
</t>
      </text>
    </comment>
    <comment authorId="680" xr:uid="{418f6c38-dea4-4abd-888c-3b4397d2971b}" ref="AF303">
      <text>
        <t xml:space="preserve">[Threaded comment]
 Your version of Excel allows you to read this threaded comment; however, any edits to it will get removed if the file is opened in a newer version of Excel. Learn more: https://go.microsoft.com/fwlink/?linkid=870924
Comment:
	solo forms
</t>
      </text>
    </comment>
    <comment authorId="681" xr:uid="{41a0b707-c76f-4dfe-ba95-23a1c4aa696e}" ref="C139">
      <text>
        <t xml:space="preserve">[Threaded comment]
 Your version of Excel allows you to read this threaded comment; however, any edits to it will get removed if the file is opened in a newer version of Excel. Learn more: https://go.microsoft.com/fwlink/?linkid=870924
Comment:
	https://www.costco.com/msi-crosshair-18-hx-ai-18-gaming-laptop---intel-core-ultra-9-275hx----nvidia-rtx-5070---2560x1600---32gb-ram---1tb-ssd---windows-11-home.product.4000374413.html
</t>
      </text>
    </comment>
    <comment authorId="682" xr:uid="{41d257ae-af0f-482f-b66b-7491cac7a239}" ref="Q559">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iniical con formateo + eset nod 32 + windows 11 pro + office 2024
</t>
      </text>
    </comment>
    <comment authorId="683" xr:uid="{41fb22fd-00a3-4a1c-8be8-9f9aca43baf6}" ref="J581">
      <text>
        <t xml:space="preserve">[Threaded comment]
 Your version of Excel allows you to read this threaded comment; however, any edits to it will get removed if the file is opened in a newer version of Excel. Learn more: https://go.microsoft.com/fwlink/?linkid=870924
Comment:
	https://drive.google.com/file/d/10CPjuCAUCx6qOuSKn20ztms6KOiMK1Pv/view?usp=drive_link
</t>
      </text>
    </comment>
    <comment authorId="684" xr:uid="{420fc89e-8ee8-4482-b9df-23eb99009b58}" ref="M306">
      <text>
        <t xml:space="preserve">[Threaded comment]
 Your version of Excel allows you to read this threaded comment; however, any edits to it will get removed if the file is opened in a newer version of Excel. Learn more: https://go.microsoft.com/fwlink/?linkid=870924
Comment:
	incluye garantía
</t>
      </text>
    </comment>
    <comment authorId="685" xr:uid="{421b6467-d8fd-4b69-ac47-f979a05b47e7}" ref="L214">
      <text>
        <t xml:space="preserve">[Threaded comment]
 Your version of Excel allows you to read this threaded comment; however, any edits to it will get removed if the file is opened in a newer version of Excel. Learn more: https://go.microsoft.com/fwlink/?linkid=870924
Comment:
	https://drive.google.com/file/d/1-_wXQgGoWAH_ONPdfcRPxpLP9UHAyPNJ/view?usp=drive_link
</t>
      </text>
    </comment>
    <comment authorId="686" xr:uid="{4256c1e5-6e15-4716-8101-48d936c2917c}" ref="L126">
      <text>
        <t xml:space="preserve">[Threaded comment]
 Your version of Excel allows you to read this threaded comment; however, any edits to it will get removed if the file is opened in a newer version of Excel. Learn more: https://go.microsoft.com/fwlink/?linkid=870924
Comment:
	https://drive.google.com/file/d/10lv0i8AcINsJLZjbGL-JJ33nHmz_8PZ0/view?usp=drive_link
Reply:
	https://drive.google.com/file/d/1ZihBOJ2ywAdzG2Liv-p4RAAYfXeISsIG/view?usp=drive_link
</t>
      </text>
    </comment>
    <comment authorId="687" xr:uid="{425a4746-9ed1-401b-ae35-ddb0db9734e8}" ref="AF311">
      <text>
        <t xml:space="preserve">[Threaded comment]
 Your version of Excel allows you to read this threaded comment; however, any edits to it will get removed if the file is opened in a newer version of Excel. Learn more: https://go.microsoft.com/fwlink/?linkid=870924
Comment:
	Venta final y fixit
Reply:
	Marcado como resuelto
Reply:
	Reabierto
</t>
      </text>
    </comment>
    <comment authorId="688" xr:uid="{425e8ce6-e953-4f29-97c9-c540240038d5}" ref="W291">
      <text>
        <t xml:space="preserve">[Threaded comment]
 Your version of Excel allows you to read this threaded comment; however, any edits to it will get removed if the file is opened in a newer version of Excel. Learn more: https://go.microsoft.com/fwlink/?linkid=870924
Comment:
	https://drive.google.com/file/d/1rKGVhccyNKFBUapA3KfuKnrTgDk1Q43m/view?usp=drive_link
</t>
      </text>
    </comment>
    <comment authorId="689" xr:uid="{42790fe8-fba8-484a-9d1c-0629e43a2fb4}" ref="J205">
      <text>
        <t xml:space="preserve">[Threaded comment]
 Your version of Excel allows you to read this threaded comment; however, any edits to it will get removed if the file is opened in a newer version of Excel. Learn more: https://go.microsoft.com/fwlink/?linkid=870924
Comment:
	https://drive.google.com/file/d/1ZMZwWcDLC8KYr_fwkHxvN5IG3VpeAdV9/view?usp=drive_link
</t>
      </text>
    </comment>
    <comment authorId="690" xr:uid="{42816a9b-3cb9-4e45-9e69-7086306f06ee}" ref="L133">
      <text>
        <t xml:space="preserve">[Threaded comment]
 Your version of Excel allows you to read this threaded comment; however, any edits to it will get removed if the file is opened in a newer version of Excel. Learn more: https://go.microsoft.com/fwlink/?linkid=870924
Comment:
	https://drive.google.com/file/d/1q0l123DdFiNBoLE0vLT1MRTNHwiswGXU/view?usp=drive_link
</t>
      </text>
    </comment>
    <comment authorId="691" xr:uid="{4283def7-2d98-4452-84a7-6c78ef5ac846}" ref="AF526">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692" xr:uid="{429c9f27-482c-477f-a925-1c54a0b00da6}" ref="J803">
      <text>
        <t xml:space="preserve">[Threaded comment]
 Your version of Excel allows you to read this threaded comment; however, any edits to it will get removed if the file is opened in a newer version of Excel. Learn more: https://go.microsoft.com/fwlink/?linkid=870924
Comment:
	https://drive.google.com/file/d/1IoW1UXSM7-ZNvkk1uqmSvnHpuvH2DQHE/view?usp=drive_link
</t>
      </text>
    </comment>
    <comment authorId="693" xr:uid="{42bb63c5-acba-4dd1-9712-e0ecb52864ad}" ref="K338">
      <text>
        <t xml:space="preserve">[Threaded comment]
 Your version of Excel allows you to read this threaded comment; however, any edits to it will get removed if the file is opened in a newer version of Excel. Learn more: https://go.microsoft.com/fwlink/?linkid=870924
Comment:
	https://drive.google.com/file/d/1jN6NB9A2ZgFD92jW_5VWMYwefP9bEqw8/view?usp=drive_link
</t>
      </text>
    </comment>
    <comment authorId="694" xr:uid="{42d8743f-9f75-4f15-b1d3-03b1111d4d74}" ref="W338">
      <text>
        <t xml:space="preserve">[Threaded comment]
 Your version of Excel allows you to read this threaded comment; however, any edits to it will get removed if the file is opened in a newer version of Excel. Learn more: https://go.microsoft.com/fwlink/?linkid=870924
Comment:
	https://drive.google.com/file/d/1x666U6m2vpftg6-QAnB2GJx3T1zJ5Ndq/view?usp=drive_link
</t>
      </text>
    </comment>
    <comment authorId="695" xr:uid="{42e80272-8bf1-47e5-89b9-55971c2511c4}" ref="C33">
      <text>
        <t xml:space="preserve">[Threaded comment]
 Your version of Excel allows you to read this threaded comment; however, any edits to it will get removed if the file is opened in a newer version of Excel. Learn more: https://go.microsoft.com/fwlink/?linkid=870924
Comment:
	https://www.excaliberpc.com/805357/msi-pulse-16-ai-c1vgkg-065us.html#
</t>
      </text>
    </comment>
    <comment authorId="696" xr:uid="{42eada08-9094-4920-b314-2b7fbd3b5f2b}" ref="C162">
      <text>
        <t xml:space="preserve">[Threaded comment]
 Your version of Excel allows you to read this threaded comment; however, any edits to it will get removed if the file is opened in a newer version of Excel. Learn more: https://go.microsoft.com/fwlink/?linkid=870924
Comment:
	https://www.ebay.com/itm/167641073796?_skw=lenovo+legion+pro+5i&amp;itmmeta=01K1TYWGC5X5GT44HB1X234P7F&amp;hash=item27082fc884:g:UXoAAeSwtQlokN-c&amp;itmprp=enc%3AAQAKAAAA0FkggFvd1GGDu0w3yXCmi1eQyzUfoBqxiTeSZedvnnxREcrvoEKBugSyKnDn%2BX6EXM18bWZoVqBIrnd6S0pSslcenWigBCFmDXMni95PnOvrB39%2Bma1uHZXEpRGv%2Fo7Mx59PLXmBqfyRS5lO1syRmX2ZKn0HsW74FkvJDW2exodu2y1mesgOJ7WOzcrPsusWz7mI7IxSdah1pl6AOKkUVy8k59rt%2B0NmKmsQBL%2BVDRKhkRpW124RYI3EFlM44kyZool2fnURtMCLUf3rcH4Vaf8%3D%7Ctkp%3ABk9SR5yG8t6OZg
</t>
      </text>
    </comment>
    <comment authorId="697" xr:uid="{42ed37ce-987b-4255-b9ad-13d2d7876b37}" ref="K523">
      <text>
        <t xml:space="preserve">[Threaded comment]
 Your version of Excel allows you to read this threaded comment; however, any edits to it will get removed if the file is opened in a newer version of Excel. Learn more: https://go.microsoft.com/fwlink/?linkid=870924
Comment:
	https://drive.google.com/file/d/1k8d3qbX_xjV9z0iO12P1U7VQ4WmuFvAz/view?usp=drive_link
</t>
      </text>
    </comment>
    <comment authorId="698" xr:uid="{4314c504-3596-4b7c-a261-fc5a89356595}" ref="W358">
      <text>
        <t xml:space="preserve">[Threaded comment]
 Your version of Excel allows you to read this threaded comment; however, any edits to it will get removed if the file is opened in a newer version of Excel. Learn more: https://go.microsoft.com/fwlink/?linkid=870924
Comment:
	https://drive.google.com/file/d/1ofZx6WOAHVn8FCqmqEcrcXpx8txPdxDz/view?usp=drive_link
</t>
      </text>
    </comment>
    <comment authorId="699" xr:uid="{431bb418-f3de-469d-9bf9-aca4dc309b15}" ref="C456">
      <text>
        <t xml:space="preserve">[Threaded comment]
 Your version of Excel allows you to read this threaded comment; however, any edits to it will get removed if the file is opened in a newer version of Excel. Learn more: https://go.microsoft.com/fwlink/?linkid=870924
Comment:
	https://www.ebay.com/itm/227080330017
</t>
      </text>
    </comment>
    <comment authorId="700" xr:uid="{431d141d-47df-4379-b871-14f3ecf372ed}" ref="D280">
      <text>
        <t xml:space="preserve">[Threaded comment]
 Your version of Excel allows you to read this threaded comment; however, any edits to it will get removed if the file is opened in a newer version of Excel. Learn more: https://go.microsoft.com/fwlink/?linkid=870924
Comment:
	Luis George Espíritu Baldeón
72558386
982283940
georgeespiritub@gmail.com
Bcp
</t>
      </text>
    </comment>
    <comment authorId="701" xr:uid="{431e4070-a918-429a-bcb5-13e3101836e1}" ref="K546">
      <text>
        <t xml:space="preserve">[Threaded comment]
 Your version of Excel allows you to read this threaded comment; however, any edits to it will get removed if the file is opened in a newer version of Excel. Learn more: https://go.microsoft.com/fwlink/?linkid=870924
Comment:
	https://drive.google.com/file/d/1ccSVEsGEQ5b9_qSZ2glqX17NkS_OJwvL/view?usp=drive_link
</t>
      </text>
    </comment>
    <comment authorId="702" xr:uid="{4320e0bc-a829-41fa-9e18-bc8bcfa29638}" ref="C20">
      <text>
        <t xml:space="preserve">[Threaded comment]
 Your version of Excel allows you to read this threaded comment; however, any edits to it will get removed if the file is opened in a newer version of Excel. Learn more: https://go.microsoft.com/fwlink/?linkid=870924
Comment:
	https://www.amazon.com/-/es/Procesador-i9-13900H-port%C3%A1til-Pantalla-pulgadas/dp/B0D8JXHZTH/ref=sr_1_4?__mk_es_US=%C3%85M%C3%85%C5%BD%C3%95%C3%91&amp;crid=3DC1XDY4NBAMV&amp;dib=eyJ2IjoiMSJ9.LlJLGkPJZLs_QnqygPLqF51wTQgIHJDtzmXRfFFrHdlYhj-dzlgeJnZAeDe_4JGoecvhl1s9UxovgaiafPTLCRupy7Q-QvOm-8wKgSQBTkQgSn1Lsrg892-TnlvPfMHLJOFqdsb6W8sFW6TIhpmdNLPswGZwsm7AbgolYhEj905lBzPQumNQJ7XifD45GBry1xSUzfW9A0dM82pOO6yzUfr2acyDGaEeEC3KnvjiOsY.spi6gSyOqJAe8xHpF7RVvtZA1yeUsyqb8UcbLMpeDhM&amp;dib_tag=se&amp;keywords=acer%2Bi9&amp;qid=1744499230&amp;sprefix=acer%2Bi9%2Caps%2C181&amp;sr=8-4&amp;th=1
</t>
      </text>
    </comment>
    <comment authorId="703" xr:uid="{432508b7-1284-4800-bf6b-28ec244740ec}" ref="J203">
      <text>
        <t xml:space="preserve">[Threaded comment]
 Your version of Excel allows you to read this threaded comment; however, any edits to it will get removed if the file is opened in a newer version of Excel. Learn more: https://go.microsoft.com/fwlink/?linkid=870924
Comment:
	https://drive.google.com/file/d/1AyjELrkVzSP05woNs-zOZt16h_BBUEcw/view?usp=drive_link
</t>
      </text>
    </comment>
    <comment authorId="704" xr:uid="{4346502a-c84e-4685-bbd1-d58826f28761}" ref="K746">
      <text>
        <t xml:space="preserve">[Threaded comment]
 Your version of Excel allows you to read this threaded comment; however, any edits to it will get removed if the file is opened in a newer version of Excel. Learn more: https://go.microsoft.com/fwlink/?linkid=870924
Comment:
	https://drive.google.com/file/d/1GdUpdIrIPsw2PR5MTlPouNR3hpq-FQYJ/view?usp=drive_link
</t>
      </text>
    </comment>
    <comment authorId="705" xr:uid="{434ed068-fb43-4ec8-bd92-c45de89623d5}" ref="F500">
      <text>
        <t xml:space="preserve">[Threaded comment]
 Your version of Excel allows you to read this threaded comment; however, any edits to it will get removed if the file is opened in a newer version of Excel. Learn more: https://go.microsoft.com/fwlink/?linkid=870924
Comment:
	se cambio de laptop debido a que el anterior modelo tuvo un incidente en el almacén en Miami
</t>
      </text>
    </comment>
    <comment authorId="706" xr:uid="{436114c8-35a8-4ad4-b519-7cdb81f2ac54}" ref="J693">
      <text>
        <t xml:space="preserve">[Threaded comment]
 Your version of Excel allows you to read this threaded comment; however, any edits to it will get removed if the file is opened in a newer version of Excel. Learn more: https://go.microsoft.com/fwlink/?linkid=870924
Comment:
	https://drive.google.com/file/d/1FJf67Wu22HFknfTtQRWVJ1h7p3o5DaYV/view?usp=drive_link
</t>
      </text>
    </comment>
    <comment authorId="707" xr:uid="{43862c36-d305-4416-ba44-e29b35405822}" ref="K661">
      <text>
        <t xml:space="preserve">[Threaded comment]
 Your version of Excel allows you to read this threaded comment; however, any edits to it will get removed if the file is opened in a newer version of Excel. Learn more: https://go.microsoft.com/fwlink/?linkid=870924
Comment:
	https://drive.google.com/file/d/1MURHtPXqGkig1pT1omBuIys-151KNw6Q/view?usp=drive_link
</t>
      </text>
    </comment>
    <comment authorId="708" xr:uid="{4386f0a2-c0b6-427c-a529-39b57cff0add}" ref="J454">
      <text>
        <t xml:space="preserve">[Threaded comment]
 Your version of Excel allows you to read this threaded comment; however, any edits to it will get removed if the file is opened in a newer version of Excel. Learn more: https://go.microsoft.com/fwlink/?linkid=870924
Comment:
	https://drive.google.com/file/d/18TIzHkB7-FVX-9IhJFPYLGGxAalZtVH0/view?usp=drive_link
</t>
      </text>
    </comment>
    <comment authorId="709" xr:uid="{43967437-c4fa-4bd0-8c18-aa637e825a43}" ref="W172">
      <text>
        <t xml:space="preserve">[Threaded comment]
 Your version of Excel allows you to read this threaded comment; however, any edits to it will get removed if the file is opened in a newer version of Excel. Learn more: https://go.microsoft.com/fwlink/?linkid=870924
Comment:
	https://drive.google.com/file/d/1yQ8ufxryojM4GSZXElqVJ29Fp2VRehy2/view?usp=drive_link
</t>
      </text>
    </comment>
    <comment authorId="710" xr:uid="{439b6dc3-7599-457f-929b-f2a9244fd6aa}" ref="L106">
      <text>
        <t xml:space="preserve">[Threaded comment]
 Your version of Excel allows you to read this threaded comment; however, any edits to it will get removed if the file is opened in a newer version of Excel. Learn more: https://go.microsoft.com/fwlink/?linkid=870924
Comment:
	https://drive.google.com/file/d/1AFgnwyfV9Oo3PYbs29rtwGlYfGwwKxYg/view?usp=drive_link
</t>
      </text>
    </comment>
    <comment authorId="711" xr:uid="{43d7e595-8905-4c61-803e-5fd6ab3e2260}" ref="J479">
      <text>
        <t xml:space="preserve">[Threaded comment]
 Your version of Excel allows you to read this threaded comment; however, any edits to it will get removed if the file is opened in a newer version of Excel. Learn more: https://go.microsoft.com/fwlink/?linkid=870924
Comment:
	https://drive.google.com/file/d/1-5vZlModJWY0e356AbYV2svPvdYFMbk5/view?usp=drive_link
</t>
      </text>
    </comment>
    <comment authorId="712" xr:uid="{440a149d-ce73-4fb6-aba4-3bb2042dc849}" ref="K526">
      <text>
        <t xml:space="preserve">[Threaded comment]
 Your version of Excel allows you to read this threaded comment; however, any edits to it will get removed if the file is opened in a newer version of Excel. Learn more: https://go.microsoft.com/fwlink/?linkid=870924
Comment:
	https://drive.google.com/file/d/1JSLwrrtaF2QCy3espDpBl6HCUWNgsQav/view?usp=drive_link
</t>
      </text>
    </comment>
    <comment authorId="713" xr:uid="{4411f209-614a-427a-a5ff-c5cad5a5deb3}" ref="K486">
      <text>
        <t xml:space="preserve">[Threaded comment]
 Your version of Excel allows you to read this threaded comment; however, any edits to it will get removed if the file is opened in a newer version of Excel. Learn more: https://go.microsoft.com/fwlink/?linkid=870924
Comment:
	https://drive.google.com/file/d/1mxtwV3eMIidljcZJ263jWOHI9n4Gj7OM/view?usp=drive_link
Reply:
	https://drive.google.com/file/d/14eyjhd6-N2nWhELJr4ykNOE_cmzx19Qv/view?usp=drive_link
</t>
      </text>
    </comment>
    <comment authorId="714" xr:uid="{442b9cc7-e997-4d98-ab0c-56dfae02cf3c}" ref="D503">
      <text>
        <t xml:space="preserve">[Threaded comment]
 Your version of Excel allows you to read this threaded comment; however, any edits to it will get removed if the file is opened in a newer version of Excel. Learn more: https://go.microsoft.com/fwlink/?linkid=870924
Comment:
	ara la boleta/factura del servicio por traer la laptop desde EEUU:
✅NOMBRES COMPLETOS O RAZÓN SOCIAL: SUPPORT BRIGADES FIRE &amp; SAFETY S.A.C.
✅DNI O RUC: 20548730776
✅NÚMERO DE CELULAR: 987628571
✅CORREO ELECTRÓNICO: gr.camuss@gmail.com
</t>
      </text>
    </comment>
    <comment authorId="715" xr:uid="{44565fb9-4628-40fb-b2c5-c81ec5e50b60}" ref="L243">
      <text>
        <t xml:space="preserve">[Threaded comment]
 Your version of Excel allows you to read this threaded comment; however, any edits to it will get removed if the file is opened in a newer version of Excel. Learn more: https://go.microsoft.com/fwlink/?linkid=870924
Comment:
	https://drive.google.com/file/d/1WJ7o9QeyHMx1irVhjTFGg57dmVJfoLCD/view?usp=drive_link
Reply:
	https://drive.google.com/file/d/1B7u-p4gwDg_Q2tq0xGsZoYkAnnwqhNyj/view?usp=drive_link
</t>
      </text>
    </comment>
    <comment authorId="716" xr:uid="{446a5a9f-52cb-459f-b95e-bf83bdb830e2}" ref="Q599">
      <text>
        <t xml:space="preserve">[Threaded comment]
 Your version of Excel allows you to read this threaded comment; however, any edits to it will get removed if the file is opened in a newer version of Excel. Learn more: https://go.microsoft.com/fwlink/?linkid=870924
Comment:
	office 2024+antivirus+configuracion inicial
</t>
      </text>
    </comment>
    <comment authorId="717" xr:uid="{449bddfb-48fd-433a-a224-c00858391600}" ref="K533">
      <text>
        <t xml:space="preserve">[Threaded comment]
 Your version of Excel allows you to read this threaded comment; however, any edits to it will get removed if the file is opened in a newer version of Excel. Learn more: https://go.microsoft.com/fwlink/?linkid=870924
Comment:
	https://drive.google.com/open?id=1yg7_OxkRn2XToOQ0qnEq8fEiAEQJhC9s&amp;usp=drive_copy
</t>
      </text>
    </comment>
    <comment authorId="718" xr:uid="{44d8c182-31f1-4968-af47-99c8277d9d29}" ref="J298">
      <text>
        <t xml:space="preserve">[Threaded comment]
 Your version of Excel allows you to read this threaded comment; however, any edits to it will get removed if the file is opened in a newer version of Excel. Learn more: https://go.microsoft.com/fwlink/?linkid=870924
Comment:
	https://drive.google.com/file/d/176fD_1HUSs24TeE3jj_LtS-U9p-Mst55/view?usp=drive_link
</t>
      </text>
    </comment>
    <comment authorId="719" xr:uid="{44f9effa-4dff-4be1-905a-ea9143654a94}" ref="J616">
      <text>
        <t xml:space="preserve">[Threaded comment]
 Your version of Excel allows you to read this threaded comment; however, any edits to it will get removed if the file is opened in a newer version of Excel. Learn more: https://go.microsoft.com/fwlink/?linkid=870924
Comment:
	https://drive.google.com/file/d/1_-ylPn-7x0L0lHJWIBpF57OEwULj6BJZ/view?usp=drive_link
</t>
      </text>
    </comment>
    <comment authorId="720" xr:uid="{44ff7086-1f8f-4da4-be25-d56978477f1b}" ref="AF310">
      <text>
        <t xml:space="preserve">[Threaded comment]
 Your version of Excel allows you to read this threaded comment; however, any edits to it will get removed if the file is opened in a newer version of Excel. Learn more: https://go.microsoft.com/fwlink/?linkid=870924
Comment:
	Venta final y fixit
Reply:
	Marcado como resuelto
Reply:
	Reabierto
</t>
      </text>
    </comment>
    <comment authorId="721" xr:uid="{450131db-5876-42ec-be2a-18d0a3487c5d}" ref="J25">
      <text>
        <t xml:space="preserve">[Threaded comment]
 Your version of Excel allows you to read this threaded comment; however, any edits to it will get removed if the file is opened in a newer version of Excel. Learn more: https://go.microsoft.com/fwlink/?linkid=870924
Comment:
	https://drive.google.com/file/d/1a3kOgoiKef8iUU-cthB6dAoOn3MzqLbU/view?usp=drive_link
</t>
      </text>
    </comment>
    <comment authorId="722" xr:uid="{45056a50-8814-4b34-80a5-809467c08457}" ref="AF680">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723" xr:uid="{45125419-827e-4ce1-b4e2-9232d70dafbc}" ref="J112">
      <text>
        <t xml:space="preserve">[Threaded comment]
 Your version of Excel allows you to read this threaded comment; however, any edits to it will get removed if the file is opened in a newer version of Excel. Learn more: https://go.microsoft.com/fwlink/?linkid=870924
Comment:
	https://drive.google.com/file/d/1BC5sbUh07AezzaMxGKp5ok-FqCSoAAyV/view?usp=drive_link
</t>
      </text>
    </comment>
    <comment authorId="724" xr:uid="{451e617d-4ded-43e5-b4cd-18a5e13e69d7}" ref="C393">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https://www.lenovo.com/us/en/p/laptops/legion-laptops/legion-5-series/lenovo-legion-5i-gen-10-(15-inch-intel)/83f00006us
</t>
      </text>
    </comment>
    <comment authorId="725" xr:uid="{4552792e-c8c8-4e99-b1d4-eb753fbd7567}" ref="P187">
      <text>
        <t xml:space="preserve">[Threaded comment]
 Your version of Excel allows you to read this threaded comment; however, any edits to it will get removed if the file is opened in a newer version of Excel. Learn more: https://go.microsoft.com/fwlink/?linkid=870924
Comment:
	agregar mouse y soporte de regalo
</t>
      </text>
    </comment>
    <comment authorId="726" xr:uid="{45715974-6f89-4d1d-8a52-a4b6534add1d}" ref="J359">
      <text>
        <t xml:space="preserve">[Threaded comment]
 Your version of Excel allows you to read this threaded comment; however, any edits to it will get removed if the file is opened in a newer version of Excel. Learn more: https://go.microsoft.com/fwlink/?linkid=870924
Comment:
	https://drive.google.com/file/d/1e6jTRngMlBp-YfHxnoXIB0V7RRW45vuM/view?usp=drive_link
Reply:
	https://drive.google.com/file/d/1R5wA33JGa9_nVsYNI6F-hFgRIiDiNtKJ/view?usp=drive_link
Reply:
	https://drive.google.com/file/d/16bzXdP143VshFsXXBiSjF3F9MeuAPfdg/view?usp=drive_link
Reply:
	https://drive.google.com/file/d/1tcGNsRcjM2w3LJaMMxSqDtReBSWz5GzX/view?usp=drive_link
Reply:
	https://drive.google.com/file/d/1qjdM3ZzMG6W_PlpafAt7qM3f8pYAQUZl/view?usp=drive_link
</t>
      </text>
    </comment>
    <comment authorId="727" xr:uid="{458bedd6-2841-4529-b46f-007b0edd0dcf}" ref="K573">
      <text>
        <t xml:space="preserve">[Threaded comment]
 Your version of Excel allows you to read this threaded comment; however, any edits to it will get removed if the file is opened in a newer version of Excel. Learn more: https://go.microsoft.com/fwlink/?linkid=870924
Comment:
	https://drive.google.com/file/d/19gQLKS68SWroW6Ev-xWMoSdcQd1CDtnX/view?usp=drive_link
</t>
      </text>
    </comment>
    <comment authorId="728" xr:uid="{45be1a44-a0fb-484e-82b4-a136fcc0fadf}" ref="J256">
      <text>
        <t xml:space="preserve">[Threaded comment]
 Your version of Excel allows you to read this threaded comment; however, any edits to it will get removed if the file is opened in a newer version of Excel. Learn more: https://go.microsoft.com/fwlink/?linkid=870924
Comment:
	https://drive.google.com/file/d/19TeoB7BRtK0d9cQN1V4qUxB4Fvf9FjNf/view?usp=drive_link
https://drive.google.com/file/d/1e4RzN4Woe6FZrOzn4QnWhgZRhDtdAY65/view?usp=drive_link
</t>
      </text>
    </comment>
    <comment authorId="729" xr:uid="{45d8d8f1-fba0-483f-8a98-f5b1698fb1fb}" ref="AF152">
      <text>
        <t xml:space="preserve">[Threaded comment]
 Your version of Excel allows you to read this threaded comment; however, any edits to it will get removed if the file is opened in a newer version of Excel. Learn more: https://go.microsoft.com/fwlink/?linkid=870924
Comment:
	falta fixit y la venta final
</t>
      </text>
    </comment>
    <comment authorId="730" xr:uid="{4607c169-4da7-407f-b50b-25f4378baef2}" ref="C447">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https://us-store.msi.com/Laptops/Gaming-Series/Vector-GP-Series/msi-Vector-16-HX-AI-A2XWIG-050US
</t>
      </text>
    </comment>
    <comment authorId="731" xr:uid="{460ce4c0-5239-4201-bb0c-97111794d90b}" ref="J19">
      <text>
        <t xml:space="preserve">[Threaded comment]
 Your version of Excel allows you to read this threaded comment; however, any edits to it will get removed if the file is opened in a newer version of Excel. Learn more: https://go.microsoft.com/fwlink/?linkid=870924
Comment:
	https://drive.google.com/file/d/1Rh0NOslKxOo4B5jktlReoKAcXuhic63X/view?usp=drive_link
</t>
      </text>
    </comment>
    <comment authorId="732" xr:uid="{463ca6a3-e883-4e8e-bf60-4fc5da6c2627}" ref="J451">
      <text>
        <t xml:space="preserve">[Threaded comment]
 Your version of Excel allows you to read this threaded comment; however, any edits to it will get removed if the file is opened in a newer version of Excel. Learn more: https://go.microsoft.com/fwlink/?linkid=870924
Comment:
	https://drive.google.com/file/d/1mAJyobsifMokyqljhaSoiSy1UwjKfyWT/view?usp=drive_link
</t>
      </text>
    </comment>
    <comment authorId="733" xr:uid="{464957d4-8aea-4f58-b914-ded19c7e257f}" ref="J448">
      <text>
        <t xml:space="preserve">[Threaded comment]
 Your version of Excel allows you to read this threaded comment; however, any edits to it will get removed if the file is opened in a newer version of Excel. Learn more: https://go.microsoft.com/fwlink/?linkid=870924
Comment:
	https://drive.google.com/file/d/1ktwt0e3h9IbD838-ldzkCRBbuyVOlohR/view?usp=drive_link
</t>
      </text>
    </comment>
    <comment authorId="734" xr:uid="{4652292b-73d3-4bdd-8d5b-721c60f28082}" ref="C730">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
</t>
      </text>
    </comment>
    <comment authorId="735" xr:uid="{469944cf-8da8-455a-803b-d92dcfaa9f07}" ref="K384">
      <text>
        <t xml:space="preserve">[Threaded comment]
 Your version of Excel allows you to read this threaded comment; however, any edits to it will get removed if the file is opened in a newer version of Excel. Learn more: https://go.microsoft.com/fwlink/?linkid=870924
Comment:
	https://drive.google.com/file/d/1gvbX0j_c97AjzcBEShcLlVZc2_uYJrx0/view?usp=drive_link
</t>
      </text>
    </comment>
    <comment authorId="736" xr:uid="{469bfa48-e21e-40e4-8cd1-e2993305fd27}" ref="D326">
      <text>
        <t xml:space="preserve">[Threaded comment]
 Your version of Excel allows you to read this threaded comment; however, any edits to it will get removed if the file is opened in a newer version of Excel. Learn more: https://go.microsoft.com/fwlink/?linkid=870924
Comment:
	✅NOMBRES COMPLETOS O RAZÓN SOCIAL: OSCAR DANIEL NAVARRO CIEZA
✅RUC: 10722314188
✅DNI: 72231418
✅NÚMERO DE CELULAR: 929178606
✅CORREO ELECTRÓNICO: oscardanielnc@outlook.com.pe
</t>
      </text>
    </comment>
    <comment authorId="737" xr:uid="{46d81491-714b-4c77-8246-8e8501346536}" ref="Q617">
      <text>
        <t xml:space="preserve">[Threaded comment]
 Your version of Excel allows you to read this threaded comment; however, any edits to it will get removed if the file is opened in a newer version of Excel. Learn more: https://go.microsoft.com/fwlink/?linkid=870924
Comment:
	apertura + config inicial+ revit+autocad+antivirus
</t>
      </text>
    </comment>
    <comment authorId="738" xr:uid="{46fd4010-2f80-4145-83e5-fcf6a38caf90}" ref="C119">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https://www.bestbuy.com/site/asus-rog-strix-g16-16-fhd-165hz-gaming-laptop-amd-ryzen-9-hx-16gb-ram-nvidia-geforce-rtx-5070-ti-1tb-ssd-eclipse-grey/6613956.p?skuId=6613956
</t>
      </text>
    </comment>
    <comment authorId="739" xr:uid="{4717dad9-ba06-4bc9-b48c-5dacd3cb42a0}" ref="W360">
      <text>
        <t xml:space="preserve">[Threaded comment]
 Your version of Excel allows you to read this threaded comment; however, any edits to it will get removed if the file is opened in a newer version of Excel. Learn more: https://go.microsoft.com/fwlink/?linkid=870924
Comment:
	https://drive.google.com/file/d/147sNvKGtP5F1aZJr78y-H-A_qoB1pI7C/view?usp=drive_link
</t>
      </text>
    </comment>
    <comment authorId="740" xr:uid="{473d82bb-cc00-4a62-acb7-1907c42821c7}" ref="AI770">
      <text>
        <t xml:space="preserve">[Threaded comment]
 Your version of Excel allows you to read this threaded comment; however, any edits to it will get removed if the file is opened in a newer version of Excel. Learn more: https://go.microsoft.com/fwlink/?linkid=870924
Comment:
	https://drive.google.com/file/d/1hLJaZZMdvMfd6KnqUJXeocNkKOc2VdE4/view?usp=drive_link
</t>
      </text>
    </comment>
    <comment authorId="741" xr:uid="{474bb012-8349-4680-bf9a-2cc38655c953}" ref="K762">
      <text>
        <t xml:space="preserve">[Threaded comment]
 Your version of Excel allows you to read this threaded comment; however, any edits to it will get removed if the file is opened in a newer version of Excel. Learn more: https://go.microsoft.com/fwlink/?linkid=870924
Comment:
	https://drive.google.com/file/d/1YGxDEt04UtaiD70p5dqXWmWkyFfQ70V9/view?usp=drive_link
Reply:
	https://drive.google.com/file/d/1EGTrFcA678kQFiVzkFAWcsDLlHFzkRa9/view?usp=drive_link
Reply:
	https://drive.google.com/file/d/1XA1bXzC6VZiqWoBS-mivuQnUtsAhfDcY/view?usp=drive_link
</t>
      </text>
    </comment>
    <comment authorId="742" xr:uid="{4764c600-0684-4e26-a6f2-40bd9c5bc275}" ref="C481">
      <text>
        <t xml:space="preserve">[Threaded comment]
 Your version of Excel allows you to read this threaded comment; however, any edits to it will get removed if the file is opened in a newer version of Excel. Learn more: https://go.microsoft.com/fwlink/?linkid=870924
Comment:
	https://www.ebay.com/itm/205756001751?_skw=zephyrus&amp;itmmeta=01KET2D3C8W6WVY18HW29WBAM4&amp;hash=item2fe8036dd7:g:VEQAAeSwYwVpXo~U&amp;itmprp=enc%3AAQAKAAAA4FkggFvd1GGDu0w3yXCmi1coLcyQ%2FpFw9QpVyxDDtIkwj9%2FCFtKBBd9WnOqMWowLHiM%2BU33jSZ5EOySM6zACC%2FYYKMHHQbv%2FzERy7GnPpa6gRZHqhObocYVXqkqcSZgZXILEEApNNQcCeO1MXbaFI9MwcDijEbWT7Z5f6QZMt0fuL7d2T5l71rn1juyN66%2FoIJvrfLYnnGXkAiZymxEiRSNUZUHpQ30Kth%2F0C0%2Fv6UUYz1P3oJxI9ifwOOBTDd3wrgBN4ydhf64%2BsYcMq43C3MTQh%2Fsc6%2BW7DBilenv8kXYQ%7Ctkp%3ABk9SR6q2tML2Zg
</t>
      </text>
    </comment>
    <comment authorId="743" xr:uid="{47a8cdf4-1cef-46dc-8519-fcca98b638cc}" ref="W354">
      <text>
        <t xml:space="preserve">[Threaded comment]
 Your version of Excel allows you to read this threaded comment; however, any edits to it will get removed if the file is opened in a newer version of Excel. Learn more: https://go.microsoft.com/fwlink/?linkid=870924
Comment:
	https://drive.google.com/file/d/1MF8bEz-TxZZFjW3Nc5OdZREHcgTLEBbZ/view?usp=drive_link
</t>
      </text>
    </comment>
    <comment authorId="744" xr:uid="{47cc4af1-ea64-4075-a828-d6f731e88897}" ref="J565">
      <text>
        <t xml:space="preserve">[Threaded comment]
 Your version of Excel allows you to read this threaded comment; however, any edits to it will get removed if the file is opened in a newer version of Excel. Learn more: https://go.microsoft.com/fwlink/?linkid=870924
Comment:
	https://drive.google.com/file/d/1HhkXxnuy1eVHzBxTs6BMsPhaWnyUbrdy/view?usp=drive_link
</t>
      </text>
    </comment>
    <comment authorId="745" xr:uid="{47f15c40-0ebc-433f-89dc-0396f52cb653}" ref="K638">
      <text>
        <t xml:space="preserve">[Threaded comment]
 Your version of Excel allows you to read this threaded comment; however, any edits to it will get removed if the file is opened in a newer version of Excel. Learn more: https://go.microsoft.com/fwlink/?linkid=870924
Comment:
	https://drive.google.com/file/d/1AuJv_VJAQG3ykxxU7ZaBfUIDXMGCyKZ6/view?usp=drive_link
</t>
      </text>
    </comment>
    <comment authorId="746" xr:uid="{482a0635-262c-4872-9ede-2f3c8036908f}" ref="C796">
      <text>
        <t xml:space="preserve">[Threaded comment]
 Your version of Excel allows you to read this threaded comment; however, any edits to it will get removed if the file is opened in a newer version of Excel. Learn more: https://go.microsoft.com/fwlink/?linkid=870924
Comment:
	https://shop.asus.com/us/30939-us-cnf-auto.html?config=90NR0K11-M00020
</t>
      </text>
    </comment>
    <comment authorId="747" xr:uid="{4854c02b-d208-4699-9a0f-619d81cdd1bd}" ref="AF714">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748" xr:uid="{486041ce-d39c-41fe-ae6c-60d8435a736b}" ref="W368">
      <text>
        <t xml:space="preserve">[Threaded comment]
 Your version of Excel allows you to read this threaded comment; however, any edits to it will get removed if the file is opened in a newer version of Excel. Learn more: https://go.microsoft.com/fwlink/?linkid=870924
Comment:
	https://drive.google.com/file/d/1OgOei8SaJ23z-KjTBOagFWr14RbsM6Wh/view?usp=drive_link
</t>
      </text>
    </comment>
    <comment authorId="749" xr:uid="{4862bf36-9d42-458a-8611-8fa870d9aff3}" ref="AF772">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750" xr:uid="{487381c9-92b7-4d56-b8d3-04a7b10bb709}" ref="AI751">
      <text>
        <t xml:space="preserve">[Threaded comment]
 Your version of Excel allows you to read this threaded comment; however, any edits to it will get removed if the file is opened in a newer version of Excel. Learn more: https://go.microsoft.com/fwlink/?linkid=870924
Comment:
	https://drive.google.com/file/d/1RBiDX-2A3l9t8TxbDhqgdfDFS2aJMwhm/view?usp=drive_link
</t>
      </text>
    </comment>
    <comment authorId="751" xr:uid="{487671d7-1aa9-4c95-a3bc-1e47f24adde1}" ref="W223">
      <text>
        <t xml:space="preserve">[Threaded comment]
 Your version of Excel allows you to read this threaded comment; however, any edits to it will get removed if the file is opened in a newer version of Excel. Learn more: https://go.microsoft.com/fwlink/?linkid=870924
Comment:
	https://drive.google.com/file/d/1JSxjYeHehGdBwH2iQeUOrz1CfyQsoqbk/view?usp=drive_link
</t>
      </text>
    </comment>
    <comment authorId="752" xr:uid="{48a85946-30ea-4dec-8326-cbce4d5f8d38}" ref="S348">
      <text>
        <t xml:space="preserve">[Threaded comment]
 Your version of Excel allows you to read this threaded comment; however, any edits to it will get removed if the file is opened in a newer version of Excel. Learn more: https://go.microsoft.com/fwlink/?linkid=870924
Comment:
	Ya está incluida en el precio de la laptop
</t>
      </text>
    </comment>
    <comment authorId="753" xr:uid="{48af4296-e65a-4633-a74e-0fa8bc52897a}" ref="L97">
      <text>
        <t xml:space="preserve">[Threaded comment]
 Your version of Excel allows you to read this threaded comment; however, any edits to it will get removed if the file is opened in a newer version of Excel. Learn more: https://go.microsoft.com/fwlink/?linkid=870924
Comment:
	https://drive.google.com/file/d/18Pp9KXbl9Tlg1da87z3uZOfAAZ8qVVVF/view?usp=drive_link
</t>
      </text>
    </comment>
    <comment authorId="754" xr:uid="{48da4068-1940-432d-8122-5e82b117af93}" ref="AF284">
      <text>
        <t xml:space="preserve">[Threaded comment]
 Your version of Excel allows you to read this threaded comment; however, any edits to it will get removed if the file is opened in a newer version of Excel. Learn more: https://go.microsoft.com/fwlink/?linkid=870924
Comment:
	solo el excedente que sacará de otra laptop
</t>
      </text>
    </comment>
    <comment authorId="755" xr:uid="{48ee59ab-3ef4-4f66-9f76-6cb183b87f8d}" ref="AI746">
      <text>
        <t xml:space="preserve">[Threaded comment]
 Your version of Excel allows you to read this threaded comment; however, any edits to it will get removed if the file is opened in a newer version of Excel. Learn more: https://go.microsoft.com/fwlink/?linkid=870924
Comment:
	https://drive.google.com/file/d/1ehxzQhmMiuRV_7hRUL_iKurD1ejNLRlZ/view?usp=drive_link
</t>
      </text>
    </comment>
    <comment authorId="756" xr:uid="{48fb742f-312d-4db7-9e75-5694ea01e6c9}" ref="J67">
      <text>
        <t xml:space="preserve">[Threaded comment]
 Your version of Excel allows you to read this threaded comment; however, any edits to it will get removed if the file is opened in a newer version of Excel. Learn more: https://go.microsoft.com/fwlink/?linkid=870924
Comment:
	en dolares
</t>
      </text>
    </comment>
    <comment authorId="757" xr:uid="{490c4736-ead5-4a09-af74-b9ce2af4f145}" ref="W309">
      <text>
        <t xml:space="preserve">[Threaded comment]
 Your version of Excel allows you to read this threaded comment; however, any edits to it will get removed if the file is opened in a newer version of Excel. Learn more: https://go.microsoft.com/fwlink/?linkid=870924
Comment:
	https://drive.google.com/file/d/1UMxfEDdC2lu7Mko6K7oLA6plsnAOQbIU/view?usp=drive_link
</t>
      </text>
    </comment>
    <comment authorId="758" xr:uid="{491717db-6e1a-4638-b33b-5e3140a95b00}" ref="C73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759" xr:uid="{4929c1d0-626c-45ca-9681-bfedc5e4a672}" ref="C12">
      <text>
        <t xml:space="preserve">[Threaded comment]
 Your version of Excel allows you to read this threaded comment; however, any edits to it will get removed if the file is opened in a newer version of Excel. Learn more: https://go.microsoft.com/fwlink/?linkid=870924
Comment:
	Se cambió por una ASUS G17 de $1,529.00
https://www.bhphotovideo.com/c/product/1881482-REG/asus_g713pi_xb96_17_3_rog_strix_g17.html/reviews
Reply:
	https://www.bhphotovideo.com/c/product/1881482-REG/asus_g713pi_xb96_17_3_rog_strix_g17.html/reviews
</t>
      </text>
    </comment>
    <comment authorId="760" xr:uid="{493f562c-928d-45e8-b26b-a31d2274bc4b}" ref="AF545">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761" xr:uid="{495f1958-4128-451c-a795-ca1485f8d158}" ref="AF757">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762" xr:uid="{49b14d09-16a7-48ec-997f-800483c2eb90}" ref="K467">
      <text>
        <t xml:space="preserve">[Threaded comment]
 Your version of Excel allows you to read this threaded comment; however, any edits to it will get removed if the file is opened in a newer version of Excel. Learn more: https://go.microsoft.com/fwlink/?linkid=870924
Comment:
	https://drive.google.com/file/d/1sPKbOHgf27NE6_WVnDsz6gSiL7DbvAZW/view?usp=drive_link
Reply:
	https://drive.google.com/file/d/1QCYtCoh8HLVxcD7hMrrLYVaU1a_2isCH/view?usp=drive_link
</t>
      </text>
    </comment>
    <comment authorId="763" xr:uid="{49b3fb4a-685e-4604-9792-494d3ff0248e}" ref="C266">
      <text>
        <t xml:space="preserve">[Threaded comment]
 Your version of Excel allows you to read this threaded comment; however, any edits to it will get removed if the file is opened in a newer version of Excel. Learn more: https://go.microsoft.com/fwlink/?linkid=870924
Comment:
	https://www.ebay.com/itm/226987295595
</t>
      </text>
    </comment>
    <comment authorId="764" xr:uid="{49ebeec4-9721-4e12-9243-d4872bf44638}" ref="L239">
      <text>
        <t xml:space="preserve">[Threaded comment]
 Your version of Excel allows you to read this threaded comment; however, any edits to it will get removed if the file is opened in a newer version of Excel. Learn more: https://go.microsoft.com/fwlink/?linkid=870924
Comment:
	https://drive.google.com/file/d/1hFxUDEKApyiEjz-2EwryVvQQykSqChdi/view?usp=drive_link
</t>
      </text>
    </comment>
    <comment authorId="765" xr:uid="{49ee2869-3fb8-4a08-adf4-97d48ba1b165}" ref="W270">
      <text>
        <t xml:space="preserve">[Threaded comment]
 Your version of Excel allows you to read this threaded comment; however, any edits to it will get removed if the file is opened in a newer version of Excel. Learn more: https://go.microsoft.com/fwlink/?linkid=870924
Comment:
	https://drive.google.com/file/d/14F7Fyny5vLWFcr_BWGlknO7QNEuHktZn/view?usp=drive_link
</t>
      </text>
    </comment>
    <comment authorId="766" xr:uid="{49f329f7-2035-487e-8a50-ab3b2bb3082e}" ref="J192">
      <text>
        <t xml:space="preserve">[Threaded comment]
 Your version of Excel allows you to read this threaded comment; however, any edits to it will get removed if the file is opened in a newer version of Excel. Learn more: https://go.microsoft.com/fwlink/?linkid=870924
Comment:
	https://drive.google.com/file/d/1APQkR_CDfHnHE6m1v0x8-mE4UkXT6YQJ/view
</t>
      </text>
    </comment>
    <comment authorId="767" xr:uid="{49f67cc8-a86c-429d-9346-fd05f4a14c1c}" ref="U194">
      <text>
        <t xml:space="preserve">[Threaded comment]
 Your version of Excel allows you to read this threaded comment; however, any edits to it will get removed if the file is opened in a newer version of Excel. Learn more: https://go.microsoft.com/fwlink/?linkid=870924
Comment:
	https://drive.google.com/file/d/1cTUJr-QyKVjdHUlsPd1HtLL9ablkFmve/view?usp=drive_link
</t>
      </text>
    </comment>
    <comment authorId="768" xr:uid="{4a034aeb-1d8e-4065-b255-ba3072a08e59}" ref="Z429">
      <text>
        <t xml:space="preserve">[Threaded comment]
 Your version of Excel allows you to read this threaded comment; however, any edits to it will get removed if the file is opened in a newer version of Excel. Learn more: https://go.microsoft.com/fwlink/?linkid=870924
Comment:
	-GRUPO ESPECIALIZADO EN CONSTRUCCION INGENIERIA Y LOGISTICA
-RUC: 20613553747
-981990064
-darkwal21@gmail.com
</t>
      </text>
    </comment>
    <comment authorId="769" xr:uid="{4a0a1e65-726b-406a-8e92-471d0a662edc}" ref="AC106">
      <text>
        <t xml:space="preserve">[Threaded comment]
 Your version of Excel allows you to read this threaded comment; however, any edits to it will get removed if the file is opened in a newer version of Excel. Learn more: https://go.microsoft.com/fwlink/?linkid=870924
Comment:
	me indican que hubo un retraso, por que esa la envie con otra persona, con quién estoy trabajando, y me dice que llega el 26, creo que el 27 estara acá, por que en si ya llegó al almacén, estaba programada para el 17 en Lima
</t>
      </text>
    </comment>
    <comment authorId="770" xr:uid="{4a32659a-a238-49f8-8514-c9d6eb0eb301}" ref="AF635">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771" xr:uid="{4a396268-f163-46df-87a0-6c5317e14d3c}" ref="K324">
      <text>
        <t xml:space="preserve">[Threaded comment]
 Your version of Excel allows you to read this threaded comment; however, any edits to it will get removed if the file is opened in a newer version of Excel. Learn more: https://go.microsoft.com/fwlink/?linkid=870924
Comment:
	https://drive.google.com/file/d/1-lxz7UafbwaHajMDL5YE4rVbXwZazB_F/view?usp=drive_link
https://drive.google.com/file/d/1Rwtf4uHJBY4ZqJkOdeCDbA78c29Zd73B/view?usp=drive_link
</t>
      </text>
    </comment>
    <comment authorId="772" xr:uid="{4a3f51a5-457b-4487-9f08-7ce0951d3af4}" ref="J313">
      <text>
        <t xml:space="preserve">[Threaded comment]
 Your version of Excel allows you to read this threaded comment; however, any edits to it will get removed if the file is opened in a newer version of Excel. Learn more: https://go.microsoft.com/fwlink/?linkid=870924
Comment:
	https://drive.google.com/file/d/1daEMU4bJVtvGFMaUQVo5_BLim21sC5Vj/view?usp=drive_link
Reply:
	https://drive.google.com/file/d/1e3XUgq_vLNaeOdrxsDGKsVeXtTELLWhO/view?usp=drive_link
Reply:
	https://drive.google.com/file/d/1tINsdbTHY1zJTmhI0o0PRYC5nq2i4B7d/view?usp=drive_link
</t>
      </text>
    </comment>
    <comment authorId="773" xr:uid="{4a430ac6-e213-4a59-8e59-054b976a45aa}" ref="K734">
      <text>
        <t xml:space="preserve">[Threaded comment]
 Your version of Excel allows you to read this threaded comment; however, any edits to it will get removed if the file is opened in a newer version of Excel. Learn more: https://go.microsoft.com/fwlink/?linkid=870924
Comment:
	https://drive.google.com/file/d/1fwp7YqW5E5kZnLLkXtA8rWLP0R0FfMux/view?usp=drive_link
</t>
      </text>
    </comment>
    <comment authorId="774" xr:uid="{4a46cc2d-269d-4534-b2c5-0c8ee9f6afa7}" ref="K733">
      <text>
        <t xml:space="preserve">[Threaded comment]
 Your version of Excel allows you to read this threaded comment; however, any edits to it will get removed if the file is opened in a newer version of Excel. Learn more: https://go.microsoft.com/fwlink/?linkid=870924
Comment:
	https://drive.google.com/file/d/14F5UlVFl5GJitr1PJgrvZikcXC1wVsGB/view?usp=drive_link
Reply:
	incluye el envio de Olva
</t>
      </text>
    </comment>
    <comment authorId="775" xr:uid="{4a5417ca-8227-4173-b2a3-850a55b0be96}" ref="C56">
      <text>
        <t xml:space="preserve">[Threaded comment]
 Your version of Excel allows you to read this threaded comment; however, any edits to it will get removed if the file is opened in a newer version of Excel. Learn more: https://go.microsoft.com/fwlink/?linkid=870924
Comment:
	https://www.ebay.com/itm/177043061277?_skw=laptop+gaming&amp;itmmeta=01JV3TWS4BWQC1KMCBWZXKQ1WK&amp;hash=item293896ba1d:g:HqEAAeSwfUdoC-BN
</t>
      </text>
    </comment>
    <comment authorId="776" xr:uid="{4a7ae0c3-97d0-4685-932a-103e2fb09617}" ref="C609">
      <text>
        <t xml:space="preserve">[Threaded comment]
 Your version of Excel allows you to read this threaded comment; however, any edits to it will get removed if the file is opened in a newer version of Excel. Learn more: https://go.microsoft.com/fwlink/?linkid=870924
Comment:
	https://www.newegg.com/msi-titan-18-18-geforce-rtx-5090-laptop-gpu-intel-core-ultra-9-285hx-uhd-32gb-2-memory-2tb-nvme-ssd-gen5x4-4tb-nvme-ssd-gen4x4-ssd/p/N82E16834156796
</t>
      </text>
    </comment>
    <comment authorId="777" xr:uid="{4ad53434-b1de-4d85-9f6b-62963522f671}" ref="M36">
      <text>
        <t xml:space="preserve">[Threaded comment]
 Your version of Excel allows you to read this threaded comment; however, any edits to it will get removed if the file is opened in a newer version of Excel. Learn more: https://go.microsoft.com/fwlink/?linkid=870924
Comment:
	https://drive.google.com/file/d/1V7Ly4K7QB82bjgbYWvnPpzRCc3DQ4s5H/view?usp=drive_link
</t>
      </text>
    </comment>
    <comment authorId="778" xr:uid="{4afe8f3e-86d9-46f8-8f68-b799002e75b8}" ref="C65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779" xr:uid="{4b0858ca-e1db-4f2a-b25e-a435f4891fec}" ref="L231">
      <text>
        <t xml:space="preserve">[Threaded comment]
 Your version of Excel allows you to read this threaded comment; however, any edits to it will get removed if the file is opened in a newer version of Excel. Learn more: https://go.microsoft.com/fwlink/?linkid=870924
Comment:
	https://drive.google.com/file/d/11HYuPGtdUKNFYx5uzSDlBFlz5RTQTPq_/view?usp=drive_link
</t>
      </text>
    </comment>
    <comment authorId="780" xr:uid="{4b1cc4f6-62a1-43c7-a8c1-6036b1c3bd89}"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https://drive.google.com/file/d/1Z7YS21SZgOsj6PsM5GfFvC_W0_Tg2Cmy/view?usp=drive_link
</t>
      </text>
    </comment>
    <comment authorId="781" xr:uid="{4b1d2b11-52b5-43b1-a3ef-12f6fd8c0b1d}" ref="Z478">
      <text>
        <t xml:space="preserve">[Threaded comment]
 Your version of Excel allows you to read this threaded comment; however, any edits to it will get removed if the file is opened in a newer version of Excel. Learn more: https://go.microsoft.com/fwlink/?linkid=870924
Comment:
	Razón social: G&amp;I Representaciones S.R.L.
Ruc: 20358211713
Cel: 984007200
Correo: jefrei.paucar@gmail.com
</t>
      </text>
    </comment>
    <comment authorId="782" xr:uid="{4b38ae35-2b19-43df-995b-c3e5310762d5}" ref="D668">
      <text>
        <t xml:space="preserve">[Threaded comment]
 Your version of Excel allows you to read this threaded comment; however, any edits to it will get removed if the file is opened in a newer version of Excel. Learn more: https://go.microsoft.com/fwlink/?linkid=870924
Comment:
	usuario briley García upiachihua
</t>
      </text>
    </comment>
    <comment authorId="783" xr:uid="{4b3af3e8-8c16-41d3-9c86-3a21692379a4}" ref="K779">
      <text>
        <t xml:space="preserve">[Threaded comment]
 Your version of Excel allows you to read this threaded comment; however, any edits to it will get removed if the file is opened in a newer version of Excel. Learn more: https://go.microsoft.com/fwlink/?linkid=870924
Comment:
	https://drive.google.com/file/d/1zeoX4RvpQcw5EFJI7muAUl_mDHzJlfHU/view?usp=drive_link
</t>
      </text>
    </comment>
    <comment authorId="784" xr:uid="{4b468a6c-732d-4dde-8d1c-657d4bfa9d10}" ref="W240">
      <text>
        <t xml:space="preserve">[Threaded comment]
 Your version of Excel allows you to read this threaded comment; however, any edits to it will get removed if the file is opened in a newer version of Excel. Learn more: https://go.microsoft.com/fwlink/?linkid=870924
Comment:
	https://drive.google.com/file/d/1_K5tTI_pSpzLavCxFkOAdRoblEVlZsRN/view?usp=drive_link
</t>
      </text>
    </comment>
    <comment authorId="785" xr:uid="{4b48ddd0-f03a-4eba-a06e-afd7520601db}" ref="C614">
      <text>
        <t xml:space="preserve">[Threaded comment]
 Your version of Excel allows you to read this threaded comment; however, any edits to it will get removed if the file is opened in a newer version of Excel. Learn more: https://go.microsoft.com/fwlink/?linkid=870924
Comment:
	https://www.ebay.com/itm/326796273689?_skw=laptop+gaming&amp;itmmeta=01KKX6NN6134JBFGK29084N58V&amp;hash=item4c16936819:g:4lMAAeSwKO1pqzYD
</t>
      </text>
    </comment>
    <comment authorId="786" xr:uid="{4b594a34-c069-43fc-aeb4-9b994ca1244b}" ref="AF784">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787" xr:uid="{4b8387fb-1805-4d88-b161-fcb7c1912a87}" ref="J358">
      <text>
        <t xml:space="preserve">[Threaded comment]
 Your version of Excel allows you to read this threaded comment; however, any edits to it will get removed if the file is opened in a newer version of Excel. Learn more: https://go.microsoft.com/fwlink/?linkid=870924
Comment:
	https://drive.google.com/file/d/1o6pfxd8fZ5CVnXJemAVIM_KaHwPDKr0a/view?usp=drive_link
Reply:
	https://drive.google.com/file/d/1cmW__wCZ5tdN8v28hrtKcxwlbfMlkcVK/view?usp=drive_link
Reply:
	https://drive.google.com/file/d/1NsXPCt7pjFJjS2qBlQZ_kWMHO7p_4D-Z/view?usp=drive_link
Reply:
	https://drive.google.com/file/d/1Uma8HpuyLWSZ2uqmnfRgON5bz1Hyv1bN/view?usp=drive_link
</t>
      </text>
    </comment>
    <comment authorId="788" xr:uid="{4b8babaf-2b33-4670-9e11-49361c6c7087}" ref="J173">
      <text>
        <t xml:space="preserve">[Threaded comment]
 Your version of Excel allows you to read this threaded comment; however, any edits to it will get removed if the file is opened in a newer version of Excel. Learn more: https://go.microsoft.com/fwlink/?linkid=870924
Comment:
	https://drive.google.com/file/d/1dLtCTVar6vVze-Wecwk4NI3tfM5UM4Sp/view?usp=drive_link
</t>
      </text>
    </comment>
    <comment authorId="789" xr:uid="{4ba9228b-6f3d-4c70-aedd-3e883482e23d}" ref="C406">
      <text>
        <t xml:space="preserve">[Threaded comment]
 Your version of Excel allows you to read this threaded comment; however, any edits to it will get removed if the file is opened in a newer version of Excel. Learn more: https://go.microsoft.com/fwlink/?linkid=870924
Comment:
	https://www.ebay.com/itm/205756001751?_skw=laptop+gaming&amp;itmmeta=01KC39AGPB0DTWSSW32Z58NHBM&amp;hash=item2fe8036dd7:g:Qs0AAeSwFhRpN1SK
</t>
      </text>
    </comment>
    <comment authorId="790" xr:uid="{4bbd1f09-7486-4e9e-bae6-18ab82b75482}" ref="Q720">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791" xr:uid="{4c06cf82-4112-4cf8-8643-a90090c282d0}" ref="C96">
      <text>
        <t xml:space="preserve">[Threaded comment]
 Your version of Excel allows you to read this threaded comment; however, any edits to it will get removed if the file is opened in a newer version of Excel. Learn more: https://go.microsoft.com/fwlink/?linkid=870924
Comment:
	https://www.amazon.com/dp/B0DM6SHQTN?ref=cm_sw_r_cso_wa_apin_dp_16CT9B1ZNPA4DSRP485R&amp;ref_=cm_sw_r_cso_wa_apin_dp_16CT9B1ZNPA4DSRP485R&amp;social_share=cm_sw_r_cso_wa_apin_dp_16CT9B1ZNPA4DSRP485R&amp;titleSource=avft-a&amp;previewDoh=1&amp;th=1
</t>
      </text>
    </comment>
    <comment authorId="792" xr:uid="{4c177b80-03fa-4931-bf46-46da89746b74}" ref="AF644">
      <text>
        <t xml:space="preserve">[Threaded comment]
 Your version of Excel allows you to read this threaded comment; however, any edits to it will get removed if the file is opened in a newer version of Excel. Learn more: https://go.microsoft.com/fwlink/?linkid=870924
Comment:
	venta final,excedentes, fixit
</t>
      </text>
    </comment>
    <comment authorId="793" xr:uid="{4c225cb9-180b-425c-9a0c-e25b8df51ae0}" ref="K664">
      <text>
        <t xml:space="preserve">[Threaded comment]
 Your version of Excel allows you to read this threaded comment; however, any edits to it will get removed if the file is opened in a newer version of Excel. Learn more: https://go.microsoft.com/fwlink/?linkid=870924
Comment:
	https://drive.google.com/file/d/11wvv4Kbqto_Po-mDuSZkglQ_x1Ja0rZg/view?usp=drive_link
</t>
      </text>
    </comment>
    <comment authorId="794" xr:uid="{4c41ae29-bf7f-4d5b-b471-7316c5f6b2a9}" ref="J480">
      <text>
        <t xml:space="preserve">[Threaded comment]
 Your version of Excel allows you to read this threaded comment; however, any edits to it will get removed if the file is opened in a newer version of Excel. Learn more: https://go.microsoft.com/fwlink/?linkid=870924
Comment:
	https://drive.google.com/file/d/1lr4wHpFL0psQQt_JYEPVdgOWDn-o9PXN/view?usp=drive_link
</t>
      </text>
    </comment>
    <comment authorId="795" xr:uid="{4c5e1aaf-300a-4908-86eb-6145e8eb1d49}" ref="AF64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796" xr:uid="{4c88e5a9-5d54-432a-bcff-d3ed17bbe306}" ref="N270">
      <text>
        <t xml:space="preserve">[Threaded comment]
 Your version of Excel allows you to read this threaded comment; however, any edits to it will get removed if the file is opened in a newer version of Excel. Learn more: https://go.microsoft.com/fwlink/?linkid=870924
Comment:
	S/.1.092,61864
S/.1.289,2900
</t>
      </text>
    </comment>
    <comment authorId="797" xr:uid="{4ca621c7-4e50-46ae-9688-3378c07f4376}" ref="T707">
      <text>
        <t xml:space="preserve">[Threaded comment]
 Your version of Excel allows you to read this threaded comment; however, any edits to it will get removed if the file is opened in a newer version of Excel. Learn more: https://go.microsoft.com/fwlink/?linkid=870924
Comment:
	apertura para cliente 716
</t>
      </text>
    </comment>
    <comment authorId="798" xr:uid="{4cb7d367-f666-4c34-a3f7-c0a1315640b1}" ref="C2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https://www.microcenter.com/product/687888/asus-rog-strix-g16-g614jir-ms96-16-gaming-laptop-computer-eclipse-gray
</t>
      </text>
    </comment>
    <comment authorId="799" xr:uid="{4cd16666-2fac-4c85-b02c-c2300531f355}" ref="J332">
      <text>
        <t xml:space="preserve">[Threaded comment]
 Your version of Excel allows you to read this threaded comment; however, any edits to it will get removed if the file is opened in a newer version of Excel. Learn more: https://go.microsoft.com/fwlink/?linkid=870924
Comment:
	https://drive.google.com/file/d/1xNrAEouPR0xF2U9QJKqkLWUyuKe6GTpI/view?usp=drive_link
</t>
      </text>
    </comment>
    <comment authorId="800" xr:uid="{4cd6bcbc-8061-4880-b29f-153e0e26e4a3}" ref="U726">
      <text>
        <t xml:space="preserve">[Threaded comment]
 Your version of Excel allows you to read this threaded comment; however, any edits to it will get removed if the file is opened in a newer version of Excel. Learn more: https://go.microsoft.com/fwlink/?linkid=870924
Comment:
	mouse+soporte + audifonos
</t>
      </text>
    </comment>
    <comment authorId="801" xr:uid="{4ce355c0-fb8f-4e27-bf3e-87322e9a5c6c}" ref="C428">
      <text>
        <t xml:space="preserve">[Threaded comment]
 Your version of Excel allows you to read this threaded comment; however, any edits to it will get removed if the file is opened in a newer version of Excel. Learn more: https://go.microsoft.com/fwlink/?linkid=870924
Comment:
	https://www.ebay.com/itm/326796274533?_skw=laptop+gaming&amp;itmmeta=01KD51PGBNVF9Z7NTKRWDPM6GF&amp;hash=item4c16936b65:g:~PAAAeSw4LBpRwQv
</t>
      </text>
    </comment>
    <comment authorId="802" xr:uid="{4cf8d211-876d-448a-9ea2-8329bb283af2}" ref="A1">
      <text>
        <t xml:space="preserve">[Threaded comment]
 Your version of Excel allows you to read this threaded comment; however, any edits to it will get removed if the file is opened in a newer version of Excel. Learn more: https://go.microsoft.com/fwlink/?linkid=870924
Comment:
	comision culqui
</t>
      </text>
    </comment>
    <comment authorId="803" xr:uid="{4cf9e3c4-f6e0-4847-a776-f92f88091040}" ref="L177">
      <text>
        <t xml:space="preserve">[Threaded comment]
 Your version of Excel allows you to read this threaded comment; however, any edits to it will get removed if the file is opened in a newer version of Excel. Learn more: https://go.microsoft.com/fwlink/?linkid=870924
Comment:
	https://drive.google.com/file/d/1E6bC1INNuuZ93dfuekzezwfz1LHMfTdw/view?usp=drive_link
</t>
      </text>
    </comment>
    <comment authorId="804" xr:uid="{4d14d2bf-40dd-4616-b1f9-4d94ab6ebfec}" ref="A1">
      <text>
        <t xml:space="preserve">[Threaded comment]
 Your version of Excel allows you to read this threaded comment; however, any edits to it will get removed if the file is opened in a newer version of Excel. Learn more: https://go.microsoft.com/fwlink/?linkid=870924
Comment:
	apertura para el cliente 716
</t>
      </text>
    </comment>
    <comment authorId="805" xr:uid="{4d15e855-f0ed-4c85-b4ea-8f7d95eef75e}" ref="C90">
      <text>
        <t xml:space="preserve">[Threaded comment]
 Your version of Excel allows you to read this threaded comment; however, any edits to it will get removed if the file is opened in a newer version of Excel. Learn more: https://go.microsoft.com/fwlink/?linkid=870924
Comment:
	https://www.amazon.com/-/es/port%C3%A1til-velocidades-estudiantes-profesionales-MU-PG2T0B/dp/B0CHFS9K14/ref=sr_1_3?crid=14T8BOU876WXF&amp;dib=eyJ2IjoiMSJ9._60iMb-LtdVc2nSTmdif5sX626g3vMPbz_qo4ZsVuhS30klWoXYh0KAsbH33eS0gf-xxqWBnbTnpuq6cVnCtGgajbfpVyANMnCkSGi-8Sms-n7P-sBgkneQBDPb2LPaRYLoLY7Yq7RihbONUQQJRX0JCIdjsPepb88t6GiTmHPEh7DJKepDg4-INrRFO-V-F_16ZRo9M5dk0u7656ctJVMnSam3B7h56cI2CIgzuaFQ.xmC4M8YfnJ33Y2p0gP1qUUTNOvucfPdHCzqOd5bdSTA&amp;dib_tag=se&amp;keywords=Samsung%2BT9%2BSSD%2Bport%C3%A1til%2Bde%2B2%2BTB&amp;qid=1749244979&amp;sprefix=samsung%2Bt9%2Bssd%2Bport%C3%A1til%2Bde%2B2%2Btb%2Caps%2C418&amp;sr=8-3&amp;th=1
</t>
      </text>
    </comment>
    <comment authorId="806" xr:uid="{4d232764-9b18-4516-93ab-fe63bd1a5d3d}" ref="L227">
      <text>
        <t xml:space="preserve">[Threaded comment]
 Your version of Excel allows you to read this threaded comment; however, any edits to it will get removed if the file is opened in a newer version of Excel. Learn more: https://go.microsoft.com/fwlink/?linkid=870924
Comment:
	https://drive.google.com/file/d/1qtY9gxUrhVkic9_otYjUhZ3iIyK4GGYC/view?usp=drive_link
</t>
      </text>
    </comment>
    <comment authorId="807" xr:uid="{4d5cacc7-45a1-4c28-90e2-8a15084e3c50}"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https://drive.google.com/file/d/1851lD9JD7Q3UNob4KNtm5PTvn6EWVCrw/view?usp=drive_link
</t>
      </text>
    </comment>
    <comment authorId="808" xr:uid="{4d5e1568-06b2-480b-b88b-4090a1e4653c}"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https://drive.google.com/file/d/1qjF7ZG9Y_tkM4soW1JaGO0okurqxsf2D/view?usp=drive_link
</t>
      </text>
    </comment>
    <comment authorId="809" xr:uid="{4da3b242-601e-4c0a-b9a8-cf7ed7d28b67}" ref="C679">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https://www.bhphotovideo.com/c/product/1875946-REG/lenovo_83f00008us_15_1_legion_5i_gaming.html
</t>
      </text>
    </comment>
    <comment authorId="810" xr:uid="{4db414f9-e654-4011-a9e5-03fc1e918aee}" ref="AF571">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811" xr:uid="{4db6778e-a70f-4146-87c6-8cc28e70da52}" ref="K514">
      <text>
        <t xml:space="preserve">[Threaded comment]
 Your version of Excel allows you to read this threaded comment; however, any edits to it will get removed if the file is opened in a newer version of Excel. Learn more: https://go.microsoft.com/fwlink/?linkid=870924
Comment:
	https://drive.google.com/file/d/1lbk-zPkxkfyjHBDKQEV1JPCkJqloddTh/view?usp=drive_link
</t>
      </text>
    </comment>
    <comment authorId="812" xr:uid="{4dc76392-7aa3-4a82-a75b-16a71dcea0ce}" ref="J202">
      <text>
        <t xml:space="preserve">[Threaded comment]
 Your version of Excel allows you to read this threaded comment; however, any edits to it will get removed if the file is opened in a newer version of Excel. Learn more: https://go.microsoft.com/fwlink/?linkid=870924
Comment:
	https://drive.google.com/file/d/15O0qrR-At2jXfNITluhqMxOQcMojD7qz/view?usp=drive_link
</t>
      </text>
    </comment>
    <comment authorId="813" xr:uid="{4ddd5cef-dabc-4217-904d-bf58aa1bf379}" ref="L273">
      <text>
        <t xml:space="preserve">[Threaded comment]
 Your version of Excel allows you to read this threaded comment; however, any edits to it will get removed if the file is opened in a newer version of Excel. Learn more: https://go.microsoft.com/fwlink/?linkid=870924
Comment:
	https://drive.google.com/file/d/19YT8cUT5cifo6ecJffMixAs1g-Csb4QH/view?usp=drive_link
Reply:
	https://drive.google.com/file/d/1o_O-Cm7aOaZ3Ud9VxKvl3Wx3-Qb2pjV2/view?usp=drive_link
</t>
      </text>
    </comment>
    <comment authorId="814" xr:uid="{4e132b34-9506-451f-99fe-2954dd7f5377}" ref="K488">
      <text>
        <t xml:space="preserve">[Threaded comment]
 Your version of Excel allows you to read this threaded comment; however, any edits to it will get removed if the file is opened in a newer version of Excel. Learn more: https://go.microsoft.com/fwlink/?linkid=870924
Comment:
	https://drive.google.com/file/d/1Sko6XSB0A-xrI5OCV2at9aIO98CrKODB/view?usp=drive_link
</t>
      </text>
    </comment>
    <comment authorId="815" xr:uid="{4e299a32-d1d9-4a5f-aba5-dfc5b2a94683}" ref="C136">
      <text>
        <t xml:space="preserve">[Threaded comment]
 Your version of Excel allows you to read this threaded comment; however, any edits to it will get removed if the file is opened in a newer version of Excel. Learn more: https://go.microsoft.com/fwlink/?linkid=870924
Comment:
	https://www.ebay.com/itm/205606875313?_skw=rtx&amp;itmmeta=01K0PRFJNRE9N246P95XV1S3VJ&amp;hash=item2fdf1ff0b1:g:9vIAAeSwsL1od028
</t>
      </text>
    </comment>
    <comment authorId="816" xr:uid="{4e45d131-85a7-4fb0-8e67-6a774b307149}" ref="L50">
      <text>
        <t xml:space="preserve">[Threaded comment]
 Your version of Excel allows you to read this threaded comment; however, any edits to it will get removed if the file is opened in a newer version of Excel. Learn more: https://go.microsoft.com/fwlink/?linkid=870924
Comment:
	https://drive.google.com/file/d/1DVLIEqqrb_d91VQ4xQze8XbR20CGeFnf/view?usp=drive_link
</t>
      </text>
    </comment>
    <comment authorId="817" xr:uid="{4e4cc42b-43e7-46da-b30b-2f2c1e01648c}" ref="J646">
      <text>
        <t xml:space="preserve">[Threaded comment]
 Your version of Excel allows you to read this threaded comment; however, any edits to it will get removed if the file is opened in a newer version of Excel. Learn more: https://go.microsoft.com/fwlink/?linkid=870924
Comment:
	https://drive.google.com/file/d/1Bzec0OyceN2jhiOrX3whxfG_b_FqsVTF/view?usp=drive_link
Reply:
	https://drive.google.com/file/d/1_FdF2SjMiDWc9z2pZHmA7_SMInmZKU5a/view?usp=drive_link
</t>
      </text>
    </comment>
    <comment authorId="818" xr:uid="{4e598b45-8617-41f6-8532-bf53dfabff1a}" ref="AF243">
      <text>
        <t xml:space="preserve">[Threaded comment]
 Your version of Excel allows you to read this threaded comment; however, any edits to it will get removed if the file is opened in a newer version of Excel. Learn more: https://go.microsoft.com/fwlink/?linkid=870924
Comment:
	Venta final, fixit, boleta
</t>
      </text>
    </comment>
    <comment authorId="819" xr:uid="{4e682ac6-180e-48e5-b450-cef6a765ca45}" ref="W369">
      <text>
        <t xml:space="preserve">[Threaded comment]
 Your version of Excel allows you to read this threaded comment; however, any edits to it will get removed if the file is opened in a newer version of Excel. Learn more: https://go.microsoft.com/fwlink/?linkid=870924
Comment:
	https://drive.google.com/file/d/1mX0QfYkLj1VqW597soiFl4ePekEug0rU/view?usp=drive_link
</t>
      </text>
    </comment>
    <comment authorId="820" xr:uid="{4ea5ed2d-f494-40ee-900f-3abd25667832}" ref="J666">
      <text>
        <t xml:space="preserve">[Threaded comment]
 Your version of Excel allows you to read this threaded comment; however, any edits to it will get removed if the file is opened in a newer version of Excel. Learn more: https://go.microsoft.com/fwlink/?linkid=870924
Comment:
	https://drive.google.com/file/d/1zkjrO5YiOqhLPYbBGnVeVUC8MkOyNRqJ/view?usp=drive_link
</t>
      </text>
    </comment>
    <comment authorId="821" xr:uid="{4eb823b1-ed0f-4085-9574-7e23c81a8655}" ref="W152">
      <text>
        <t xml:space="preserve">[Threaded comment]
 Your version of Excel allows you to read this threaded comment; however, any edits to it will get removed if the file is opened in a newer version of Excel. Learn more: https://go.microsoft.com/fwlink/?linkid=870924
Comment:
	https://drive.google.com/file/d/19VvSwBtqRTmG8y3Lcxt8KUhv8Ov0L0d4/view?usp=drive_link
</t>
      </text>
    </comment>
    <comment authorId="822" xr:uid="{4ec19175-729c-424a-8a3c-e3031be51eb9}" ref="C226">
      <text>
        <t xml:space="preserve">[Threaded comment]
 Your version of Excel allows you to read this threaded comment; however, any edits to it will get removed if the file is opened in a newer version of Excel. Learn more: https://go.microsoft.com/fwlink/?linkid=870924
Comment:
	https://www.ebay.com/itm/197444303642?_skw=zephyrus&amp;itmmeta=01K4T6VJNYJ6P31VAPETBEYJ8S&amp;hash=item2df898fb1a:g:npkAAeSwwaRov~8v
</t>
      </text>
    </comment>
    <comment authorId="823" xr:uid="{4ee29bae-83e1-411a-913a-3cb85d3db654}" ref="J760">
      <text>
        <t xml:space="preserve">[Threaded comment]
 Your version of Excel allows you to read this threaded comment; however, any edits to it will get removed if the file is opened in a newer version of Excel. Learn more: https://go.microsoft.com/fwlink/?linkid=870924
Comment:
	https://drive.google.com/file/d/1UmzaP2g6uu6qcErJyShZNVHbMEttizjN/view?usp=drive_link
</t>
      </text>
    </comment>
    <comment authorId="824" xr:uid="{4efe7f25-4ec0-46b4-8e51-653a813bc27c}" ref="Z503">
      <text>
        <t xml:space="preserve">[Threaded comment]
 Your version of Excel allows you to read this threaded comment; however, any edits to it will get removed if the file is opened in a newer version of Excel. Learn more: https://go.microsoft.com/fwlink/?linkid=870924
Comment:
	ara la boleta/factura del servicio por traer la laptop desde EEUU:
✅NOMBRES COMPLETOS O RAZÓN SOCIAL: SUPPORT BRIGADES FIRE &amp; SAFETY S.A.C.
✅DNI O RUC: 20548730776
✅NÚMERO DE CELULAR: 987628571
✅CORREO ELECTRÓNICO: gr.camuss@gmail.com
</t>
      </text>
    </comment>
    <comment authorId="825" xr:uid="{4f06b488-8252-44e5-b368-4004784f8170}" ref="C50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826" xr:uid="{4f0ae0e8-5ac8-42a6-b5af-b9561ffe43c7}" ref="K422">
      <text>
        <t xml:space="preserve">[Threaded comment]
 Your version of Excel allows you to read this threaded comment; however, any edits to it will get removed if the file is opened in a newer version of Excel. Learn more: https://go.microsoft.com/fwlink/?linkid=870924
Comment:
	https://drive.google.com/file/d/1O02i-ZtfzhZf7L2VxkiDpRLCI9gep95K/view?usp=drive_link
https://drive.google.com/file/d/1B5Q-uvHBo6riElg_MHLLcIJhZTjNdsvV/view?usp=drive_link
</t>
      </text>
    </comment>
    <comment authorId="827" xr:uid="{4f277f71-2669-4415-9475-2e521e352531}" ref="C35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https://www.microcenter.com/product/692120/msi-raider-18-hx-ai-a2xwig-418us-18-gaming-laptop-computer-core-black#tab-reviews-bm
</t>
      </text>
    </comment>
    <comment authorId="828" xr:uid="{4f437153-8929-41c1-9c33-79c1097d75f7}" ref="AF733">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829" xr:uid="{4f440256-9d5e-4505-b491-0e3f6f7bd4ff}" ref="J18">
      <text>
        <t xml:space="preserve">[Threaded comment]
 Your version of Excel allows you to read this threaded comment; however, any edits to it will get removed if the file is opened in a newer version of Excel. Learn more: https://go.microsoft.com/fwlink/?linkid=870924
Comment:
	https://drive.google.com/file/d/1Rjt-L17F5FVcgP5TWpAPAKPBKJC2hT31/view?usp=drive_link
</t>
      </text>
    </comment>
    <comment authorId="830" xr:uid="{4f489948-c8dc-4253-b97d-199ada4bf5b7}" ref="AF789">
      <text>
        <t xml:space="preserve">[Threaded comment]
 Your version of Excel allows you to read this threaded comment; however, any edits to it will get removed if the file is opened in a newer version of Excel. Learn more: https://go.microsoft.com/fwlink/?linkid=870924
Comment:
	excedente, fixit , venta final
</t>
      </text>
    </comment>
    <comment authorId="831" xr:uid="{4f8ea793-7a79-4b9c-8233-a77845738871}" ref="C809">
      <text>
        <t xml:space="preserve">[Threaded comment]
 Your version of Excel allows you to read this threaded comment; however, any edits to it will get removed if the file is opened in a newer version of Excel. Learn more: https://go.microsoft.com/fwlink/?linkid=870924
Comment:
	https://eshop.asus.com/us/90nr0jy1-m001l0-rog-flow-z13-2025.html?config=90NR0JY1-M001L0
</t>
      </text>
    </comment>
    <comment authorId="832" xr:uid="{4f9afb20-4bbc-4f6d-9f4b-258ecff7ae5c}" ref="AF175">
      <text>
        <t xml:space="preserve">[Threaded comment]
 Your version of Excel allows you to read this threaded comment; however, any edits to it will get removed if the file is opened in a newer version of Excel. Learn more: https://go.microsoft.com/fwlink/?linkid=870924
Comment:
	FINAL: precio final y fixit
</t>
      </text>
    </comment>
    <comment authorId="833" xr:uid="{4fb14d19-07a2-43de-878b-4465985b35ea}" ref="C66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834" xr:uid="{4fc78729-5976-4c92-af38-11b193d06d50}" ref="B272">
      <text>
        <t xml:space="preserve">[Threaded comment]
 Your version of Excel allows you to read this threaded comment; however, any edits to it will get removed if the file is opened in a newer version of Excel. Learn more: https://go.microsoft.com/fwlink/?linkid=870924
Comment:
	pagó el 09/10 solo que se le entregó la laptop a otro cliente, así que se compró otra nueva
</t>
      </text>
    </comment>
    <comment authorId="835" xr:uid="{4fd93ca8-9b28-4b73-96fe-f7287660e9a8}" ref="K342">
      <text>
        <t xml:space="preserve">[Threaded comment]
 Your version of Excel allows you to read this threaded comment; however, any edits to it will get removed if the file is opened in a newer version of Excel. Learn more: https://go.microsoft.com/fwlink/?linkid=870924
Comment:
	9 soles es para envio
https://drive.google.com/file/d/1icYVg0zf-FwYbzaqcaLJqicJ3b1cnZTK/view?usp=drive_link
</t>
      </text>
    </comment>
    <comment authorId="836" xr:uid="{4ff190f9-a513-430e-b96a-4550fcbeea3d}" ref="C18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https://www.microcenter.com/product/691210/asus-rog-strix-g16-(2025)-g614fr-ds96-16-gaming-laptop-computer-eclipse-gray
</t>
      </text>
    </comment>
    <comment authorId="837" xr:uid="{4ff78b62-1812-4b00-b0df-e007f14c9527}" ref="J183">
      <text>
        <t xml:space="preserve">[Threaded comment]
 Your version of Excel allows you to read this threaded comment; however, any edits to it will get removed if the file is opened in a newer version of Excel. Learn more: https://go.microsoft.com/fwlink/?linkid=870924
Comment:
	https://drive.google.com/file/d/1Zoz_XD9C1G1YLy0ZuH0Gy-t_LxMhWsiE/view?usp=drive_link
</t>
      </text>
    </comment>
    <comment authorId="838" xr:uid="{5003c9b7-146c-45f1-bf01-cd9fb08d550e}" ref="L236">
      <text>
        <t xml:space="preserve">[Threaded comment]
 Your version of Excel allows you to read this threaded comment; however, any edits to it will get removed if the file is opened in a newer version of Excel. Learn more: https://go.microsoft.com/fwlink/?linkid=870924
Comment:
	https://drive.google.com/file/d/1k7FDS3mJcvP9eUCuHGHTcP9ug9MiC0z4/view?usp=drive_link
</t>
      </text>
    </comment>
    <comment authorId="839" xr:uid="{501661c4-c3f8-4c1c-9f94-e797931a7a80}" ref="Q593">
      <text>
        <t xml:space="preserve">[Threaded comment]
 Your version of Excel allows you to read this threaded comment; however, any edits to it will get removed if the file is opened in a newer version of Excel. Learn more: https://go.microsoft.com/fwlink/?linkid=870924
Comment:
	licencia de este nod para David Teran
</t>
      </text>
    </comment>
    <comment authorId="840" xr:uid="{5025ce46-5642-44c6-8230-95afb80cdc1b}" ref="C239">
      <text>
        <t xml:space="preserve">[Threaded comment]
 Your version of Excel allows you to read this threaded comment; however, any edits to it will get removed if the file is opened in a newer version of Excel. Learn more: https://go.microsoft.com/fwlink/?linkid=870924
Comment:
	https://www.ebay.com/itm/326677332189?_skw=rtx&amp;epid=17084943112&amp;itmmeta=01K58WGTQZYPECKDP0EV58Y6JA&amp;hash=item4c0f7c80dd:g:EFMAAeSwhvtowoKg
</t>
      </text>
    </comment>
    <comment authorId="841" xr:uid="{5042c1c9-6419-49f4-bb0d-740d95d9ba16}" ref="W301">
      <text>
        <t xml:space="preserve">[Threaded comment]
 Your version of Excel allows you to read this threaded comment; however, any edits to it will get removed if the file is opened in a newer version of Excel. Learn more: https://go.microsoft.com/fwlink/?linkid=870924
Comment:
	https://drive.google.com/file/d/1wfq9zc1NJiwtp7-0DGWVdokQ5phU2cUj/view?usp=drive_link
</t>
      </text>
    </comment>
    <comment authorId="842" xr:uid="{505181aa-f51b-4f6d-91b2-7a0568b0f766}" ref="AF476">
      <text>
        <t xml:space="preserve">[Threaded comment]
 Your version of Excel allows you to read this threaded comment; however, any edits to it will get removed if the file is opened in a newer version of Excel. Learn more: https://go.microsoft.com/fwlink/?linkid=870924
Comment:
	excedentes, fixit
</t>
      </text>
    </comment>
    <comment authorId="843" xr:uid="{508130f4-de7c-4cf7-a3ba-a1180e3ab334}" ref="Q509">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844" xr:uid="{50b3a1d5-fbdc-4a30-a698-23c27dbdf0d6}" ref="C781">
      <text>
        <t xml:space="preserve">[Threaded comment]
 Your version of Excel allows you to read this threaded comment; however, any edits to it will get removed if the file is opened in a newer version of Excel. Learn more: https://go.microsoft.com/fwlink/?linkid=870924
Comment:
	https://www.amazon.com/ASUS-Strix-Gaming-Laptop-Nebula/dp/B0DW1WX8H2/?th=1
</t>
      </text>
    </comment>
    <comment authorId="845" xr:uid="{50c0f792-842d-4575-9f68-d0095f4a5510}" ref="K519">
      <text>
        <t xml:space="preserve">[Threaded comment]
 Your version of Excel allows you to read this threaded comment; however, any edits to it will get removed if the file is opened in a newer version of Excel. Learn more: https://go.microsoft.com/fwlink/?linkid=870924
Comment:
	https://drive.google.com/file/d/18GPleM4xu24jFiytVnCWbfx2Eh4f6AoT/view?usp=drive_link
Reply:
	https://drive.google.com/file/d/1L7f9-0WTl8YyQRChsWta2Smt8uapFtls/view?usp=drive_link
</t>
      </text>
    </comment>
    <comment authorId="846" xr:uid="{50ceb176-87bc-4e7d-acc7-1b7cea564d7b}" ref="J406">
      <text>
        <t xml:space="preserve">[Threaded comment]
 Your version of Excel allows you to read this threaded comment; however, any edits to it will get removed if the file is opened in a newer version of Excel. Learn more: https://go.microsoft.com/fwlink/?linkid=870924
Comment:
	https://drive.google.com/file/d/1KIBH3C94-vjLItvPy_V9Pm3C8r6WkK2z/view?usp=drive_link
</t>
      </text>
    </comment>
    <comment authorId="847" xr:uid="{50ed4ae9-1135-43d3-ad1e-b6e782bd7bda}" ref="O135">
      <text>
        <t xml:space="preserve">[Threaded comment]
 Your version of Excel allows you to read this threaded comment; however, any edits to it will get removed if the file is opened in a newer version of Excel. Learn more: https://go.microsoft.com/fwlink/?linkid=870924
Comment:
	150 para fixit
</t>
      </text>
    </comment>
    <comment authorId="848" xr:uid="{510002cf-7e46-4083-be9c-cf02528ff149}" ref="L262">
      <text>
        <t xml:space="preserve">[Threaded comment]
 Your version of Excel allows you to read this threaded comment; however, any edits to it will get removed if the file is opened in a newer version of Excel. Learn more: https://go.microsoft.com/fwlink/?linkid=870924
Comment:
	https://drive.google.com/file/d/1F5xC0voRNVeB571OqUO1rVWoN1_ybg1T/view?usp=drive_link
</t>
      </text>
    </comment>
    <comment authorId="849" xr:uid="{51002954-8c9c-4262-aaa5-c0110eccf068}" ref="C15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https://www.microcenter.com/product/692117/Titan_18_HX_AI_A2XWJG-412US_18%22_Gaming_Laptop_Computer_-_Core_Black;_Intel_Core_Ultra_9_285HX_21GHz_Processor;_NVIDIA_GeForce_RTX_5090_GPU_24GB_GDDR7;
</t>
      </text>
    </comment>
    <comment authorId="850" xr:uid="{5109edaf-f216-426c-b133-b0837d3908d2}" ref="J218">
      <text>
        <t xml:space="preserve">[Threaded comment]
 Your version of Excel allows you to read this threaded comment; however, any edits to it will get removed if the file is opened in a newer version of Excel. Learn more: https://go.microsoft.com/fwlink/?linkid=870924
Comment:
	https://drive.google.com/file/d/1G2u-SlrdOQAt13saWGjTaYOGE935h7No/view?usp=drive_link
https://drive.google.com/file/d/1_m7x0_a-wMM_3yaniPF6_5k2rS-Rj6Ec/view?usp=drive_link
</t>
      </text>
    </comment>
    <comment authorId="851" xr:uid="{511f0668-10bf-4512-9518-c16b982c5557}" ref="C395">
      <text>
        <t xml:space="preserve">[Threaded comment]
 Your version of Excel allows you to read this threaded comment; however, any edits to it will get removed if the file is opened in a newer version of Excel. Learn more: https://go.microsoft.com/fwlink/?linkid=870924
Comment:
	https://www.ebay.com/itm/226967931769?_skw=5080&amp;itmmeta=01KBQJMSY18M5WSK7XAC7Y2W22&amp;hash=item34d857cb79:g:~S8AAeSwCQBpL-D-
</t>
      </text>
    </comment>
    <comment authorId="852" xr:uid="{513ec1c6-1a99-453b-8934-74dd436896c4}" ref="K704">
      <text>
        <t xml:space="preserve">[Threaded comment]
 Your version of Excel allows you to read this threaded comment; however, any edits to it will get removed if the file is opened in a newer version of Excel. Learn more: https://go.microsoft.com/fwlink/?linkid=870924
Comment:
	https://drive.google.com/file/d/1Yk2gVa11F6vbUGL7hd4Ba4l6N8khpgSM/view?usp=drive_link
</t>
      </text>
    </comment>
    <comment authorId="853" xr:uid="{5152c909-2dc5-4705-b05d-f6ce6064f5fa}" ref="K415">
      <text>
        <t xml:space="preserve">[Threaded comment]
 Your version of Excel allows you to read this threaded comment; however, any edits to it will get removed if the file is opened in a newer version of Excel. Learn more: https://go.microsoft.com/fwlink/?linkid=870924
Comment:
	https://drive.google.com/file/d/1egHGIf6Hi0lyGtJymo1whcnW0ymZ4Yl7/view?usp=drive_link
</t>
      </text>
    </comment>
    <comment authorId="854" xr:uid="{515a6bf0-c916-49ce-9845-4972f9cf1e1d}" ref="D299">
      <text>
        <t xml:space="preserve">[Threaded comment]
 Your version of Excel allows you to read this threaded comment; however, any edits to it will get removed if the file is opened in a newer version of Excel. Learn more: https://go.microsoft.com/fwlink/?linkid=870924
Comment:
	Arturo Alejandro Zea Manrique
DNI 41220966
arturozeamanrique@gmail.com
</t>
      </text>
    </comment>
    <comment authorId="855" xr:uid="{51786da7-60d6-4cc4-a31a-65d1bb3999b3}" ref="C665">
      <text>
        <t xml:space="preserve">[Threaded comment]
 Your version of Excel allows you to read this threaded comment; however, any edits to it will get removed if the file is opened in a newer version of Excel. Learn more: https://go.microsoft.com/fwlink/?linkid=870924
Comment:
	https://www.ebay.com/itm/297282597330?_skw=antonline&amp;itmmeta=01KNMXFKDQVQ473XQGPVTEH1SW&amp;hash=item45376c71d2:g:MpIAAeSw8PNoJCUU&amp;itmprp=enc%3AAQALAAAA4GfYFPkwiKCW4ZNSs2u11xDUsSPR8Hpd%2FRtbwOHD8HdvjnWN8VCDeVJV4XRpvjxg3RrWOFm4YZlCJg6z3fMN5ClcJL6d9%2FKqi2N1frwQao0ON2WYLYZT%2F9VazX2w5hDy7uNXCk%2BIZjQbQwRA5jc4Rg5n7uqshVSx8WO%2BkE0DfOjPBX0SEqEZn8Lh8NGM2vkp3EhWRI3nZIDwKvJ%2FW7VjQ8G%2BXwqa%2FcE2IEg8lroYQIH26CmKzoDSyd3WqGHIrKenwpBffjN%2BIjRfWjcT%2Bjy7fLrXGVJwVshaJbEq9Y78Z9hB%7Ctkp%3ABFBMjre-na1n
</t>
      </text>
    </comment>
    <comment authorId="856" xr:uid="{51885dcc-61ee-4703-81d3-28840af8ff79}" ref="K476">
      <text>
        <t xml:space="preserve">[Threaded comment]
 Your version of Excel allows you to read this threaded comment; however, any edits to it will get removed if the file is opened in a newer version of Excel. Learn more: https://go.microsoft.com/fwlink/?linkid=870924
Comment:
	https://drive.google.com/file/d/1barlrUkWjuuRSGBnCZvoXych6PrltYIo/view?usp=drive_link
</t>
      </text>
    </comment>
    <comment authorId="857" xr:uid="{518d9c86-5e6b-471f-ac40-b664b1ec3cc2}" ref="C24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858" xr:uid="{51ae4cfb-faee-4ef3-8e3d-475ae89e4746}" ref="K357">
      <text>
        <t xml:space="preserve">[Threaded comment]
 Your version of Excel allows you to read this threaded comment; however, any edits to it will get removed if the file is opened in a newer version of Excel. Learn more: https://go.microsoft.com/fwlink/?linkid=870924
Comment:
	https://drive.google.com/file/d/1bHJcAVUxYsGwH3zb0giJQPjaymUHspJJ/view?usp=drive_link
</t>
      </text>
    </comment>
    <comment authorId="859" xr:uid="{51c0afd5-e823-44ef-b415-771c607183a0}" ref="C66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860" xr:uid="{51ed271a-11c2-4193-9dd6-92bbd5c3e22b}" ref="W244">
      <text>
        <t xml:space="preserve">[Threaded comment]
 Your version of Excel allows you to read this threaded comment; however, any edits to it will get removed if the file is opened in a newer version of Excel. Learn more: https://go.microsoft.com/fwlink/?linkid=870924
Comment:
	https://drive.google.com/file/d/1XfELjRi-YD7Bm7OShYTyMcaGj2vkGSa6/view?usp=drive_link
</t>
      </text>
    </comment>
    <comment authorId="861" xr:uid="{51eee901-eeaf-4726-b1ee-c8fb2500bb5f}" ref="C563">
      <text>
        <t xml:space="preserve">[Threaded comment]
 Your version of Excel allows you to read this threaded comment; however, any edits to it will get removed if the file is opened in a newer version of Excel. Learn more: https://go.microsoft.com/fwlink/?linkid=870924
Comment:
	https://www.ebay.com/itm/326644935906?_skw=laptop+gaming&amp;itmmeta=01KHN5B21NE9PC4PVQQHA4WVAF&amp;hash=item4c0d8e2ce2:g:MtUAAeSwbmhpj0PK
</t>
      </text>
    </comment>
    <comment authorId="862" xr:uid="{523d244a-1d72-46b0-8ba3-fa940668fa8e}" ref="K730">
      <text>
        <t xml:space="preserve">[Threaded comment]
 Your version of Excel allows you to read this threaded comment; however, any edits to it will get removed if the file is opened in a newer version of Excel. Learn more: https://go.microsoft.com/fwlink/?linkid=870924
Comment:
	https://drive.google.com/file/d/1CZsDKWDZJwl5iHA71CDzW7F0q0RsYrtK/view?usp=drive_link
</t>
      </text>
    </comment>
    <comment authorId="863" xr:uid="{523d4a5c-c5e2-459f-ae6d-77fc90dabcfd}" ref="K449">
      <text>
        <t xml:space="preserve">[Threaded comment]
 Your version of Excel allows you to read this threaded comment; however, any edits to it will get removed if the file is opened in a newer version of Excel. Learn more: https://go.microsoft.com/fwlink/?linkid=870924
Comment:
	https://drive.google.com/file/d/1wU-s6JEwt9RH3vyFEmQxZf1M6LFcEPtB/view?usp=drive_link
Reply:
	https://drive.google.com/file/d/1-g5a45zwKyqmoRh-sE8Bj_NRFmvuJCD7/view?usp=drive_link
</t>
      </text>
    </comment>
    <comment authorId="864" xr:uid="{524cbda4-c477-4484-98da-fb42ebb8a296}" ref="C503">
      <text>
        <t xml:space="preserve">[Threaded comment]
 Your version of Excel allows you to read this threaded comment; however, any edits to it will get removed if the file is opened in a newer version of Excel. Learn more: https://go.microsoft.com/fwlink/?linkid=870924
Comment:
	https://www.ebay.com/itm/205606875313?_skw=aurora&amp;epid=17084374273&amp;itmmeta=01KFXJ2NCZJYQ6VW9ZDP6SEP68&amp;hash=item2fdf1ff0b1:g:gHQAAeSwNqNpdkEE
</t>
      </text>
    </comment>
    <comment authorId="865" xr:uid="{524ef0c5-380e-4c9c-a3dd-73cb6209f90f}" ref="J107">
      <text>
        <t xml:space="preserve">[Threaded comment]
 Your version of Excel allows you to read this threaded comment; however, any edits to it will get removed if the file is opened in a newer version of Excel. Learn more: https://go.microsoft.com/fwlink/?linkid=870924
Comment:
	https://drive.google.com/file/d/1AAxziZlyjTn5SfVKo6tPmCxIMHZKnYFT/view?usp=drive_link
</t>
      </text>
    </comment>
    <comment authorId="866" xr:uid="{5285e531-330a-4dcb-897f-e4fd4643f647}" ref="W249">
      <text>
        <t xml:space="preserve">[Threaded comment]
 Your version of Excel allows you to read this threaded comment; however, any edits to it will get removed if the file is opened in a newer version of Excel. Learn more: https://go.microsoft.com/fwlink/?linkid=870924
Comment:
	https://drive.google.com/file/d/1BN9bGrYf42oPz4QnbTV6mSBUcNgM6aNU/view?usp=drive_link
</t>
      </text>
    </comment>
    <comment authorId="867" xr:uid="{528ba728-0526-46e4-a104-8863a84a48c3}" ref="K742">
      <text>
        <t xml:space="preserve">[Threaded comment]
 Your version of Excel allows you to read this threaded comment; however, any edits to it will get removed if the file is opened in a newer version of Excel. Learn more: https://go.microsoft.com/fwlink/?linkid=870924
Comment:
	https://drive.google.com/file/d/1X-vnvCIZAC0DjnEykohvoaxhGLbZ3LUz/view?usp=drive_link
</t>
      </text>
    </comment>
    <comment authorId="868" xr:uid="{52ace6b0-05e9-4872-a781-f16c12e1a805}" ref="J155">
      <text>
        <t xml:space="preserve">[Threaded comment]
 Your version of Excel allows you to read this threaded comment; however, any edits to it will get removed if the file is opened in a newer version of Excel. Learn more: https://go.microsoft.com/fwlink/?linkid=870924
Comment:
	https://drive.google.com/file/d/17LHjqwKcXmaLKw9ocN5NQfbSiNN9-K3i/view?usp=drive_link
</t>
      </text>
    </comment>
    <comment authorId="869" xr:uid="{52d0c795-d003-48d1-b626-42c2589e8fd2}" ref="C670">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870" xr:uid="{52d6fb60-5c6d-4106-88ee-9e7accbd5402}" ref="K542">
      <text>
        <t xml:space="preserve">[Threaded comment]
 Your version of Excel allows you to read this threaded comment; however, any edits to it will get removed if the file is opened in a newer version of Excel. Learn more: https://go.microsoft.com/fwlink/?linkid=870924
Comment:
	https://drive.google.com/file/d/1q6IhLXUpFjqy5m_jP74Slk4eltaOiD28/view?usp=drive_link
</t>
      </text>
    </comment>
    <comment authorId="871" xr:uid="{52f085e0-120f-440b-854a-5b14a2deccaa}" ref="J405">
      <text>
        <t xml:space="preserve">[Threaded comment]
 Your version of Excel allows you to read this threaded comment; however, any edits to it will get removed if the file is opened in a newer version of Excel. Learn more: https://go.microsoft.com/fwlink/?linkid=870924
Comment:
	https://drive.google.com/file/d/1fZpmOYRYz1lJ_T5AI1D7zZizCcU9k6U0/view?usp=drive_link
</t>
      </text>
    </comment>
    <comment authorId="872" xr:uid="{53176bd7-5a6e-40c9-b1cf-0fe46196624d}" ref="J212">
      <text>
        <t xml:space="preserve">[Threaded comment]
 Your version of Excel allows you to read this threaded comment; however, any edits to it will get removed if the file is opened in a newer version of Excel. Learn more: https://go.microsoft.com/fwlink/?linkid=870924
Comment:
	https://drive.google.com/file/d/1YSHHGzs7CP7sC3vr9w3VW_fy8ZxT-QME/view?usp=drive_link
</t>
      </text>
    </comment>
    <comment authorId="873" xr:uid="{531c186f-f9f3-40a7-8200-2d91669d533c}" ref="J248">
      <text>
        <t xml:space="preserve">[Threaded comment]
 Your version of Excel allows you to read this threaded comment; however, any edits to it will get removed if the file is opened in a newer version of Excel. Learn more: https://go.microsoft.com/fwlink/?linkid=870924
Comment:
	https://drive.google.com/file/d/1G6_k41BtwpuB48j7jDLjVHWXjW3AHjjb/view?usp=drive_link
</t>
      </text>
    </comment>
    <comment authorId="874" xr:uid="{53545a6f-6ddd-4882-a1fa-5573bad3aaf3}" ref="J564">
      <text>
        <t xml:space="preserve">[Threaded comment]
 Your version of Excel allows you to read this threaded comment; however, any edits to it will get removed if the file is opened in a newer version of Excel. Learn more: https://go.microsoft.com/fwlink/?linkid=870924
Comment:
	https://drive.google.com/file/d/1Lh87qgEUk2o6sOx8LhsYu4YWe-MPJlbJ/view?usp=drive_link
</t>
      </text>
    </comment>
    <comment authorId="875" xr:uid="{535ef6ed-d4a1-4595-b192-39bce10490ba}" ref="L121">
      <text>
        <t xml:space="preserve">[Threaded comment]
 Your version of Excel allows you to read this threaded comment; however, any edits to it will get removed if the file is opened in a newer version of Excel. Learn more: https://go.microsoft.com/fwlink/?linkid=870924
Comment:
	https://drive.google.com/file/d/1xUf1-LqLsp4Ivc4zJ8Q6IyMYYPxeeK9I/view?usp=drive_link
</t>
      </text>
    </comment>
    <comment authorId="876" xr:uid="{53a4fbb0-6986-442b-b816-3b2a4789106c}" ref="J175">
      <text>
        <t xml:space="preserve">[Threaded comment]
 Your version of Excel allows you to read this threaded comment; however, any edits to it will get removed if the file is opened in a newer version of Excel. Learn more: https://go.microsoft.com/fwlink/?linkid=870924
Comment:
	https://drive.google.com/file/d/1IXF1ZmJhMdODNeIYjS4Y1AV75SOujfP2/view?usp=drive_link
</t>
      </text>
    </comment>
    <comment authorId="877" xr:uid="{53bf878f-a5ea-4e66-8fbc-0ae72597576a}" ref="J526">
      <text>
        <t xml:space="preserve">[Threaded comment]
 Your version of Excel allows you to read this threaded comment; however, any edits to it will get removed if the file is opened in a newer version of Excel. Learn more: https://go.microsoft.com/fwlink/?linkid=870924
Comment:
	https://drive.google.com/file/d/1OniFpsOEf8X7M7RmdbCNPt_Hi1hEj2Kf/view?usp=drive_link
</t>
      </text>
    </comment>
    <comment authorId="878" xr:uid="{53c48ddc-17a3-4687-87a6-3ecb0e89b362}" ref="C671">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879" xr:uid="{53d08841-f853-4501-a05b-b9a8215b2408}" ref="J46">
      <text>
        <t xml:space="preserve">[Threaded comment]
 Your version of Excel allows you to read this threaded comment; however, any edits to it will get removed if the file is opened in a newer version of Excel. Learn more: https://go.microsoft.com/fwlink/?linkid=870924
Comment:
	https://drive.google.com/file/d/1ByXLQ8F3niOkFoS9FvrlHLuXaXSAjDc0/view?usp=drive_link
</t>
      </text>
    </comment>
    <comment authorId="880" xr:uid="{53e2cf8a-4831-46ab-bc65-64e9609e22a7}" ref="A1">
      <text>
        <t xml:space="preserve">[Threaded comment]
 Your version of Excel allows you to read this threaded comment; however, any edits to it will get removed if the file is opened in a newer version of Excel. Learn more: https://go.microsoft.com/fwlink/?linkid=870924
Comment:
	pendiente
</t>
      </text>
    </comment>
    <comment authorId="881" xr:uid="{53f5f38c-7375-410c-ac19-c7cdf3318af3}" ref="K684">
      <text>
        <t xml:space="preserve">[Threaded comment]
 Your version of Excel allows you to read this threaded comment; however, any edits to it will get removed if the file is opened in a newer version of Excel. Learn more: https://go.microsoft.com/fwlink/?linkid=870924
Comment:
	https://drive.google.com/file/d/1I-obX-CeMBjtkbs2vJRH1glGyNsQPso0/view?usp=drive_link
Reply:
	https://drive.google.com/file/d/1VMz5uxuFDfXBKOHbu7Zm7_3r3M4ISWkB/view?usp=drive_link
Reply:
	https://drive.google.com/file/d/1FfJjByo34pHeirgWaYfFHsz9NVXPqP4I/view?usp=drive_link
</t>
      </text>
    </comment>
    <comment authorId="882" xr:uid="{545babb1-b1be-4f1f-b937-1bbc40ab0413}" ref="K393">
      <text>
        <t xml:space="preserve">[Threaded comment]
 Your version of Excel allows you to read this threaded comment; however, any edits to it will get removed if the file is opened in a newer version of Excel. Learn more: https://go.microsoft.com/fwlink/?linkid=870924
Comment:
	https://drive.google.com/file/d/1rYOsDBYE0-8_VmgGOrzKBNNX65ccsu27/view?usp=drive_link
</t>
      </text>
    </comment>
    <comment authorId="883" xr:uid="{545dded4-0958-4c91-93b8-a941ae358ecc}" ref="Q658">
      <text>
        <t xml:space="preserve">[Threaded comment]
 Your version of Excel allows you to read this threaded comment; however, any edits to it will get removed if the file is opened in a newer version of Excel. Learn more: https://go.microsoft.com/fwlink/?linkid=870924
Comment:
	apertura+configuracion inicial+antivirus
</t>
      </text>
    </comment>
    <comment authorId="884" xr:uid="{547a2696-4668-4c35-9d36-289ea176ed70}" ref="C93">
      <text>
        <t xml:space="preserve">[Threaded comment]
 Your version of Excel allows you to read this threaded comment; however, any edits to it will get removed if the file is opened in a newer version of Excel. Learn more: https://go.microsoft.com/fwlink/?linkid=870924
Comment:
	https://www.ebay.com/itm/326616889952
</t>
      </text>
    </comment>
    <comment authorId="885" xr:uid="{5486e13e-336e-4454-907f-c96718625391}" ref="Z169">
      <text>
        <t xml:space="preserve">[Threaded comment]
 Your version of Excel allows you to read this threaded comment; however, any edits to it will get removed if the file is opened in a newer version of Excel. Learn more: https://go.microsoft.com/fwlink/?linkid=870924
Comment:
	https://drive.google.com/file/d/1Q4C0GQV_DmG-Nc8gudqxnqPgJxpvNA6K/view?usp=drive_link
</t>
      </text>
    </comment>
    <comment authorId="886" xr:uid="{54933187-e86c-4681-9f99-323f91ead9bf}" ref="J254">
      <text>
        <t xml:space="preserve">[Threaded comment]
 Your version of Excel allows you to read this threaded comment; however, any edits to it will get removed if the file is opened in a newer version of Excel. Learn more: https://go.microsoft.com/fwlink/?linkid=870924
Comment:
	https://drive.google.com/file/d/1QgCDVyNw2336wYLQP9TlSgVs6tmOWAC7/view?usp=drive_link
</t>
      </text>
    </comment>
    <comment authorId="887" xr:uid="{54a44072-5a2a-43af-aad9-2e7a2fba1d9b}" ref="L88">
      <text>
        <t xml:space="preserve">[Threaded comment]
 Your version of Excel allows you to read this threaded comment; however, any edits to it will get removed if the file is opened in a newer version of Excel. Learn more: https://go.microsoft.com/fwlink/?linkid=870924
Comment:
	https://drive.google.com/file/d/1NmMQwuUy9c2pQNFqD4b5ZCkiFod2j8zn/view?usp=drive_link
</t>
      </text>
    </comment>
    <comment authorId="888" xr:uid="{54a8c5da-3ec3-482d-a0f4-2cb91b041bd6}" ref="AF500">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889" xr:uid="{54e15c94-1365-432f-9f33-a2f644ff7333}" ref="C754">
      <text>
        <t xml:space="preserve">[Threaded comment]
 Your version of Excel allows you to read this threaded comment; however, any edits to it will get removed if the file is opened in a newer version of Excel. Learn more: https://go.microsoft.com/fwlink/?linkid=870924
Comment:
	https://www.ebay.com/itm/205567890136
</t>
      </text>
    </comment>
    <comment authorId="890" xr:uid="{54e3c34a-b384-465d-b31e-04bf683fd9da}" ref="L32">
      <text>
        <t xml:space="preserve">[Threaded comment]
 Your version of Excel allows you to read this threaded comment; however, any edits to it will get removed if the file is opened in a newer version of Excel. Learn more: https://go.microsoft.com/fwlink/?linkid=870924
Comment:
	https://drive.google.com/file/d/1QADTEle8Qv-6Sf78-Z-dTQPNjBy1mUUz/view?usp=drive_link
</t>
      </text>
    </comment>
    <comment authorId="891" xr:uid="{54ee5079-8a31-47b9-a666-b9ea7971dea7}" ref="L234">
      <text>
        <t xml:space="preserve">[Threaded comment]
 Your version of Excel allows you to read this threaded comment; however, any edits to it will get removed if the file is opened in a newer version of Excel. Learn more: https://go.microsoft.com/fwlink/?linkid=870924
Comment:
	https://drive.google.com/file/d/1Z5yYl5sjdk6MFMh5kwZASJXNRBjaEHtg/view?usp=drive_link
</t>
      </text>
    </comment>
    <comment authorId="892" xr:uid="{54fbd59c-ae50-480e-b62e-da8729d237c1}" ref="AF780">
      <text>
        <t xml:space="preserve">[Threaded comment]
 Your version of Excel allows you to read this threaded comment; however, any edits to it will get removed if the file is opened in a newer version of Excel. Learn more: https://go.microsoft.com/fwlink/?linkid=870924
Comment:
	excedente, fixit , venta final
</t>
      </text>
    </comment>
    <comment authorId="893" xr:uid="{55096e12-df79-4065-9eb8-b6eb90ed6b18}" ref="AF244">
      <text>
        <t xml:space="preserve">[Threaded comment]
 Your version of Excel allows you to read this threaded comment; however, any edits to it will get removed if the file is opened in a newer version of Excel. Learn more: https://go.microsoft.com/fwlink/?linkid=870924
Comment:
	Venta final, fixit, boleta
</t>
      </text>
    </comment>
    <comment authorId="894" xr:uid="{5518ff28-e447-4f00-90a1-56e12edff44b}" ref="J427">
      <text>
        <t xml:space="preserve">[Threaded comment]
 Your version of Excel allows you to read this threaded comment; however, any edits to it will get removed if the file is opened in a newer version of Excel. Learn more: https://go.microsoft.com/fwlink/?linkid=870924
Comment:
	https://drive.google.com/file/d/1g4L_81HVbfML8-kK6Halozg75UrS93Fu/view?usp=drive_link
</t>
      </text>
    </comment>
    <comment authorId="895" xr:uid="{55254315-9101-4c08-bcc5-33ac3eca0067}" ref="AF646">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896" xr:uid="{55343703-fc5a-4b25-9721-f1ed54db2221}" ref="K652">
      <text>
        <t xml:space="preserve">[Threaded comment]
 Your version of Excel allows you to read this threaded comment; however, any edits to it will get removed if the file is opened in a newer version of Excel. Learn more: https://go.microsoft.com/fwlink/?linkid=870924
Comment:
	https://drive.google.com/file/d/1_9R1F_9pzXLC4DvdV9YXhRr-0fy0WeoE/view?usp=drive_link
</t>
      </text>
    </comment>
    <comment authorId="897" xr:uid="{557519fe-c2bb-40fb-8549-b5df2555bcee}" ref="L135">
      <text>
        <t xml:space="preserve">[Threaded comment]
 Your version of Excel allows you to read this threaded comment; however, any edits to it will get removed if the file is opened in a newer version of Excel. Learn more: https://go.microsoft.com/fwlink/?linkid=870924
Comment:
	https://drive.google.com/file/d/1oIGTDS50fj0WnWG86ZH8E59uUY8CH5gu/view?usp=drive_link
</t>
      </text>
    </comment>
    <comment authorId="898" xr:uid="{558353cc-49eb-4c11-953a-92de5fc8b141}" ref="W364">
      <text>
        <t xml:space="preserve">[Threaded comment]
 Your version of Excel allows you to read this threaded comment; however, any edits to it will get removed if the file is opened in a newer version of Excel. Learn more: https://go.microsoft.com/fwlink/?linkid=870924
Comment:
	https://drive.google.com/file/d/1w2ktJ8o1PQ0ZHvoDXltnGqV1TTc1nZsN/view?usp=drive_link
</t>
      </text>
    </comment>
    <comment authorId="899" xr:uid="{55a1ab1a-2bbf-4fa1-8e63-b8de06881a58}" ref="L213">
      <text>
        <t xml:space="preserve">[Threaded comment]
 Your version of Excel allows you to read this threaded comment; however, any edits to it will get removed if the file is opened in a newer version of Excel. Learn more: https://go.microsoft.com/fwlink/?linkid=870924
Comment:
	https://drive.google.com/file/d/1qJC0642p8AbAHhmAHIgG-ZCRJ7OZ7jhz/view?usp=drive_link
</t>
      </text>
    </comment>
    <comment authorId="900" xr:uid="{55b0c8f5-a921-42b4-b324-52f6ad186c9c}" ref="C59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901" xr:uid="{55daec32-b5c3-4e86-8a6b-3b08cc5564f6}" ref="W328">
      <text>
        <t xml:space="preserve">[Threaded comment]
 Your version of Excel allows you to read this threaded comment; however, any edits to it will get removed if the file is opened in a newer version of Excel. Learn more: https://go.microsoft.com/fwlink/?linkid=870924
Comment:
	https://drive.google.com/file/d/1ikDooKp82pJxauW3C1QNfRXX8dVvyGcC/view?usp=drive_link
</t>
      </text>
    </comment>
    <comment authorId="902" xr:uid="{561f4a77-8d00-474b-8090-4974cbfb5bde}" ref="C82">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https://www.bestbuy.com/site/asus-rog-zephyrus-g16-16-oled-2-5k-240hz-gaming-laptop-intel-core-ultra-9-32gb-ram-nvidia-rtx-5070-ti-1tb-ssd-eclipse-gray/6617485.p?skuId=6617485
</t>
      </text>
    </comment>
    <comment authorId="903" xr:uid="{5640b008-ca4c-4252-a0e2-2cf65edc2e72}" ref="L264">
      <text>
        <t xml:space="preserve">[Threaded comment]
 Your version of Excel allows you to read this threaded comment; however, any edits to it will get removed if the file is opened in a newer version of Excel. Learn more: https://go.microsoft.com/fwlink/?linkid=870924
Comment:
	https://drive.google.com/file/d/1YKZUllR60m2KUqByNcgwvbinffQyN5nj/view?usp=drive_link
</t>
      </text>
    </comment>
    <comment authorId="904" xr:uid="{5649781e-5d39-4cc1-8103-49dc7561ec0a}" ref="J379">
      <text>
        <t xml:space="preserve">[Threaded comment]
 Your version of Excel allows you to read this threaded comment; however, any edits to it will get removed if the file is opened in a newer version of Excel. Learn more: https://go.microsoft.com/fwlink/?linkid=870924
Comment:
	https://drive.google.com/file/d/1-QJ-xMZCfMfSxtdSzUCCh7_Fg41xw1JH/view?usp=drive_link
</t>
      </text>
    </comment>
    <comment authorId="905" xr:uid="{5679d136-806f-44bc-b0fb-4eb0d4044e14}" ref="J734">
      <text>
        <t xml:space="preserve">[Threaded comment]
 Your version of Excel allows you to read this threaded comment; however, any edits to it will get removed if the file is opened in a newer version of Excel. Learn more: https://go.microsoft.com/fwlink/?linkid=870924
Comment:
	https://drive.google.com/file/d/1rHaFOetvf75ICNWv3avoBbc57FtLC8aV/view?usp=drive_link
</t>
      </text>
    </comment>
    <comment authorId="906" xr:uid="{568af988-ebf2-4ea9-8de6-5c6f63699e66}" ref="J323">
      <text>
        <t xml:space="preserve">[Threaded comment]
 Your version of Excel allows you to read this threaded comment; however, any edits to it will get removed if the file is opened in a newer version of Excel. Learn more: https://go.microsoft.com/fwlink/?linkid=870924
Comment:
	https://drive.google.com/file/d/10eOD6LPSIaeTRj3GX7_aAMUndxnt_ABB/view?usp=drive_link
</t>
      </text>
    </comment>
    <comment authorId="907" xr:uid="{56980ee7-fd12-4797-b368-278e0046eb7e}" ref="C43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https://www.microcenter.com/product/693716/asus-rog-strix-g16-g615lr-ms97-16-gaming-laptop-computer-platinum-collection-eclipse-gray?storeid=185
</t>
      </text>
    </comment>
    <comment authorId="908" xr:uid="{56a30074-3dee-4d98-861f-aa436e4bbee6}"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https://drive.google.com/file/d/14AnPtEQ8pXRR558r44A7n1ESxPI3bs6f/view?usp=drive_link
</t>
      </text>
    </comment>
    <comment authorId="909" xr:uid="{56ffb119-fe44-4252-a537-0fe48752d25c}" ref="L172">
      <text>
        <t xml:space="preserve">[Threaded comment]
 Your version of Excel allows you to read this threaded comment; however, any edits to it will get removed if the file is opened in a newer version of Excel. Learn more: https://go.microsoft.com/fwlink/?linkid=870924
Comment:
	https://drive.google.com/file/d/1Q96Ma-0Tq5PUkG7fMkj8QY2bojzxijBa/view?usp=drive_link
</t>
      </text>
    </comment>
    <comment authorId="910" xr:uid="{571fdeb1-6952-47f6-ae2e-c4332c78ea7a}" ref="L86">
      <text>
        <t xml:space="preserve">[Threaded comment]
 Your version of Excel allows you to read this threaded comment; however, any edits to it will get removed if the file is opened in a newer version of Excel. Learn more: https://go.microsoft.com/fwlink/?linkid=870924
Comment:
	https://drive.google.com/file/d/1x_YKCKdSMndf7iPxptCpUMBroSG04l-l/view?usp=drive_link
</t>
      </text>
    </comment>
    <comment authorId="911" xr:uid="{572adedc-7207-44ec-8210-124a70f41550}" ref="J152">
      <text>
        <t xml:space="preserve">[Threaded comment]
 Your version of Excel allows you to read this threaded comment; however, any edits to it will get removed if the file is opened in a newer version of Excel. Learn more: https://go.microsoft.com/fwlink/?linkid=870924
Comment:
	https://drive.google.com/file/d/1lUmGQA44xgVN5V1V_GV4FsSxQH5pWQPB/view?usp=drive_link
</t>
      </text>
    </comment>
    <comment authorId="912" xr:uid="{572dcb3b-6682-4ade-a101-f831d7584eb8}" ref="J375">
      <text>
        <t xml:space="preserve">[Threaded comment]
 Your version of Excel allows you to read this threaded comment; however, any edits to it will get removed if the file is opened in a newer version of Excel. Learn more: https://go.microsoft.com/fwlink/?linkid=870924
Comment:
	https://drive.google.com/file/d/1k5eL5BTUsZ-xaQ9Ywx7umYHbAweyhVk9/view?usp=drive_link
</t>
      </text>
    </comment>
    <comment authorId="913" xr:uid="{573d7c87-77a9-4f2c-a706-3f57557b5b90}" ref="C733">
      <text>
        <t xml:space="preserve">[Threaded comment]
 Your version of Excel allows you to read this threaded comment; however, any edits to it will get removed if the file is opened in a newer version of Excel. Learn more: https://go.microsoft.com/fwlink/?linkid=870924
Comment:
	https://www.newegg.com/lenovo-legion-5i-15-1-geforce-rtx-5060-laptop-gpu-intel-core-i7-14700hx-wqxga-16gb-memory-512gb-ssd-m-2-2242-pcie-4-0x4-nvme-ssd/p/N82E16834840673
</t>
      </text>
    </comment>
    <comment authorId="914" xr:uid="{57445904-bd22-4356-89eb-49be0ecb44d4}" ref="AF297">
      <text>
        <t xml:space="preserve">[Threaded comment]
 Your version of Excel allows you to read this threaded comment; however, any edits to it will get removed if the file is opened in a newer version of Excel. Learn more: https://go.microsoft.com/fwlink/?linkid=870924
Comment:
	SOLO DNI
</t>
      </text>
    </comment>
    <comment authorId="915" xr:uid="{5746e6a7-090f-4d04-8cb0-f71995f3f14e}" ref="J611">
      <text>
        <t xml:space="preserve">[Threaded comment]
 Your version of Excel allows you to read this threaded comment; however, any edits to it will get removed if the file is opened in a newer version of Excel. Learn more: https://go.microsoft.com/fwlink/?linkid=870924
Comment:
	https://drive.google.com/file/d/1oAp4wz3AIQbWOMrmNZgUA8PVqhzTn8pr/view?usp=drive_link
</t>
      </text>
    </comment>
    <comment authorId="916" xr:uid="{5754f9ca-6519-4996-85b4-69d6a6c4c66b}" ref="W299">
      <text>
        <t xml:space="preserve">[Threaded comment]
 Your version of Excel allows you to read this threaded comment; however, any edits to it will get removed if the file is opened in a newer version of Excel. Learn more: https://go.microsoft.com/fwlink/?linkid=870924
Comment:
	https://drive.google.com/file/d/12UHovtg5ceHFMrGIwJ9YQHR4j9wjJNts/view?usp=drive_link
</t>
      </text>
    </comment>
    <comment authorId="917" xr:uid="{5776bb15-c37a-47bc-b7c8-64944116f8e6}" ref="AF339">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918" xr:uid="{579ae201-b4ae-4306-92bc-67637681ab70}" ref="M256">
      <text>
        <t xml:space="preserve">[Threaded comment]
 Your version of Excel allows you to read this threaded comment; however, any edits to it will get removed if the file is opened in a newer version of Excel. Learn more: https://go.microsoft.com/fwlink/?linkid=870924
Comment:
	se cambió porque se compro de otra tienda
</t>
      </text>
    </comment>
    <comment authorId="919" xr:uid="{57accd67-cdb2-4553-baf3-9cbb753da6fa}" ref="AF510">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920" xr:uid="{57b8e23e-e7e4-4a94-b9d3-e6d5880a2487}" ref="C405">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https://us-store.msi.com/Laptops/Gaming-Series/msi-Vector-16-HX-AI-A2XWIG-050US
</t>
      </text>
    </comment>
    <comment authorId="921" xr:uid="{57bd7234-a93b-4ca1-9ac5-abecc5ec650e}" ref="J588">
      <text>
        <t xml:space="preserve">[Threaded comment]
 Your version of Excel allows you to read this threaded comment; however, any edits to it will get removed if the file is opened in a newer version of Excel. Learn more: https://go.microsoft.com/fwlink/?linkid=870924
Comment:
	https://drive.google.com/file/d/1PnKzcbK8wLf2t2DHPkMY3wSege1D8tEP/view?usp=drive_link
</t>
      </text>
    </comment>
    <comment authorId="922" xr:uid="{57ea628c-f0ea-484e-bfe9-35216189c8a6}" ref="J170">
      <text>
        <t xml:space="preserve">[Threaded comment]
 Your version of Excel allows you to read this threaded comment; however, any edits to it will get removed if the file is opened in a newer version of Excel. Learn more: https://go.microsoft.com/fwlink/?linkid=870924
Comment:
	https://drive.google.com/file/d/1YCMNSy06BGnF9Mz5HrbD1LSsRc_SMdmZ/view?usp=drive_link
</t>
      </text>
    </comment>
    <comment authorId="923" xr:uid="{57f0075a-511f-43ff-97a8-31a3a4fc3c7f}" ref="J642">
      <text>
        <t xml:space="preserve">[Threaded comment]
 Your version of Excel allows you to read this threaded comment; however, any edits to it will get removed if the file is opened in a newer version of Excel. Learn more: https://go.microsoft.com/fwlink/?linkid=870924
Comment:
	https://drive.google.com/file/d/1MbYDKYUZCQIHalURBD1MNN04Hq0UPWHr/view?usp=drive_link
</t>
      </text>
    </comment>
    <comment authorId="924" xr:uid="{57fa8ae9-37b4-4181-8c3a-636dfc8e868c}" ref="AI777">
      <text>
        <t xml:space="preserve">[Threaded comment]
 Your version of Excel allows you to read this threaded comment; however, any edits to it will get removed if the file is opened in a newer version of Excel. Learn more: https://go.microsoft.com/fwlink/?linkid=870924
Comment:
	https://drive.google.com/file/d/1T5YNdvG7Gu8kQWcWYZHENHKkKTMGBfGk/view?usp=drive_link
</t>
      </text>
    </comment>
    <comment authorId="925" xr:uid="{583013fd-f539-4998-944a-c64fc4d7cf80}" ref="L233">
      <text>
        <t xml:space="preserve">[Threaded comment]
 Your version of Excel allows you to read this threaded comment; however, any edits to it will get removed if the file is opened in a newer version of Excel. Learn more: https://go.microsoft.com/fwlink/?linkid=870924
Comment:
	https://drive.google.com/file/d/1i2c9G3WaCaZWPFc__FhjzYjLAS09Dz53/view?usp=drive_link
</t>
      </text>
    </comment>
    <comment authorId="926" xr:uid="{5834735b-bdbe-45ee-8be3-51fe870bc9be}" ref="C63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
</t>
      </text>
    </comment>
    <comment authorId="927" xr:uid="{584a24bf-30be-4165-b771-79971868e96c}" ref="M139">
      <text>
        <t xml:space="preserve">[Threaded comment]
 Your version of Excel allows you to read this threaded comment; however, any edits to it will get removed if the file is opened in a newer version of Excel. Learn more: https://go.microsoft.com/fwlink/?linkid=870924
Comment:
	7856+15 dolares de envio
</t>
      </text>
    </comment>
    <comment authorId="928" xr:uid="{5866db35-7b38-4e0f-b5dc-fbfe51964073}" ref="J634">
      <text>
        <t xml:space="preserve">[Threaded comment]
 Your version of Excel allows you to read this threaded comment; however, any edits to it will get removed if the file is opened in a newer version of Excel. Learn more: https://go.microsoft.com/fwlink/?linkid=870924
Comment:
	https://drive.google.com/file/d/1Mw-63nz9yQ8LwyW-ba9cs5EQEMPk42MM/view?usp=drive_link
</t>
      </text>
    </comment>
    <comment authorId="929" xr:uid="{586ae4bb-57db-44f0-99a3-14af03c45d68}" ref="Z287">
      <text>
        <t xml:space="preserve">[Threaded comment]
 Your version of Excel allows you to read this threaded comment; however, any edits to it will get removed if the file is opened in a newer version of Excel. Learn more: https://go.microsoft.com/fwlink/?linkid=870924
Comment:
	CIBA CONTRATISTAS GENERALES SRL. RUC. 20452341698
Reply:
	FACTURA POR PRODUCTO, no servicio
</t>
      </text>
    </comment>
    <comment authorId="930" xr:uid="{586f45c8-3928-408d-baa5-f0c3aafc151f}" ref="AF234">
      <text>
        <t xml:space="preserve">[Threaded comment]
 Your version of Excel allows you to read this threaded comment; however, any edits to it will get removed if the file is opened in a newer version of Excel. Learn more: https://go.microsoft.com/fwlink/?linkid=870924
Comment:
	Venta final, fixit, boleta
</t>
      </text>
    </comment>
    <comment authorId="931" xr:uid="{5886bcc8-eaf8-4293-acf1-f8a4f963efbf}" ref="O170">
      <text>
        <t xml:space="preserve">[Threaded comment]
 Your version of Excel allows you to read this threaded comment; however, any edits to it will get removed if the file is opened in a newer version of Excel. Learn more: https://go.microsoft.com/fwlink/?linkid=870924
Comment:
	descontar precio de mouse + audifonos + soporte para cliente
</t>
      </text>
    </comment>
    <comment authorId="932" xr:uid="{58907aa5-c587-4476-9ee1-0806114d30b2}" ref="J450">
      <text>
        <t xml:space="preserve">[Threaded comment]
 Your version of Excel allows you to read this threaded comment; however, any edits to it will get removed if the file is opened in a newer version of Excel. Learn more: https://go.microsoft.com/fwlink/?linkid=870924
Comment:
	https://drive.google.com/file/d/10snSCiEIRFR28GyqxSYpvh4MJ277z9RR/view?usp=drive_link
</t>
      </text>
    </comment>
    <comment authorId="933" xr:uid="{58c0ce31-7034-492c-ab6b-2174232ba508}" ref="J801">
      <text>
        <t xml:space="preserve">[Threaded comment]
 Your version of Excel allows you to read this threaded comment; however, any edits to it will get removed if the file is opened in a newer version of Excel. Learn more: https://go.microsoft.com/fwlink/?linkid=870924
Comment:
	https://drive.google.com/file/d/1PAsYcyVIPZdIJ0Jkvm0MkXqEPtLOhyTh/view?usp=drive_link
</t>
      </text>
    </comment>
    <comment authorId="934" xr:uid="{58cab6a4-d716-4a2f-9bd1-63b3f11dec0f}" ref="J789">
      <text>
        <t xml:space="preserve">[Threaded comment]
 Your version of Excel allows you to read this threaded comment; however, any edits to it will get removed if the file is opened in a newer version of Excel. Learn more: https://go.microsoft.com/fwlink/?linkid=870924
Comment:
	https://drive.google.com/file/d/1fKZt6jxa5qS5UirpcIfP51Gh8ysOdpFU/view?usp=drive_link
https://drive.google.com/file/d/1F6Y1yIxdk1mTJIhm56chillnfZ0wx0ot/view?usp=drive_link
https://drive.google.com/file/d/1ty2qt5FRlAZt97pKWFhVFFduRuxU6A-a/view?usp=drive_link
</t>
      </text>
    </comment>
    <comment authorId="935" xr:uid="{58db5806-f817-4382-a5b0-d7023eb5bc18}" ref="L258">
      <text>
        <t xml:space="preserve">[Threaded comment]
 Your version of Excel allows you to read this threaded comment; however, any edits to it will get removed if the file is opened in a newer version of Excel. Learn more: https://go.microsoft.com/fwlink/?linkid=870924
Comment:
	https://drive.google.com/file/d/1WP4Obw--D93nRckHD6TadvDwIr1kqTgv/view?usp=drive_link
</t>
      </text>
    </comment>
    <comment authorId="936" xr:uid="{58e11ce5-a6e4-4832-a82c-8e2d2bca5ac4}" ref="J177">
      <text>
        <t xml:space="preserve">[Threaded comment]
 Your version of Excel allows you to read this threaded comment; however, any edits to it will get removed if the file is opened in a newer version of Excel. Learn more: https://go.microsoft.com/fwlink/?linkid=870924
Comment:
	https://drive.google.com/file/d/1MjNkqq-3RGM4UuOod8g4IkFDXljm7eSg/view?usp=drive_link
</t>
      </text>
    </comment>
    <comment authorId="937" xr:uid="{590e6cdc-743c-46ff-82ad-869639d8c801}" ref="T707">
      <text>
        <t xml:space="preserve">[Threaded comment]
 Your version of Excel allows you to read this threaded comment; however, any edits to it will get removed if the file is opened in a newer version of Excel. Learn more: https://go.microsoft.com/fwlink/?linkid=870924
Comment:
	de fila 716
</t>
      </text>
    </comment>
    <comment authorId="938" xr:uid="{59b545c1-c488-4c73-851b-bd982e10edd9}" ref="K410">
      <text>
        <t xml:space="preserve">[Threaded comment]
 Your version of Excel allows you to read this threaded comment; however, any edits to it will get removed if the file is opened in a newer version of Excel. Learn more: https://go.microsoft.com/fwlink/?linkid=870924
Comment:
	https://drive.google.com/file/d/10REfmoLIRDTQrMr2Hkz8AnyNkcDyMxCn/view?usp=drive_link
</t>
      </text>
    </comment>
    <comment authorId="939" xr:uid="{59bb5f55-8f2f-4668-b618-4343bb73ffa2}" ref="K386">
      <text>
        <t xml:space="preserve">[Threaded comment]
 Your version of Excel allows you to read this threaded comment; however, any edits to it will get removed if the file is opened in a newer version of Excel. Learn more: https://go.microsoft.com/fwlink/?linkid=870924
Comment:
	https://drive.google.com/file/d/1mB3uIHZ0A3I1sdm9ccSgTKUAyEAWBXOU/view?usp=drive_link
</t>
      </text>
    </comment>
    <comment authorId="940" xr:uid="{59c17503-18b3-4334-b9aa-5eaadad5d73e}" ref="J324">
      <text>
        <t xml:space="preserve">[Threaded comment]
 Your version of Excel allows you to read this threaded comment; however, any edits to it will get removed if the file is opened in a newer version of Excel. Learn more: https://go.microsoft.com/fwlink/?linkid=870924
Comment:
	https://drive.google.com/file/d/135S0HfARTEb2Ms5ALn5Izf9EqjVvg7Wy/view?usp=drive_link
</t>
      </text>
    </comment>
    <comment authorId="941" xr:uid="{59e6fbb2-6c2d-410a-a223-fc88c7f52cbc}" ref="J64">
      <text>
        <t xml:space="preserve">[Threaded comment]
 Your version of Excel allows you to read this threaded comment; however, any edits to it will get removed if the file is opened in a newer version of Excel. Learn more: https://go.microsoft.com/fwlink/?linkid=870924
Comment:
	https://drive.google.com/file/d/1gnjbCfTpQWmrh8SepA2TRZIMr7pA3EyX/view?usp=drive_link
</t>
      </text>
    </comment>
    <comment authorId="942" xr:uid="{59e74485-0a02-4ecc-89b8-5df35620e8fd}" ref="K387">
      <text>
        <t xml:space="preserve">[Threaded comment]
 Your version of Excel allows you to read this threaded comment; however, any edits to it will get removed if the file is opened in a newer version of Excel. Learn more: https://go.microsoft.com/fwlink/?linkid=870924
Comment:
	https://drive.google.com/file/d/1BRjILuYitZHqv2VPfSdoYguWvdp5MG8y/view?usp=drive_link
</t>
      </text>
    </comment>
    <comment authorId="943" xr:uid="{59eb40da-c365-4962-a9ac-2506a5c1e2da}" ref="J337">
      <text>
        <t xml:space="preserve">[Threaded comment]
 Your version of Excel allows you to read this threaded comment; however, any edits to it will get removed if the file is opened in a newer version of Excel. Learn more: https://go.microsoft.com/fwlink/?linkid=870924
Comment:
	https://drive.google.com/file/d/1pcGVD5HvMdurlj-fD6mgYszCYbBbrouq/view?usp=drive_link
</t>
      </text>
    </comment>
    <comment authorId="944" xr:uid="{59f37267-2c58-4613-ae49-8e228e5f2a75}" ref="C285">
      <text>
        <t xml:space="preserve">[Threaded comment]
 Your version of Excel allows you to read this threaded comment; however, any edits to it will get removed if the file is opened in a newer version of Excel. Learn more: https://go.microsoft.com/fwlink/?linkid=870924
Comment:
	https://www.ebay.com/itm/297474804193?_skw=5070&amp;itmmeta=01K8S3THM92SQKSQFQ3QQVBDCX&amp;hash=item4542e149e1:g:W8UAAeSwbB9opkR-
</t>
      </text>
    </comment>
    <comment authorId="945" xr:uid="{59f97e81-e9ed-4852-abe0-01bc6f7bec19}" ref="K345">
      <text>
        <t xml:space="preserve">[Threaded comment]
 Your version of Excel allows you to read this threaded comment; however, any edits to it will get removed if the file is opened in a newer version of Excel. Learn more: https://go.microsoft.com/fwlink/?linkid=870924
Comment:
	https://drive.google.com/file/d/1EgTTodylTMm0zeGCQpCJMzImu-tMus-4/view?usp=drive_link
</t>
      </text>
    </comment>
    <comment authorId="946" xr:uid="{5a0eeb08-aca0-42e3-b8d5-e4180d393708}" ref="J622">
      <text>
        <t xml:space="preserve">[Threaded comment]
 Your version of Excel allows you to read this threaded comment; however, any edits to it will get removed if the file is opened in a newer version of Excel. Learn more: https://go.microsoft.com/fwlink/?linkid=870924
Comment:
	https://drive.google.com/file/d/1sZzOSTSjGC2XK6omCptYJrwDRrL3r2M4/view?usp=drive_link
</t>
      </text>
    </comment>
    <comment authorId="947" xr:uid="{5a1096ee-8f9b-40bc-9b8b-c02887218771}" ref="K695">
      <text>
        <t xml:space="preserve">[Threaded comment]
 Your version of Excel allows you to read this threaded comment; however, any edits to it will get removed if the file is opened in a newer version of Excel. Learn more: https://go.microsoft.com/fwlink/?linkid=870924
Comment:
	https://drive.google.com/file/d/1qtCQKe6oKP41orTM8dEuDTQOKQ6-8HVm/view?usp=drive_link
</t>
      </text>
    </comment>
    <comment authorId="948" xr:uid="{5a2400d3-0331-449c-acef-9341ccefba60}" ref="C29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949" xr:uid="{5a277660-d1ba-4322-b729-6fe10cd11cd3}" ref="K463">
      <text>
        <t xml:space="preserve">[Threaded comment]
 Your version of Excel allows you to read this threaded comment; however, any edits to it will get removed if the file is opened in a newer version of Excel. Learn more: https://go.microsoft.com/fwlink/?linkid=870924
Comment:
	https://drive.google.com/file/d/1Dn-XywzsnTIGVkI2kRztp_1yMdik40zl/view?usp=drive_link
</t>
      </text>
    </comment>
    <comment authorId="950" xr:uid="{5a469a80-f847-45d9-9d3d-b4a4e85d63fb}" ref="J239">
      <text>
        <t xml:space="preserve">[Threaded comment]
 Your version of Excel allows you to read this threaded comment; however, any edits to it will get removed if the file is opened in a newer version of Excel. Learn more: https://go.microsoft.com/fwlink/?linkid=870924
Comment:
	https://drive.google.com/file/d/1dksQUzpt0RKYp5GuzRepOVormVu9gjPW/view?usp=drive_link
</t>
      </text>
    </comment>
    <comment authorId="951" xr:uid="{5a4a3de4-e2a1-41c4-a3df-0dd3d20e15bd}" ref="C72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952" xr:uid="{5a4def72-3d4d-4231-b8aa-6926e5399a22}" ref="J444">
      <text>
        <t xml:space="preserve">[Threaded comment]
 Your version of Excel allows you to read this threaded comment; however, any edits to it will get removed if the file is opened in a newer version of Excel. Learn more: https://go.microsoft.com/fwlink/?linkid=870924
Comment:
	https://drive.google.com/file/d/1orImcePTBt3jrFzkWwEmrSABDFgTewzD/view?usp=drive_link
</t>
      </text>
    </comment>
    <comment authorId="953" xr:uid="{5a79a45f-9855-43d7-a231-3cece64e1ab1}" ref="K605">
      <text>
        <t xml:space="preserve">[Threaded comment]
 Your version of Excel allows you to read this threaded comment; however, any edits to it will get removed if the file is opened in a newer version of Excel. Learn more: https://go.microsoft.com/fwlink/?linkid=870924
Comment:
	https://drive.google.com/file/d/1ha6jWFCDysYZSuQRPhpOuBt-DP61H-6A/view?usp=drive_link
</t>
      </text>
    </comment>
    <comment authorId="954" xr:uid="{5a7da7c6-56a6-44f3-9e44-0eea0e96af52}" ref="L141">
      <text>
        <t xml:space="preserve">[Threaded comment]
 Your version of Excel allows you to read this threaded comment; however, any edits to it will get removed if the file is opened in a newer version of Excel. Learn more: https://go.microsoft.com/fwlink/?linkid=870924
Comment:
	https://drive.google.com/file/d/18s_pWJglQ0lDX_RHB3ytR02tQBlRPdgV/view?usp=drive_link
Reply:
	https://drive.google.com/file/d/1jif73r6fK8ZZnlm33TPbNEai2YexRZAH/view?usp=drive_link
</t>
      </text>
    </comment>
    <comment authorId="955" xr:uid="{5aa14d93-78fe-4139-a55b-d40d8f312ff0}" ref="C238">
      <text>
        <t xml:space="preserve">[Threaded comment]
 Your version of Excel allows you to read this threaded comment; however, any edits to it will get removed if the file is opened in a newer version of Excel. Learn more: https://go.microsoft.com/fwlink/?linkid=870924
Comment:
	https://www.ebay.com/itm/326677331843?
</t>
      </text>
    </comment>
    <comment authorId="956" xr:uid="{5ab181d3-9248-49f1-92e0-80bfc203b1d0}" ref="C178">
      <text>
        <t xml:space="preserve">[Threaded comment]
 Your version of Excel allows you to read this threaded comment; however, any edits to it will get removed if the file is opened in a newer version of Excel. Learn more: https://go.microsoft.com/fwlink/?linkid=870924
Comment:
	https://www.bestbuy.com/site/asus-zenbook-s-16-16-3k-oled-touch-screen-laptop-copilot-pc-amd-ryzen-ai-9-365-24gb-memory-1tb-ssd-scandinavian-white/6584435.p?skuId=6584435
</t>
      </text>
    </comment>
    <comment authorId="957" xr:uid="{5ab374f4-4dc1-4203-8e79-5ccdd1b646a8}" ref="L241">
      <text>
        <t xml:space="preserve">[Threaded comment]
 Your version of Excel allows you to read this threaded comment; however, any edits to it will get removed if the file is opened in a newer version of Excel. Learn more: https://go.microsoft.com/fwlink/?linkid=870924
Comment:
	https://drive.google.com/file/d/1aZIdPLumBgzfqdh5GSYt0z26Jrpr_9JA/view?usp=drive_link
</t>
      </text>
    </comment>
    <comment authorId="958" xr:uid="{5acb8184-f707-49ab-9048-5d3e1087f9ed}" ref="Q323">
      <text>
        <t xml:space="preserve">[Threaded comment]
 Your version of Excel allows you to read this threaded comment; however, any edits to it will get removed if the file is opened in a newer version of Excel. Learn more: https://go.microsoft.com/fwlink/?linkid=870924
Comment:
	aqui agregue 63 soles de josimar
</t>
      </text>
    </comment>
    <comment authorId="959" xr:uid="{5af54355-9385-48d5-bfe1-f1b4d26e6183}" ref="C706">
      <text>
        <t xml:space="preserve">[Threaded comment]
 Your version of Excel allows you to read this threaded comment; however, any edits to it will get removed if the file is opened in a newer version of Excel. Learn more: https://go.microsoft.com/fwlink/?linkid=870924
Comment:
	https://www.ebay.com/itm/197794126007
</t>
      </text>
    </comment>
    <comment authorId="960" xr:uid="{5af84e53-3ac5-4af1-9abe-3ce70afa02d5}" ref="L235">
      <text>
        <t xml:space="preserve">[Threaded comment]
 Your version of Excel allows you to read this threaded comment; however, any edits to it will get removed if the file is opened in a newer version of Excel. Learn more: https://go.microsoft.com/fwlink/?linkid=870924
Comment:
	https://drive.google.com/file/d/1F4TT20UwZQia2-YNpXCWiUMiaw4VjgWU/view?usp=drive_link
</t>
      </text>
    </comment>
    <comment authorId="961" xr:uid="{5afe79ee-71f2-4d9d-868a-670e909a7e87}" ref="K466">
      <text>
        <t xml:space="preserve">[Threaded comment]
 Your version of Excel allows you to read this threaded comment; however, any edits to it will get removed if the file is opened in a newer version of Excel. Learn more: https://go.microsoft.com/fwlink/?linkid=870924
Comment:
	https://drive.google.com/file/d/10UteoNw_J-iI7C4kD02tJbXJJuOsLbFd/view?usp=drive_link
</t>
      </text>
    </comment>
    <comment authorId="962" xr:uid="{5b0f5ad8-a9cf-4ae7-898a-32962f63baea}" ref="B263">
      <text>
        <t xml:space="preserve">[Threaded comment]
 Your version of Excel allows you to read this threaded comment; however, any edits to it will get removed if the file is opened in a newer version of Excel. Learn more: https://go.microsoft.com/fwlink/?linkid=870924
Comment:
	se pago el 20/10 la laptop era de mi hermana
</t>
      </text>
    </comment>
    <comment authorId="963" xr:uid="{5b147609-47ce-48ae-a6ff-59dbc43bb653}" ref="J430">
      <text>
        <t xml:space="preserve">[Threaded comment]
 Your version of Excel allows you to read this threaded comment; however, any edits to it will get removed if the file is opened in a newer version of Excel. Learn more: https://go.microsoft.com/fwlink/?linkid=870924
Comment:
	https://drive.google.com/file/d/1jIuCOIh9FmAvcIFy3WSQTR5CXGHnga68/view?usp=drive_link
</t>
      </text>
    </comment>
    <comment authorId="964" xr:uid="{5b406b84-01b7-4180-a7aa-5135f837d86b}" ref="J156">
      <text>
        <t xml:space="preserve">[Threaded comment]
 Your version of Excel allows you to read this threaded comment; however, any edits to it will get removed if the file is opened in a newer version of Excel. Learn more: https://go.microsoft.com/fwlink/?linkid=870924
Comment:
	https://drive.google.com/file/d/1TooK_dhcFljDCFnNCVXIREVcT0veiK9S/view?usp=drive_link
</t>
      </text>
    </comment>
    <comment authorId="965" xr:uid="{5b6bd7c8-72df-473b-9d7e-0da1fac4fdbb}" ref="J792">
      <text>
        <t xml:space="preserve">[Threaded comment]
 Your version of Excel allows you to read this threaded comment; however, any edits to it will get removed if the file is opened in a newer version of Excel. Learn more: https://go.microsoft.com/fwlink/?linkid=870924
Comment:
	https://drive.google.com/file/d/1HriwgVgoT-B4mswRUz4-eE43qVCuU_UN/view?usp=drive_link
</t>
      </text>
    </comment>
    <comment authorId="966" xr:uid="{5b72c11a-c28b-454c-8696-c4d358a9a17e}" ref="C78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967" xr:uid="{5b7bad35-8873-4520-b009-b45dac17e01c}" ref="D330">
      <text>
        <t xml:space="preserve">[Threaded comment]
 Your version of Excel allows you to read this threaded comment; however, any edits to it will get removed if the file is opened in a newer version of Excel. Learn more: https://go.microsoft.com/fwlink/?linkid=870924
Comment:
	Jesús Enrique piñan bacon
74904658
923973244 / 982420595
jesuspinan7@gmail.com
</t>
      </text>
    </comment>
    <comment authorId="968" xr:uid="{5b83644d-a86a-4d51-98de-7f164e881e04}" ref="J510">
      <text>
        <t xml:space="preserve">[Threaded comment]
 Your version of Excel allows you to read this threaded comment; however, any edits to it will get removed if the file is opened in a newer version of Excel. Learn more: https://go.microsoft.com/fwlink/?linkid=870924
Comment:
	https://drive.google.com/file/d/1pF2zMulu6YytxbM4hrhtIceNKwTk-ntK/view?usp=drive_link
</t>
      </text>
    </comment>
    <comment authorId="969" xr:uid="{5bc2cbb0-920a-4de7-a7e2-beb1e795d9ca}" ref="F450">
      <text>
        <t xml:space="preserve">[Threaded comment]
 Your version of Excel allows you to read this threaded comment; however, any edits to it will get removed if the file is opened in a newer version of Excel. Learn more: https://go.microsoft.com/fwlink/?linkid=870924
Comment:
	ES una similar
</t>
      </text>
    </comment>
    <comment authorId="970" xr:uid="{5c139ddb-8962-4dbe-a815-905dd9e92344}" ref="K445">
      <text>
        <t xml:space="preserve">[Threaded comment]
 Your version of Excel allows you to read this threaded comment; however, any edits to it will get removed if the file is opened in a newer version of Excel. Learn more: https://go.microsoft.com/fwlink/?linkid=870924
Comment:
	https://drive.google.com/file/d/1S21jtSi_pnCw_Zeq42zZxQC-_4vr5xjf/view?usp=drive_link
</t>
      </text>
    </comment>
    <comment authorId="971" xr:uid="{5c48f021-5454-473f-85d2-dc26adf2d8ba}" ref="AI745">
      <text>
        <t xml:space="preserve">[Threaded comment]
 Your version of Excel allows you to read this threaded comment; however, any edits to it will get removed if the file is opened in a newer version of Excel. Learn more: https://go.microsoft.com/fwlink/?linkid=870924
Comment:
	https://drive.google.com/file/d/1MryE0CschSlw5OWyGLY4p-a73S2S8Gte/view?usp=drive_link
</t>
      </text>
    </comment>
    <comment authorId="972" xr:uid="{5c4b4653-d7fb-43da-aa4a-f5a51f7f9576}" ref="J179">
      <text>
        <t xml:space="preserve">[Threaded comment]
 Your version of Excel allows you to read this threaded comment; however, any edits to it will get removed if the file is opened in a newer version of Excel. Learn more: https://go.microsoft.com/fwlink/?linkid=870924
Comment:
	https://drive.google.com/file/d/1pc8IDx28BiSvuolOcGh6HS_RnSMUgLYG/view?usp=drive_link
</t>
      </text>
    </comment>
    <comment authorId="973" xr:uid="{5c58c2c2-f380-44c9-b313-2578f0e71e77}" ref="L659">
      <text>
        <t xml:space="preserve">[Threaded comment]
 Your version of Excel allows you to read this threaded comment; however, any edits to it will get removed if the file is opened in a newer version of Excel. Learn more: https://go.microsoft.com/fwlink/?linkid=870924
Comment:
	https://drive.google.com/file/d/1u_iObcpupup186Dea4Ztg_j45svt3SCg/view?usp=drive_link
Reply:
	https://drive.google.com/file/d/1MDXAE8mb11L_gVeWJ8oti_zya903W0zs/view?usp=drive_link
</t>
      </text>
    </comment>
    <comment authorId="974" xr:uid="{5c6d64fe-7871-45f9-816e-77706fe76373}" ref="C203">
      <text>
        <t xml:space="preserve">[Threaded comment]
 Your version of Excel allows you to read this threaded comment; however, any edits to it will get removed if the file is opened in a newer version of Excel. Learn more: https://go.microsoft.com/fwlink/?linkid=870924
Comment:
	https://www.costco.com/lenovo-legion-5i-16-gaming-laptop---intel-core-ultra-9-275hx---geforce-rtx-5060---wqxga-2560x1600---windows-11-home---32gb-ram---1tb-ssd.product.4000380973.html
</t>
      </text>
    </comment>
    <comment authorId="975" xr:uid="{5c7a8cd9-2d96-424c-9b74-7e69a74c84fc}" ref="K531">
      <text>
        <t xml:space="preserve">[Threaded comment]
 Your version of Excel allows you to read this threaded comment; however, any edits to it will get removed if the file is opened in a newer version of Excel. Learn more: https://go.microsoft.com/fwlink/?linkid=870924
Comment:
	https://drive.google.com/file/d/17aTTxAQ2_KsJCBb2b7wQqx7mGzRKXGxG/view?usp=drive_link
Reply:
	https://drive.google.com/file/d/1O4pjbB7SuPlzKYE7Eswy_lgw5Zi4Iuci/view?usp=drive_link
Reply:
	https://drive.google.com/file/d/1mpikdN0BH112h7WG6g0WXJ1Fqcly1r9q/view?usp=drive_link
</t>
      </text>
    </comment>
    <comment authorId="976" xr:uid="{5ce60dbc-7243-4545-8abd-d906342ebe06}" ref="T658">
      <text>
        <t xml:space="preserve">[Threaded comment]
 Your version of Excel allows you to read this threaded comment; however, any edits to it will get removed if the file is opened in a newer version of Excel. Learn more: https://go.microsoft.com/fwlink/?linkid=870924
Comment:
	FILA 672
</t>
      </text>
    </comment>
    <comment authorId="977" xr:uid="{5d21bf40-858f-4941-8597-a821ea36ee0f}" ref="J390">
      <text>
        <t xml:space="preserve">[Threaded comment]
 Your version of Excel allows you to read this threaded comment; however, any edits to it will get removed if the file is opened in a newer version of Excel. Learn more: https://go.microsoft.com/fwlink/?linkid=870924
Comment:
	https://drive.google.com/file/d/1zCcN7PUdHGuYNDmw6H0BIrYx9wiy0Nb3/view?usp=drive_link
</t>
      </text>
    </comment>
    <comment authorId="978" xr:uid="{5d2a168c-5479-48da-8838-398293c6367b}" ref="AF696">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979" xr:uid="{5d39009f-e860-4c26-8009-228b133d5a7b}" ref="C628">
      <text>
        <t xml:space="preserve">[Threaded comment]
 Your version of Excel allows you to read this threaded comment; however, any edits to it will get removed if the file is opened in a newer version of Excel. Learn more: https://go.microsoft.com/fwlink/?linkid=870924
Comment:
	https://www.lenovo.com/us/en/p/laptops/legion-laptops/legion-pro-series/legion-pro-5i-gen-10-16-inch-intel/83f3000aus
</t>
      </text>
    </comment>
    <comment authorId="980" xr:uid="{5d594599-b91a-4d92-b3ef-ae712f175eaa}" ref="L114">
      <text>
        <t xml:space="preserve">[Threaded comment]
 Your version of Excel allows you to read this threaded comment; however, any edits to it will get removed if the file is opened in a newer version of Excel. Learn more: https://go.microsoft.com/fwlink/?linkid=870924
Comment:
	https://drive.google.com/file/d/1ivWiJofVYYdLpeGiKsv49x6rZTOwNbTX/view?usp=drive_link
Reply:
	https://drive.google.com/file/d/1f0mq6r3_EMoLXrl_hvsZj_4fgK9WTJFe/view?usp=drive_link
</t>
      </text>
    </comment>
    <comment authorId="981" xr:uid="{5d60754a-058c-4a83-88c9-dde4ab671d53}" ref="AF430">
      <text>
        <t xml:space="preserve">[Threaded comment]
 Your version of Excel allows you to read this threaded comment; however, any edits to it will get removed if the file is opened in a newer version of Excel. Learn more: https://go.microsoft.com/fwlink/?linkid=870924
Comment:
	VENTAL FINAL, EXCEDENTE, FIXIT
</t>
      </text>
    </comment>
    <comment authorId="982" xr:uid="{5db0b754-86fe-4d7f-a8f4-2c7b4b588e6a}" ref="Y516">
      <text>
        <t xml:space="preserve">[Threaded comment]
 Your version of Excel allows you to read this threaded comment; however, any edits to it will get removed if the file is opened in a newer version of Excel. Learn more: https://go.microsoft.com/fwlink/?linkid=870924
Comment:
	No es necesario, canceló la compra
</t>
      </text>
    </comment>
    <comment authorId="983" xr:uid="{5dc46af9-dff2-48b9-92ba-ede5d93847fa}" ref="C597">
      <text>
        <t xml:space="preserve">[Threaded comment]
 Your version of Excel allows you to read this threaded comment; however, any edits to it will get removed if the file is opened in a newer version of Excel. Learn more: https://go.microsoft.com/fwlink/?linkid=870924
Comment:
	https://www.ebay.com/itm/326677331843?_skw=laptop+gaming&amp;itmmeta=01KJS3VX5CGPFXBTWDCAJ0Z1BK&amp;hash=item4c0f7c7f83:g:~B0AAeSwm0dpoAgm
</t>
      </text>
    </comment>
    <comment authorId="984" xr:uid="{5de1160d-8b68-493b-9695-a48b1988f8bb}" ref="AF559">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985" xr:uid="{5e3282ea-4e3c-4a69-b5fd-8b99be1c9ab3}" ref="C73">
      <text>
        <t xml:space="preserve">[Threaded comment]
 Your version of Excel allows you to read this threaded comment; however, any edits to it will get removed if the file is opened in a newer version of Excel. Learn more: https://go.microsoft.com/fwlink/?linkid=870924
Comment:
	https://www.costco.com/lenovo-legion-5i-16-gaming-laptop---14th-gen-intel-core-i9-14900hx---geforce-rtx-4060---165hz-2560-x-1600.product.4000270759.html
</t>
      </text>
    </comment>
    <comment authorId="986" xr:uid="{5e5ddeb8-9bee-4847-9e54-934d0343ec32}" ref="C340">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https://www.bestbuy.com/product/asus-tuf-gaming-a16-16-fhd-165hz-gaming-laptop-amd-ryzen-9-32gb-ram-nvidia-geforce-rtx-5070-1tb-ssd-jaegar-gray/JJGGLH8Y2Z
</t>
      </text>
    </comment>
    <comment authorId="987" xr:uid="{5e745fcc-6e52-400a-96f8-fce21e7cb50a}" ref="W314">
      <text>
        <t xml:space="preserve">[Threaded comment]
 Your version of Excel allows you to read this threaded comment; however, any edits to it will get removed if the file is opened in a newer version of Excel. Learn more: https://go.microsoft.com/fwlink/?linkid=870924
Comment:
	https://drive.google.com/file/d/1S2L1fK1xyHwngXuvrLBuI-joZh5gS9X6/view?usp=drive_link
</t>
      </text>
    </comment>
    <comment authorId="988" xr:uid="{5e78c3d2-6d4e-4c62-83c7-6b9ef73a90a5}" ref="W378">
      <text>
        <t xml:space="preserve">[Threaded comment]
 Your version of Excel allows you to read this threaded comment; however, any edits to it will get removed if the file is opened in a newer version of Excel. Learn more: https://go.microsoft.com/fwlink/?linkid=870924
Comment:
	https://drive.google.com/file/d/19uYktCJMF085Ka5fe2q1yd9FtfVRax5d/view?usp=drive_link
</t>
      </text>
    </comment>
    <comment authorId="989" xr:uid="{5ea90065-c5e2-442e-8ec9-bcd8190d9789}" ref="AF551">
      <text>
        <t xml:space="preserve">[Threaded comment]
 Your version of Excel allows you to read this threaded comment; however, any edits to it will get removed if the file is opened in a newer version of Excel. Learn more: https://go.microsoft.com/fwlink/?linkid=870924
Comment:
	forms, venta final, fixit, excedentes
</t>
      </text>
    </comment>
    <comment authorId="990" xr:uid="{5eac47db-feba-4990-8230-1b4d139b645c}" ref="J699">
      <text>
        <t xml:space="preserve">[Threaded comment]
 Your version of Excel allows you to read this threaded comment; however, any edits to it will get removed if the file is opened in a newer version of Excel. Learn more: https://go.microsoft.com/fwlink/?linkid=870924
Comment:
	https://drive.google.com/file/d/147xCMCjPlm4pcHO9m-xfeugUehPsIutx/view?usp=drive_link
</t>
      </text>
    </comment>
    <comment authorId="991" xr:uid="{5ead03e0-2c9f-4279-a22b-fcaf38041415}" ref="Q538">
      <text>
        <t xml:space="preserve">[Threaded comment]
 Your version of Excel allows you to read this threaded comment; however, any edits to it will get removed if the file is opened in a newer version of Excel. Learn more: https://go.microsoft.com/fwlink/?linkid=870924
Comment:
	configuracion inicial + apertura + office 2024 + suite autodesk
</t>
      </text>
    </comment>
    <comment authorId="992" xr:uid="{5ebe9d10-4ad7-46c1-8bfe-d062b3285331}" ref="J794">
      <text>
        <t xml:space="preserve">[Threaded comment]
 Your version of Excel allows you to read this threaded comment; however, any edits to it will get removed if the file is opened in a newer version of Excel. Learn more: https://go.microsoft.com/fwlink/?linkid=870924
Comment:
	https://drive.google.com/file/d/1BQzormr0IMIMF-QfwDwRo1-PEQSqTYSq/view?usp=drive_link
</t>
      </text>
    </comment>
    <comment authorId="993" xr:uid="{5ed791eb-0212-40a9-9026-f20f8e597bb2}" ref="J252">
      <text>
        <t xml:space="preserve">[Threaded comment]
 Your version of Excel allows you to read this threaded comment; however, any edits to it will get removed if the file is opened in a newer version of Excel. Learn more: https://go.microsoft.com/fwlink/?linkid=870924
Comment:
	https://drive.google.com/file/d/1vytH-VRwmLoOeDM7ECMwtbdsgUjlaWSF/view
</t>
      </text>
    </comment>
    <comment authorId="994" xr:uid="{5ee8844f-86b8-423e-860c-327a873cfd54}" ref="C29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995" xr:uid="{5f1bda04-58f8-4bff-92b9-64d3b763c918}" ref="L136">
      <text>
        <t xml:space="preserve">[Threaded comment]
 Your version of Excel allows you to read this threaded comment; however, any edits to it will get removed if the file is opened in a newer version of Excel. Learn more: https://go.microsoft.com/fwlink/?linkid=870924
Comment:
	https://drive.google.com/file/d/1Ka_JJ4Zxj8-hoV-MzoOw-lWIM2rcAl5T/view?usp=drive_link
</t>
      </text>
    </comment>
    <comment authorId="996" xr:uid="{5f2f4a22-71f8-460e-b89d-6812f4b5ff45}" ref="AF159">
      <text>
        <t xml:space="preserve">[Threaded comment]
 Your version of Excel allows you to read this threaded comment; however, any edits to it will get removed if the file is opened in a newer version of Excel. Learn more: https://go.microsoft.com/fwlink/?linkid=870924
Comment:
	preguntar por el excedente y falta boleta
</t>
      </text>
    </comment>
    <comment authorId="997" xr:uid="{5f4eb53f-f22a-48e7-a48a-0f03b040de08}" ref="AF67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998" xr:uid="{5f513e08-8e55-4564-ae86-d2a3879dc6de}" ref="F585">
      <text>
        <t xml:space="preserve">[Threaded comment]
 Your version of Excel allows you to read this threaded comment; however, any edits to it will get removed if the file is opened in a newer version of Excel. Learn more: https://go.microsoft.com/fwlink/?linkid=870924
Comment:
	se está procesando, aún no está confirmado
Reply:
	ya se confirmó
</t>
      </text>
    </comment>
    <comment authorId="999" xr:uid="{5f515163-8879-4041-8044-3ba9db7cc578}" ref="J416">
      <text>
        <t xml:space="preserve">[Threaded comment]
 Your version of Excel allows you to read this threaded comment; however, any edits to it will get removed if the file is opened in a newer version of Excel. Learn more: https://go.microsoft.com/fwlink/?linkid=870924
Comment:
	https://drive.google.com/file/d/1hHwuwL6bCRPfRWlpu8YjzUqzYAp6Gavq/view?usp=drive_link
</t>
      </text>
    </comment>
    <comment authorId="1000" xr:uid="{5f597e53-d5a6-48ec-8dfe-73116883e6c1}" ref="W294">
      <text>
        <t xml:space="preserve">[Threaded comment]
 Your version of Excel allows you to read this threaded comment; however, any edits to it will get removed if the file is opened in a newer version of Excel. Learn more: https://go.microsoft.com/fwlink/?linkid=870924
Comment:
	https://drive.google.com/file/d/1vf14mCNtXjkpI8ZvYD15WT4RwWDdMlx3/view?usp=drive_link
</t>
      </text>
    </comment>
    <comment authorId="1001" xr:uid="{5f87d1b1-c0ba-41e5-85aa-758dc53a75e7}" ref="L157">
      <text>
        <t xml:space="preserve">[Threaded comment]
 Your version of Excel allows you to read this threaded comment; however, any edits to it will get removed if the file is opened in a newer version of Excel. Learn more: https://go.microsoft.com/fwlink/?linkid=870924
Comment:
	https://drive.google.com/file/d/1UeSmne3SOZtdYe7Ff4loR2yRCIoejoxE/view?usp=drive_link
</t>
      </text>
    </comment>
    <comment authorId="1002" xr:uid="{5fa7fb58-196e-4863-a7c3-3aed3dd0c169}" ref="J740">
      <text>
        <t xml:space="preserve">[Threaded comment]
 Your version of Excel allows you to read this threaded comment; however, any edits to it will get removed if the file is opened in a newer version of Excel. Learn more: https://go.microsoft.com/fwlink/?linkid=870924
Comment:
	https://drive.google.com/file/d/1LPigtZW7HbU6T9sFz8IeZs-f_kqWvd5D/view?usp=drive_link
</t>
      </text>
    </comment>
    <comment authorId="1003" xr:uid="{5fbdefba-470c-416b-ae8b-9bc224baba3d}" ref="K438">
      <text>
        <t xml:space="preserve">[Threaded comment]
 Your version of Excel allows you to read this threaded comment; however, any edits to it will get removed if the file is opened in a newer version of Excel. Learn more: https://go.microsoft.com/fwlink/?linkid=870924
Comment:
	https://drive.google.com/file/d/15VcuzkdXUecQXZaMNI-PyssLwGknjLIt/view?usp=drive_link
</t>
      </text>
    </comment>
    <comment authorId="1004" xr:uid="{5fdf8617-886f-4816-b36c-419f6bef6ab2}" ref="C28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https://www.microcenter.com/product/691907/asus-rog-strix-scar-16-g635lw-xs97-16-gaming-laptop-computer-off-black
</t>
      </text>
    </comment>
    <comment authorId="1005" xr:uid="{5fe6e9b1-2d74-4ea3-ada1-b5b17129ea44}" ref="P426">
      <text>
        <t xml:space="preserve">[Threaded comment]
 Your version of Excel allows you to read this threaded comment; however, any edits to it will get removed if the file is opened in a newer version of Excel. Learn more: https://go.microsoft.com/fwlink/?linkid=870924
Comment:
	descontar del cliente fila 396
Reply:
	209-130=monto actual 79
</t>
      </text>
    </comment>
    <comment authorId="1006" xr:uid="{5fed8d2e-9aa7-4600-beb0-2b7f08ff46b0}" ref="C455">
      <text>
        <t xml:space="preserve">[Threaded comment]
 Your version of Excel allows you to read this threaded comment; however, any edits to it will get removed if the file is opened in a newer version of Excel. Learn more: https://go.microsoft.com/fwlink/?linkid=870924
Comment:
	https://www.ebay.com/itm/297778435393?_skw=laptop+gaming&amp;itmmeta=01KDPJCT13HS826PXQN2N10WYZ&amp;hash=item4554fa5541:g:ILUAAeSwiWBpMmk5
</t>
      </text>
    </comment>
    <comment authorId="1007" xr:uid="{6005f0f8-be04-4473-8263-a234a8687aaf}" ref="J440">
      <text>
        <t xml:space="preserve">[Threaded comment]
 Your version of Excel allows you to read this threaded comment; however, any edits to it will get removed if the file is opened in a newer version of Excel. Learn more: https://go.microsoft.com/fwlink/?linkid=870924
Comment:
	https://drive.google.com/file/d/1nNmfQSR3VFY3V1rfX2LKTS4yytRMiaZR/view?usp=drive_link
</t>
      </text>
    </comment>
    <comment authorId="1008" xr:uid="{60252079-62ec-4b2b-8071-10f2e68718b3}" ref="AF759">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1009" xr:uid="{60273c66-6358-44c0-a67b-86bb320bc80c}" ref="K618">
      <text>
        <t xml:space="preserve">[Threaded comment]
 Your version of Excel allows you to read this threaded comment; however, any edits to it will get removed if the file is opened in a newer version of Excel. Learn more: https://go.microsoft.com/fwlink/?linkid=870924
Comment:
	https://drive.google.com/file/d/162Hkmo-jmYsyZALeV8eqsUgWzA6Vip1G/view?usp=drive_link
Reply:
	https://drive.google.com/file/d/1HIJT2xBWC0myVRfJpT_fsfTpCo_Dypn-/view?usp=drive_link
Reply:
	https://drive.google.com/file/d/1OUiB1G_aYKHbAOnWONcTdgS3aL0h2M2j/view?usp=drive_link
</t>
      </text>
    </comment>
    <comment authorId="1010" xr:uid="{603e4b2b-eb02-4d02-9aa9-df3bab7289b2}" ref="J640">
      <text>
        <t xml:space="preserve">[Threaded comment]
 Your version of Excel allows you to read this threaded comment; however, any edits to it will get removed if the file is opened in a newer version of Excel. Learn more: https://go.microsoft.com/fwlink/?linkid=870924
Comment:
	https://drive.google.com/file/d/1Vpk19BprATduPYdJ8oHECgvI72LcEM5z/view?usp=drive_link
</t>
      </text>
    </comment>
    <comment authorId="1011" xr:uid="{6053f411-169c-48fc-a5c7-1af18241eea6}" ref="AF544">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012" xr:uid="{6066dbcb-60f7-424c-9818-2f0611000372}" ref="K692">
      <text>
        <t xml:space="preserve">[Threaded comment]
 Your version of Excel allows you to read this threaded comment; however, any edits to it will get removed if the file is opened in a newer version of Excel. Learn more: https://go.microsoft.com/fwlink/?linkid=870924
Comment:
	https://drive.google.com/file/d/15DwVldAHqK9MsCBb5RIHZcrxnZcBmFTk/view?usp=drive_link
Reply:
	https://drive.google.com/file/d/1mE5KYdebzUZUK0Dm7DYycMkvPdY558VZ/view?usp=drive_link
Reply:
	https://drive.google.com/file/d/1surgIHJ45PJHxGS1HYYd7QqRDfiE8Gyj/view?usp=drive_link
</t>
      </text>
    </comment>
    <comment authorId="1013" xr:uid="{6072e669-bf82-4d9f-858c-c037f943fcbe}" ref="K471">
      <text>
        <t xml:space="preserve">[Threaded comment]
 Your version of Excel allows you to read this threaded comment; however, any edits to it will get removed if the file is opened in a newer version of Excel. Learn more: https://go.microsoft.com/fwlink/?linkid=870924
Comment:
	https://drive.google.com/file/d/1vA2GCK1VMC-N33eCdIUJ27jQ48Nfm1DB/view?usp=drive_link
</t>
      </text>
    </comment>
    <comment authorId="1014" xr:uid="{6078d042-a579-4d4d-9b2b-d07b95ecba75}" ref="W425">
      <text>
        <t xml:space="preserve">[Threaded comment]
 Your version of Excel allows you to read this threaded comment; however, any edits to it will get removed if the file is opened in a newer version of Excel. Learn more: https://go.microsoft.com/fwlink/?linkid=870924
Comment:
	https://drive.google.com/open?id=1zYAhsdsaY3kBMeK3iWxMOm9wBLdtxns_&amp;usp=drive_copy
</t>
      </text>
    </comment>
    <comment authorId="1015" xr:uid="{6086b14d-63d2-4486-b4f8-6a101bb301b4}" ref="AF505">
      <text>
        <t xml:space="preserve">[Threaded comment]
 Your version of Excel allows you to read this threaded comment; however, any edits to it will get removed if the file is opened in a newer version of Excel. Learn more: https://go.microsoft.com/fwlink/?linkid=870924
Comment:
	solo voucher
</t>
      </text>
    </comment>
    <comment authorId="1016" xr:uid="{60c9b9a9-c3cc-43fa-b7b5-740e0876a1c9}" ref="L192">
      <text>
        <t xml:space="preserve">[Threaded comment]
 Your version of Excel allows you to read this threaded comment; however, any edits to it will get removed if the file is opened in a newer version of Excel. Learn more: https://go.microsoft.com/fwlink/?linkid=870924
Comment:
	https://drive.google.com/file/d/1RfbbOsuXgTtiMcaesa9bj9cmNbGwrOVg/view?usp=drive_link
</t>
      </text>
    </comment>
    <comment authorId="1017" xr:uid="{60ebb8b1-a0a0-4b4a-b745-e1e1ee0405f3}" ref="AF673">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018" xr:uid="{60f14544-33d8-42d4-8336-c58dd9ec9b0f}" ref="C107">
      <text>
        <t xml:space="preserve">[Threaded comment]
 Your version of Excel allows you to read this threaded comment; however, any edits to it will get removed if the file is opened in a newer version of Excel. Learn more: https://go.microsoft.com/fwlink/?linkid=870924
Comment:
	https://www.ebay.com/itm/205565391274?_skw=5070&amp;itmmeta=01JZBKFQNSRGP7ATBXTRSZ50T9&amp;hash=item2fdca6f1aa:g:e2UAAeSwt1loUEhN
</t>
      </text>
    </comment>
    <comment authorId="1019" xr:uid="{60ffda2a-5d03-4711-b8b7-0f6dd7430a32}" ref="J738">
      <text>
        <t xml:space="preserve">[Threaded comment]
 Your version of Excel allows you to read this threaded comment; however, any edits to it will get removed if the file is opened in a newer version of Excel. Learn more: https://go.microsoft.com/fwlink/?linkid=870924
Comment:
	https://drive.google.com/file/d/1LFKjK8KHSsNvOedI6jnO-7j8R5f2hK7x/view?usp=drive_link
</t>
      </text>
    </comment>
    <comment authorId="1020" xr:uid="{61038fd7-e61c-4464-bf2d-0ee9d691ed54}" ref="C174">
      <text>
        <t xml:space="preserve">[Threaded comment]
 Your version of Excel allows you to read this threaded comment; however, any edits to it will get removed if the file is opened in a newer version of Excel. Learn more: https://go.microsoft.com/fwlink/?linkid=870924
Comment:
	https://www.amazon.com/-/es/Zenbook-WQXGA-Notebook-Graphics-Inkwell/dp/B0CRD6PJDF?th=1
</t>
      </text>
    </comment>
    <comment authorId="1021" xr:uid="{611757e6-201e-4c02-92f6-984ae37e622f}" ref="W256">
      <text>
        <t xml:space="preserve">[Threaded comment]
 Your version of Excel allows you to read this threaded comment; however, any edits to it will get removed if the file is opened in a newer version of Excel. Learn more: https://go.microsoft.com/fwlink/?linkid=870924
Comment:
	https://drive.google.com/file/d/15-ziLeAmAIptrY4B1Mq3EOfX-07GpZux/view?usp=drive_link
</t>
      </text>
    </comment>
    <comment authorId="1022" xr:uid="{612eb725-ef34-43b5-a9bc-ab1c6b87be1d}" ref="J291">
      <text>
        <t xml:space="preserve">[Threaded comment]
 Your version of Excel allows you to read this threaded comment; however, any edits to it will get removed if the file is opened in a newer version of Excel. Learn more: https://go.microsoft.com/fwlink/?linkid=870924
Comment:
	https://drive.google.com/file/d/1BNUILyDUy77wDMKN3cZ0AoOeBy06XtXr/view?usp=drive_link
</t>
      </text>
    </comment>
    <comment authorId="1023" xr:uid="{6138beac-a32f-49ea-abca-df8cb3ff3675}" ref="W306">
      <text>
        <t xml:space="preserve">[Threaded comment]
 Your version of Excel allows you to read this threaded comment; however, any edits to it will get removed if the file is opened in a newer version of Excel. Learn more: https://go.microsoft.com/fwlink/?linkid=870924
Comment:
	Ixpery service sac
20601857601
957277390
ymorales@ixpery.com
895.70 + garantia 349 es lo que le indiqué
Reply:
	https://drive.google.com/file/d/1mdfzObAiJYjwncntep5P40Yskryrh6nV/view?usp=drive_link
</t>
      </text>
    </comment>
    <comment authorId="1024" xr:uid="{6139a2e5-64cc-4929-b365-54591df852e0}" ref="J615">
      <text>
        <t xml:space="preserve">[Threaded comment]
 Your version of Excel allows you to read this threaded comment; however, any edits to it will get removed if the file is opened in a newer version of Excel. Learn more: https://go.microsoft.com/fwlink/?linkid=870924
Comment:
	https://drive.google.com/file/d/1k240GeE_9OnudnGVRwqfjwZq4OpSxlj5/view?usp=drive_link
Reply:
	https://drive.google.com/file/d/1mXp-9vFZN6xsDYjHR9OTZ3y_YqpI_ctY/view?usp=drive_link
Reply:
	https://drive.google.com/file/d/1w88xRoaoJ7RMr-TFx2jJLRSmWB2d-5w2/view?usp=drive_link
Reply:
	https://drive.google.com/file/d/1vIv1wat-8hNKYPJ2n_cCiBK2ds8bvIgy/view?usp=drive_link
</t>
      </text>
    </comment>
    <comment authorId="1025" xr:uid="{613f1ae2-f462-48ec-a7c6-788dd5eb4638}" ref="L187">
      <text>
        <t xml:space="preserve">[Threaded comment]
 Your version of Excel allows you to read this threaded comment; however, any edits to it will get removed if the file is opened in a newer version of Excel. Learn more: https://go.microsoft.com/fwlink/?linkid=870924
Comment:
	https://drive.google.com/file/d/1rn3ml-TyEThvu7XOieBXgNpeiuyrlIwH/view?usp=drive_link
</t>
      </text>
    </comment>
    <comment authorId="1026" xr:uid="{619ff9d4-e9da-41b5-956a-64a3a59ecca3}" ref="K785">
      <text>
        <t xml:space="preserve">[Threaded comment]
 Your version of Excel allows you to read this threaded comment; however, any edits to it will get removed if the file is opened in a newer version of Excel. Learn more: https://go.microsoft.com/fwlink/?linkid=870924
Comment:
	https://drive.google.com/file/d/1Dh-g0X0KIP4OfQavOmGv5TYD30McuQxX/view?usp=drive_link
</t>
      </text>
    </comment>
    <comment authorId="1027" xr:uid="{61d6d5c7-b6bc-4007-b851-a613bda1016c}" ref="J543">
      <text>
        <t xml:space="preserve">[Threaded comment]
 Your version of Excel allows you to read this threaded comment; however, any edits to it will get removed if the file is opened in a newer version of Excel. Learn more: https://go.microsoft.com/fwlink/?linkid=870924
Comment:
	https://drive.google.com/file/d/1kvOL3oHBPzscG3BaJW5CSPc1VHQYtiEi/view?usp=drive_link
</t>
      </text>
    </comment>
    <comment authorId="1028" xr:uid="{61daa25e-3482-4689-bd43-b516135063a5}" ref="K634">
      <text>
        <t xml:space="preserve">[Threaded comment]
 Your version of Excel allows you to read this threaded comment; however, any edits to it will get removed if the file is opened in a newer version of Excel. Learn more: https://go.microsoft.com/fwlink/?linkid=870924
Comment:
	https://drive.google.com/file/d/1uzil7GSY18gUzuF1VNcR8evAmv4glmZX/view?usp=drive_link
</t>
      </text>
    </comment>
    <comment authorId="1029" xr:uid="{61f3511c-72db-407d-81d5-af5edf758c04}" ref="O134">
      <text>
        <t xml:space="preserve">[Threaded comment]
 Your version of Excel allows you to read this threaded comment; however, any edits to it will get removed if the file is opened in a newer version of Excel. Learn more: https://go.microsoft.com/fwlink/?linkid=870924
Comment:
	31 dolares para cotsco 3.55 precio de dolares, 110 solees
</t>
      </text>
    </comment>
    <comment authorId="1030" xr:uid="{61f7433a-ee0c-45b8-8be6-e4921b584604}" ref="Q721">
      <text>
        <t xml:space="preserve">[Threaded comment]
 Your version of Excel allows you to read this threaded comment; however, any edits to it will get removed if the file is opened in a newer version of Excel. Learn more: https://go.microsoft.com/fwlink/?linkid=870924
Comment:
	se lleva la laptop sellada sin configuración inicial, a menos de que él quiera pagar el extra
</t>
      </text>
    </comment>
    <comment authorId="1031" xr:uid="{623d4c16-8eab-40b3-b00b-83cae45e15a0}" ref="K582">
      <text>
        <t xml:space="preserve">[Threaded comment]
 Your version of Excel allows you to read this threaded comment; however, any edits to it will get removed if the file is opened in a newer version of Excel. Learn more: https://go.microsoft.com/fwlink/?linkid=870924
Comment:
	https://drive.google.com/file/d/1TjJ3P3XXg5nlgP1lgJy8J29Ng50z2M2V/view?usp=drive_link
</t>
      </text>
    </comment>
    <comment authorId="1032" xr:uid="{624b70b0-429a-4748-ae58-2f13433b19c4}" ref="J145">
      <text>
        <t xml:space="preserve">[Threaded comment]
 Your version of Excel allows you to read this threaded comment; however, any edits to it will get removed if the file is opened in a newer version of Excel. Learn more: https://go.microsoft.com/fwlink/?linkid=870924
Comment:
	https://drive.google.com/file/d/1gs_ngEAJnlcxU3L-heElezbjFLAJrxEg/view?usp=drive_link
</t>
      </text>
    </comment>
    <comment authorId="1033" xr:uid="{6259ee58-0863-47b2-85f9-49671935db9e}" ref="J37">
      <text>
        <t xml:space="preserve">[Threaded comment]
 Your version of Excel allows you to read this threaded comment; however, any edits to it will get removed if the file is opened in a newer version of Excel. Learn more: https://go.microsoft.com/fwlink/?linkid=870924
Comment:
	https://drive.google.com/file/d/1WkSKvadpPrBFsuUfjwCi85NbI3l9Mwcf/view?usp=drive_link
</t>
      </text>
    </comment>
    <comment authorId="1034" xr:uid="{626ddf8e-e4c5-498e-b6cc-508c4450514f}" ref="C246">
      <text>
        <t xml:space="preserve">[Threaded comment]
 Your version of Excel allows you to read this threaded comment; however, any edits to it will get removed if the file is opened in a newer version of Excel. Learn more: https://go.microsoft.com/fwlink/?linkid=870924
Comment:
	https://www.newegg.com/msi-16-geforce-rtx-4060/p/1TS-0016-05CT7?Item=1TS-0016-05CT7&amp;_gl=1*13mtk7s*_gcl_au*MTk1NzQyMDEyNy4xNzU4NTk5ODYx*_ga*ODcwMzYwNDAzLjE3NTg1OTk4NjM.*_ga_TR46GG8HLR*czE3NTg5OTMyMjQkbzQkZzEkdDE3NTg5OTQzODAkajM2JGwwJGg4NDAzMjA1OTE.
</t>
      </text>
    </comment>
    <comment authorId="1035" xr:uid="{6271592f-da85-488b-a79d-4125a414ab47}" ref="K336">
      <text>
        <t xml:space="preserve">[Threaded comment]
 Your version of Excel allows you to read this threaded comment; however, any edits to it will get removed if the file is opened in a newer version of Excel. Learn more: https://go.microsoft.com/fwlink/?linkid=870924
Comment:
	https://drive.google.com/file/d/1xMfyifUwBPeL1_R6__daZdpKcyAe3Wym/view?usp=drive_link
</t>
      </text>
    </comment>
    <comment authorId="1036" xr:uid="{6296c4a7-4fe7-4167-a633-f1ff96096447}" ref="K307">
      <text>
        <t xml:space="preserve">[Threaded comment]
 Your version of Excel allows you to read this threaded comment; however, any edits to it will get removed if the file is opened in a newer version of Excel. Learn more: https://go.microsoft.com/fwlink/?linkid=870924
Comment:
	https://drive.google.com/file/d/1oOfVWndGvZQJrYV4hQJTCaXA4B6dESeI/view?usp=drive_link
</t>
      </text>
    </comment>
    <comment authorId="1037" xr:uid="{629e493b-3033-4b91-a88c-68cd743e1720}" ref="W124">
      <text>
        <t xml:space="preserve">[Threaded comment]
 Your version of Excel allows you to read this threaded comment; however, any edits to it will get removed if the file is opened in a newer version of Excel. Learn more: https://go.microsoft.com/fwlink/?linkid=870924
Comment:
	https://drive.google.com/file/d/1iZqPJY4r0puANVijOh8AHEyw2LBdCo6G/view?usp=drive_link
</t>
      </text>
    </comment>
    <comment authorId="1038" xr:uid="{62a69893-8df4-4ee2-bdaa-e0c97aa940f3}" ref="K544">
      <text>
        <t xml:space="preserve">[Threaded comment]
 Your version of Excel allows you to read this threaded comment; however, any edits to it will get removed if the file is opened in a newer version of Excel. Learn more: https://go.microsoft.com/fwlink/?linkid=870924
Comment:
	https://drive.google.com/file/d/17R0DyAU-5hxm4a3rn06VDv4-X86En_L9/view?usp=drive_link
</t>
      </text>
    </comment>
    <comment authorId="1039" xr:uid="{62ab4559-21e4-4953-a4a6-1802106ac86c}" ref="C68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1040" xr:uid="{62cc8b99-a88d-49d6-a66a-23669741bbb8}" ref="J529">
      <text>
        <t xml:space="preserve">[Threaded comment]
 Your version of Excel allows you to read this threaded comment; however, any edits to it will get removed if the file is opened in a newer version of Excel. Learn more: https://go.microsoft.com/fwlink/?linkid=870924
Comment:
	https://drive.google.com/file/d/1JsK8ugyzLuv57AZyOL-UGux5byzSWXJY/view?usp=drive_link
</t>
      </text>
    </comment>
    <comment authorId="1041" xr:uid="{62ea8905-11bd-42a0-a357-0c68135469e5}" ref="L255">
      <text>
        <t xml:space="preserve">[Threaded comment]
 Your version of Excel allows you to read this threaded comment; however, any edits to it will get removed if the file is opened in a newer version of Excel. Learn more: https://go.microsoft.com/fwlink/?linkid=870924
Comment:
	https://drive.google.com/file/d/15KgN4hGfip7nfpOdzxf2URHbDeSlk8Ik/view?usp=drive_link
</t>
      </text>
    </comment>
    <comment authorId="1042" xr:uid="{63089917-4f80-4d01-a91e-1db31a2a245c}" ref="J658">
      <text>
        <t xml:space="preserve">[Threaded comment]
 Your version of Excel allows you to read this threaded comment; however, any edits to it will get removed if the file is opened in a newer version of Excel. Learn more: https://go.microsoft.com/fwlink/?linkid=870924
Comment:
	https://drive.google.com/file/d/15S_FrA7zCV8-Z_zs6jZPFdObcmbHEIDt/view?usp=drive_link
</t>
      </text>
    </comment>
    <comment authorId="1043" xr:uid="{6309c8bd-f972-40b4-a932-026195e5b345}" ref="C27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https://www.microcenter.com/product/692163/msi-vector-16-hx-ai-a2xwig-050us-16-gaming-laptop-computer-cosmo-gray
</t>
      </text>
    </comment>
    <comment authorId="1044" xr:uid="{6309fe7b-a586-4460-9b6f-08751adf344e}" ref="L62">
      <text>
        <t xml:space="preserve">[Threaded comment]
 Your version of Excel allows you to read this threaded comment; however, any edits to it will get removed if the file is opened in a newer version of Excel. Learn more: https://go.microsoft.com/fwlink/?linkid=870924
Comment:
	https://drive.google.com/file/d/1GAUD1S-JcAWUAVlr72g3V4x_bvhdVPDz/view?usp=drive_link
Reply:
	https://drive.google.com/file/d/1m6H3AX8pavaWBkZoO1jYSo4YJnwERC3F/view?usp=drive_link
</t>
      </text>
    </comment>
    <comment authorId="1045" xr:uid="{630b3c89-f13c-4c68-8bb8-72f799a860c4}" ref="AI732">
      <text>
        <t xml:space="preserve">[Threaded comment]
 Your version of Excel allows you to read this threaded comment; however, any edits to it will get removed if the file is opened in a newer version of Excel. Learn more: https://go.microsoft.com/fwlink/?linkid=870924
Comment:
	https://drive.google.com/file/d/1u6gDqNkkdYXW_Cd2cRGBMtrGZUITiBXK/view?usp=drive_link
</t>
      </text>
    </comment>
    <comment authorId="1046" xr:uid="{63319ee5-9ea2-4800-8706-2e689d01d51a}" ref="L206">
      <text>
        <t xml:space="preserve">[Threaded comment]
 Your version of Excel allows you to read this threaded comment; however, any edits to it will get removed if the file is opened in a newer version of Excel. Learn more: https://go.microsoft.com/fwlink/?linkid=870924
Comment:
	https://drive.google.com/file/d/1CfFphmD-5soO5LwIcINBhL5U7PiiZd7M/view?usp=drive_link
Reply:
	https://drive.google.com/file/d/1AXSiAE4PEmRUVZfg7dL6UHbl2AaNaBtw/view?usp=drive_link
</t>
      </text>
    </comment>
    <comment authorId="1047" xr:uid="{63403e66-9833-469e-a33c-01c59c8d3366}" ref="J757">
      <text>
        <t xml:space="preserve">[Threaded comment]
 Your version of Excel allows you to read this threaded comment; however, any edits to it will get removed if the file is opened in a newer version of Excel. Learn more: https://go.microsoft.com/fwlink/?linkid=870924
Comment:
	https://drive.google.com/file/d/15FUNrbN2aS1rXH0M3JuMAQNYOXcNxfIn/view?usp=drive_link
</t>
      </text>
    </comment>
    <comment authorId="1048" xr:uid="{635cfd28-e666-4c97-a15c-568fea839e20}" ref="AF465">
      <text>
        <t xml:space="preserve">[Threaded comment]
 Your version of Excel allows you to read this threaded comment; however, any edits to it will get removed if the file is opened in a newer version of Excel. Learn more: https://go.microsoft.com/fwlink/?linkid=870924
Comment:
	exceden, fixi, venta final
</t>
      </text>
    </comment>
    <comment authorId="1049" xr:uid="{636078b1-e047-4312-a835-79e1628cb2ee}" ref="C60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https://www.microcenter.com/product/704047/msi-vector-16-hx-ai-a2xwig-420us-16-gaming-laptop-computer-cosmo-gray
</t>
      </text>
    </comment>
    <comment authorId="1050" xr:uid="{6361f10c-30de-4853-96db-8ed96972e808}" ref="J612">
      <text>
        <t xml:space="preserve">[Threaded comment]
 Your version of Excel allows you to read this threaded comment; however, any edits to it will get removed if the file is opened in a newer version of Excel. Learn more: https://go.microsoft.com/fwlink/?linkid=870924
Comment:
	https://drive.google.com/file/d/1DbQO7y9ylAa0zZYbIlxsSeB_mdu-AmuL/view?usp=drive_link
</t>
      </text>
    </comment>
    <comment authorId="1051" xr:uid="{63684d3d-28f6-4387-be07-4d3bf6cebb1f}" ref="K429">
      <text>
        <t xml:space="preserve">[Threaded comment]
 Your version of Excel allows you to read this threaded comment; however, any edits to it will get removed if the file is opened in a newer version of Excel. Learn more: https://go.microsoft.com/fwlink/?linkid=870924
Comment:
	https://drive.google.com/file/d/1vk1fq90a6zoAYumR_3IOfkKB7EzBjLID/view?usp=drive_link
</t>
      </text>
    </comment>
    <comment authorId="1052" xr:uid="{63a768f7-2d2c-4391-93aa-132b51b4c995}" ref="W252">
      <text>
        <t xml:space="preserve">[Threaded comment]
 Your version of Excel allows you to read this threaded comment; however, any edits to it will get removed if the file is opened in a newer version of Excel. Learn more: https://go.microsoft.com/fwlink/?linkid=870924
Comment:
	https://drive.google.com/file/d/1nMqDJ995wnP0ayPjUEu-qqnaPxw7Kt9j/view?usp=drive_link
</t>
      </text>
    </comment>
    <comment authorId="1053" xr:uid="{63b0b3d4-ae58-4888-9982-2404559e5e17}" ref="J397">
      <text>
        <t xml:space="preserve">[Threaded comment]
 Your version of Excel allows you to read this threaded comment; however, any edits to it will get removed if the file is opened in a newer version of Excel. Learn more: https://go.microsoft.com/fwlink/?linkid=870924
Comment:
	https://drive.google.com/file/d/1_-ElWzY2SAzG-gyd6Ev2X4gQjBvyxWMD/view?usp=drive_link
</t>
      </text>
    </comment>
    <comment authorId="1054" xr:uid="{63bcf1dc-0018-4565-b78e-68ce4e226bf7}" ref="AF358">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1055" xr:uid="{63db089c-02ff-43c2-bfed-38e3ae6f4bb5}" ref="L279">
      <text>
        <t xml:space="preserve">[Threaded comment]
 Your version of Excel allows you to read this threaded comment; however, any edits to it will get removed if the file is opened in a newer version of Excel. Learn more: https://go.microsoft.com/fwlink/?linkid=870924
Comment:
	https://drive.google.com/file/d/1IxCLZ0cpBKmaqDlb9pQ0L3EfpecOpuvN/view?usp=drive_link
https://drive.google.com/file/d/1N_2AKl9W-UK_jG-Owgkl4y55STVAhITZ/view?usp=drive_link
https://drive.google.com/file/d/1LKTk6rmWc6lWQF5AjJBGpTrwMe6kWeVO/view?usp=drive_link
</t>
      </text>
    </comment>
    <comment authorId="1056" xr:uid="{63f070cc-0de6-4613-a95b-0679b542b1f6}" ref="W265">
      <text>
        <t xml:space="preserve">[Threaded comment]
 Your version of Excel allows you to read this threaded comment; however, any edits to it will get removed if the file is opened in a newer version of Excel. Learn more: https://go.microsoft.com/fwlink/?linkid=870924
Comment:
	https://drive.google.com/file/d/1HSIX6eU2gUkvej-gXGqRqHg4eEAgwq1u/view?usp=drive_link
</t>
      </text>
    </comment>
    <comment authorId="1057" xr:uid="{63f2449e-0cd1-4907-9869-01c809493c20}" ref="AF233">
      <text>
        <t xml:space="preserve">[Threaded comment]
 Your version of Excel allows you to read this threaded comment; however, any edits to it will get removed if the file is opened in a newer version of Excel. Learn more: https://go.microsoft.com/fwlink/?linkid=870924
Comment:
	Precio
</t>
      </text>
    </comment>
    <comment authorId="1058" xr:uid="{640080a4-0ab2-473a-8bdb-6f0ff789db01}" ref="Q427">
      <text>
        <t xml:space="preserve">[Threaded comment]
 Your version of Excel allows you to read this threaded comment; however, any edits to it will get removed if the file is opened in a newer version of Excel. Learn more: https://go.microsoft.com/fwlink/?linkid=870924
Comment:
	70 soles es de la licencia del cliente ERIC HAMMER
</t>
      </text>
    </comment>
    <comment authorId="1059" xr:uid="{6470d932-42c1-4933-948c-1e68d6200dbb}" ref="J645">
      <text>
        <t xml:space="preserve">[Threaded comment]
 Your version of Excel allows you to read this threaded comment; however, any edits to it will get removed if the file is opened in a newer version of Excel. Learn more: https://go.microsoft.com/fwlink/?linkid=870924
Comment:
	https://drive.google.com/file/d/18rzOCjGAMeIw3qEHpccqZhlLx_qawAPG/view?usp=drive_link
</t>
      </text>
    </comment>
    <comment authorId="1060" xr:uid="{6483150e-f479-460d-8664-47f12d3e4467}" ref="C50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1061" xr:uid="{64899382-e3f7-4527-9a7f-6f2f5d2edd25}" ref="AF432">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062" xr:uid="{64a46af3-c3f6-4a24-b1b7-4c8938dd5767}" ref="J772">
      <text>
        <t xml:space="preserve">[Threaded comment]
 Your version of Excel allows you to read this threaded comment; however, any edits to it will get removed if the file is opened in a newer version of Excel. Learn more: https://go.microsoft.com/fwlink/?linkid=870924
Comment:
	https://drive.google.com/file/d/1z5BT3UHmgMUJw8b-Ju_ukW7sfnqXdMV9/view?usp=drive_link
</t>
      </text>
    </comment>
    <comment authorId="1063" xr:uid="{64c55d3b-18f4-43d7-b396-857b9a17a8b5}" ref="C89">
      <text>
        <t xml:space="preserve">[Threaded comment]
 Your version of Excel allows you to read this threaded comment; however, any edits to it will get removed if the file is opened in a newer version of Excel. Learn more: https://go.microsoft.com/fwlink/?linkid=870924
Comment:
	https://www.ebay.com/itm/127152151087?_skw=scar+5090&amp;itmmeta=01JX3SD8YA0Q47KA4G0CCX6Q0T&amp;hash=item1d9adbda2f:g:ru0AAeSw6ztoPoN-&amp;itmprp=enc%3AAQAKAAAA4FkggFvd1GGDu0w3yXCmi1czyJavO2hzpitPXQkjH0K5LhR8%2B8G4BSMmGLpnvX%2FMwBUbAaMQqEvJFzEKzW6tUxDIdDgA4DNQQuvuY%2FfXy92N8Vd1WI87B6mW6pukl5%2BmYddz2%2Fm2ck7%2BREc42ABEYS9zdNYbS0iC8t4IfV7igepdLr6nMSuOcOr9Bc7YOS5bx4v954%2Fq1wbF2N9yv2lbJhqLDf6zceDrP%2BQPF0D14LRVi9ljBmMSgaVz3dLbu3a0KP3aRkD7KAR1gvEGs%2B0izvM366D%2FyzrwVU9hpooUrxO7%7Ctkp%3ABk9SR6aPtfnoZQ
</t>
      </text>
    </comment>
    <comment authorId="1064" xr:uid="{64d48ed7-9e03-43ed-95fb-429077f97964}" ref="C814">
      <text>
        <t xml:space="preserve">[Threaded comment]
 Your version of Excel allows you to read this threaded comment; however, any edits to it will get removed if the file is opened in a newer version of Excel. Learn more: https://go.microsoft.com/fwlink/?linkid=870924
Comment:
	https://www.ebay.com/itm/226967926710
</t>
      </text>
    </comment>
    <comment authorId="1065" xr:uid="{64db7ae6-5381-45da-8c45-d9dbdeb4bd4f}" ref="J269">
      <text>
        <t xml:space="preserve">[Threaded comment]
 Your version of Excel allows you to read this threaded comment; however, any edits to it will get removed if the file is opened in a newer version of Excel. Learn more: https://go.microsoft.com/fwlink/?linkid=870924
Comment:
	https://drive.google.com/file/d/1uOA_EItIGxUKnY0iDfQXRezzIsGQbP04/view?usp=drive_link
</t>
      </text>
    </comment>
    <comment authorId="1066" xr:uid="{64e25507-cb60-44d6-86c1-82953d33d604}" ref="T703">
      <text>
        <t xml:space="preserve">[Threaded comment]
 Your version of Excel allows you to read this threaded comment; however, any edits to it will get removed if the file is opened in a newer version of Excel. Learn more: https://go.microsoft.com/fwlink/?linkid=870924
Comment:
	apertura + configuracion de fila 726
</t>
      </text>
    </comment>
    <comment authorId="1067" xr:uid="{64edd04a-3039-49ba-8a95-229b1fcafae1}" ref="C307">
      <text>
        <t xml:space="preserve">[Threaded comment]
 Your version of Excel allows you to read this threaded comment; however, any edits to it will get removed if the file is opened in a newer version of Excel. Learn more: https://go.microsoft.com/fwlink/?linkid=870924
Comment:
	https://www.bestbuy.com/product/lenovo-legion-pro-5-16-2-5k-gaming-laptop-amd-ryzen-9-8945hx-nvidia-geforce-rtx-5060-16gb-memory-1tb-ssd-eclipse-black/JJGSH8VF2H/sku/6619247
</t>
      </text>
    </comment>
    <comment authorId="1068" xr:uid="{64f00cea-04ba-4394-841e-bb63b1858733}" ref="J478">
      <text>
        <t xml:space="preserve">[Threaded comment]
 Your version of Excel allows you to read this threaded comment; however, any edits to it will get removed if the file is opened in a newer version of Excel. Learn more: https://go.microsoft.com/fwlink/?linkid=870924
Comment:
	https://drive.google.com/file/d/1O02i-ZtfzhZf7L2VxkiDpRLCI9gep95K/view?usp=drive_link
</t>
      </text>
    </comment>
    <comment authorId="1069" xr:uid="{64f8cf80-ba77-41bb-88b5-6459e739debf}" ref="C289">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https://www.bhphotovideo.com/c/product/1875948-REG/lenovo_83f5001bus_16_legion_pro_7i.html/specs
</t>
      </text>
    </comment>
    <comment authorId="1070" xr:uid="{64f9829d-db4e-40c9-8b01-3dc009ce2105}" ref="C55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1071" xr:uid="{64fd3f21-c218-4fca-8a68-74052614433e}" ref="AF443">
      <text>
        <t xml:space="preserve">[Threaded comment]
 Your version of Excel allows you to read this threaded comment; however, any edits to it will get removed if the file is opened in a newer version of Excel. Learn more: https://go.microsoft.com/fwlink/?linkid=870924
Comment:
	VENTAL FINAL, EXCEDENTE, FIXIT
</t>
      </text>
    </comment>
    <comment authorId="1072" xr:uid="{650e3668-42c3-4089-9ce0-3e6869de770f}" ref="N394">
      <text>
        <t xml:space="preserve">[Threaded comment]
 Your version of Excel allows you to read this threaded comment; however, any edits to it will get removed if the file is opened in a newer version of Excel. Learn more: https://go.microsoft.com/fwlink/?linkid=870924
Comment:
	+15 de envio
</t>
      </text>
    </comment>
    <comment authorId="1073" xr:uid="{65193ddd-ca0c-483f-9a7c-a38282e7eb1b}" ref="J796">
      <text>
        <t xml:space="preserve">[Threaded comment]
 Your version of Excel allows you to read this threaded comment; however, any edits to it will get removed if the file is opened in a newer version of Excel. Learn more: https://go.microsoft.com/fwlink/?linkid=870924
Comment:
	https://drive.google.com/file/d/1U_QaR5NgvPXPB-y1z89C6i-ubRTMy-NU/view?usp=drive_link
</t>
      </text>
    </comment>
    <comment authorId="1074" xr:uid="{65198d98-a7c9-493f-a42c-95cd8e371b99}" ref="W248">
      <text>
        <t xml:space="preserve">[Threaded comment]
 Your version of Excel allows you to read this threaded comment; however, any edits to it will get removed if the file is opened in a newer version of Excel. Learn more: https://go.microsoft.com/fwlink/?linkid=870924
Comment:
	https://drive.google.com/file/d/1kzfevqeWW_lUAwA_yjXaoKLed21Wt_Au/view?usp=drive_link
</t>
      </text>
    </comment>
    <comment authorId="1075" xr:uid="{65327dfd-d7d4-4e5d-8e60-ca65f7fe1150}" ref="AF64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076" xr:uid="{6549029f-59b8-480f-a4ee-bbf4a49cc5b3}" ref="J306">
      <text>
        <t xml:space="preserve">[Threaded comment]
 Your version of Excel allows you to read this threaded comment; however, any edits to it will get removed if the file is opened in a newer version of Excel. Learn more: https://go.microsoft.com/fwlink/?linkid=870924
Comment:
	https://drive.google.com/file/d/1W6ziQlhZD0wzt_tBGz_2AEv1x-cgyqyQ/view?usp=drive_link
</t>
      </text>
    </comment>
    <comment authorId="1077" xr:uid="{65633110-1bb5-4f5d-ade7-3313c4b8f7f4}" ref="W365">
      <text>
        <t xml:space="preserve">[Threaded comment]
 Your version of Excel allows you to read this threaded comment; however, any edits to it will get removed if the file is opened in a newer version of Excel. Learn more: https://go.microsoft.com/fwlink/?linkid=870924
Comment:
	https://drive.google.com/file/d/1U1qMGvpCHsLtHFEdYBvTM9PpeF09K8iW/view?usp=drive_link
</t>
      </text>
    </comment>
    <comment authorId="1078" xr:uid="{6564bc41-1ad0-46fc-a183-598c73b8abb2}" ref="J148">
      <text>
        <t xml:space="preserve">[Threaded comment]
 Your version of Excel allows you to read this threaded comment; however, any edits to it will get removed if the file is opened in a newer version of Excel. Learn more: https://go.microsoft.com/fwlink/?linkid=870924
Comment:
	https://drive.google.com/file/d/1ZYVQdkLCGqY3aMQqsVybv8ofXPW4EqsE/view?usp=drive_link
</t>
      </text>
    </comment>
    <comment authorId="1079" xr:uid="{657dbcfa-3406-4411-a328-b25dbbf9604d}" ref="F405">
      <text>
        <t xml:space="preserve">[Threaded comment]
 Your version of Excel allows you to read this threaded comment; however, any edits to it will get removed if the file is opened in a newer version of Excel. Learn more: https://go.microsoft.com/fwlink/?linkid=870924
Comment:
	procesando la orden, mañana se tiene que revisar
Reply:
	Sigue procesando la orden
</t>
      </text>
    </comment>
    <comment authorId="1080" xr:uid="{657ebe34-bf94-4171-b7da-987963c6f72a}" ref="C342">
      <text>
        <t xml:space="preserve">[Threaded comment]
 Your version of Excel allows you to read this threaded comment; however, any edits to it will get removed if the file is opened in a newer version of Excel. Learn more: https://go.microsoft.com/fwlink/?linkid=870924
Comment:
	https://www.ebay.com/itm/226967926710?_skw=laptop+gaming&amp;itmmeta=01KB0DCE7J1S1W83RT3BAF9F6N&amp;hash=item34d857b7b6:g:PPQAAeSwGjtpJMix
</t>
      </text>
    </comment>
    <comment authorId="1081" xr:uid="{65824f0f-06a4-4c7c-aeda-b08e6df0b3f3}" ref="L145">
      <text>
        <t xml:space="preserve">[Threaded comment]
 Your version of Excel allows you to read this threaded comment; however, any edits to it will get removed if the file is opened in a newer version of Excel. Learn more: https://go.microsoft.com/fwlink/?linkid=870924
Comment:
	https://drive.google.com/file/d/1IFDVikgw26U44i_qokQmPXClXIUNISYe/view?usp=drive_link
</t>
      </text>
    </comment>
    <comment authorId="1082" xr:uid="{6585a731-b350-4961-978e-960145ab20a9}" ref="W308">
      <text>
        <t xml:space="preserve">[Threaded comment]
 Your version of Excel allows you to read this threaded comment; however, any edits to it will get removed if the file is opened in a newer version of Excel. Learn more: https://go.microsoft.com/fwlink/?linkid=870924
Comment:
	https://drive.google.com/file/d/14PH1uCbS7GWEJywOmdwszcQzP6kFw46V/view?usp=drive_link
</t>
      </text>
    </comment>
    <comment authorId="1083" xr:uid="{658aa5fe-b4e6-4be4-8715-f997037f49ed}" ref="J355">
      <text>
        <t xml:space="preserve">[Threaded comment]
 Your version of Excel allows you to read this threaded comment; however, any edits to it will get removed if the file is opened in a newer version of Excel. Learn more: https://go.microsoft.com/fwlink/?linkid=870924
Comment:
	https://drive.google.com/file/d/1wz2oE3sIlxZA5mCyT3kWWOSUXfFohJ9A/view?usp=drive_link
Reply:
	https://drive.google.com/file/d/1F7aOPbQDkij0pNPas5ZyG1q1LUhumMO4/view?usp=drive_link
Reply:
	https://drive.google.com/file/d/1cYLhDcFPwIFIPTwEuv2FTAMs0BbfZQhH/view?usp=drive_link
Reply:
	https://drive.google.com/file/d/1KKYBWBdq4XH1p_aVptiCd4sf5PfaDc73/view?usp=drive_link
Reply:
	https://drive.google.com/file/d/1qjdM3ZzMG6W_PlpafAt7qM3f8pYAQUZl/view?usp=drive_link
</t>
      </text>
    </comment>
    <comment authorId="1084" xr:uid="{65980463-9eac-4b56-a3f7-46a42dae5721}" ref="J317">
      <text>
        <t xml:space="preserve">[Threaded comment]
 Your version of Excel allows you to read this threaded comment; however, any edits to it will get removed if the file is opened in a newer version of Excel. Learn more: https://go.microsoft.com/fwlink/?linkid=870924
Comment:
	https://drive.google.com/file/d/1Z7YS21SZgOsj6PsM5GfFvC_W0_Tg2Cmy/view?usp=drive_link
</t>
      </text>
    </comment>
    <comment authorId="1085" xr:uid="{659b0dd6-2d79-48f9-9efc-6937280096da}" ref="J719">
      <text>
        <t xml:space="preserve">[Threaded comment]
 Your version of Excel allows you to read this threaded comment; however, any edits to it will get removed if the file is opened in a newer version of Excel. Learn more: https://go.microsoft.com/fwlink/?linkid=870924
Comment:
	https://drive.google.com/file/d/14CA1YjbvbgMFN6874CCdr3Mvc58qNgwB/view?usp=drive_link
</t>
      </text>
    </comment>
    <comment authorId="1086" xr:uid="{65b0ca49-b2a0-4796-9208-27e0278e335d}" ref="J228">
      <text>
        <t xml:space="preserve">[Threaded comment]
 Your version of Excel allows you to read this threaded comment; however, any edits to it will get removed if the file is opened in a newer version of Excel. Learn more: https://go.microsoft.com/fwlink/?linkid=870924
Comment:
	https://drive.google.com/file/d/1ru4Cyyq8jPivdUXATKu-5A3ghsqFQDSn/view?usp=drive_link
</t>
      </text>
    </comment>
    <comment authorId="1087" xr:uid="{6602f0b1-1c59-4595-b57f-f381448a2302}" ref="F35">
      <text>
        <t xml:space="preserve">[Threaded comment]
 Your version of Excel allows you to read this threaded comment; however, any edits to it will get removed if the file is opened in a newer version of Excel. Learn more: https://go.microsoft.com/fwlink/?linkid=870924
Comment:
	LE DI LA BOLETA A JOSSY
</t>
      </text>
    </comment>
    <comment authorId="1088" xr:uid="{660bc1c7-d84d-4d74-a0af-a6fff1199158}" ref="K737">
      <text>
        <t xml:space="preserve">[Threaded comment]
 Your version of Excel allows you to read this threaded comment; however, any edits to it will get removed if the file is opened in a newer version of Excel. Learn more: https://go.microsoft.com/fwlink/?linkid=870924
Comment:
	https://drive.google.com/file/d/1vylfmT9RLX94BjHUAJqdYEPHfuPL2duW/view?usp=drive_link
</t>
      </text>
    </comment>
    <comment authorId="1089" xr:uid="{660f8d77-1747-477e-a140-f5f4b0783122}" ref="M427">
      <text>
        <t xml:space="preserve">[Threaded comment]
 Your version of Excel allows you to read this threaded comment; however, any edits to it will get removed if the file is opened in a newer version of Excel. Learn more: https://go.microsoft.com/fwlink/?linkid=870924
Comment:
	Le puse 6253, así aparece en el sheet de Ventas seguimiento Diciembre
</t>
      </text>
    </comment>
    <comment authorId="1090" xr:uid="{661977d0-858d-46ee-a6f4-979c969f78c5}" ref="L183">
      <text>
        <t xml:space="preserve">[Threaded comment]
 Your version of Excel allows you to read this threaded comment; however, any edits to it will get removed if the file is opened in a newer version of Excel. Learn more: https://go.microsoft.com/fwlink/?linkid=870924
Comment:
	https://drive.google.com/file/d/14DCiOpeNIpbULM-NIjFo5_SCk4xIrouC/view?usp=drive_link
</t>
      </text>
    </comment>
    <comment authorId="1091" xr:uid="{661ee009-c5d4-4274-99d6-cbd74360fd5c}" ref="J354">
      <text>
        <t xml:space="preserve">[Threaded comment]
 Your version of Excel allows you to read this threaded comment; however, any edits to it will get removed if the file is opened in a newer version of Excel. Learn more: https://go.microsoft.com/fwlink/?linkid=870924
Comment:
	https://drive.google.com/file/d/1PpBQVlzVRxz-JsETaIKoHHXIB5vmKrkz/view?usp=drive_link
</t>
      </text>
    </comment>
    <comment authorId="1092" xr:uid="{665804af-4a1c-4632-9a40-12eb42286c0c}" ref="L269">
      <text>
        <t xml:space="preserve">[Threaded comment]
 Your version of Excel allows you to read this threaded comment; however, any edits to it will get removed if the file is opened in a newer version of Excel. Learn more: https://go.microsoft.com/fwlink/?linkid=870924
Comment:
	https://drive.google.com/file/d/1cxRjjJWZ_RS_zZX06YchMgWLOAhrnI3Q/view?usp=drive_link
</t>
      </text>
    </comment>
    <comment authorId="1093" xr:uid="{665e25ae-8fe1-4af9-9ba5-4c9612430fce}" ref="K504">
      <text>
        <t xml:space="preserve">[Threaded comment]
 Your version of Excel allows you to read this threaded comment; however, any edits to it will get removed if the file is opened in a newer version of Excel. Learn more: https://go.microsoft.com/fwlink/?linkid=870924
Comment:
	https://drive.google.com/file/d/1g1szAyTo4D_gjDqH11mqBzexa3WgZ8vc/view?usp=drive_link
</t>
      </text>
    </comment>
    <comment authorId="1094" xr:uid="{666b563c-6a34-4189-9676-e75057ec3c8a}" ref="W283">
      <text>
        <t xml:space="preserve">[Threaded comment]
 Your version of Excel allows you to read this threaded comment; however, any edits to it will get removed if the file is opened in a newer version of Excel. Learn more: https://go.microsoft.com/fwlink/?linkid=870924
Comment:
	https://drive.google.com/file/d/1Cl2-X7P4_Xi0ACFD0GroH-4wDmj1GISt/view?usp=drive_link
</t>
      </text>
    </comment>
    <comment authorId="1095" xr:uid="{6674c591-302c-489b-b7f9-f8079977682e}" ref="AF770">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1096" xr:uid="{66877c61-4896-466e-8417-348bb4833dac}" ref="C268">
      <text>
        <t xml:space="preserve">[Threaded comment]
 Your version of Excel allows you to read this threaded comment; however, any edits to it will get removed if the file is opened in a newer version of Excel. Learn more: https://go.microsoft.com/fwlink/?linkid=870924
Comment:
	https://www.dell.com/en-us/shop/dell-laptops/alienware-16x-aurora-gaming-laptop/spd/alienware-aurora-ac16251-gaming-laptop/useac16251hbtshqmy
</t>
      </text>
    </comment>
    <comment authorId="1097" xr:uid="{66a60304-b02c-43e8-b9f8-095d00a4eca3}" ref="AF785">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1098" xr:uid="{66e46336-bb6a-49ff-b874-d43467bab41e}" ref="J280">
      <text>
        <t xml:space="preserve">[Threaded comment]
 Your version of Excel allows you to read this threaded comment; however, any edits to it will get removed if the file is opened in a newer version of Excel. Learn more: https://go.microsoft.com/fwlink/?linkid=870924
Comment:
	https://drive.google.com/file/d/1xbzSbrf9qEUlxdWyXLjOTPLK0JWszbUK/view?usp=drive_link
</t>
      </text>
    </comment>
    <comment authorId="1099" xr:uid="{66e5404f-6516-4d1e-bfad-57fcdaeda80b}" ref="J644">
      <text>
        <t xml:space="preserve">[Threaded comment]
 Your version of Excel allows you to read this threaded comment; however, any edits to it will get removed if the file is opened in a newer version of Excel. Learn more: https://go.microsoft.com/fwlink/?linkid=870924
Comment:
	https://drive.google.com/file/d/1hEnx0VU98rPc-EFfZ1wyKsiO7_IDMBei/view?usp=drive_link
</t>
      </text>
    </comment>
    <comment authorId="1100" xr:uid="{66e6e584-993b-4f96-abdd-993d6d608411}" ref="J750">
      <text>
        <t xml:space="preserve">[Threaded comment]
 Your version of Excel allows you to read this threaded comment; however, any edits to it will get removed if the file is opened in a newer version of Excel. Learn more: https://go.microsoft.com/fwlink/?linkid=870924
Comment:
	https://drive.google.com/file/d/1VvAqimM_s7kdS3wmRlW4GZdDCFy7ltDh/view?usp=drive_link
</t>
      </text>
    </comment>
    <comment authorId="1101" xr:uid="{66f167d7-3028-497c-9dac-982ffe2d1ce2}" ref="L283">
      <text>
        <t xml:space="preserve">[Threaded comment]
 Your version of Excel allows you to read this threaded comment; however, any edits to it will get removed if the file is opened in a newer version of Excel. Learn more: https://go.microsoft.com/fwlink/?linkid=870924
Comment:
	https://drive.google.com/file/d/1MOSxokXKeTtOwqa14dzgWo9qQ3fQPQ8H/view?usp=drive_link
</t>
      </text>
    </comment>
    <comment authorId="1102" xr:uid="{67075927-fedf-41c4-b379-3ab209520019}" ref="K708">
      <text>
        <t xml:space="preserve">[Threaded comment]
 Your version of Excel allows you to read this threaded comment; however, any edits to it will get removed if the file is opened in a newer version of Excel. Learn more: https://go.microsoft.com/fwlink/?linkid=870924
Comment:
	https://drive.google.com/file/d/1BXdeZbld2nAUIGYlU0Q9iPOWXaJJ6Ikb/view?usp=drive_link
Reply:
	https://drive.google.com/file/d/1g7Feyqe9dxO5abf6HC0SPsd1pwLJ1GlS/view?usp=drive_link
Reply:
	se realizo devolucion de 72 soles
</t>
      </text>
    </comment>
    <comment authorId="1103" xr:uid="{670e2665-c04f-4ace-9cbc-46cd7c604506}" ref="W202">
      <text>
        <t xml:space="preserve">[Threaded comment]
 Your version of Excel allows you to read this threaded comment; however, any edits to it will get removed if the file is opened in a newer version of Excel. Learn more: https://go.microsoft.com/fwlink/?linkid=870924
Comment:
	https://drive.google.com/file/d/19z2dRGDspS1GYiShC-K6KGAqAHQn0PPt/view?usp=drive_link
</t>
      </text>
    </comment>
    <comment authorId="1104" xr:uid="{67360f19-10e5-4657-884c-fb77c669c349}" ref="J95">
      <text>
        <t xml:space="preserve">[Threaded comment]
 Your version of Excel allows you to read this threaded comment; however, any edits to it will get removed if the file is opened in a newer version of Excel. Learn more: https://go.microsoft.com/fwlink/?linkid=870924
Comment:
	https://drive.google.com/file/d/1drYWqj7w_4ZyWPTukx8AuC6sdR5CA9to/view?usp=drive_link
</t>
      </text>
    </comment>
    <comment authorId="1105" xr:uid="{6751868e-5894-4d05-8f18-3787b6bf66f3}" ref="K347">
      <text>
        <t xml:space="preserve">[Threaded comment]
 Your version of Excel allows you to read this threaded comment; however, any edits to it will get removed if the file is opened in a newer version of Excel. Learn more: https://go.microsoft.com/fwlink/?linkid=870924
Comment:
	https://drive.google.com/file/d/1flyGXscrVNHvd4nPD9OCR5laX27vG0Wq/view?usp=drive_link
Reply:
	https://drive.google.com/file/d/1QsUPzT4xLV2gaWuvWhVYvq4uo2XXrLjf/view?usp=drive_link
</t>
      </text>
    </comment>
    <comment authorId="1106" xr:uid="{6763338d-f111-4818-8972-84dd0d373ffc}" ref="M9">
      <text>
        <t xml:space="preserve">[Threaded comment]
 Your version of Excel allows you to read this threaded comment; however, any edits to it will get removed if the file is opened in a newer version of Excel. Learn more: https://go.microsoft.com/fwlink/?linkid=870924
Comment:
	hay 2 memorias ram que no sé dónde agregar, pero se descuenta de aquí
</t>
      </text>
    </comment>
    <comment authorId="1107" xr:uid="{676e1bc4-41e5-43c5-b905-968eb0816657}" ref="J411">
      <text>
        <t xml:space="preserve">[Threaded comment]
 Your version of Excel allows you to read this threaded comment; however, any edits to it will get removed if the file is opened in a newer version of Excel. Learn more: https://go.microsoft.com/fwlink/?linkid=870924
Comment:
	https://drive.google.com/file/d/1CBI5eYTUANwML3yZoAxLjCHv-7_LgW0M/view?usp=drive_link
</t>
      </text>
    </comment>
    <comment authorId="1108" xr:uid="{6775b43d-2dff-414e-8939-06d6216a9383}" ref="L41">
      <text>
        <t xml:space="preserve">[Threaded comment]
 Your version of Excel allows you to read this threaded comment; however, any edits to it will get removed if the file is opened in a newer version of Excel. Learn more: https://go.microsoft.com/fwlink/?linkid=870924
Comment:
	https://drive.google.com/file/d/1E8w6THKzYcvwVd8g-hPKjqbzYCSNijO-/view?usp=drive_link
</t>
      </text>
    </comment>
    <comment authorId="1109" xr:uid="{677619e2-5af6-4d03-a47f-5c4780a36602}" ref="W160">
      <text>
        <t xml:space="preserve">[Threaded comment]
 Your version of Excel allows you to read this threaded comment; however, any edits to it will get removed if the file is opened in a newer version of Excel. Learn more: https://go.microsoft.com/fwlink/?linkid=870924
Comment:
	https://drive.google.com/file/d/1aaqmWXidiVqIraHN2KJZORiMsWHqbnmF/view?usp=drive_link
</t>
      </text>
    </comment>
    <comment authorId="1110" xr:uid="{67857fa0-3ffc-4fdd-9d6d-15542e56c1d7}" ref="L179">
      <text>
        <t xml:space="preserve">[Threaded comment]
 Your version of Excel allows you to read this threaded comment; however, any edits to it will get removed if the file is opened in a newer version of Excel. Learn more: https://go.microsoft.com/fwlink/?linkid=870924
Comment:
	https://drive.google.com/file/d/1HU0OHSI-ZQ7whtWtrKacKp9nXthVPIpM/view?usp=drive_link
</t>
      </text>
    </comment>
    <comment authorId="1111" xr:uid="{67aa7c9d-bee1-4b80-a973-7356d2d5c33c}" ref="J423">
      <text>
        <t xml:space="preserve">[Threaded comment]
 Your version of Excel allows you to read this threaded comment; however, any edits to it will get removed if the file is opened in a newer version of Excel. Learn more: https://go.microsoft.com/fwlink/?linkid=870924
Comment:
	https://drive.google.com/file/d/1W2J34fKTWcxvAl3Ms4-IHU01LiqZjbBZ/view?usp=drive_link
</t>
      </text>
    </comment>
    <comment authorId="1112" xr:uid="{67ded018-88fa-4ede-bcf0-e3b0eb031778}" ref="L263">
      <text>
        <t xml:space="preserve">[Threaded comment]
 Your version of Excel allows you to read this threaded comment; however, any edits to it will get removed if the file is opened in a newer version of Excel. Learn more: https://go.microsoft.com/fwlink/?linkid=870924
Comment:
	https://drive.google.com/file/d/1kbGvg8WUPMCNg44wJ9cySEcaGvpb7IfN/view?usp=drive_link
</t>
      </text>
    </comment>
    <comment authorId="1113" xr:uid="{67e1059b-02d1-499e-997e-e5b63feef5ae}" ref="J608">
      <text>
        <t xml:space="preserve">[Threaded comment]
 Your version of Excel allows you to read this threaded comment; however, any edits to it will get removed if the file is opened in a newer version of Excel. Learn more: https://go.microsoft.com/fwlink/?linkid=870924
Comment:
	https://drive.google.com/file/d/1W3PMApG11HAu78rxAkQ4uV4XVYPNEUdY/view?usp=drive_link
Reply:
	https://drive.google.com/file/d/1JeRFK0YP7zA5ah6YRF8rg8nE3wjRG32L/view?usp=drive_link
</t>
      </text>
    </comment>
    <comment authorId="1114" xr:uid="{67e5e701-4b67-4d41-981c-d781d8398af7}" ref="J497">
      <text>
        <t xml:space="preserve">[Threaded comment]
 Your version of Excel allows you to read this threaded comment; however, any edits to it will get removed if the file is opened in a newer version of Excel. Learn more: https://go.microsoft.com/fwlink/?linkid=870924
Comment:
	https://drive.google.com/file/d/1PkO8NobZzZRhSDZ8amnwMHCgJ-BdNTb3/view?usp=drive_link
</t>
      </text>
    </comment>
    <comment authorId="1115" xr:uid="{67f01871-50bb-4c62-84b9-ee6793b12062}" ref="AF495">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1116" xr:uid="{67fbbf64-0c8f-4dd9-b7a4-4cb8cde577fd}" ref="AF536">
      <text>
        <t xml:space="preserve">[Threaded comment]
 Your version of Excel allows you to read this threaded comment; however, any edits to it will get removed if the file is opened in a newer version of Excel. Learn more: https://go.microsoft.com/fwlink/?linkid=870924
Comment:
	vental final, fixit, excedentes
</t>
      </text>
    </comment>
    <comment authorId="1117" xr:uid="{6811f773-a15f-4f9d-9a15-45abe635eea9}" ref="AF494">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1118" xr:uid="{683470cb-de94-40a5-b996-426ccc018e63}" ref="L251">
      <text>
        <t xml:space="preserve">[Threaded comment]
 Your version of Excel allows you to read this threaded comment; however, any edits to it will get removed if the file is opened in a newer version of Excel. Learn more: https://go.microsoft.com/fwlink/?linkid=870924
Comment:
	https://drive.google.com/file/d/1MJ2CjFirae8NcbosybVfmCj1JVAyWQc5/view?usp=drive_link
Reply:
	https://drive.google.com/file/d/1IqpA8GPLtrH7KWMbq7rzU0O5_dYw2hjS/view?usp=drive_link
</t>
      </text>
    </comment>
    <comment authorId="1119" xr:uid="{68353871-0833-420c-862c-aee481aaee86}" ref="AI730">
      <text>
        <t xml:space="preserve">[Threaded comment]
 Your version of Excel allows you to read this threaded comment; however, any edits to it will get removed if the file is opened in a newer version of Excel. Learn more: https://go.microsoft.com/fwlink/?linkid=870924
Comment:
	https://drive.google.com/file/d/1ucg6O5vTV1eB-HXwjgRWuh72803nyNGr/view?usp=drive_link
</t>
      </text>
    </comment>
    <comment authorId="1120" xr:uid="{68579d90-0cb1-4314-b9b5-d7c17666f812}" ref="L112">
      <text>
        <t xml:space="preserve">[Threaded comment]
 Your version of Excel allows you to read this threaded comment; however, any edits to it will get removed if the file is opened in a newer version of Excel. Learn more: https://go.microsoft.com/fwlink/?linkid=870924
Comment:
	https://drive.google.com/file/d/1jZppwMdkBibf4CSb-46H6j6iHoB6syA7/view?usp=drive_link
</t>
      </text>
    </comment>
    <comment authorId="1121" xr:uid="{68755b64-c2f2-484d-bcd4-9d4cf2dde6c1}" ref="K331">
      <text>
        <t xml:space="preserve">[Threaded comment]
 Your version of Excel allows you to read this threaded comment; however, any edits to it will get removed if the file is opened in a newer version of Excel. Learn more: https://go.microsoft.com/fwlink/?linkid=870924
Comment:
	https://drive.google.com/file/d/18rtMWa_CGsNyDHJP0N4Cj1S2FLiCyK0q/view?usp=drive_link
</t>
      </text>
    </comment>
    <comment authorId="1122" xr:uid="{6877e3ed-3611-49e2-9ec6-37103b4456e7}" ref="J58">
      <text>
        <t xml:space="preserve">[Threaded comment]
 Your version of Excel allows you to read this threaded comment; however, any edits to it will get removed if the file is opened in a newer version of Excel. Learn more: https://go.microsoft.com/fwlink/?linkid=870924
Comment:
	https://drive.google.com/file/d/1IEiFupqevOorDEl4niIw7m92cGR5IHp9/view?usp=drive_link
</t>
      </text>
    </comment>
    <comment authorId="1123" xr:uid="{687851fa-e389-42d1-9cf3-95a0779814aa}" ref="C11">
      <text>
        <t xml:space="preserve">[Threaded comment]
 Your version of Excel allows you to read this threaded comment; however, any edits to it will get removed if the file is opened in a newer version of Excel. Learn more: https://go.microsoft.com/fwlink/?linkid=870924
Comment:
	CAMBIO DE LAPTOP
</t>
      </text>
    </comment>
    <comment authorId="1124" xr:uid="{68b87920-a577-4b2e-918d-4753c26144cb}" ref="J708">
      <text>
        <t xml:space="preserve">[Threaded comment]
 Your version of Excel allows you to read this threaded comment; however, any edits to it will get removed if the file is opened in a newer version of Excel. Learn more: https://go.microsoft.com/fwlink/?linkid=870924
Comment:
	https://drive.google.com/file/d/1C01aQPKa41OUTtiwl5cMa7pK2DvN_oFP/view?usp=drive_link
</t>
      </text>
    </comment>
    <comment authorId="1125" xr:uid="{68f3af38-90bb-420d-84af-46a3a9325546}" ref="C8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https://www.microcenter.com/product/692120/msi-raider-18-hx-ai-a2xwig-418us-18-gaming-laptop-computer-core-black
</t>
      </text>
    </comment>
    <comment authorId="1126" xr:uid="{690161eb-affd-4dcc-8ecb-5bb6fd13334b}" ref="C236">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https://www.bestbuy.com/product/asus-rog-strix-g16-16-fhd-165hz-gaming-laptop-intel-core-i9-hx-16gb-ram-nvidia-geforce-rtx-5060-1tb-ssd-eclipse-gray/JJGGLHJPZS
</t>
      </text>
    </comment>
    <comment authorId="1127" xr:uid="{690a0607-5309-4f08-b69b-decf8735666e}" ref="C41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128" xr:uid="{6944ec88-fbcf-4663-bd92-19c759ac3456}" ref="D291">
      <text>
        <t xml:space="preserve">[Threaded comment]
 Your version of Excel allows you to read this threaded comment; however, any edits to it will get removed if the file is opened in a newer version of Excel. Learn more: https://go.microsoft.com/fwlink/?linkid=870924
Comment:
	✅NOMBRES COMPLETOS O RAZÓN SOCIAL: ALVARO JOSEPH VILLEGAS AULLA
✅DNI O RUC: 72894734
✅NÚMERO DE CELULAR: 906994688
✅CORREO ELECTRÓNICO: 
alvarojosephvillegas@gmail.com
</t>
      </text>
    </comment>
    <comment authorId="1129" xr:uid="{697151ea-01a4-49c3-9f00-7e25aab58c41}" ref="AF469">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1130" xr:uid="{698a6fec-d86e-467b-b7d5-37a58cae10cb}" ref="AF477">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131" xr:uid="{69949b73-6d21-4add-a7ef-e45554b27db8}" ref="L212">
      <text>
        <t xml:space="preserve">[Threaded comment]
 Your version of Excel allows you to read this threaded comment; however, any edits to it will get removed if the file is opened in a newer version of Excel. Learn more: https://go.microsoft.com/fwlink/?linkid=870924
Comment:
	https://drive.google.com/file/d/1TQQC2HG71uARy5TOsYp2fDQdo70Mzndq/view?usp=drive_link
</t>
      </text>
    </comment>
    <comment authorId="1132" xr:uid="{699d8de0-5a5f-486d-bb1e-5205929b9cce}" ref="K586">
      <text>
        <t xml:space="preserve">[Threaded comment]
 Your version of Excel allows you to read this threaded comment; however, any edits to it will get removed if the file is opened in a newer version of Excel. Learn more: https://go.microsoft.com/fwlink/?linkid=870924
Comment:
	https://drive.google.com/file/d/1E5Cu_Cu9EvU13UHDOgVVBYYgsMSciBGO/view?usp=drive_link
</t>
      </text>
    </comment>
    <comment authorId="1133" xr:uid="{699e90e6-33da-4fa9-b98c-83767f5165c5}" ref="C71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1134" xr:uid="{69ad8135-92cc-45c9-ac73-62e233119cab}" ref="K294">
      <text>
        <t xml:space="preserve">[Threaded comment]
 Your version of Excel allows you to read this threaded comment; however, any edits to it will get removed if the file is opened in a newer version of Excel. Learn more: https://go.microsoft.com/fwlink/?linkid=870924
Comment:
	https://drive.google.com/file/d/140nFV_dIk26IGP4C9eiAgFSS_SWJNA4D/view?usp=drive_link
</t>
      </text>
    </comment>
    <comment authorId="1135" xr:uid="{69ef0393-45fa-4728-8815-d2eb92cc498c}" ref="J350">
      <text>
        <t xml:space="preserve">[Threaded comment]
 Your version of Excel allows you to read this threaded comment; however, any edits to it will get removed if the file is opened in a newer version of Excel. Learn more: https://go.microsoft.com/fwlink/?linkid=870924
Comment:
	https://drive.google.com/file/d/1GyzrxdzvpAEi0QnYTLD1Zey523Se9Vim/view?usp=drive_link
Reply:
	https://drive.google.com/file/d/1fRavfwiQwg7iLWvw3JZnDNWCGvY2n_ul/view?usp=drive_link
</t>
      </text>
    </comment>
    <comment authorId="1136" xr:uid="{6a1c90f5-9f91-4e51-8821-ee1aa85adede}" ref="K532">
      <text>
        <t xml:space="preserve">[Threaded comment]
 Your version of Excel allows you to read this threaded comment; however, any edits to it will get removed if the file is opened in a newer version of Excel. Learn more: https://go.microsoft.com/fwlink/?linkid=870924
Comment:
	https://drive.google.com/file/d/1FwjAh63Tc7ymLG28cC0vVLe7XIlxgq3B/view?usp=drive_link
</t>
      </text>
    </comment>
    <comment authorId="1137" xr:uid="{6a1f49e2-8d90-46a0-a4dc-1902c10233cd}" ref="J520">
      <text>
        <t xml:space="preserve">[Threaded comment]
 Your version of Excel allows you to read this threaded comment; however, any edits to it will get removed if the file is opened in a newer version of Excel. Learn more: https://go.microsoft.com/fwlink/?linkid=870924
Comment:
	https://drive.google.com/file/d/1ebaPGT3pEYOqbUU8a-uv3utH8rn0BNVL/view?usp=drive_link
</t>
      </text>
    </comment>
    <comment authorId="1138" xr:uid="{6a21ced1-7b29-4632-9981-35a8f0d48aa0}" ref="K639">
      <text>
        <t xml:space="preserve">[Threaded comment]
 Your version of Excel allows you to read this threaded comment; however, any edits to it will get removed if the file is opened in a newer version of Excel. Learn more: https://go.microsoft.com/fwlink/?linkid=870924
Comment:
	https://drive.google.com/file/d/1fAoB0_Xl0xcfp0cW1ld3g0cnaNi_KysA/view?usp=drive_link
</t>
      </text>
    </comment>
    <comment authorId="1139" xr:uid="{6a33e23e-e8fc-48b4-a617-d3bcf1fe8132}" ref="C6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140" xr:uid="{6a46f720-3036-486a-8ec6-3ddc9c15d222}" ref="J315">
      <text>
        <t xml:space="preserve">[Threaded comment]
 Your version of Excel allows you to read this threaded comment; however, any edits to it will get removed if the file is opened in a newer version of Excel. Learn more: https://go.microsoft.com/fwlink/?linkid=870924
Comment:
	https://drive.google.com/file/d/1Yk5w17BiYsrvgSXV9tDu2prxafPNW-Vs/view?usp=drive_link
</t>
      </text>
    </comment>
    <comment authorId="1141" xr:uid="{6a529b83-6cf3-4ac1-bee4-e4edbdf4783d}" ref="C745">
      <text>
        <t xml:space="preserve">[Threaded comment]
 Your version of Excel allows you to read this threaded comment; however, any edits to it will get removed if the file is opened in a newer version of Excel. Learn more: https://go.microsoft.com/fwlink/?linkid=870924
Comment:
	https://www.ebay.com/itm/197812697947?_skw=legion+7i&amp;itmmeta=01KRQ3A1VQC5E8VC131M7TNQC4&amp;hash=item2e0e8e3b5b:g:XboAAeSwPKtqBsIa&amp;itmprp=enc%3AAQALAAAA8GfYFPkwiKCW4ZNSs2u11xC81gs9aQduJJvaZusIQr6OnWVCPpLkG5b4hyGxa9dKd6LucXBuP1SIjdTPuIlZAvJY%2BysSM4mP%2BjOuVlZwcGErjW9lTRRmG3ggsmvKJgZcaiy%2BYQt4YLrqTihtALdVZgEm%2FFoV14WW4NKRRaUHeRi7vIAq%2Flj2wrT--IAAm0t%2Fy9CwzXUfaqWZqNNufbIt5hsk1%2BumsUr0VrXYQddWhEiCRGdMEco2WE1KubqKN7ijBHjO6N5ApnsdY16l8Co6KmgTQXp82oM54SDzOup70IEr37dxnyqJLTltLPXotNYF7g%3D%3D%7Ctkp%3ABk9SR4ieqOPFZw
</t>
      </text>
    </comment>
    <comment authorId="1142" xr:uid="{6a61e0e4-ef40-412b-8835-e2e416eeb223}" ref="M237">
      <text>
        <t xml:space="preserve">[Threaded comment]
 Your version of Excel allows you to read this threaded comment; however, any edits to it will get removed if the file is opened in a newer version of Excel. Learn more: https://go.microsoft.com/fwlink/?linkid=870924
Comment:
	https://drive.google.com/file/d/1dJwx2QqIQOcrZDih0tEDpZINAgps_lwE/view?usp=drive_link
</t>
      </text>
    </comment>
    <comment authorId="1143" xr:uid="{6a6e5671-fc8d-47e6-ac8c-d721d96fe5c3}" ref="C81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https://www.microcenter.com/product/709072/msi-raider-16-max-hx-b2wi-003us-oled-16-gaming-laptop-computer-platinum-collection-core-black?__cf_chl_f_tk=p528NInm61078s94uQeGx2rk2tJC6eSDpS.OIe7ONvM-1782920541-1.0.1.1-EvBQQ2C9m2.uCJmX45DhUZin32Phfj3QyV1h1YKKNOc
</t>
      </text>
    </comment>
    <comment authorId="1144" xr:uid="{6a6f82e0-e14f-46fe-8a30-395b33d0c856}" ref="J82">
      <text>
        <t xml:space="preserve">[Threaded comment]
 Your version of Excel allows you to read this threaded comment; however, any edits to it will get removed if the file is opened in a newer version of Excel. Learn more: https://go.microsoft.com/fwlink/?linkid=870924
Comment:
	https://drive.google.com/file/d/1ASlW69MvLDaW4-blt4KLR-SCXLiRxann/view?usp=drive_link
</t>
      </text>
    </comment>
    <comment authorId="1145" xr:uid="{6a8fb394-4d15-4e32-b507-e4e2d13bc467}" ref="J385">
      <text>
        <t xml:space="preserve">[Threaded comment]
 Your version of Excel allows you to read this threaded comment; however, any edits to it will get removed if the file is opened in a newer version of Excel. Learn more: https://go.microsoft.com/fwlink/?linkid=870924
Comment:
	https://drive.google.com/file/d/1cOIrQic_4BIH3JjsFLP6RxOILbXUhTZ7/view?usp=drive_link
</t>
      </text>
    </comment>
    <comment authorId="1146" xr:uid="{6a908fdc-5150-4a05-861c-c5f927963f13}" ref="J263">
      <text>
        <t xml:space="preserve">[Threaded comment]
 Your version of Excel allows you to read this threaded comment; however, any edits to it will get removed if the file is opened in a newer version of Excel. Learn more: https://go.microsoft.com/fwlink/?linkid=870924
Comment:
	https://drive.google.com/file/d/1rZL4CPPABc_8gbxentId7YzPyTpKeS5f/view?usp=drive_link
</t>
      </text>
    </comment>
    <comment authorId="1147" xr:uid="{6a993c27-5e0e-4da6-9d4b-6e0bcab53001}" ref="C12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1148" xr:uid="{6aa30e5e-805d-45c4-b96f-b994a1e9b9f2}" ref="K330">
      <text>
        <t xml:space="preserve">[Threaded comment]
 Your version of Excel allows you to read this threaded comment; however, any edits to it will get removed if the file is opened in a newer version of Excel. Learn more: https://go.microsoft.com/fwlink/?linkid=870924
Comment:
	https://drive.google.com/file/d/1OSubobQp0PYG9Z8u4k0J4wq5-7yhZYtb/view?usp=drive_link
</t>
      </text>
    </comment>
    <comment authorId="1149" xr:uid="{6ac44e37-ebd4-4c4b-bc21-540f1ab5a883}" ref="J498">
      <text>
        <t xml:space="preserve">[Threaded comment]
 Your version of Excel allows you to read this threaded comment; however, any edits to it will get removed if the file is opened in a newer version of Excel. Learn more: https://go.microsoft.com/fwlink/?linkid=870924
Comment:
	https://drive.google.com/file/d/1eXhtWi0oCo7XpJITbBqZLp4_BGwBh-3R/view?usp=drive_link
</t>
      </text>
    </comment>
    <comment authorId="1150" xr:uid="{6ac5095e-a7ff-4b8d-8ec9-eaee7d6b8d09}" ref="AF308">
      <text>
        <t xml:space="preserve">[Threaded comment]
 Your version of Excel allows you to read this threaded comment; however, any edits to it will get removed if the file is opened in a newer version of Excel. Learn more: https://go.microsoft.com/fwlink/?linkid=870924
Comment:
	Venta final y fixit
Reply:
	Marcado como resuelto
Reply:
	Reabierto
</t>
      </text>
    </comment>
    <comment authorId="1151" xr:uid="{6ac6a1db-1c00-4ff9-b6ee-3025fc2af5cf}" ref="K371">
      <text>
        <t xml:space="preserve">[Threaded comment]
 Your version of Excel allows you to read this threaded comment; however, any edits to it will get removed if the file is opened in a newer version of Excel. Learn more: https://go.microsoft.com/fwlink/?linkid=870924
Comment:
	https://drive.google.com/file/d/1wsEI9XpR9mXQBx4X_kjvVf7YluwNxol1/view?usp=drive_link
</t>
      </text>
    </comment>
    <comment authorId="1152" xr:uid="{6ac6a8fb-4b06-4c9e-976b-002c6282be02}" ref="AF546">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153" xr:uid="{6afe18a3-0eaf-45b5-ac3e-942f92e8a3a5}" ref="W214">
      <text>
        <t xml:space="preserve">[Threaded comment]
 Your version of Excel allows you to read this threaded comment; however, any edits to it will get removed if the file is opened in a newer version of Excel. Learn more: https://go.microsoft.com/fwlink/?linkid=870924
Comment:
	https://drive.google.com/file/d/1YzWnZHoG1bcnEgJE3MM8M6wxri_wHix1/view?usp=drive_link
</t>
      </text>
    </comment>
    <comment authorId="1154" xr:uid="{6b0be50f-1030-41cf-889b-5269a4741fdf}" ref="W189">
      <text>
        <t xml:space="preserve">[Threaded comment]
 Your version of Excel allows you to read this threaded comment; however, any edits to it will get removed if the file is opened in a newer version of Excel. Learn more: https://go.microsoft.com/fwlink/?linkid=870924
Comment:
	https://drive.google.com/file/d/1AeVJD0B6jak12bfcIdEIPUOj8upNRnBn/view?usp=drive_link
</t>
      </text>
    </comment>
    <comment authorId="1155" xr:uid="{6b0f61d5-8631-4cf0-b2c6-b2bc19208bd0}" ref="C12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1156" xr:uid="{6b15cc00-ee26-4730-8633-4f75122b5c43}" ref="W272">
      <text>
        <t xml:space="preserve">[Threaded comment]
 Your version of Excel allows you to read this threaded comment; however, any edits to it will get removed if the file is opened in a newer version of Excel. Learn more: https://go.microsoft.com/fwlink/?linkid=870924
Comment:
	https://drive.google.com/file/d/1DLdG-iveZnB_BaXIUrC9lpe1n_0EQ_mX/view?usp=drive_link
</t>
      </text>
    </comment>
    <comment authorId="1157" xr:uid="{6b242fa7-53c2-46a6-9d4c-5589ecadc06d}" ref="AF596">
      <text>
        <t xml:space="preserve">[Threaded comment]
 Your version of Excel allows you to read this threaded comment; however, any edits to it will get removed if the file is opened in a newer version of Excel. Learn more: https://go.microsoft.com/fwlink/?linkid=870924
Comment:
	falta fixit
</t>
      </text>
    </comment>
    <comment authorId="1158" xr:uid="{6b4adbdd-c99b-4444-9c87-4c7995d239fe}" ref="W437">
      <text>
        <t xml:space="preserve">[Threaded comment]
 Your version of Excel allows you to read this threaded comment; however, any edits to it will get removed if the file is opened in a newer version of Excel. Learn more: https://go.microsoft.com/fwlink/?linkid=870924
Comment:
	https://drive.google.com/open?id=1Zn20U2IVmdJNb1WrY4YGsH8mPNzdkoku&amp;usp=drive_copy
</t>
      </text>
    </comment>
    <comment authorId="1159" xr:uid="{6b5299ac-c31d-43c5-8856-4585abf0267a}" ref="AF343">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160" xr:uid="{6b576446-a485-44d6-9882-a8a50af5c39f}" ref="AF260">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1161" xr:uid="{6b6bc686-971d-48dd-b5c7-f8ecea96e669}" ref="J717">
      <text>
        <t xml:space="preserve">[Threaded comment]
 Your version of Excel allows you to read this threaded comment; however, any edits to it will get removed if the file is opened in a newer version of Excel. Learn more: https://go.microsoft.com/fwlink/?linkid=870924
Comment:
	https://drive.google.com/file/d/1-DwnOMHYSHZeLogrxlxOhkZIozPCOJmZ/view?usp=drive_link
</t>
      </text>
    </comment>
    <comment authorId="1162" xr:uid="{6b73c36d-03fa-47e5-a33c-eff93d73f5ce}" ref="J742">
      <text>
        <t xml:space="preserve">[Threaded comment]
 Your version of Excel allows you to read this threaded comment; however, any edits to it will get removed if the file is opened in a newer version of Excel. Learn more: https://go.microsoft.com/fwlink/?linkid=870924
Comment:
	https://drive.google.com/file/d/17FBccitowUEc4dD96PMG8V333sYHE9Y7/view?usp=drive_link
</t>
      </text>
    </comment>
    <comment authorId="1163" xr:uid="{6b804bf4-52c1-479e-b633-8ac5e78d3d9c}" ref="U759">
      <text>
        <t xml:space="preserve">[Threaded comment]
 Your version of Excel allows you to read this threaded comment; however, any edits to it will get removed if the file is opened in a newer version of Excel. Learn more: https://go.microsoft.com/fwlink/?linkid=870924
Comment:
	comision culqui
</t>
      </text>
    </comment>
    <comment authorId="1164" xr:uid="{6b84d865-4992-44df-9da3-a9ca4e7056d2}" ref="AF230">
      <text>
        <t xml:space="preserve">[Threaded comment]
 Your version of Excel allows you to read this threaded comment; however, any edits to it will get removed if the file is opened in a newer version of Excel. Learn more: https://go.microsoft.com/fwlink/?linkid=870924
Comment:
	Voucher: Faltan 350
</t>
      </text>
    </comment>
    <comment authorId="1165" xr:uid="{6ba6877b-518c-475c-b6c4-138102ab46f8}" ref="L107">
      <text>
        <t xml:space="preserve">[Threaded comment]
 Your version of Excel allows you to read this threaded comment; however, any edits to it will get removed if the file is opened in a newer version of Excel. Learn more: https://go.microsoft.com/fwlink/?linkid=870924
Comment:
	https://drive.google.com/file/d/1v5fxC5zq8hoadmLT4CrG00w548Sn3osJ/view?usp=drive_link
https://drive.google.com/file/d/16I_Q1-SQFPBb9uCY5J00eohVh3CDit5-/view?usp=drive_link
</t>
      </text>
    </comment>
    <comment authorId="1166" xr:uid="{6baad6ea-8903-4ff4-b8ae-5033acd6eb2d}" ref="W288">
      <text>
        <t xml:space="preserve">[Threaded comment]
 Your version of Excel allows you to read this threaded comment; however, any edits to it will get removed if the file is opened in a newer version of Excel. Learn more: https://go.microsoft.com/fwlink/?linkid=870924
Comment:
	https://drive.google.com/file/d/1rS0WlEv9eCNLS79Pd8cPlV1lKsp7ZGFh/view?usp=drive_link
</t>
      </text>
    </comment>
    <comment authorId="1167" xr:uid="{6bff6307-e0fd-4d3e-be4a-4ff4f34485da}" ref="AI747">
      <text>
        <t xml:space="preserve">[Threaded comment]
 Your version of Excel allows you to read this threaded comment; however, any edits to it will get removed if the file is opened in a newer version of Excel. Learn more: https://go.microsoft.com/fwlink/?linkid=870924
Comment:
	https://drive.google.com/file/d/1lVI_JYTLfe6skbYgOu10QHh68Dx7y83v/view?usp=drive_link
</t>
      </text>
    </comment>
    <comment authorId="1168" xr:uid="{6c05b1d8-a995-4712-af86-1b1a5390dec9}" ref="N256">
      <text>
        <t xml:space="preserve">[Threaded comment]
 Your version of Excel allows you to read this threaded comment; however, any edits to it will get removed if the file is opened in a newer version of Excel. Learn more: https://go.microsoft.com/fwlink/?linkid=870924
Comment:
	S/.1.470,29661
S/.1.734,9500
</t>
      </text>
    </comment>
    <comment authorId="1169" xr:uid="{6c199e69-406b-4457-a370-76b4897508aa}" ref="J180">
      <text>
        <t xml:space="preserve">[Threaded comment]
 Your version of Excel allows you to read this threaded comment; however, any edits to it will get removed if the file is opened in a newer version of Excel. Learn more: https://go.microsoft.com/fwlink/?linkid=870924
Comment:
	https://drive.google.com/file/d/1pJWp_ZGuTQb6KPMoQVV9d63_9kpA126r/view?usp=drive_link
</t>
      </text>
    </comment>
    <comment authorId="1170" xr:uid="{6c22d57b-828c-4b82-9c81-bdcbe9af8bab}" ref="J72">
      <text>
        <t xml:space="preserve">[Threaded comment]
 Your version of Excel allows you to read this threaded comment; however, any edits to it will get removed if the file is opened in a newer version of Excel. Learn more: https://go.microsoft.com/fwlink/?linkid=870924
Comment:
	https://drive.google.com/file/d/140FK5xxB_A52bR2Ynh_G8z9FbgTdIlhO/view?usp=drive_link
</t>
      </text>
    </comment>
    <comment authorId="1171" xr:uid="{6c6a76bd-9da6-45bc-a897-cf41dba2591b}"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https://drive.google.com/file/d/11SkTwpgch_4i-uT6RW_cZChZdzO60lUs/view?usp=drive_link
</t>
      </text>
    </comment>
    <comment authorId="1172" xr:uid="{6c755545-38ea-406d-9aad-b824a92989b9}" ref="K714">
      <text>
        <t xml:space="preserve">[Threaded comment]
 Your version of Excel allows you to read this threaded comment; however, any edits to it will get removed if the file is opened in a newer version of Excel. Learn more: https://go.microsoft.com/fwlink/?linkid=870924
Comment:
	https://drive.google.com/file/d/1OxXqlG9qxm7xBUH2awCJIb9_GL6qUvBi/view?usp=drive_link
</t>
      </text>
    </comment>
    <comment authorId="1173" xr:uid="{6c89f29a-b1db-4bc4-a23e-f557cdbc551b}" ref="W355">
      <text>
        <t xml:space="preserve">[Threaded comment]
 Your version of Excel allows you to read this threaded comment; however, any edits to it will get removed if the file is opened in a newer version of Excel. Learn more: https://go.microsoft.com/fwlink/?linkid=870924
Comment:
	https://drive.google.com/file/d/1twkO_k_jLpiCTjCW_eOvGeSXG8y6UXqu/view?usp=drive_link
</t>
      </text>
    </comment>
    <comment authorId="1174" xr:uid="{6c9a4f82-e87f-47dd-b227-4169cb464a52}" ref="AF628">
      <text>
        <t xml:space="preserve">[Threaded comment]
 Your version of Excel allows you to read this threaded comment; however, any edits to it will get removed if the file is opened in a newer version of Excel. Learn more: https://go.microsoft.com/fwlink/?linkid=870924
Comment:
	venta final,excedentes, fixit
</t>
      </text>
    </comment>
    <comment authorId="1175" xr:uid="{6ca9661c-a0e8-4c62-829a-651236523585}" ref="J604">
      <text>
        <t xml:space="preserve">[Threaded comment]
 Your version of Excel allows you to read this threaded comment; however, any edits to it will get removed if the file is opened in a newer version of Excel. Learn more: https://go.microsoft.com/fwlink/?linkid=870924
Comment:
	https://drive.google.com/file/d/1Ac236c9RcMqapsKeTnLL01s1_N9i1ood/view?usp=drive_link PAGO1 5000
https://drive.google.com/file/d/1bninvG2zq2PF5Pp-BFwA--Yeqej4A8BD/view?usp=drive_link PAGO 2 1299
</t>
      </text>
    </comment>
    <comment authorId="1176" xr:uid="{6cc0bca4-59cc-468b-869b-641bc855039c}" ref="L261">
      <text>
        <t xml:space="preserve">[Threaded comment]
 Your version of Excel allows you to read this threaded comment; however, any edits to it will get removed if the file is opened in a newer version of Excel. Learn more: https://go.microsoft.com/fwlink/?linkid=870924
Comment:
	https://drive.google.com/file/d/19APiR-P44jaz5giWIvCSOOmPvus6T8oM/view?usp=drive_link
</t>
      </text>
    </comment>
    <comment authorId="1177" xr:uid="{6d19f92e-b58c-4857-beb2-d36e7ad6fa01}"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https://drive.google.com/file/d/1jiDjc44V5J7O9Nqv6ZzWoOK0wllyTuMf/view?usp=drive_link
</t>
      </text>
    </comment>
    <comment authorId="1178" xr:uid="{6d28fb18-7af4-4306-a461-5357377026f0}" ref="J117">
      <text>
        <t xml:space="preserve">[Threaded comment]
 Your version of Excel allows you to read this threaded comment; however, any edits to it will get removed if the file is opened in a newer version of Excel. Learn more: https://go.microsoft.com/fwlink/?linkid=870924
Comment:
	https://drive.google.com/file/d/1HVYI9tCvf1iplJMkqh991J7pnd8Nbe-M/view?usp=drive_link
</t>
      </text>
    </comment>
    <comment authorId="1179" xr:uid="{6d2f9469-df07-4d2a-82fb-a3e0448f22d8}" ref="J752">
      <text>
        <t xml:space="preserve">[Threaded comment]
 Your version of Excel allows you to read this threaded comment; however, any edits to it will get removed if the file is opened in a newer version of Excel. Learn more: https://go.microsoft.com/fwlink/?linkid=870924
Comment:
	https://drive.google.com/file/d/19_mBhokNFtgxUQWAQSNDe-NwAVRF2I9o/view?usp=drive_link
</t>
      </text>
    </comment>
    <comment authorId="1180" xr:uid="{6d4dd5c8-b5a3-4a7d-908f-687aa3b75488}" ref="A1">
      <text>
        <t xml:space="preserve">[Threaded comment]
 Your version of Excel allows you to read this threaded comment; however, any edits to it will get removed if the file is opened in a newer version of Excel. Learn more: https://go.microsoft.com/fwlink/?linkid=870924
Comment:
	se  compro una nueva laptop
</t>
      </text>
    </comment>
    <comment authorId="1181" xr:uid="{6d652617-8f94-40b0-b2e5-754743bbb745}" ref="C24">
      <text>
        <t xml:space="preserve">[Threaded comment]
 Your version of Excel allows you to read this threaded comment; however, any edits to it will get removed if the file is opened in a newer version of Excel. Learn more: https://go.microsoft.com/fwlink/?linkid=870924
Comment:
	https://www.ebay.com/itm/306262117598?_skw=4060&amp;itmmeta=01JSE8V61EHTAGCGPNETVA20JY&amp;hash=item474ea50cde%3Ag%3AaaMAAeSwmBJnwjGJ&amp;itmprp=enc%3AAQAKAAAA4FkggFvd1GGDu0w3yXCmi1e9OeRSHsyKV4DDRiXEGRaJNNQT%2BOEIn%2BFEiBOsvZlfOFNjjjMcW%2BY914q6QKcDYgQJxJzB1pDTlv1lKj9j96KH1GFKou1hyDUHABncz8F3NqKWLizaeAN86Hlrnz%2F75lsQRVkWcZDwCBq%2Fs93mwuzqq44taAgax6v06xRPD4sGujfXM2UcFoIIHp%2BesnPU6yF1bJfkCRPZ9TeKvkpAl5mvd9FUkENmtMEchsGjsb%2FXXY0G18259q%2Bh5QAuxqyGlOSH%2B%2FSQFPQhTPonia80rF3f%7Ctkp%3ABk9SR_zh7MjLZQ&amp;LH_BIN=1&amp;LH_ItemCondition=1000
</t>
      </text>
    </comment>
    <comment authorId="1182" xr:uid="{6d771a20-a4ec-4192-bd02-3efbf1cefe26}" ref="K320">
      <text>
        <t xml:space="preserve">[Threaded comment]
 Your version of Excel allows you to read this threaded comment; however, any edits to it will get removed if the file is opened in a newer version of Excel. Learn more: https://go.microsoft.com/fwlink/?linkid=870924
Comment:
	https://drive.google.com/file/d/1GEE9YIseOeSOFu3HP0qvj86j8SBtZ53G/view?usp=drive_link
</t>
      </text>
    </comment>
    <comment authorId="1183" xr:uid="{6d77deeb-ba23-47ad-b958-8a89594c53bc}" ref="K703">
      <text>
        <t xml:space="preserve">[Threaded comment]
 Your version of Excel allows you to read this threaded comment; however, any edits to it will get removed if the file is opened in a newer version of Excel. Learn more: https://go.microsoft.com/fwlink/?linkid=870924
Comment:
	https://drive.google.com/file/d/1PkBIjSuoNN2G2M3qvjj335ZKw9LiKWlw/view?usp=drive_link
</t>
      </text>
    </comment>
    <comment authorId="1184" xr:uid="{6d7fedb0-5f4e-49d9-ae62-c56cd3786702}" ref="AF324">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185" xr:uid="{6d890a18-168e-46dd-ac10-df3425fea789}" ref="W156">
      <text>
        <t xml:space="preserve">[Threaded comment]
 Your version of Excel allows you to read this threaded comment; however, any edits to it will get removed if the file is opened in a newer version of Excel. Learn more: https://go.microsoft.com/fwlink/?linkid=870924
Comment:
	https://drive.google.com/file/d/1hUey3-S1d7xR6fPUe9qjsy_68qHhbuWb/view?usp=drive_link
</t>
      </text>
    </comment>
    <comment authorId="1186" xr:uid="{6d91fb5e-0286-4061-b4de-00ab53a404b1}"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https://drive.google.com/file/d/1kyikh5p9ELsGEH5s44v5H2M_Pyj3quZC/view?usp=drive_link
</t>
      </text>
    </comment>
    <comment authorId="1187" xr:uid="{6d98eefe-bfea-4486-94fa-483e65169411}" ref="C41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https://www.microcenter.com/product/691906/asus-rog-strix-scar-18-g835lw-xs97-18-gaming-laptop-computer-off-black?storeid=041
</t>
      </text>
    </comment>
    <comment authorId="1188" xr:uid="{6da34fff-b910-4040-8958-74c6e5f6aa3b}" ref="W421">
      <text>
        <t xml:space="preserve">[Threaded comment]
 Your version of Excel allows you to read this threaded comment; however, any edits to it will get removed if the file is opened in a newer version of Excel. Learn more: https://go.microsoft.com/fwlink/?linkid=870924
Comment:
	https://drive.google.com/file/d/16NTUQ0Tv61uMABLis1PbaE3NUWK3He3r/view?usp=drive_link
</t>
      </text>
    </comment>
    <comment authorId="1189" xr:uid="{6dce218d-4013-40ae-a685-b5548a78e75f}" ref="L9">
      <text>
        <t xml:space="preserve">[Threaded comment]
 Your version of Excel allows you to read this threaded comment; however, any edits to it will get removed if the file is opened in a newer version of Excel. Learn more: https://go.microsoft.com/fwlink/?linkid=870924
Comment:
	https://drive.google.com/file/d/16vl6BVFZFxllAZ6HgZ8Jpk1ko2o0PyMV/view?usp=drive_link
</t>
      </text>
    </comment>
    <comment authorId="1190" xr:uid="{6dd62a4d-273e-4b3d-af79-b1f917b705a7}" ref="W163">
      <text>
        <t xml:space="preserve">[Threaded comment]
 Your version of Excel allows you to read this threaded comment; however, any edits to it will get removed if the file is opened in a newer version of Excel. Learn more: https://go.microsoft.com/fwlink/?linkid=870924
Comment:
	https://drive.google.com/file/d/16wSubOeAxCIn2LGxpMXLmjsrXIPo6krP/view?usp=drive_link
</t>
      </text>
    </comment>
    <comment authorId="1191" xr:uid="{6de2a9e2-d2ac-4f9d-830b-4f800797f4d4}" ref="W344">
      <text>
        <t xml:space="preserve">[Threaded comment]
 Your version of Excel allows you to read this threaded comment; however, any edits to it will get removed if the file is opened in a newer version of Excel. Learn more: https://go.microsoft.com/fwlink/?linkid=870924
Comment:
	https://drive.google.com/file/d/1DHxXAyTzaGWM2yROrN24u3rIUo3wrqP9/view?usp=drive_link
</t>
      </text>
    </comment>
    <comment authorId="1192" xr:uid="{6deae992-955f-45e2-9a14-67bc633b8a48}" ref="Q782">
      <text>
        <t xml:space="preserve">[Threaded comment]
 Your version of Excel allows you to read this threaded comment; however, any edits to it will get removed if the file is opened in a newer version of Excel. Learn more: https://go.microsoft.com/fwlink/?linkid=870924
Comment:
	se considera 120 de mano de obra y 100 de apertura + configuracion
</t>
      </text>
    </comment>
    <comment authorId="1193" xr:uid="{6e16a527-ccfc-455f-8322-7381e8192898}" ref="Q571">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iniical con formateo + eset nod 32 + windows 11 pro + office 2024
</t>
      </text>
    </comment>
    <comment authorId="1194" xr:uid="{6e18dded-0cf5-424b-8f7d-bf177b7cea2c}" ref="W449">
      <text>
        <t xml:space="preserve">[Threaded comment]
 Your version of Excel allows you to read this threaded comment; however, any edits to it will get removed if the file is opened in a newer version of Excel. Learn more: https://go.microsoft.com/fwlink/?linkid=870924
Comment:
	RUC 20489570646
Reply:
	https://drive.google.com/file/d/1XJHHzXpxcei1hL4KhHUQNrr9tV2E0jV7/view?usp=drive_link
</t>
      </text>
    </comment>
    <comment authorId="1195" xr:uid="{6e1ea751-be44-4c1b-9aa2-b1e322f5f4c1}" ref="L288">
      <text>
        <t xml:space="preserve">[Threaded comment]
 Your version of Excel allows you to read this threaded comment; however, any edits to it will get removed if the file is opened in a newer version of Excel. Learn more: https://go.microsoft.com/fwlink/?linkid=870924
Comment:
	https://drive.google.com/file/d/1wjN9GtylxocjBJTForouopQzMrXdVT_j/view?usp=drive_link
</t>
      </text>
    </comment>
    <comment authorId="1196" xr:uid="{6e234446-f145-4e77-a732-9a7efc863b9d}" ref="C748">
      <text>
        <t xml:space="preserve">[Threaded comment]
 Your version of Excel allows you to read this threaded comment; however, any edits to it will get removed if the file is opened in a newer version of Excel. Learn more: https://go.microsoft.com/fwlink/?linkid=870924
Comment:
	https://www.ebay.com/itm/236727250912?_skw=zeenbook+s14&amp;itmmeta=01KRRRDE94Q1TXMP92R0271YH5&amp;hash=item371e0b2fe0:g:0tEAAeSwvqRpzC3l&amp;itmprp=enc%3AAQALAAAA0GfYFPkwiKCW4ZNSs2u11xAjhsXdk9nxmyH4dhrMg%2FqRQImhas98D1dPCa%2BOIzLB9hn2My%2F5bgl6uR%2B3IQ4A1sWuLtKsXrGxc71LvOlH9im%2FfjROJTp%2BVWSzzi%2F2gitLql%2FjheXKi39UOpdZjUj2Popol0ue62Xa9Cl4PzjTVZgx0mfhnJHAce9MQ5r53Sk%2BWls65vnuMaPZWOVC49pE1BDAn5brLcmWyqXvG3TFqEXa5ZgkdKvHLFeGEFQn6v7AtDsFW2KqFQaBnHTBBsKV%2FDA%3D%7Ctkp%3ABk9SR9zktZjGZw
</t>
      </text>
    </comment>
    <comment authorId="1197" xr:uid="{6e3b5dcc-d2f3-4374-81f0-1a0c1008a238}" ref="J268">
      <text>
        <t xml:space="preserve">[Threaded comment]
 Your version of Excel allows you to read this threaded comment; however, any edits to it will get removed if the file is opened in a newer version of Excel. Learn more: https://go.microsoft.com/fwlink/?linkid=870924
Comment:
	https://drive.google.com/file/d/1x_ijNk973B68a6IPZkhZcJNU-Z29GUTw/view?usp=drive_link
</t>
      </text>
    </comment>
    <comment authorId="1198" xr:uid="{6e4f8489-e182-4111-bedc-4b55e2e88f94}" ref="W243">
      <text>
        <t xml:space="preserve">[Threaded comment]
 Your version of Excel allows you to read this threaded comment; however, any edits to it will get removed if the file is opened in a newer version of Excel. Learn more: https://go.microsoft.com/fwlink/?linkid=870924
Comment:
	https://drive.google.com/file/d/1dk2BgJ1ofXPM8udhHORh1lUSFwMAzXB1/view?usp=drive_link
</t>
      </text>
    </comment>
    <comment authorId="1199" xr:uid="{6e6facd7-f977-4547-817e-a3a5f11957ae}" ref="J447">
      <text>
        <t xml:space="preserve">[Threaded comment]
 Your version of Excel allows you to read this threaded comment; however, any edits to it will get removed if the file is opened in a newer version of Excel. Learn more: https://go.microsoft.com/fwlink/?linkid=870924
Comment:
	https://drive.google.com/file/d/1pH60ajGnDAYXoah1CGcCxID2yZkmP8aT/view?usp=drive_link
</t>
      </text>
    </comment>
    <comment authorId="1200" xr:uid="{6e8baedf-26c4-4a8d-84f9-8713233e7cc0}" ref="C327">
      <text>
        <t xml:space="preserve">[Threaded comment]
 Your version of Excel allows you to read this threaded comment; however, any edits to it will get removed if the file is opened in a newer version of Excel. Learn more: https://go.microsoft.com/fwlink/?linkid=870924
Comment:
	https://www.ebay.com/itm/197444306465?_skw=hp+omen+16&amp;itmmeta=01KAKRF1T4Y9BZS7W4THNVG07X&amp;hash=item2df8990621:g:2qsAAeSwCSlpHYfz&amp;itmprp=enc%3AAQAKAAAA8FkggFvd1GGDu0w3yXCmi1cVfd5FSrMNRS%2B3op8OS%2BjxnirSPsbrYtPOuq3%2Btdm77R7V6AnXwF%2FF3l5l2i0QIv1dnktCtMCephr2JinIwgrhsNYFq0j%2FoA4KB5JTBvZO3Q2M7nPuMvLOhk3TM5krj7%2BLt1kQ%2BNiVdUgiWDkaAFM9WGkIzVX7IZg%2FxM9hydMeldtpCtLlz8cdQyXA7hUM0mOc1Zo7qAVtQIloWOTqhvVVwhBeHRvyzeQzOhzAaGoBOsmxh%2Bw13pZx9p0vct%2B99QlqxjGmy0hGbkedXMICgoHdTeBBAfl4L3%2FYeT8rFbJGVg%3D%3D%7Ctkp%3ABk9SR6KdvPjUZg
</t>
      </text>
    </comment>
    <comment authorId="1201" xr:uid="{6e9d1e3d-6ba8-4c30-9910-e2e4f932ba8b}" ref="K772">
      <text>
        <t xml:space="preserve">[Threaded comment]
 Your version of Excel allows you to read this threaded comment; however, any edits to it will get removed if the file is opened in a newer version of Excel. Learn more: https://go.microsoft.com/fwlink/?linkid=870924
Comment:
	https://drive.google.com/file/d/1l48Q9dhGYG5d38b40Qwx3FtAgjpIhCPZ/view?usp=drive_link
</t>
      </text>
    </comment>
    <comment authorId="1202" xr:uid="{6ebc47b2-dff0-4718-9694-447fd9e48614}" ref="W305">
      <text>
        <t xml:space="preserve">[Threaded comment]
 Your version of Excel allows you to read this threaded comment; however, any edits to it will get removed if the file is opened in a newer version of Excel. Learn more: https://go.microsoft.com/fwlink/?linkid=870924
Comment:
	https://drive.google.com/file/d/1jICwSoKx89JATZxT5Y5VM3LTAyvXdbAN/view?usp=drive_link
</t>
      </text>
    </comment>
    <comment authorId="1203" xr:uid="{6ec78b5a-20f6-4b56-89a7-f8ddd0d843f3}" ref="W429">
      <text>
        <t xml:space="preserve">[Threaded comment]
 Your version of Excel allows you to read this threaded comment; however, any edits to it will get removed if the file is opened in a newer version of Excel. Learn more: https://go.microsoft.com/fwlink/?linkid=870924
Comment:
	https://drive.google.com/open?id=1DUpfmxUHyi1UxRATjpO65Y58i9YNel2f&amp;usp=drive_copy
</t>
      </text>
    </comment>
    <comment authorId="1204" xr:uid="{6f3913d1-f0b4-4b37-a462-c7a1af35cd76}" ref="J41">
      <text>
        <t xml:space="preserve">[Threaded comment]
 Your version of Excel allows you to read this threaded comment; however, any edits to it will get removed if the file is opened in a newer version of Excel. Learn more: https://go.microsoft.com/fwlink/?linkid=870924
Comment:
	https://drive.google.com/file/d/11LPCKPxB3mSVW4rac2ziyUhx6EHvkDii/view?usp=drive_link
</t>
      </text>
    </comment>
    <comment authorId="1205" xr:uid="{6f408bca-dfc2-4e6a-bbbb-d5ebd6a15804}" ref="C364">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https://www.bhphotovideo.com/c/product/1875949-REG/lenovo_83f50052us_16_legion_pro_7.html
</t>
      </text>
    </comment>
    <comment authorId="1206" xr:uid="{6fc6c68a-b16d-484a-b885-a6eefda0ef14}" ref="AF695">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207" xr:uid="{6fcf1155-e8a2-47bf-817c-140dea4661bb}" ref="K541">
      <text>
        <t xml:space="preserve">[Threaded comment]
 Your version of Excel allows you to read this threaded comment; however, any edits to it will get removed if the file is opened in a newer version of Excel. Learn more: https://go.microsoft.com/fwlink/?linkid=870924
Comment:
	https://drive.google.com/file/d/1E5SuhKkWd0HFu0qvNLpE-SEkLm87HRBF/view?usp=drive_link
</t>
      </text>
    </comment>
    <comment authorId="1208" xr:uid="{6ff000f8-55d8-4f5a-9935-208b3be91ed9}" ref="J251">
      <text>
        <t xml:space="preserve">[Threaded comment]
 Your version of Excel allows you to read this threaded comment; however, any edits to it will get removed if the file is opened in a newer version of Excel. Learn more: https://go.microsoft.com/fwlink/?linkid=870924
Comment:
	https://drive.google.com/file/d/1Mmjb-BOS31h8PwAzliXxbIbw4rQo8UHQ/view?usp=drive_link
</t>
      </text>
    </comment>
    <comment authorId="1209" xr:uid="{6ff6483f-57b4-42e0-9afc-6449f68a01c5}" ref="C177">
      <text>
        <t xml:space="preserve">[Threaded comment]
 Your version of Excel allows you to read this threaded comment; however, any edits to it will get removed if the file is opened in a newer version of Excel. Learn more: https://go.microsoft.com/fwlink/?linkid=870924
Comment:
	https://www.ebay.com/itm/167729091577?_skw=asus+tuf+F16&amp;itmmeta=01K37A5PEV3X861RV5ZJJEADTK&amp;hash=item270d6ed3f9:g:06IAAeSwvg9opRAo&amp;itmprp=enc%3AAQAKAAAA0FkggFvd1GGDu0w3yXCmi1cpPFlPB6kqRG%2FDSmaBXuqdv5CTa6en0aDd6e%2FYjSAwRtyy9JFYa8vD2cIcEf9rife449UakgXfhtkhNHEgJvdW42TcG29GNT3uyCxyZ41Q4dMgZONdERJZnJ1n2j1aapTQkGRi1xnQsYYIFkRNlO068HredTo0ZnpHCPBZtiCNTIj%2BYGelFYUdA4TnpY%2BxCkscwYB9Cc84jj86aSuHUjNKh01628F2ksvzoVjyJ2r6oL2QEbqo9S%2FpZvSIuJb4qgo%3D%7Ctkp%3ABk9SR8jnluqZZg
</t>
      </text>
    </comment>
    <comment authorId="1210" xr:uid="{701b8d42-5cb4-4717-a7cb-e6512025355a}" ref="C612">
      <text>
        <t xml:space="preserve">[Threaded comment]
 Your version of Excel allows you to read this threaded comment; however, any edits to it will get removed if the file is opened in a newer version of Excel. Learn more: https://go.microsoft.com/fwlink/?linkid=870924
Comment:
	https://www.ebay.com/itm/326796273689?_skw=laptop+gaming&amp;itmmeta=01KKX6NN6134JBFGK29084N58V&amp;hash=item4c16936819:g:4lMAAeSwKO1pqzYD
</t>
      </text>
    </comment>
    <comment authorId="1211" xr:uid="{701bbc27-1e53-4216-bcbe-6cac6135be8d}" ref="J518">
      <text>
        <t xml:space="preserve">[Threaded comment]
 Your version of Excel allows you to read this threaded comment; however, any edits to it will get removed if the file is opened in a newer version of Excel. Learn more: https://go.microsoft.com/fwlink/?linkid=870924
Comment:
	https://drive.google.com/file/d/1WA-rpskPpAsCPjKVAWEzZT4HX3SMk2KS/view?usp=drive_link
Reply:
	https://drive.google.com/file/d/1KfYMVcuvNCoFHD512lR2m-KVsw5-S2Pv/view?usp=drive_link
Reply:
	https://drive.google.com/file/d/1jZ2tKL-K1g8ErfTUv-3StZISx5m85WFj/view?usp=drive_link
</t>
      </text>
    </comment>
    <comment authorId="1212" xr:uid="{704f2dd7-81ce-47ab-8861-8829f8f4105a}" ref="K771">
      <text>
        <t xml:space="preserve">[Threaded comment]
 Your version of Excel allows you to read this threaded comment; however, any edits to it will get removed if the file is opened in a newer version of Excel. Learn more: https://go.microsoft.com/fwlink/?linkid=870924
Comment:
	https://drive.google.com/file/d/1uWBlUSqHRi_Sxid_H-M_LP4VAPLlJkq3/view?usp=drive_link
Reply:
	https://drive.google.com/file/d/17OoJ3KACgCpWz_Ft10HI46GfDKAOe7mP/view?usp=drive_link
</t>
      </text>
    </comment>
    <comment authorId="1213" xr:uid="{70549dad-d229-4944-be01-874949f9830f}" ref="W142">
      <text>
        <t xml:space="preserve">[Threaded comment]
 Your version of Excel allows you to read this threaded comment; however, any edits to it will get removed if the file is opened in a newer version of Excel. Learn more: https://go.microsoft.com/fwlink/?linkid=870924
Comment:
	https://drive.google.com/file/d/1wlzAiIofsFBHLm0YGCobB-jsZ5DOsIVz/view?usp=drive_link
</t>
      </text>
    </comment>
    <comment authorId="1214" xr:uid="{705f9b41-ec93-44c7-8405-85cb8ff8b938}" ref="L161">
      <text>
        <t xml:space="preserve">[Threaded comment]
 Your version of Excel allows you to read this threaded comment; however, any edits to it will get removed if the file is opened in a newer version of Excel. Learn more: https://go.microsoft.com/fwlink/?linkid=870924
Comment:
	https://drive.google.com/file/d/18FFkN_jT8odrekAxRtqenuR9_05bI-b7/view?usp=drive_link
</t>
      </text>
    </comment>
    <comment authorId="1215" xr:uid="{706b6e6b-f024-4bce-a6d9-acc5b72b3196}" ref="W337">
      <text>
        <t xml:space="preserve">[Threaded comment]
 Your version of Excel allows you to read this threaded comment; however, any edits to it will get removed if the file is opened in a newer version of Excel. Learn more: https://go.microsoft.com/fwlink/?linkid=870924
Comment:
	https://drive.google.com/file/d/1R85lKRx8def_1Em_tf8C3hrLUWzfciHb/view?usp=drive_link
</t>
      </text>
    </comment>
    <comment authorId="1216" xr:uid="{7084729a-42c9-4692-8554-95bd9a5e4eee}" ref="D501">
      <text>
        <t xml:space="preserve">[Threaded comment]
 Your version of Excel allows you to read this threaded comment; however, any edits to it will get removed if the file is opened in a newer version of Excel. Learn more: https://go.microsoft.com/fwlink/?linkid=870924
Comment:
	✅NOMBRES COMPLETOS O RAZÓN SOCIAL: LAOS WENSESLAO VASQUEZ LIMAYLLA 
✅DNI O RUC: 10739503588
✅NÚMERO DE CELULAR: 914697252 
✅CORREO ELECTRÓNICO: laosvasquezlimaylla@gmail.com
BOLETA
</t>
      </text>
    </comment>
    <comment authorId="1217" xr:uid="{70ba4f92-2f30-4de3-bf4e-1a504079fecf}" ref="W404">
      <text>
        <t xml:space="preserve">[Threaded comment]
 Your version of Excel allows you to read this threaded comment; however, any edits to it will get removed if the file is opened in a newer version of Excel. Learn more: https://go.microsoft.com/fwlink/?linkid=870924
Comment:
	https://drive.google.com/file/d/1GTrwE66MuhDy7zg05prgt2KhLGAw9ZTn/view?usp=drive_link
</t>
      </text>
    </comment>
    <comment authorId="1218" xr:uid="{70d3baec-3222-497f-bbb3-723b2eb8e716}" ref="C550">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https://www.costco.com/p/-/asus-rog-strix-g18-18-gaming-laptop-intel-core-ultra-9-275hx-25k-nebula-display-geforce-rtx-5070-32gb-ram-1tb-ssd-windows-11/4000370428?langId=-1
</t>
      </text>
    </comment>
    <comment authorId="1219" xr:uid="{70ddf027-518b-4192-8486-0359712308a5}" ref="AF706">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220" xr:uid="{70fc5a79-214f-46f2-865c-933f02aa71fe}" ref="J243">
      <text>
        <t xml:space="preserve">[Threaded comment]
 Your version of Excel allows you to read this threaded comment; however, any edits to it will get removed if the file is opened in a newer version of Excel. Learn more: https://go.microsoft.com/fwlink/?linkid=870924
Comment:
	https://drive.google.com/file/d/1nArd-U39z6BbaVVaRQ26A2lRulCngMCv/view?usp=drive_link
</t>
      </text>
    </comment>
    <comment authorId="1221" xr:uid="{712cec30-ceca-4470-a444-ca91711bb561}" ref="J665">
      <text>
        <t xml:space="preserve">[Threaded comment]
 Your version of Excel allows you to read this threaded comment; however, any edits to it will get removed if the file is opened in a newer version of Excel. Learn more: https://go.microsoft.com/fwlink/?linkid=870924
Comment:
	https://drive.google.com/file/d/192jrvLPTBjAhgWu9hF01lZ4dCPXt__GR/view?usp=drive_link
</t>
      </text>
    </comment>
    <comment authorId="1222" xr:uid="{7133b734-4b04-47ee-8285-f96507257356}" ref="K506">
      <text>
        <t xml:space="preserve">[Threaded comment]
 Your version of Excel allows you to read this threaded comment; however, any edits to it will get removed if the file is opened in a newer version of Excel. Learn more: https://go.microsoft.com/fwlink/?linkid=870924
Comment:
	https://drive.google.com/file/d/1uYZDC-pmss3OQeAoIZMmpM4in0HrbKro/view?usp=drive_link
</t>
      </text>
    </comment>
    <comment authorId="1223" xr:uid="{71377e4d-9f66-47ef-8188-f10a7f774857}" ref="J178">
      <text>
        <t xml:space="preserve">[Threaded comment]
 Your version of Excel allows you to read this threaded comment; however, any edits to it will get removed if the file is opened in a newer version of Excel. Learn more: https://go.microsoft.com/fwlink/?linkid=870924
Comment:
	https://drive.google.com/file/d/1envNHAnc35giPruwShyNP26EY6kFFXD5/view?usp=drive_link
</t>
      </text>
    </comment>
    <comment authorId="1224" xr:uid="{7151e42c-0a33-4ef5-960c-cc5d8623fb3f}" ref="L139">
      <text>
        <t xml:space="preserve">[Threaded comment]
 Your version of Excel allows you to read this threaded comment; however, any edits to it will get removed if the file is opened in a newer version of Excel. Learn more: https://go.microsoft.com/fwlink/?linkid=870924
Comment:
	https://drive.google.com/file/d/1Jr14m8L55CA_MsczF59_sXT5V-bHO-KT/view?usp=drive_link
https://drive.google.com/file/d/1My5ghvVkCuVHSU8Nx8ouyElrBmGvUvYl/view?usp=drive_link
https://drive.google.com/file/d/1I7NCfS_weD9Fqu-Po6ZjSqZuStoknH7_/view?usp=drive_link
</t>
      </text>
    </comment>
    <comment authorId="1225" xr:uid="{7158b2bb-2d86-4f9d-a044-e0f157fe5486}" ref="L223">
      <text>
        <t xml:space="preserve">[Threaded comment]
 Your version of Excel allows you to read this threaded comment; however, any edits to it will get removed if the file is opened in a newer version of Excel. Learn more: https://go.microsoft.com/fwlink/?linkid=870924
Comment:
	https://drive.google.com/file/d/19cboDrUxtcp_ioK_p6reGPWqTT12swW1/view?usp=drive_link
</t>
      </text>
    </comment>
    <comment authorId="1226" xr:uid="{7182904a-ddd7-421b-8dae-d5133f4c0737}" ref="J730">
      <text>
        <t xml:space="preserve">[Threaded comment]
 Your version of Excel allows you to read this threaded comment; however, any edits to it will get removed if the file is opened in a newer version of Excel. Learn more: https://go.microsoft.com/fwlink/?linkid=870924
Comment:
	https://drive.google.com/file/d/1Jy-hRpULtyiNzphHniRKZj7eoo9tbCiC/view?usp=drive_link
</t>
      </text>
    </comment>
    <comment authorId="1227" xr:uid="{7193d497-aa50-4856-88f9-7c354e4c6878}" ref="J140">
      <text>
        <t xml:space="preserve">[Threaded comment]
 Your version of Excel allows you to read this threaded comment; however, any edits to it will get removed if the file is opened in a newer version of Excel. Learn more: https://go.microsoft.com/fwlink/?linkid=870924
Comment:
	https://drive.google.com/file/d/1qEceTBe6H9efCeHZ81tAyFnkTh_rR3He/view?usp=drive_link
https://drive.google.com/file/d/1_RUi7C_H-DNy8hLYEYFRepcXMXbVjMYx/view?usp=drive_link
</t>
      </text>
    </comment>
    <comment authorId="1228" xr:uid="{71be4b6b-a0ba-49b2-b09f-5df69e9ce5d1}" ref="L25">
      <text>
        <t xml:space="preserve">[Threaded comment]
 Your version of Excel allows you to read this threaded comment; however, any edits to it will get removed if the file is opened in a newer version of Excel. Learn more: https://go.microsoft.com/fwlink/?linkid=870924
Comment:
	164 para configuración inicial y algo más
</t>
      </text>
    </comment>
    <comment authorId="1229" xr:uid="{71c2ba1e-7675-4b95-9a4b-0a4cebd74d3c}" ref="K636">
      <text>
        <t xml:space="preserve">[Threaded comment]
 Your version of Excel allows you to read this threaded comment; however, any edits to it will get removed if the file is opened in a newer version of Excel. Learn more: https://go.microsoft.com/fwlink/?linkid=870924
Comment:
	https://drive.google.com/file/d/1ROiVx2CkMj_VMpL6B73Z1q4lZg5PUo6X/view?usp=drive_link
</t>
      </text>
    </comment>
    <comment authorId="1230" xr:uid="{71ef309b-ef5f-4608-af34-f01f9818dbd9}" ref="K482">
      <text>
        <t xml:space="preserve">[Threaded comment]
 Your version of Excel allows you to read this threaded comment; however, any edits to it will get removed if the file is opened in a newer version of Excel. Learn more: https://go.microsoft.com/fwlink/?linkid=870924
Comment:
	https://drive.google.com/file/d/1ULo08uhxJePbxQGiQzylFN_ULHVrJ1q3/view?usp=drive_link
</t>
      </text>
    </comment>
    <comment authorId="1231" xr:uid="{71f57b7c-3e32-4855-aba3-d9acf8d2be0a}" ref="J751">
      <text>
        <t xml:space="preserve">[Threaded comment]
 Your version of Excel allows you to read this threaded comment; however, any edits to it will get removed if the file is opened in a newer version of Excel. Learn more: https://go.microsoft.com/fwlink/?linkid=870924
Comment:
	https://drive.google.com/file/d/18jBpEmnHZwIwive37JwXp22B06Atn2pr/view?usp=drive_link
</t>
      </text>
    </comment>
    <comment authorId="1232" xr:uid="{720e07d4-b2b9-4032-857b-41865c9454b5}" ref="A1">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233" xr:uid="{720e3ffd-1eb7-42d8-9ed9-b2ffd2f972a0}" ref="O359">
      <text>
        <t xml:space="preserve">[Threaded comment]
 Your version of Excel allows you to read this threaded comment; however, any edits to it will get removed if the file is opened in a newer version of Excel. Learn more: https://go.microsoft.com/fwlink/?linkid=870924
Comment:
	sin excedente
</t>
      </text>
    </comment>
    <comment authorId="1234" xr:uid="{72230850-08ce-4cba-9e60-c29bdeeedaa7}" ref="C110">
      <text>
        <t xml:space="preserve">[Threaded comment]
 Your version of Excel allows you to read this threaded comment; however, any edits to it will get removed if the file is opened in a newer version of Excel. Learn more: https://go.microsoft.com/fwlink/?linkid=870924
Comment:
	https://www.dell.com/en-us/shop/dell-laptops/alienware-16x-aurora-gaming-laptop/spd/alienware-aurora-ac16251-gaming-laptop/useac16251wbtohkqh
</t>
      </text>
    </comment>
    <comment authorId="1235" xr:uid="{72446031-9730-4328-96a5-b7277c429945}" ref="L228">
      <text>
        <t xml:space="preserve">[Threaded comment]
 Your version of Excel allows you to read this threaded comment; however, any edits to it will get removed if the file is opened in a newer version of Excel. Learn more: https://go.microsoft.com/fwlink/?linkid=870924
Comment:
	https://drive.google.com/file/d/1cR56z2VmSeNxqLI8H9nKrpzZ8mtPIAud/view?usp=drive_link
</t>
      </text>
    </comment>
    <comment authorId="1236" xr:uid="{725111fa-cc97-4d1f-bf82-440a7cc17efc}" ref="K680">
      <text>
        <t xml:space="preserve">[Threaded comment]
 Your version of Excel allows you to read this threaded comment; however, any edits to it will get removed if the file is opened in a newer version of Excel. Learn more: https://go.microsoft.com/fwlink/?linkid=870924
Comment:
	https://drive.google.com/file/d/1CstyWlys8emCOmk-tzZ0LAy_8rRFgH_I/view?usp=drive_link
</t>
      </text>
    </comment>
    <comment authorId="1237" xr:uid="{72694a77-a4b0-4d11-9336-55aaafee99e1}" ref="L36">
      <text>
        <t xml:space="preserve">[Threaded comment]
 Your version of Excel allows you to read this threaded comment; however, any edits to it will get removed if the file is opened in a newer version of Excel. Learn more: https://go.microsoft.com/fwlink/?linkid=870924
Comment:
	se aumentó 78 soles para apertura
</t>
      </text>
    </comment>
    <comment authorId="1238" xr:uid="{727a028b-f17c-4fbf-8b5c-f61969ef5ec4}" ref="J733">
      <text>
        <t xml:space="preserve">[Threaded comment]
 Your version of Excel allows you to read this threaded comment; however, any edits to it will get removed if the file is opened in a newer version of Excel. Learn more: https://go.microsoft.com/fwlink/?linkid=870924
Comment:
	https://drive.google.com/file/d/1dSJBJ9yF8gw_wueqovJ6AeUG5PXQfwoI/view?usp=drive_link
</t>
      </text>
    </comment>
    <comment authorId="1239" xr:uid="{729112e1-94df-4af3-bcb2-191c89e47774}" ref="K611">
      <text>
        <t xml:space="preserve">[Threaded comment]
 Your version of Excel allows you to read this threaded comment; however, any edits to it will get removed if the file is opened in a newer version of Excel. Learn more: https://go.microsoft.com/fwlink/?linkid=870924
Comment:
	https://drive.google.com/file/d/1gr8V4yGvAi_TZp89HGo3rgwpBp6co7SF/view?usp=drive_link
</t>
      </text>
    </comment>
    <comment authorId="1240" xr:uid="{72e6a907-d597-4a21-8b92-be41d5a67746}" ref="J484">
      <text>
        <t xml:space="preserve">[Threaded comment]
 Your version of Excel allows you to read this threaded comment; however, any edits to it will get removed if the file is opened in a newer version of Excel. Learn more: https://go.microsoft.com/fwlink/?linkid=870924
Comment:
	https://drive.google.com/file/d/1t8-m2vaK9jNzSQJ07zF_PRPk9fxV_A5p/view?usp=drive_link
</t>
      </text>
    </comment>
    <comment authorId="1241" xr:uid="{72f4b2aa-c44a-486e-a638-4542c7c89b36}" ref="L178">
      <text>
        <t xml:space="preserve">[Threaded comment]
 Your version of Excel allows you to read this threaded comment; however, any edits to it will get removed if the file is opened in a newer version of Excel. Learn more: https://go.microsoft.com/fwlink/?linkid=870924
Comment:
	https://drive.google.com/file/d/1NA2aZV_El0SqprMX4jvaNxGmenQbVt3l/view?usp=drive_link
</t>
      </text>
    </comment>
    <comment authorId="1242" xr:uid="{7335ec66-0067-4e75-bf09-3964829b358a}" ref="L99">
      <text>
        <t xml:space="preserve">[Threaded comment]
 Your version of Excel allows you to read this threaded comment; however, any edits to it will get removed if the file is opened in a newer version of Excel. Learn more: https://go.microsoft.com/fwlink/?linkid=870924
Comment:
	https://drive.google.com/file/d/1Gc9ZOL3ZsZZvl0dGpmtN_MhngVxoGPLG/view?usp=drive_link
https://drive.google.com/file/d/1Rczi7fxP8cWGs3qwWzGH1rkTa0TNnYDL/view?usp=drive_link
</t>
      </text>
    </comment>
    <comment authorId="1243" xr:uid="{7344c17f-67aa-4790-b4cf-9b8d127c722b}" ref="J465">
      <text>
        <t xml:space="preserve">[Threaded comment]
 Your version of Excel allows you to read this threaded comment; however, any edits to it will get removed if the file is opened in a newer version of Excel. Learn more: https://go.microsoft.com/fwlink/?linkid=870924
Comment:
	https://drive.google.com/file/d/1jXS6JjaJpLZoyRceXlfHx7ZuAZOqsqCM/view?usp=drive_link
</t>
      </text>
    </comment>
    <comment authorId="1244" xr:uid="{735033a0-c952-4d3b-9e67-ef84f7fe0e87}" ref="L229">
      <text>
        <t xml:space="preserve">[Threaded comment]
 Your version of Excel allows you to read this threaded comment; however, any edits to it will get removed if the file is opened in a newer version of Excel. Learn more: https://go.microsoft.com/fwlink/?linkid=870924
Comment:
	https://drive.google.com/file/d/1rNObWhC3CiG4jn45kRuaIvebOcRcbPXn/view?usp=drive_link
</t>
      </text>
    </comment>
    <comment authorId="1245" xr:uid="{737b777c-9743-4daf-948a-d0ad619e853b}" ref="L31">
      <text>
        <t xml:space="preserve">[Threaded comment]
 Your version of Excel allows you to read this threaded comment; however, any edits to it will get removed if the file is opened in a newer version of Excel. Learn more: https://go.microsoft.com/fwlink/?linkid=870924
Comment:
	https://drive.google.com/file/d/1It5-NWiwKLwYoRBpc-Sw0dEwE_odT5DN/view?usp=drive_link
Reply:
	https://drive.google.com/file/d/1HId5_3lUGNW63XNe0jBp3-XFuRdbVHVT/view?usp=drive_link
</t>
      </text>
    </comment>
    <comment authorId="1246" xr:uid="{7383a3d9-8e9d-480e-a20c-c67e3848cecf}" ref="J786">
      <text>
        <t xml:space="preserve">[Threaded comment]
 Your version of Excel allows you to read this threaded comment; however, any edits to it will get removed if the file is opened in a newer version of Excel. Learn more: https://go.microsoft.com/fwlink/?linkid=870924
Comment:
	https://drive.google.com/file/d/1qo5CDtfDo_d1k5VAIuFJXbWoCpYWgKcV/view?usp=drive_link
</t>
      </text>
    </comment>
    <comment authorId="1247" xr:uid="{738f70fd-3957-41ac-a75a-4a0603c1ca6f}" ref="Q672">
      <text>
        <t xml:space="preserve">[Threaded comment]
 Your version of Excel allows you to read this threaded comment; however, any edits to it will get removed if the file is opened in a newer version of Excel. Learn more: https://go.microsoft.com/fwlink/?linkid=870924
Comment:
	Falta fixit: 100
Reply:
	fila 658 descontar 100
</t>
      </text>
    </comment>
    <comment authorId="1248" xr:uid="{73ac36da-e20e-4102-a0bc-d164608ebc18}" ref="N421">
      <text>
        <t xml:space="preserve">[Threaded comment]
 Your version of Excel allows you to read this threaded comment; however, any edits to it will get removed if the file is opened in a newer version of Excel. Learn more: https://go.microsoft.com/fwlink/?linkid=870924
Comment:
	lo copie de uno similar, porque estaba 1500 antes
</t>
      </text>
    </comment>
    <comment authorId="1249" xr:uid="{73b8c8a5-2601-40b9-8972-e5c6613db627}" ref="F683">
      <text>
        <t xml:space="preserve">[Threaded comment]
 Your version of Excel allows you to read this threaded comment; however, any edits to it will get removed if the file is opened in a newer version of Excel. Learn more: https://go.microsoft.com/fwlink/?linkid=870924
Comment:
	se esta procesando
</t>
      </text>
    </comment>
    <comment authorId="1250" xr:uid="{740acf86-0b90-4254-ba29-59d05e7b7474}" ref="T695">
      <text>
        <t xml:space="preserve">[Threaded comment]
 Your version of Excel allows you to read this threaded comment; however, any edits to it will get removed if the file is opened in a newer version of Excel. Learn more: https://go.microsoft.com/fwlink/?linkid=870924
Comment:
	de fila 710 aperura + configuracion
</t>
      </text>
    </comment>
    <comment authorId="1251" xr:uid="{740f2dbf-6faa-4196-9200-fb0bc6029eb8}" ref="K727">
      <text>
        <t xml:space="preserve">[Threaded comment]
 Your version of Excel allows you to read this threaded comment; however, any edits to it will get removed if the file is opened in a newer version of Excel. Learn more: https://go.microsoft.com/fwlink/?linkid=870924
Comment:
	https://drive.google.com/file/d/15fJFX1xvWpjU7FOL4Iuq9bfguIcI6L0-/view?usp=drive_link
</t>
      </text>
    </comment>
    <comment authorId="1252" xr:uid="{74116036-f1cc-43ba-b8f5-406bd177d3d4}" ref="AF527">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253" xr:uid="{742631e7-0b29-4689-bc69-1a57ae64d56c}" ref="J394">
      <text>
        <t xml:space="preserve">[Threaded comment]
 Your version of Excel allows you to read this threaded comment; however, any edits to it will get removed if the file is opened in a newer version of Excel. Learn more: https://go.microsoft.com/fwlink/?linkid=870924
Comment:
	https://drive.google.com/file/d/1e-_r2qNXVmta331UozIerXiXeB_TM0wE/view?usp=drive_link
</t>
      </text>
    </comment>
    <comment authorId="1254" xr:uid="{742b90c2-ca19-4d11-aaaa-ccb0898644e7}" ref="AH729">
      <text>
        <t xml:space="preserve">[Threaded comment]
 Your version of Excel allows you to read this threaded comment; however, any edits to it will get removed if the file is opened in a newer version of Excel. Learn more: https://go.microsoft.com/fwlink/?linkid=870924
Comment:
	https://drive.google.com/file/d/1ARyGZ-EPuMaAYoP1RfVNFu6Lzrnl6TYp/view?usp=drive_link
</t>
      </text>
    </comment>
    <comment authorId="1255" xr:uid="{743b9090-e141-47dd-b483-783a902256a0}" ref="N272">
      <text>
        <t xml:space="preserve">[Threaded comment]
 Your version of Excel allows you to read this threaded comment; however, any edits to it will get removed if the file is opened in a newer version of Excel. Learn more: https://go.microsoft.com/fwlink/?linkid=870924
Comment:
	se acordó que se me daría un descuento de 50 dólares por ser mi familiar
</t>
      </text>
    </comment>
    <comment authorId="1256" xr:uid="{744fc181-c364-4e78-b016-baa97c769f22}" ref="K437">
      <text>
        <t xml:space="preserve">[Threaded comment]
 Your version of Excel allows you to read this threaded comment; however, any edits to it will get removed if the file is opened in a newer version of Excel. Learn more: https://go.microsoft.com/fwlink/?linkid=870924
Comment:
	https://drive.google.com/file/d/1kJlmjO7CacrpEMQPhnEUNmhwoDhHyFmU/view?usp=drive_link
</t>
      </text>
    </comment>
    <comment authorId="1257" xr:uid="{745b9106-d96a-42e9-8eff-71421b304342}" ref="Q536">
      <text>
        <t xml:space="preserve">[Threaded comment]
 Your version of Excel allows you to read this threaded comment; however, any edits to it will get removed if the file is opened in a newer version of Excel. Learn more: https://go.microsoft.com/fwlink/?linkid=870924
Comment:
	office 2024 + eset nod 32 + configuración inicial con formateo
</t>
      </text>
    </comment>
    <comment authorId="1258" xr:uid="{74743a73-1fc6-4f49-8395-ef6a22b389fa}" ref="J96">
      <text>
        <t xml:space="preserve">[Threaded comment]
 Your version of Excel allows you to read this threaded comment; however, any edits to it will get removed if the file is opened in a newer version of Excel. Learn more: https://go.microsoft.com/fwlink/?linkid=870924
Comment:
	https://drive.google.com/file/d/1rT2b3sOY44eloEkuv43mVSVMRlCxzbY2/view?usp=drive_link
</t>
      </text>
    </comment>
    <comment authorId="1259" xr:uid="{7488ce31-a172-4579-a131-6bc716a58674}" ref="M279">
      <text>
        <t xml:space="preserve">[Threaded comment]
 Your version of Excel allows you to read this threaded comment; however, any edits to it will get removed if the file is opened in a newer version of Excel. Learn more: https://go.microsoft.com/fwlink/?linkid=870924
Comment:
	no se ha colocado el precio de compra todavía en el sheet
</t>
      </text>
    </comment>
    <comment authorId="1260" xr:uid="{749a3963-98cf-4b41-913f-52bf98b4319a}" ref="AI744">
      <text>
        <t xml:space="preserve">[Threaded comment]
 Your version of Excel allows you to read this threaded comment; however, any edits to it will get removed if the file is opened in a newer version of Excel. Learn more: https://go.microsoft.com/fwlink/?linkid=870924
Comment:
	https://drive.google.com/file/d/1zDV_KhvnFXJdldWU7j_4kCDSo1OQ0Wc_/view?usp=drive_link
</t>
      </text>
    </comment>
    <comment authorId="1261" xr:uid="{749d50f9-43b0-4739-87d8-19dbefcec296}" ref="J113">
      <text>
        <t xml:space="preserve">[Threaded comment]
 Your version of Excel allows you to read this threaded comment; however, any edits to it will get removed if the file is opened in a newer version of Excel. Learn more: https://go.microsoft.com/fwlink/?linkid=870924
Comment:
	https://drive.google.com/file/d/1ebc0Mt6rFp6vcuKx1Ek93DS7jBAZh7Ku/view?usp=drive_link
</t>
      </text>
    </comment>
    <comment authorId="1262" xr:uid="{74b4e22f-be42-46d7-9d6f-1c94d628a7f2}" ref="P359">
      <text>
        <t xml:space="preserve">[Threaded comment]
 Your version of Excel allows you to read this threaded comment; however, any edits to it will get removed if the file is opened in a newer version of Excel. Learn more: https://go.microsoft.com/fwlink/?linkid=870924
Comment:
	descontarlo de fila 407
</t>
      </text>
    </comment>
    <comment authorId="1263" xr:uid="{74ce98ab-be47-4afd-8cf1-223dc0063546}" ref="C169">
      <text>
        <t xml:space="preserve">[Threaded comment]
 Your version of Excel allows you to read this threaded comment; however, any edits to it will get removed if the file is opened in a newer version of Excel. Learn more: https://go.microsoft.com/fwlink/?linkid=870924
Comment:
	https://shop.asus.com/us/rog/90nr0ls1-m003k0-rog-strix-scar-18-2025.html?config=90NR0LS1-M003K0
</t>
      </text>
    </comment>
    <comment authorId="1264" xr:uid="{74d03f2d-9759-468f-bebf-8d9cddce4109}" ref="L68">
      <text>
        <t xml:space="preserve">[Threaded comment]
 Your version of Excel allows you to read this threaded comment; however, any edits to it will get removed if the file is opened in a newer version of Excel. Learn more: https://go.microsoft.com/fwlink/?linkid=870924
Comment:
	https://drive.google.com/file/d/10kJHomObTK-Xvaw6Ldk81MkLlVaN1HSN/view?usp=drive_link
</t>
      </text>
    </comment>
    <comment authorId="1265" xr:uid="{74d0fefe-b6c6-4798-83a8-40c7c84c6fad}" ref="L27">
      <text>
        <t xml:space="preserve">[Threaded comment]
 Your version of Excel allows you to read this threaded comment; however, any edits to it will get removed if the file is opened in a newer version of Excel. Learn more: https://go.microsoft.com/fwlink/?linkid=870924
Comment:
	333.89 aumenté, 100 es porque pagará con tarjeta 2000
</t>
      </text>
    </comment>
    <comment authorId="1266" xr:uid="{74e8d1ea-6553-4a25-a732-098660d5a8e3}" ref="W388">
      <text>
        <t xml:space="preserve">[Threaded comment]
 Your version of Excel allows you to read this threaded comment; however, any edits to it will get removed if the file is opened in a newer version of Excel. Learn more: https://go.microsoft.com/fwlink/?linkid=870924
Comment:
	https://drive.google.com/file/d/11rUNImfkce_I3bpjftA6rwRnSSp8scGg/view?usp=drive_link
</t>
      </text>
    </comment>
    <comment authorId="1267" xr:uid="{74f39a1f-a685-4ccf-bd05-583ab1fc67ce}" ref="W275">
      <text>
        <t xml:space="preserve">[Threaded comment]
 Your version of Excel allows you to read this threaded comment; however, any edits to it will get removed if the file is opened in a newer version of Excel. Learn more: https://go.microsoft.com/fwlink/?linkid=870924
Comment:
	https://drive.google.com/file/d/1nxCfeKZGpVSWAU6JnMmxdIPrygnkMIqf/view?usp=drive_link
</t>
      </text>
    </comment>
    <comment authorId="1268" xr:uid="{74f4b64b-8e4f-4b89-a759-ab5580e5fe52}" ref="K329">
      <text>
        <t xml:space="preserve">[Threaded comment]
 Your version of Excel allows you to read this threaded comment; however, any edits to it will get removed if the file is opened in a newer version of Excel. Learn more: https://go.microsoft.com/fwlink/?linkid=870924
Comment:
	https://drive.google.com/file/d/1OQSjZvD862ba6MPtHC69c2o3O18pXbzj/view?usp=drive_link
https://drive.google.com/file/d/1EKOE9-OiysjytM9NbbFjIgqF2R8PDMbY/view?usp=drive_link
</t>
      </text>
    </comment>
    <comment authorId="1269" xr:uid="{74f73382-c5fc-4e51-a387-5831246844a1}" ref="K738">
      <text>
        <t xml:space="preserve">[Threaded comment]
 Your version of Excel allows you to read this threaded comment; however, any edits to it will get removed if the file is opened in a newer version of Excel. Learn more: https://go.microsoft.com/fwlink/?linkid=870924
Comment:
	https://drive.google.com/file/d/18pGT_vl_mmfsg8pzJxMgt_gIimNcB_JH/view?usp=drive_link
</t>
      </text>
    </comment>
    <comment authorId="1270" xr:uid="{7518b737-ab5b-432d-a4af-72698f25c4d0}" ref="J774">
      <text>
        <t xml:space="preserve">[Threaded comment]
 Your version of Excel allows you to read this threaded comment; however, any edits to it will get removed if the file is opened in a newer version of Excel. Learn more: https://go.microsoft.com/fwlink/?linkid=870924
Comment:
	https://drive.google.com/file/d/1EmOHJ6MOn_Bx3MkD6L30LnsZrEacFCRl/view?usp=drive_link
</t>
      </text>
    </comment>
    <comment authorId="1271" xr:uid="{752e26a6-0242-4a29-80da-2a3946aaabdc}" ref="AF42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272" xr:uid="{75358e9e-6b4b-4a31-965f-744b98f13886}" ref="J683">
      <text>
        <t xml:space="preserve">[Threaded comment]
 Your version of Excel allows you to read this threaded comment; however, any edits to it will get removed if the file is opened in a newer version of Excel. Learn more: https://go.microsoft.com/fwlink/?linkid=870924
Comment:
	https://drive.google.com/file/d/11vez8ptgGWRlH91IYwNh-fVz-c5g6b41/view?usp=drive_link
</t>
      </text>
    </comment>
    <comment authorId="1273" xr:uid="{754382fa-06fb-4035-9435-4f2445cb09cf}" ref="K678">
      <text>
        <t xml:space="preserve">[Threaded comment]
 Your version of Excel allows you to read this threaded comment; however, any edits to it will get removed if the file is opened in a newer version of Excel. Learn more: https://go.microsoft.com/fwlink/?linkid=870924
Comment:
	https://drive.google.com/file/d/1zmBaGW8aXeD1WCrviY6ZapGKtaK6K-uR/view?usp=drive_link
</t>
      </text>
    </comment>
    <comment authorId="1274" xr:uid="{7545b35b-7caa-44d4-a58f-0cfa0a52198f}" ref="Q569">
      <text>
        <t xml:space="preserve">[Threaded comment]
 Your version of Excel allows you to read this threaded comment; however, any edits to it will get removed if the file is opened in a newer version of Excel. Learn more: https://go.microsoft.com/fwlink/?linkid=870924
Comment:
	cconfiguración inicial + office 2024
</t>
      </text>
    </comment>
    <comment authorId="1275" xr:uid="{759f3d59-54bc-4447-9417-04b0d2d16300}" ref="L286">
      <text>
        <t xml:space="preserve">[Threaded comment]
 Your version of Excel allows you to read this threaded comment; however, any edits to it will get removed if the file is opened in a newer version of Excel. Learn more: https://go.microsoft.com/fwlink/?linkid=870924
Comment:
	https://drive.google.com/file/d/1p0sQo-5GBV8d9Bj7D4Fa15ZdyuolRCij/view?usp=drive_link
Reply:
	https://drive.google.com/file/d/1-HxRS7JzEOJOl7ZWv1waRJjD5vba4mbK/view?usp=drive_link
Reply:
	https://drive.google.com/file/d/1Qe7tfJ0FgA3dTq5TX5OuxOtXYkZpTvvK/view?usp=drive_link
</t>
      </text>
    </comment>
    <comment authorId="1276" xr:uid="{75d10b28-53f6-40a6-bef3-4ebe1da35324}" ref="C284">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
</t>
      </text>
    </comment>
    <comment authorId="1277" xr:uid="{75d4780c-c1c9-4585-bd8d-9af9615adc83}" ref="W375">
      <text>
        <t xml:space="preserve">[Threaded comment]
 Your version of Excel allows you to read this threaded comment; however, any edits to it will get removed if the file is opened in a newer version of Excel. Learn more: https://go.microsoft.com/fwlink/?linkid=870924
Comment:
	https://drive.google.com/file/d/1YFojKRAmMHB5eiBKQ0BI1ub4o2n361Bm/view?usp=drive_link
</t>
      </text>
    </comment>
    <comment authorId="1278" xr:uid="{75e3190e-f5d5-4a51-a714-94fecf5a27b9}" ref="J439">
      <text>
        <t xml:space="preserve">[Threaded comment]
 Your version of Excel allows you to read this threaded comment; however, any edits to it will get removed if the file is opened in a newer version of Excel. Learn more: https://go.microsoft.com/fwlink/?linkid=870924
Comment:
	https://drive.google.com/file/d/1Ad21VKCF7Vzr23pJ9uu48RfPD6TDBYgk/view?usp=drive_link
Reply:
	https://drive.google.com/file/d/1ropeYCBxXkICph7kxpBYk3MN3SBAjoiy/view?usp=drive_link
</t>
      </text>
    </comment>
    <comment authorId="1279" xr:uid="{75f0a4c9-907c-419b-8e00-974d7da5de18}" ref="K431">
      <text>
        <t xml:space="preserve">[Threaded comment]
 Your version of Excel allows you to read this threaded comment; however, any edits to it will get removed if the file is opened in a newer version of Excel. Learn more: https://go.microsoft.com/fwlink/?linkid=870924
Comment:
	https://drive.google.com/file/d/15478r2rdDWW_rOKudnT15dBQq2N-Lyj1/view?usp=drive_link
Reply:
	https://drive.google.com/file/d/130N85cOgHGrEkr9pVo9d5M40CEcdt8_d/view?usp=drive_link
Reply:
	https://drive.google.com/file/d/1wV_FNRVa2yP9X7GsMKoWpeZwPIA-Pjjw/view?usp=drive_link
Reply:
	https://drive.google.com/file/d/1sM73Iy8lLgdjsoTHGoPe_CzFmV6d4oAW/view?usp=drive_link
</t>
      </text>
    </comment>
    <comment authorId="1280" xr:uid="{76268672-2f6c-475a-ba1c-c61e812fd858}" ref="C552">
      <text>
        <t xml:space="preserve">[Threaded comment]
 Your version of Excel allows you to read this threaded comment; however, any edits to it will get removed if the file is opened in a newer version of Excel. Learn more: https://go.microsoft.com/fwlink/?linkid=870924
Comment:
	https://www.ebay.com/itm/326840072490?_skw=laptop+gaming&amp;itmmeta=01KHN5B21PYNDPA6E1QHAWW3DZ&amp;hash=item4c192fb92a:g:ingAAeSwviJpixKV
</t>
      </text>
    </comment>
    <comment authorId="1281" xr:uid="{765e443b-72a3-40b9-a39f-6f09a434d53d}" ref="AF717">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282" xr:uid="{7671c293-b89d-40ec-a9b7-b9ccb558469e}" ref="N387">
      <text>
        <t xml:space="preserve">[Threaded comment]
 Your version of Excel allows you to read this threaded comment; however, any edits to it will get removed if the file is opened in a newer version of Excel. Learn more: https://go.microsoft.com/fwlink/?linkid=870924
Comment:
	no lo han puesto en el sheet
</t>
      </text>
    </comment>
    <comment authorId="1283" xr:uid="{7672c09f-b9c7-436e-85f5-478babe785e0}" ref="O213">
      <text>
        <t xml:space="preserve">[Threaded comment]
 Your version of Excel allows you to read this threaded comment; however, any edits to it will get removed if the file is opened in a newer version of Excel. Learn more: https://go.microsoft.com/fwlink/?linkid=870924
Comment:
	no concuerda con los 185.00
</t>
      </text>
    </comment>
    <comment authorId="1284" xr:uid="{7679ff60-a96f-44ca-9b44-71c8fb51a91d}" ref="J550">
      <text>
        <t xml:space="preserve">[Threaded comment]
 Your version of Excel allows you to read this threaded comment; however, any edits to it will get removed if the file is opened in a newer version of Excel. Learn more: https://go.microsoft.com/fwlink/?linkid=870924
Comment:
	https://drive.google.com/file/d/1LbBU1j9po9tuJfJCEQZsSIlkOO_eje5T/view?usp=drive_link PAGO 1560
https://drive.google.com/file/d/1FUuU9VnpXKAWSHJX5tTllJwHJwZ1TPdd/view?usp=drive_link PAGO 500
</t>
      </text>
    </comment>
    <comment authorId="1285" xr:uid="{767a5cc5-eee0-400c-96ec-709c51e4d3c1}" ref="J165">
      <text>
        <t xml:space="preserve">[Threaded comment]
 Your version of Excel allows you to read this threaded comment; however, any edits to it will get removed if the file is opened in a newer version of Excel. Learn more: https://go.microsoft.com/fwlink/?linkid=870924
Comment:
	https://drive.google.com/file/d/1y6LoQmyw75HstYF-uK6-wpqxKRGMC9Jg/view?usp=drive_link
</t>
      </text>
    </comment>
    <comment authorId="1286" xr:uid="{76852347-b70a-43bf-b262-f2871241eef1}" ref="J9">
      <text>
        <t xml:space="preserve">[Threaded comment]
 Your version of Excel allows you to read this threaded comment; however, any edits to it will get removed if the file is opened in a newer version of Excel. Learn more: https://go.microsoft.com/fwlink/?linkid=870924
Comment:
	https://drive.google.com/file/d/1nA1TVg46_GxQncKjwjQgBJg620Y7uE5E/view?usp=drive_link
https://drive.google.com/file/d/1J64qDzPg_OqcvyO9658DvJoDeIulAeTn/view?usp=drive_link
</t>
      </text>
    </comment>
    <comment authorId="1287" xr:uid="{76a17ef1-851d-4a9b-8fe7-30823edeb9f6}" ref="K468">
      <text>
        <t xml:space="preserve">[Threaded comment]
 Your version of Excel allows you to read this threaded comment; however, any edits to it will get removed if the file is opened in a newer version of Excel. Learn more: https://go.microsoft.com/fwlink/?linkid=870924
Comment:
	https://drive.google.com/file/d/1qQgQ8X8Rodb9uZ1DK_Nyop-Oq-LlFs7y/view?usp=drive_link
</t>
      </text>
    </comment>
    <comment authorId="1288" xr:uid="{76a88001-7333-439d-8601-f3236c5907ca}" ref="J362">
      <text>
        <t xml:space="preserve">[Threaded comment]
 Your version of Excel allows you to read this threaded comment; however, any edits to it will get removed if the file is opened in a newer version of Excel. Learn more: https://go.microsoft.com/fwlink/?linkid=870924
Comment:
	https://drive.google.com/file/d/1jy8l-PC6V_acKejt8c3H7iN3SgEn7NPg/view?usp=drive_link
</t>
      </text>
    </comment>
    <comment authorId="1289" xr:uid="{76aa3244-c3fc-4dc2-a7ba-44bb3d785c7f}" ref="AF272">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1290" xr:uid="{76be984d-87e4-4f8a-8944-a50a2b10d3f5}" ref="J83">
      <text>
        <t xml:space="preserve">[Threaded comment]
 Your version of Excel allows you to read this threaded comment; however, any edits to it will get removed if the file is opened in a newer version of Excel. Learn more: https://go.microsoft.com/fwlink/?linkid=870924
Comment:
	https://drive.google.com/file/d/1e4h99ZshAY4zakdxIbCcHe8emG7vX4U7/view?usp=drive_link
</t>
      </text>
    </comment>
    <comment authorId="1291" xr:uid="{7710689e-f06c-42b4-be10-62893c2d870e}" ref="K358">
      <text>
        <t xml:space="preserve">[Threaded comment]
 Your version of Excel allows you to read this threaded comment; however, any edits to it will get removed if the file is opened in a newer version of Excel. Learn more: https://go.microsoft.com/fwlink/?linkid=870924
Comment:
	https://drive.google.com/file/d/1y4VCy1fh1z1C0yMFGuZGBLizvxfCxjrA/view?usp=drive_link
Reply:
	https://drive.google.com/file/d/1mCEb09vORmyxsbWqNdfNXVQg1yR95xt8/view?usp=drive_link
</t>
      </text>
    </comment>
    <comment authorId="1292" xr:uid="{773e33d3-c1e0-4908-8c2a-b0f0ad1c3d58}" ref="AF68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293" xr:uid="{77aeb65e-7de2-4970-b948-e148cc887b5d}" ref="J351">
      <text>
        <t xml:space="preserve">[Threaded comment]
 Your version of Excel allows you to read this threaded comment; however, any edits to it will get removed if the file is opened in a newer version of Excel. Learn more: https://go.microsoft.com/fwlink/?linkid=870924
Comment:
	https://drive.google.com/file/d/1bgSMBHbjVF_2JlLya2vUc1UZaajcZu2K/view?usp=drive_link
</t>
      </text>
    </comment>
    <comment authorId="1294" xr:uid="{77d75d2d-c86e-477e-87bf-523d5d4639fa}" ref="C144">
      <text>
        <t xml:space="preserve">[Threaded comment]
 Your version of Excel allows you to read this threaded comment; however, any edits to it will get removed if the file is opened in a newer version of Excel. Learn more: https://go.microsoft.com/fwlink/?linkid=870924
Comment:
	https://www.ebay.com/itm/127152151087?_skw=scar+18+5090&amp;itmmeta=01K07B74KJTNVVK4EW54SKD9TG&amp;hash=item1d9adbda2f%3Ag%3ASuEAAOSwLf1oSfus&amp;itmprp=enc%3AAQAKAAAA0FkggFvd1GGDu0w3yXCmi1e5MZ8jIdve6y9h31opGAh2f5MQRECCPUThpqxRdH%2F5hIORgkOkM3M%2FAVQkzJ3rsluPTyqXNCU4cve9iPuQZ%2Bk5jJ2huLDWWFYAw8mgv%2F6Q4kvPusizA6xkQLGbxc8HzixWAhd3arVj7y24l%2B2B11I7C4es8VoCwjAHlUBk79DdMeUjST1XyjrdxiqOGcHijowKWOKorIomPAvr7pf1Mz2GLvY75uhF%2FMErPDfTvLjCUPNPjaLZILhfd2Biou1X3Hw%3D%7Ctkp%3ABk9SR-DKnOuBZg&amp;LH_ItemCondition=3
</t>
      </text>
    </comment>
    <comment authorId="1295" xr:uid="{7802fd78-69a3-4f47-8acf-72e0ef09afe0}" ref="D405">
      <text>
        <t xml:space="preserve">[Threaded comment]
 Your version of Excel allows you to read this threaded comment; however, any edits to it will get removed if the file is opened in a newer version of Excel. Learn more: https://go.microsoft.com/fwlink/?linkid=870924
Comment:
	521 ram
</t>
      </text>
    </comment>
    <comment authorId="1296" xr:uid="{7805b5d4-1f96-4cc9-ae54-412f9b5e6463}" ref="AF230">
      <text>
        <t xml:space="preserve">[Threaded comment]
 Your version of Excel allows you to read this threaded comment; however, any edits to it will get removed if the file is opened in a newer version of Excel. Learn more: https://go.microsoft.com/fwlink/?linkid=870924
Comment:
	comprobante
</t>
      </text>
    </comment>
    <comment authorId="1297" xr:uid="{78185e68-9b08-424f-b3e2-8276fa39f843}" ref="N256">
      <text>
        <t xml:space="preserve">[Threaded comment]
 Your version of Excel allows you to read this threaded comment; however, any edits to it will get removed if the file is opened in a newer version of Excel. Learn more: https://go.microsoft.com/fwlink/?linkid=870924
Comment:
	S/.1.474,32203
S/.1.739,7000
</t>
      </text>
    </comment>
    <comment authorId="1298" xr:uid="{7829812a-1419-4d76-bf66-52a3f9f5a04a}" ref="W336">
      <text>
        <t xml:space="preserve">[Threaded comment]
 Your version of Excel allows you to read this threaded comment; however, any edits to it will get removed if the file is opened in a newer version of Excel. Learn more: https://go.microsoft.com/fwlink/?linkid=870924
Comment:
	https://drive.google.com/file/d/1JWCrI34f_faDDHomb1N1yQg3w_BQJYfh/view?usp=drive_link
</t>
      </text>
    </comment>
    <comment authorId="1299" xr:uid="{78382249-9081-4855-90b1-4527896acedd}" ref="J378">
      <text>
        <t xml:space="preserve">[Threaded comment]
 Your version of Excel allows you to read this threaded comment; however, any edits to it will get removed if the file is opened in a newer version of Excel. Learn more: https://go.microsoft.com/fwlink/?linkid=870924
Comment:
	https://drive.google.com/file/d/14X4IV6qx8hliR6R8Nlfxss38J3JZmhQC/view?usp=drive_link
</t>
      </text>
    </comment>
    <comment authorId="1300" xr:uid="{78bc7d86-5189-46a4-886d-44932a57c0e1}" ref="J513">
      <text>
        <t xml:space="preserve">[Threaded comment]
 Your version of Excel allows you to read this threaded comment; however, any edits to it will get removed if the file is opened in a newer version of Excel. Learn more: https://go.microsoft.com/fwlink/?linkid=870924
Comment:
	https://drive.google.com/file/d/16PFxgtZXcuK_GBaG1r25H5z-6c6WMmJ0/view?usp=drive_link
</t>
      </text>
    </comment>
    <comment authorId="1301" xr:uid="{78f7d57c-ccad-430d-b748-fb03f98bc159}" ref="J554">
      <text>
        <t xml:space="preserve">[Threaded comment]
 Your version of Excel allows you to read this threaded comment; however, any edits to it will get removed if the file is opened in a newer version of Excel. Learn more: https://go.microsoft.com/fwlink/?linkid=870924
Comment:
	https://drive.google.com/file/d/1-Aka80b6O5PG6dc3ozGAvauyZg9o_gOF/view?usp=drive_link
Reply:
	https://drive.google.com/file/d/1K83KBuAb4AizsKwOJxGIf0bH9d0wwoVa/view?usp=drive_link
Reply:
	https://drive.google.com/file/d/1TxjGCstNuyQhqpJfZ8RwJe9I2Ty3-j3v/view?usp=drive_link
Reply:
	https://drive.google.com/file/d/1_YlW2VyyfNSWzBjklgSpaevlpD7r9v_b/view?usp=drive_link
</t>
      </text>
    </comment>
    <comment authorId="1302" xr:uid="{79188e82-1ba4-44dc-adba-abb25ae465ef}" ref="J669">
      <text>
        <t xml:space="preserve">[Threaded comment]
 Your version of Excel allows you to read this threaded comment; however, any edits to it will get removed if the file is opened in a newer version of Excel. Learn more: https://go.microsoft.com/fwlink/?linkid=870924
Comment:
	https://drive.google.com/file/d/1KifnDPiLopPB9WACceCr2wVvI4PxAsXE/view?usp=drive_link
</t>
      </text>
    </comment>
    <comment authorId="1303" xr:uid="{79495554-1e5d-4909-af48-7584e1fd8e62}" ref="D270">
      <text>
        <t xml:space="preserve">[Threaded comment]
 Your version of Excel allows you to read this threaded comment; however, any edits to it will get removed if the file is opened in a newer version of Excel. Learn more: https://go.microsoft.com/fwlink/?linkid=870924
Comment:
	✅NOMBRES COMPLETOS O RAZÓN SOCIAL: Houston Jonathan Modragon Pintado.
✅DNI O RUC: 45420443
✅NÚMERO DE CELULAR: 995253128
✅CORREO ELECTRÓNICO: modragon.jona@gmail.com
</t>
      </text>
    </comment>
    <comment authorId="1304" xr:uid="{7957e9e5-a025-4577-9021-b81248b3be7f}" ref="J759">
      <text>
        <t xml:space="preserve">[Threaded comment]
 Your version of Excel allows you to read this threaded comment; however, any edits to it will get removed if the file is opened in a newer version of Excel. Learn more: https://go.microsoft.com/fwlink/?linkid=870924
Comment:
	https://drive.google.com/file/d/1pw2KKAGdvxfprkWWdz-FxhLwro1c_R5W/view?usp=drive_link
https://drive.google.com/file/d/17YjW5xk2KmVCPhcMYv7eEJVAeK36tZ_8/view?usp=drive_link
Reply:
	revisar culqui
</t>
      </text>
    </comment>
    <comment authorId="1305" xr:uid="{799c49e4-eb63-42e4-8af8-37423b82edd5}" ref="K495">
      <text>
        <t xml:space="preserve">[Threaded comment]
 Your version of Excel allows you to read this threaded comment; however, any edits to it will get removed if the file is opened in a newer version of Excel. Learn more: https://go.microsoft.com/fwlink/?linkid=870924
Comment:
	https://drive.google.com/file/d/11QNSOcJstgfX7zw7Shmpt85tMMnuD6lj/view?usp=drive_link
</t>
      </text>
    </comment>
    <comment authorId="1306" xr:uid="{79acbe9d-dc11-4289-9fb8-2a9e1b8d0f41}" ref="F490">
      <text>
        <t xml:space="preserve">[Threaded comment]
 Your version of Excel allows you to read this threaded comment; however, any edits to it will get removed if the file is opened in a newer version of Excel. Learn more: https://go.microsoft.com/fwlink/?linkid=870924
Comment:
	enviar por courier (no viajero)
</t>
      </text>
    </comment>
    <comment authorId="1307" xr:uid="{79adb9e9-9503-49ea-b455-5add7e3781bf}" ref="J509">
      <text>
        <t xml:space="preserve">[Threaded comment]
 Your version of Excel allows you to read this threaded comment; however, any edits to it will get removed if the file is opened in a newer version of Excel. Learn more: https://go.microsoft.com/fwlink/?linkid=870924
Comment:
	https://drive.google.com/file/d/1LQB9bu-5TKi7T9s5UtMiON8ACwOwBne6/view?usp=drive_link
</t>
      </text>
    </comment>
    <comment authorId="1308" xr:uid="{79aeff4c-180d-45d6-8a67-5e3a502f2912}" ref="W320">
      <text>
        <t xml:space="preserve">[Threaded comment]
 Your version of Excel allows you to read this threaded comment; however, any edits to it will get removed if the file is opened in a newer version of Excel. Learn more: https://go.microsoft.com/fwlink/?linkid=870924
Comment:
	https://drive.google.com/file/d/1weSsfAKi7yaz1KBLj7ZsWFm-HLM36g6b/view?usp=drive_link
</t>
      </text>
    </comment>
    <comment authorId="1309" xr:uid="{79baf5dd-e559-49ba-bbd4-ae28777b86de}" ref="AF374">
      <text>
        <t xml:space="preserve">[Threaded comment]
 Your version of Excel allows you to read this threaded comment; however, any edits to it will get removed if the file is opened in a newer version of Excel. Learn more: https://go.microsoft.com/fwlink/?linkid=870924
Comment:
	Solo verificar para donde va el excedente
Reply:
	Marcado como resuelto
Reply:
	Reabierto
</t>
      </text>
    </comment>
    <comment authorId="1310" xr:uid="{79f54d79-417d-459c-994b-e9b011a17718}" ref="Q704">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1311" xr:uid="{79fd5243-9677-43a9-80ec-4ea804866292}" ref="J744">
      <text>
        <t xml:space="preserve">[Threaded comment]
 Your version of Excel allows you to read this threaded comment; however, any edits to it will get removed if the file is opened in a newer version of Excel. Learn more: https://go.microsoft.com/fwlink/?linkid=870924
Comment:
	https://drive.google.com/file/d/1RbMtUt5RXRCSqTqmmH2eM6jNqNDDfkbU/view?usp=drive_link
</t>
      </text>
    </comment>
    <comment authorId="1312" xr:uid="{7a063a3e-459c-4802-82c6-9550a6df7774}" ref="C66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313" xr:uid="{7a1031e2-d382-427c-970f-9fde27cfddf1}" ref="K349">
      <text>
        <t xml:space="preserve">[Threaded comment]
 Your version of Excel allows you to read this threaded comment; however, any edits to it will get removed if the file is opened in a newer version of Excel. Learn more: https://go.microsoft.com/fwlink/?linkid=870924
Comment:
	https://drive.google.com/file/d/1FtVuucRXvZry-Aw7r_001fGWBBbws6FL/view?usp=drive_link
</t>
      </text>
    </comment>
    <comment authorId="1314" xr:uid="{7a3f33c3-b9f4-4993-ab43-238746a9aff3}" ref="C239">
      <text>
        <t xml:space="preserve">[Threaded comment]
 Your version of Excel allows you to read this threaded comment; however, any edits to it will get removed if the file is opened in a newer version of Excel. Learn more: https://go.microsoft.com/fwlink/?linkid=870924
Comment:
	https://www.ebay.com/itm/326677331843?_skw=rtx&amp;epid=10084476461&amp;itmmeta=01K58WGTQZH3Q9FW4XPE0Q68G5&amp;hash=item4c0f7c7f83:g:lUIAAeSwOlJowZ1A
</t>
      </text>
    </comment>
    <comment authorId="1315" xr:uid="{7a66ea0c-afde-4bd5-9cec-8fb7ad63b3db}" ref="AF344">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1316" xr:uid="{7a6abf65-d8f3-43b4-a78e-8c36689d0557}" ref="J455">
      <text>
        <t xml:space="preserve">[Threaded comment]
 Your version of Excel allows you to read this threaded comment; however, any edits to it will get removed if the file is opened in a newer version of Excel. Learn more: https://go.microsoft.com/fwlink/?linkid=870924
Comment:
	https://drive.google.com/file/d/12Vyq3nCzUB7S9WuqhDz1TsAui8dM_Vw4/view?usp=drive_link
</t>
      </text>
    </comment>
    <comment authorId="1317" xr:uid="{7ac4c372-3d16-40e4-a5f6-afc1e12ea286}" ref="L57">
      <text>
        <t xml:space="preserve">[Threaded comment]
 Your version of Excel allows you to read this threaded comment; however, any edits to it will get removed if the file is opened in a newer version of Excel. Learn more: https://go.microsoft.com/fwlink/?linkid=870924
Comment:
	https://drive.google.com/file/d/17GMcKhl6EMFJP3ho0hR8nUGkd_5RCk1F/view?usp=drive_link
</t>
      </text>
    </comment>
    <comment authorId="1318" xr:uid="{7aea4ebf-6ab8-4525-9ebb-e0e938f8cd18}" ref="J309">
      <text>
        <t xml:space="preserve">[Threaded comment]
 Your version of Excel allows you to read this threaded comment; however, any edits to it will get removed if the file is opened in a newer version of Excel. Learn more: https://go.microsoft.com/fwlink/?linkid=870924
Comment:
	https://drive.google.com/file/d/1SaOMMEP56G_s_PPWdznEsQ5JzEjeMAHY/view?usp=drive_link
</t>
      </text>
    </comment>
    <comment authorId="1319" xr:uid="{7aee519d-5948-4601-9794-3dbe6d85e773}" ref="AF296">
      <text>
        <t xml:space="preserve">[Threaded comment]
 Your version of Excel allows you to read this threaded comment; however, any edits to it will get removed if the file is opened in a newer version of Excel. Learn more: https://go.microsoft.com/fwlink/?linkid=870924
Comment:
	SOLO DNI
</t>
      </text>
    </comment>
    <comment authorId="1320" xr:uid="{7aee8704-4b63-4442-843b-f2ab56df760f}" ref="L46">
      <text>
        <t xml:space="preserve">[Threaded comment]
 Your version of Excel allows you to read this threaded comment; however, any edits to it will get removed if the file is opened in a newer version of Excel. Learn more: https://go.microsoft.com/fwlink/?linkid=870924
Comment:
	https://drive.google.com/file/d/1tKOQuCXwW3FEOe6-cJNiyS2cbveIGLu0/view?usp=drive_link
</t>
      </text>
    </comment>
    <comment authorId="1321" xr:uid="{7b2d29fb-1bc7-45ba-a707-3bb5ebc1f0f5}" ref="AF691">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1322" xr:uid="{7b5a2c0c-97b5-4fad-85dc-58a1bddab4ed}" ref="L44">
      <text>
        <t xml:space="preserve">[Threaded comment]
 Your version of Excel allows you to read this threaded comment; however, any edits to it will get removed if the file is opened in a newer version of Excel. Learn more: https://go.microsoft.com/fwlink/?linkid=870924
Comment:
	https://drive.google.com/file/d/1ldXNaGQqf_zuWXs0gh4KXXBmrL4zlAZf/view?usp=drive_link
</t>
      </text>
    </comment>
    <comment authorId="1323" xr:uid="{7b7a79e0-d28d-4717-a983-b1ef02569b26}" ref="J312">
      <text>
        <t xml:space="preserve">[Threaded comment]
 Your version of Excel allows you to read this threaded comment; however, any edits to it will get removed if the file is opened in a newer version of Excel. Learn more: https://go.microsoft.com/fwlink/?linkid=870924
Comment:
	https://drive.google.com/file/d/1hLlPdKNsuoR2py_VO9_8qBstl1Vg_paK/view?usp=drive_link
Reply:
	https://drive.google.com/file/d/1FdukR0eJ5VNZ2fc8IR2tUTQsHk7k4gvR/view?usp=drive_link
</t>
      </text>
    </comment>
    <comment authorId="1324" xr:uid="{7b8c2311-0340-4a2e-9ce4-25544c56d5b4}" ref="C417">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
</t>
      </text>
    </comment>
    <comment authorId="1325" xr:uid="{7b9c9801-ab37-427e-8bb7-24ff705296ff}" ref="J681">
      <text>
        <t xml:space="preserve">[Threaded comment]
 Your version of Excel allows you to read this threaded comment; however, any edits to it will get removed if the file is opened in a newer version of Excel. Learn more: https://go.microsoft.com/fwlink/?linkid=870924
Comment:
	https://drive.google.com/file/d/1Hgxs6p60m0KU6_JjSGnUfNPr1nLmhWnY/view?usp=drive_link
</t>
      </text>
    </comment>
    <comment authorId="1326" xr:uid="{7ba13a6a-d309-41ef-8bbe-b6e4351b22e4}" ref="O83">
      <text>
        <t xml:space="preserve">[Threaded comment]
 Your version of Excel allows you to read this threaded comment; however, any edits to it will get removed if the file is opened in a newer version of Excel. Learn more: https://go.microsoft.com/fwlink/?linkid=870924
Comment:
	60 soles se saca para darle mouse + mousepad
</t>
      </text>
    </comment>
    <comment authorId="1327" xr:uid="{7ba49713-f1e2-4432-92ec-1b38b38afc2b}" ref="K672">
      <text>
        <t xml:space="preserve">[Threaded comment]
 Your version of Excel allows you to read this threaded comment; however, any edits to it will get removed if the file is opened in a newer version of Excel. Learn more: https://go.microsoft.com/fwlink/?linkid=870924
Comment:
	https://drive.google.com/file/d/1wK5H7y8uQa8NW0H-iK4gmmSdXattog2K/view?usp=drive_link se le dio desceunto 350 soles por equivocación
</t>
      </text>
    </comment>
    <comment authorId="1328" xr:uid="{7bb97a88-a07e-45e4-b65c-3297452b9cdb}" ref="K309">
      <text>
        <t xml:space="preserve">[Threaded comment]
 Your version of Excel allows you to read this threaded comment; however, any edits to it will get removed if the file is opened in a newer version of Excel. Learn more: https://go.microsoft.com/fwlink/?linkid=870924
Comment:
	https://drive.google.com/file/d/1aPglbr7MbIdNTGnbNpWLNGLGTDVXTbdG/view?usp=drive_link
</t>
      </text>
    </comment>
    <comment authorId="1329" xr:uid="{7bc9ba8f-0220-48ac-ab08-f34a1cffe02d}" ref="AI762">
      <text>
        <t xml:space="preserve">[Threaded comment]
 Your version of Excel allows you to read this threaded comment; however, any edits to it will get removed if the file is opened in a newer version of Excel. Learn more: https://go.microsoft.com/fwlink/?linkid=870924
Comment:
	https://drive.google.com/file/d/1DyLgfH8S2Z2HAdzkknv5WG3xlVilyvzm/view?usp=drive_link
</t>
      </text>
    </comment>
    <comment authorId="1330" xr:uid="{7bdf2cd2-fa70-4a1a-a6a7-88ea2db4cba4}" ref="K557">
      <text>
        <t xml:space="preserve">[Threaded comment]
 Your version of Excel allows you to read this threaded comment; however, any edits to it will get removed if the file is opened in a newer version of Excel. Learn more: https://go.microsoft.com/fwlink/?linkid=870924
Comment:
	https://drive.google.com/file/d/1FWCP0m2Hcy3i8-9Wt_z3J9ciNPLQeTfd/view?usp=drive_link
</t>
      </text>
    </comment>
    <comment authorId="1331" xr:uid="{7be4b58b-926b-4b5e-b2e1-211ef352c4ed}" ref="W318">
      <text>
        <t xml:space="preserve">[Threaded comment]
 Your version of Excel allows you to read this threaded comment; however, any edits to it will get removed if the file is opened in a newer version of Excel. Learn more: https://go.microsoft.com/fwlink/?linkid=870924
Comment:
	https://drive.google.com/file/d/1_p_3OuRx7Kli626c3p4ry4qlt5Z-g2LV/view?usp=drive_link
</t>
      </text>
    </comment>
    <comment authorId="1332" xr:uid="{7bfe6dcb-4ed0-49c9-ac3e-4f13a915f96c}" ref="J235">
      <text>
        <t xml:space="preserve">[Threaded comment]
 Your version of Excel allows you to read this threaded comment; however, any edits to it will get removed if the file is opened in a newer version of Excel. Learn more: https://go.microsoft.com/fwlink/?linkid=870924
Comment:
	https://drive.google.com/file/d/1GIvpxTYlAhCZKZrdlYthx8itNwDeoj6E/view?usp=drive_link
</t>
      </text>
    </comment>
    <comment authorId="1333" xr:uid="{7c074979-57f4-42e8-9daf-efaf5c6477cc}" ref="C474">
      <text>
        <t xml:space="preserve">[Threaded comment]
 Your version of Excel allows you to read this threaded comment; however, any edits to it will get removed if the file is opened in a newer version of Excel. Learn more: https://go.microsoft.com/fwlink/?linkid=870924
Comment:
	https://www.ebay.com/itm/297282597330
</t>
      </text>
    </comment>
    <comment authorId="1334" xr:uid="{7c10ed5a-4b1c-45ed-ae4a-d8259e8107fd}" ref="L51">
      <text>
        <t xml:space="preserve">[Threaded comment]
 Your version of Excel allows you to read this threaded comment; however, any edits to it will get removed if the file is opened in a newer version of Excel. Learn more: https://go.microsoft.com/fwlink/?linkid=870924
Comment:
	https://drive.google.com/file/d/1dhdlodXRrp60qJfe8rJqEi0r8K8oCCjp/view?usp=drive_link
</t>
      </text>
    </comment>
    <comment authorId="1335" xr:uid="{7c27e7c0-31a4-424d-a121-0444e0999483}" ref="K323">
      <text>
        <t xml:space="preserve">[Threaded comment]
 Your version of Excel allows you to read this threaded comment; however, any edits to it will get removed if the file is opened in a newer version of Excel. Learn more: https://go.microsoft.com/fwlink/?linkid=870924
Comment:
	https://drive.google.com/file/d/1j5oJg70cqzXUICi0rIDhZpajExtP13lZ/view?usp=drive_link
Reply:
	https://drive.google.com/file/d/1cJYbQf4wByXP8JmaEZ33KfGFdm5PdSho/view?usp=drive_link
</t>
      </text>
    </comment>
    <comment authorId="1336" xr:uid="{7c40b0f9-48b3-437f-9b11-b8987284103f}" ref="J630">
      <text>
        <t xml:space="preserve">[Threaded comment]
 Your version of Excel allows you to read this threaded comment; however, any edits to it will get removed if the file is opened in a newer version of Excel. Learn more: https://go.microsoft.com/fwlink/?linkid=870924
Comment:
	https://drive.google.com/file/d/12HFJMOj5Ju4nPF-XuET3gUJ5-xTCYog1/view?usp=drive_link
Reply:
	https://drive.google.com/file/d/1-XrFyfNuryS-Tgh3YZ02eUU2zTQTX5Xu/view?usp=drive_link
</t>
      </text>
    </comment>
    <comment authorId="1337" xr:uid="{7c4a51d5-fff1-4a91-be98-b00df36a49c9}" ref="W192">
      <text>
        <t xml:space="preserve">[Threaded comment]
 Your version of Excel allows you to read this threaded comment; however, any edits to it will get removed if the file is opened in a newer version of Excel. Learn more: https://go.microsoft.com/fwlink/?linkid=870924
Comment:
	https://drive.google.com/file/d/1XRiCrvccsickToj4MJzFaD3kGe4IVcam/view?usp=drive_link
</t>
      </text>
    </comment>
    <comment authorId="1338" xr:uid="{7c5b3000-1893-4391-8842-5a2b1e032842}" ref="L151">
      <text>
        <t xml:space="preserve">[Threaded comment]
 Your version of Excel allows you to read this threaded comment; however, any edits to it will get removed if the file is opened in a newer version of Excel. Learn more: https://go.microsoft.com/fwlink/?linkid=870924
Comment:
	https://drive.google.com/file/d/1hG9ysrahwSy2DXFfyvNA18rZNKmvJUki/view?usp=drive_link
</t>
      </text>
    </comment>
    <comment authorId="1339" xr:uid="{7c7ef1f2-e713-4b1d-9378-4e7d4882bf5f}" ref="J141">
      <text>
        <t xml:space="preserve">[Threaded comment]
 Your version of Excel allows you to read this threaded comment; however, any edits to it will get removed if the file is opened in a newer version of Excel. Learn more: https://go.microsoft.com/fwlink/?linkid=870924
Comment:
	https://drive.google.com/file/d/1R2nCSYiT9JAJ5VgRK8BcgeeU0ttgrr5v/view?usp=drive_link
</t>
      </text>
    </comment>
    <comment authorId="1340" xr:uid="{7c8878cb-61e0-47a5-9d01-b78b38cb6312}" ref="K637">
      <text>
        <t xml:space="preserve">[Threaded comment]
 Your version of Excel allows you to read this threaded comment; however, any edits to it will get removed if the file is opened in a newer version of Excel. Learn more: https://go.microsoft.com/fwlink/?linkid=870924
Comment:
	https://drive.google.com/file/d/1MYx3YFwXniaIVi76CZI-j5paKTbw08Ns/view?usp=drive_link
</t>
      </text>
    </comment>
    <comment authorId="1341" xr:uid="{7cc2751e-ebc2-4f4c-a352-dac27082ab16}" ref="K298">
      <text>
        <t xml:space="preserve">[Threaded comment]
 Your version of Excel allows you to read this threaded comment; however, any edits to it will get removed if the file is opened in a newer version of Excel. Learn more: https://go.microsoft.com/fwlink/?linkid=870924
Comment:
	https://drive.google.com/file/d/1uXSjKX5OgBTkU91zwCPvDS-fXEsXFiX2/view?usp=drive_link
</t>
      </text>
    </comment>
    <comment authorId="1342" xr:uid="{7cc40052-40f8-497d-8896-04f72f293659}" ref="J426">
      <text>
        <t xml:space="preserve">[Threaded comment]
 Your version of Excel allows you to read this threaded comment; however, any edits to it will get removed if the file is opened in a newer version of Excel. Learn more: https://go.microsoft.com/fwlink/?linkid=870924
Comment:
	https://drive.google.com/file/d/1gn3CyrjT9hV4zU0S-3ewySRQuWUDSH7t/view?usp=drive_link
</t>
      </text>
    </comment>
    <comment authorId="1343" xr:uid="{7cdb4a71-a03f-423d-be87-db200aaf3d5b}" ref="J398">
      <text>
        <t xml:space="preserve">[Threaded comment]
 Your version of Excel allows you to read this threaded comment; however, any edits to it will get removed if the file is opened in a newer version of Excel. Learn more: https://go.microsoft.com/fwlink/?linkid=870924
Comment:
	https://drive.google.com/file/d/13DJN_Wrc3DaC7Yt97Qx1MHsuirB6gRw5/view?usp=drive_link
</t>
      </text>
    </comment>
    <comment authorId="1344" xr:uid="{7cf3d02e-9bc7-439d-95bc-d43f59296fa2}" ref="K588">
      <text>
        <t xml:space="preserve">[Threaded comment]
 Your version of Excel allows you to read this threaded comment; however, any edits to it will get removed if the file is opened in a newer version of Excel. Learn more: https://go.microsoft.com/fwlink/?linkid=870924
Comment:
	https://drive.google.com/file/d/1ieTppW8elzeMYrX8Pb4mVLVy9op_t-IO/view?usp=drive_link PAGO 1
https://drive.google.com/file/d/19402MFaronqpUNycFiwDVGbfXYtqTkpM/view?usp=drive_link PAGO 2
</t>
      </text>
    </comment>
    <comment authorId="1345" xr:uid="{7d1717d4-59de-41f4-9abe-953bbe8dc274}" ref="J749">
      <text>
        <t xml:space="preserve">[Threaded comment]
 Your version of Excel allows you to read this threaded comment; however, any edits to it will get removed if the file is opened in a newer version of Excel. Learn more: https://go.microsoft.com/fwlink/?linkid=870924
Comment:
	https://drive.google.com/file/d/1xE9ybBllyqABewj6JdFc8oRigu4EVIZG/view?usp=drive_link
</t>
      </text>
    </comment>
    <comment authorId="1346" xr:uid="{7d32da1d-0286-4b64-be25-407975f78b8c}" ref="K745">
      <text>
        <t xml:space="preserve">[Threaded comment]
 Your version of Excel allows you to read this threaded comment; however, any edits to it will get removed if the file is opened in a newer version of Excel. Learn more: https://go.microsoft.com/fwlink/?linkid=870924
Comment:
	https://drive.google.com/file/d/1zYHmgofM4A8CKwzLp4wgHKABQz_fFjGX/view?usp=drive_link
</t>
      </text>
    </comment>
    <comment authorId="1347" xr:uid="{7d3dc63c-5572-4c80-9511-56b17209af34}" ref="J487">
      <text>
        <t xml:space="preserve">[Threaded comment]
 Your version of Excel allows you to read this threaded comment; however, any edits to it will get removed if the file is opened in a newer version of Excel. Learn more: https://go.microsoft.com/fwlink/?linkid=870924
Comment:
	https://drive.google.com/file/d/1eYJ-sr6bdNspb5VXOilquovIvKvR-so6/view?usp=drive_link
</t>
      </text>
    </comment>
    <comment authorId="1348" xr:uid="{7d5a0003-d703-4c22-9722-7fe37a17acb3}" ref="AF518">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349" xr:uid="{7d9b943b-b0d7-4e91-bba9-d2e680b7ff55}" ref="AF683">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1350" xr:uid="{7da30bf7-8d26-44c2-afd8-c407b3d856a4}" ref="K421">
      <text>
        <t xml:space="preserve">[Threaded comment]
 Your version of Excel allows you to read this threaded comment; however, any edits to it will get removed if the file is opened in a newer version of Excel. Learn more: https://go.microsoft.com/fwlink/?linkid=870924
Comment:
	https://drive.google.com/file/d/1yCdi5YsQR0-yrWkCbSWMbTVQnTivARGX/view?usp=drive_link
</t>
      </text>
    </comment>
    <comment authorId="1351" xr:uid="{7daf1b36-a8db-4e76-a37a-6763d2b596a4}" ref="M253">
      <text>
        <t xml:space="preserve">[Threaded comment]
 Your version of Excel allows you to read this threaded comment; however, any edits to it will get removed if the file is opened in a newer version of Excel. Learn more: https://go.microsoft.com/fwlink/?linkid=870924
Comment:
	https://drive.google.com/file/d/1OT-3nyBsqphdt37QtIyPrjvGPgX83XPQ/view?usp=drive_link
</t>
      </text>
    </comment>
    <comment authorId="1352" xr:uid="{7dd0dfa1-68c3-4275-8d3c-052acf77bdb8}" ref="K641">
      <text>
        <t xml:space="preserve">[Threaded comment]
 Your version of Excel allows you to read this threaded comment; however, any edits to it will get removed if the file is opened in a newer version of Excel. Learn more: https://go.microsoft.com/fwlink/?linkid=870924
Comment:
	https://drive.google.com/file/d/1l6VBrThFXox73yZRSgQApXZ6GT5mepJz/view?usp=drive_link
Reply:
	https://drive.google.com/file/d/1D20oO_KmRJbSjXWZyxlPIkXj3ncOUzfK/view?usp=drive_link
</t>
      </text>
    </comment>
    <comment authorId="1353" xr:uid="{7df09622-05de-45eb-9e17-7e0ce2b75624}" ref="C13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1354" xr:uid="{7e2025c4-2514-46e9-8ab9-2459df99afac}" ref="C291">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https://us-store.msi.com/Laptops/Gaming-Series/msi-Vector-16-HX-AI-A2XWIG-050US
</t>
      </text>
    </comment>
    <comment authorId="1355" xr:uid="{7e30ad27-3bd8-45b0-b570-a682b63cee9a}" ref="C49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https://www.microcenter.com/product/693835/asus-rog-strix-g16-g614pp-ms96-16-gaming-laptop-computer-eclipse-gray
</t>
      </text>
    </comment>
    <comment authorId="1356" xr:uid="{7e4e6802-b15a-4d13-8caf-d47c2a8258dd}" ref="K296">
      <text>
        <t xml:space="preserve">[Threaded comment]
 Your version of Excel allows you to read this threaded comment; however, any edits to it will get removed if the file is opened in a newer version of Excel. Learn more: https://go.microsoft.com/fwlink/?linkid=870924
Comment:
	https://drive.google.com/file/d/1YdrsXpEKVjTv0MfZgMqj1SfTNda13ypI/view?usp=drive_link
</t>
      </text>
    </comment>
    <comment authorId="1357" xr:uid="{7e51eda4-db33-4e4b-be14-9b747534d971}" ref="O284">
      <text>
        <t xml:space="preserve">[Threaded comment]
 Your version of Excel allows you to read this threaded comment; however, any edits to it will get removed if the file is opened in a newer version of Excel. Learn more: https://go.microsoft.com/fwlink/?linkid=870924
Comment:
	hubo una cancelación de compra en ga duluth, lo que cuesta las licencias en todal es 250, lo restante lo sacaré del excedente de otra laptop, como me indicaron
</t>
      </text>
    </comment>
    <comment authorId="1358" xr:uid="{7e6047ec-b838-4523-b6ba-d608a9be7e2c}" ref="F394">
      <text>
        <t xml:space="preserve">[Threaded comment]
 Your version of Excel allows you to read this threaded comment; however, any edits to it will get removed if the file is opened in a newer version of Excel. Learn more: https://go.microsoft.com/fwlink/?linkid=870924
Comment:
	@yolinette152@gmail.com falta agregar boleta, resuelve cuando agregaste
Asignada a yolinette152@gmail.com
</t>
      </text>
    </comment>
    <comment authorId="1359" xr:uid="{7e607109-3bf3-4d1b-86a5-37f745244809}" ref="K315">
      <text>
        <t xml:space="preserve">[Threaded comment]
 Your version of Excel allows you to read this threaded comment; however, any edits to it will get removed if the file is opened in a newer version of Excel. Learn more: https://go.microsoft.com/fwlink/?linkid=870924
Comment:
	https://drive.google.com/file/d/132oGw4qf_aDevWQ9mID3z8G5-IJkctHa/view?usp=drive_link
</t>
      </text>
    </comment>
    <comment authorId="1360" xr:uid="{7e63a152-8b18-40e7-b8d0-c8e645340e75}" ref="C235">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https://www.bestbuy.com/product/asus-zenbook-duo-dual-14-3k-oled-touch-laptop-evo-intel-core-ultra-9-285h-with-32gb-ram-intel-arc-graphics-1tb-ssd-inkwell-gray/JJGGLQWVQV
</t>
      </text>
    </comment>
    <comment authorId="1361" xr:uid="{7ea8380d-bfb4-40dd-b167-daac47929bb4}" ref="K487">
      <text>
        <t xml:space="preserve">[Threaded comment]
 Your version of Excel allows you to read this threaded comment; however, any edits to it will get removed if the file is opened in a newer version of Excel. Learn more: https://go.microsoft.com/fwlink/?linkid=870924
Comment:
	https://drive.google.com/file/d/1VrCwP7i9JFv1gAJRR8NCgFRt4DQ5izrJ/view?usp=drive_link
</t>
      </text>
    </comment>
    <comment authorId="1362" xr:uid="{7eb9abf6-e2cb-4d7f-a426-079df667e59c}" ref="J635">
      <text>
        <t xml:space="preserve">[Threaded comment]
 Your version of Excel allows you to read this threaded comment; however, any edits to it will get removed if the file is opened in a newer version of Excel. Learn more: https://go.microsoft.com/fwlink/?linkid=870924
Comment:
	https://drive.google.com/file/d/1M1V-CSBPymHQdqLfoQUfiZ1q0oBo7pL-/view?usp=drive_link
</t>
      </text>
    </comment>
    <comment authorId="1363" xr:uid="{7eb9f6d9-791c-4c78-9678-4f38e0ccc5ad}" ref="C191">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https://www.bestbuy.com/product/asus-rog-strix-g18-18-2-5k-240hz-gaming-laptop-intel-core-ultra-9-hx-32gb-ram-nvidia-geforce-rtx-5080-2tb-ssd-eclipse-grey/JJGGLHXFW8
</t>
      </text>
    </comment>
    <comment authorId="1364" xr:uid="{7efe4080-2889-46c0-a58e-4028067232ff}" ref="C780">
      <text>
        <t xml:space="preserve">[Threaded comment]
 Your version of Excel allows you to read this threaded comment; however, any edits to it will get removed if the file is opened in a newer version of Excel. Learn more: https://go.microsoft.com/fwlink/?linkid=870924
Comment:
	https://www.ebay.com/itm/205567890047
</t>
      </text>
    </comment>
    <comment authorId="1365" xr:uid="{7f0ac243-9115-4d7b-917f-755b62476d0a}" ref="C763">
      <text>
        <t xml:space="preserve">[Threaded comment]
 Your version of Excel allows you to read this threaded comment; however, any edits to it will get removed if the file is opened in a newer version of Excel. Learn more: https://go.microsoft.com/fwlink/?linkid=870924
Comment:
	https://www.ebay.com/itm/326840072490
</t>
      </text>
    </comment>
    <comment authorId="1366" xr:uid="{7f3b50fa-cad0-45c1-b655-c75263c9b64c}" ref="J768">
      <text>
        <t xml:space="preserve">[Threaded comment]
 Your version of Excel allows you to read this threaded comment; however, any edits to it will get removed if the file is opened in a newer version of Excel. Learn more: https://go.microsoft.com/fwlink/?linkid=870924
Comment:
	https://drive.google.com/file/d/1Y7FclxY-GTqi5M72SK1keiAMsMZDFs0N/view?usp=drive_link
</t>
      </text>
    </comment>
    <comment authorId="1367" xr:uid="{7f489e94-bd0c-4573-90aa-21265142ce20}" ref="J739">
      <text>
        <t xml:space="preserve">[Threaded comment]
 Your version of Excel allows you to read this threaded comment; however, any edits to it will get removed if the file is opened in a newer version of Excel. Learn more: https://go.microsoft.com/fwlink/?linkid=870924
Comment:
	https://drive.google.com/file/d/1BYYaBfytuO9UDmjwXNs0Aa9BIUNxeUye/view?usp=drive_link
</t>
      </text>
    </comment>
    <comment authorId="1368" xr:uid="{7f6ad77f-1b49-40f0-8048-61e1fb42b9e4}" ref="L39">
      <text>
        <t xml:space="preserve">[Threaded comment]
 Your version of Excel allows you to read this threaded comment; however, any edits to it will get removed if the file is opened in a newer version of Excel. Learn more: https://go.microsoft.com/fwlink/?linkid=870924
Comment:
	https://drive.google.com/file/d/1YanjyedYM1_oVPekOubZYvbT-gtMJ6nS/view?usp=drive_link
Reply:
	https://drive.google.com/file/d/14ycjNUe4Ptk11J0LoMfxDg498P-BO0jP/view?usp=drive_link
</t>
      </text>
    </comment>
    <comment authorId="1369" xr:uid="{7f7e01f7-3c05-4357-a823-d8875b81fda1}" ref="K748">
      <text>
        <t xml:space="preserve">[Threaded comment]
 Your version of Excel allows you to read this threaded comment; however, any edits to it will get removed if the file is opened in a newer version of Excel. Learn more: https://go.microsoft.com/fwlink/?linkid=870924
Comment:
	https://drive.google.com/file/d/1L_kDSdkC6Ij3wJHghbSD10P4rVYYNjsD/view?usp=drive_link
Reply:
	https://drive.google.com/file/d/12Sw7JeIxrG9J6t22mxWKlB8-wlhQmv5a/view?usp=drive_link
Reply:
	https://drive.google.com/file/d/1X1Env5qns2AvKbuIfimFiX7fzQf-Dy4P/view?usp=drive_link
Reply:
	https://drive.google.com/file/d/1lssvwxzkYPsJAa5aXwM-DnwOv_Vz_j5q/view?usp=drive_link
Reply:
	https://drive.google.com/file/d/1XZckm8nfhraDfS8okLuNuz3X8eCdOPxF/view?usp=drive_link
Reply:
	https://drive.google.com/file/d/1LIGpxu4br5TSznUMk5pi5W0C7gkCK2DY/view?usp=drive_link
Reply:
	https://drive.google.com/file/d/1mIbyC2Gdsp_8W3m-k6c-dwMTzDvLOXtW/view?usp=drive_link
Reply:
	https://drive.google.com/file/d/13AuBk3pHLwqp4wMFiACJj1Gsey2MkJq8/view?usp=drive_link
Reply:
	https://drive.google.com/file/d/1Od_KDL11HfMXnaodSXjcO4BW5QUakFih/view?usp=drive_link
Reply:
	https://drive.google.com/file/d/1boT_gudNQYNQOeknyHUSDuqTJ0cCMkqt/view?usp=drive_link
</t>
      </text>
    </comment>
    <comment authorId="1370" xr:uid="{7f83bc37-0c24-4119-88eb-e61584ca6869}" ref="F489">
      <text>
        <t xml:space="preserve">[Threaded comment]
 Your version of Excel allows you to read this threaded comment; however, any edits to it will get removed if the file is opened in a newer version of Excel. Learn more: https://go.microsoft.com/fwlink/?linkid=870924
Comment:
	enviar por courier (no viajero)
</t>
      </text>
    </comment>
    <comment authorId="1371" xr:uid="{7fb199d1-6e50-4165-ae58-57a3ac73e998}" ref="C69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1372" xr:uid="{7fb25855-d3df-4653-ac14-f7aee5ab2cd6}" ref="K448">
      <text>
        <t xml:space="preserve">[Threaded comment]
 Your version of Excel allows you to read this threaded comment; however, any edits to it will get removed if the file is opened in a newer version of Excel. Learn more: https://go.microsoft.com/fwlink/?linkid=870924
Comment:
	https://drive.google.com/file/d/1zv4A9xb9XlDIQpf-z2zeHsPmPA0pmCmC/view?usp=drive_link
</t>
      </text>
    </comment>
    <comment authorId="1373" xr:uid="{7fb32115-0ddf-4ac8-8086-d3d18bf845b5}" ref="Q651">
      <text>
        <t xml:space="preserve">[Threaded comment]
 Your version of Excel allows you to read this threaded comment; however, any edits to it will get removed if the file is opened in a newer version of Excel. Learn more: https://go.microsoft.com/fwlink/?linkid=870924
Comment:
	apertura+configuracion inicial
</t>
      </text>
    </comment>
    <comment authorId="1374" xr:uid="{7fbd652f-66e8-4933-bcd8-846164440685}" ref="J617">
      <text>
        <t xml:space="preserve">[Threaded comment]
 Your version of Excel allows you to read this threaded comment; however, any edits to it will get removed if the file is opened in a newer version of Excel. Learn more: https://go.microsoft.com/fwlink/?linkid=870924
Comment:
	https://drive.google.com/file/d/1pRF3ZByLEPADWUFsHyt_8pqTwqOBSvFg/view?usp=drive_link
</t>
      </text>
    </comment>
    <comment authorId="1375" xr:uid="{7fc2337c-ade8-42ab-bf19-9afb1cc5ac6a}" ref="C6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https://www.microcenter.com/product/687888/asus-rog-strix-g16-g614jir-ms96-16-gaming-laptop-computer-eclipse-gray
</t>
      </text>
    </comment>
    <comment authorId="1376" xr:uid="{7fc4ed17-b89f-41b1-93f6-04c9201606fd}" ref="L82">
      <text>
        <t xml:space="preserve">[Threaded comment]
 Your version of Excel allows you to read this threaded comment; however, any edits to it will get removed if the file is opened in a newer version of Excel. Learn more: https://go.microsoft.com/fwlink/?linkid=870924
Comment:
	https://drive.google.com/file/d/1NmMQwuUy9c2pQNFqD4b5ZCkiFod2j8zn/view?usp=drive_link
</t>
      </text>
    </comment>
    <comment authorId="1377" xr:uid="{7fdf68ce-8f1a-4d3f-84da-e3fcc832775b}" ref="K679">
      <text>
        <t xml:space="preserve">[Threaded comment]
 Your version of Excel allows you to read this threaded comment; however, any edits to it will get removed if the file is opened in a newer version of Excel. Learn more: https://go.microsoft.com/fwlink/?linkid=870924
Comment:
	https://drive.google.com/file/d/1VOqcCo-m6ljaalNJl_ZGVn1qjIXUSzyg/view?usp=drive_link
</t>
      </text>
    </comment>
    <comment authorId="1378" xr:uid="{7fe7cd3a-9dd9-49a8-8192-8d124f30b4cf}" ref="AF711">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379" xr:uid="{7feece72-ce7a-4f9a-9978-3911a619b039}" ref="J374">
      <text>
        <t xml:space="preserve">[Threaded comment]
 Your version of Excel allows you to read this threaded comment; however, any edits to it will get removed if the file is opened in a newer version of Excel. Learn more: https://go.microsoft.com/fwlink/?linkid=870924
Comment:
	https://drive.google.com/file/d/1HLizlzRXAX8R1DN48GAqzSn8KKLz8gqv/view?usp=drive_link
</t>
      </text>
    </comment>
    <comment authorId="1380" xr:uid="{80101aff-e8f4-4ae3-9498-dc2c1f8bf8ef}" ref="K614">
      <text>
        <t xml:space="preserve">[Threaded comment]
 Your version of Excel allows you to read this threaded comment; however, any edits to it will get removed if the file is opened in a newer version of Excel. Learn more: https://go.microsoft.com/fwlink/?linkid=870924
Comment:
	https://drive.google.com/file/d/160icLm5NQSRSBysqAjRLI9wuLNQkmJb6/view?usp=drive_link
</t>
      </text>
    </comment>
    <comment authorId="1381" xr:uid="{8012333a-8a2b-48b9-a62f-08726ba11ea9}" ref="F809">
      <text>
        <t xml:space="preserve">[Threaded comment]
 Your version of Excel allows you to read this threaded comment; however, any edits to it will get removed if the file is opened in a newer version of Excel. Learn more: https://go.microsoft.com/fwlink/?linkid=870924
Comment:
	Esta procesando la compra
</t>
      </text>
    </comment>
    <comment authorId="1382" xr:uid="{802b583b-21cf-4b87-a1a8-2ee20e5637b2}" ref="W276">
      <text>
        <t xml:space="preserve">[Threaded comment]
 Your version of Excel allows you to read this threaded comment; however, any edits to it will get removed if the file is opened in a newer version of Excel. Learn more: https://go.microsoft.com/fwlink/?linkid=870924
Comment:
	https://drive.google.com/file/d/15WmoXLpZCaqq6oW9e8qNKM1AQ7xTL7I3/view?usp=drive_link
</t>
      </text>
    </comment>
    <comment authorId="1383" xr:uid="{8034424a-3b9c-4316-bf7d-a3df2927ca30}" ref="J305">
      <text>
        <t xml:space="preserve">[Threaded comment]
 Your version of Excel allows you to read this threaded comment; however, any edits to it will get removed if the file is opened in a newer version of Excel. Learn more: https://go.microsoft.com/fwlink/?linkid=870924
Comment:
	https://drive.google.com/file/d/1_rsA_VWS1rWGwo8GJblF0r44UMhxbzib/view?usp=drive_link
</t>
      </text>
    </comment>
    <comment authorId="1384" xr:uid="{80584314-3f15-481e-8668-8e8ac7e25d99}" ref="C383">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1385" xr:uid="{8062368d-21f2-431c-80e7-8249062d1e59}" ref="L230">
      <text>
        <t xml:space="preserve">[Threaded comment]
 Your version of Excel allows you to read this threaded comment; however, any edits to it will get removed if the file is opened in a newer version of Excel. Learn more: https://go.microsoft.com/fwlink/?linkid=870924
Comment:
	https://drive.google.com/file/d/1O_oXAZqkKQCnqucG-oHzXHASmGI72Fa3/view?usp=drive_link
</t>
      </text>
    </comment>
    <comment authorId="1386" xr:uid="{80822388-fe92-47f6-9f2c-ba2e1e7dbb07}" ref="L148">
      <text>
        <t xml:space="preserve">[Threaded comment]
 Your version of Excel allows you to read this threaded comment; however, any edits to it will get removed if the file is opened in a newer version of Excel. Learn more: https://go.microsoft.com/fwlink/?linkid=870924
Comment:
	k-e-04-13145-70539
</t>
      </text>
    </comment>
    <comment authorId="1387" xr:uid="{808c6955-5046-4457-96ea-f3fc37e4cca8}" ref="J722">
      <text>
        <t xml:space="preserve">[Threaded comment]
 Your version of Excel allows you to read this threaded comment; however, any edits to it will get removed if the file is opened in a newer version of Excel. Learn more: https://go.microsoft.com/fwlink/?linkid=870924
Comment:
	https://drive.google.com/file/d/1akMxMj8vvrgB-XbMCJqUlN0_1auLCVyv/view?usp=drive_link
https://drive.google.com/file/d/1S88XrYjImBYZFa1ST8cbAqUpeakvRCK3/view?usp=drive_link
</t>
      </text>
    </comment>
    <comment authorId="1388" xr:uid="{809ebda5-94bb-4ca5-b3ce-f9253f128904}" ref="AF63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389" xr:uid="{80ae0be9-840f-4684-9750-2375c4cacc10}" ref="J578">
      <text>
        <t xml:space="preserve">[Threaded comment]
 Your version of Excel allows you to read this threaded comment; however, any edits to it will get removed if the file is opened in a newer version of Excel. Learn more: https://go.microsoft.com/fwlink/?linkid=870924
Comment:
	https://drive.google.com/file/d/1qyb6NI8PmD6b3Bx1kllAYVZAKOOGQK9B/view?usp=drive_link
</t>
      </text>
    </comment>
    <comment authorId="1390" xr:uid="{80b7dbc1-9190-421f-a512-7c45c9b65cce}" ref="A1">
      <text>
        <t xml:space="preserve">[Threaded comment]
 Your version of Excel allows you to read this threaded comment; however, any edits to it will get removed if the file is opened in a newer version of Excel. Learn more: https://go.microsoft.com/fwlink/?linkid=870924
Comment:
	https://www.walmart.com/ip/ASUS-ROG-Strix-G16-16-inch-QHD-Nebula-240Hz-Gaming-Laptop-Intel-Core-i9-13980HX-NVIDIA-GeForce-RTX-4070-16GB-DDR5-1TB-SSD-Eclipse-Gray-2023/5136011874?filters=%5B%7B%22intent%22%3A%22retailer%22%2C%22values%22%3A%5B%22Walmart%22%5D%7D%5D&amp;classType=REGULAR&amp;athbdg=L1103&amp;from=/search
</t>
      </text>
    </comment>
    <comment authorId="1391" xr:uid="{80b7dd8f-de49-4b84-8219-a5ad70e2733e}" ref="Q410">
      <text>
        <t xml:space="preserve">[Threaded comment]
 Your version of Excel allows you to read this threaded comment; however, any edits to it will get removed if the file is opened in a newer version of Excel. Learn more: https://go.microsoft.com/fwlink/?linkid=870924
Comment:
	en la fila 323 agregue los 63
soles  para completar sus 100 soles de configuracion
</t>
      </text>
    </comment>
    <comment authorId="1392" xr:uid="{80daf704-44fc-4881-a421-d78bdb5620bf}" ref="K522">
      <text>
        <t xml:space="preserve">[Threaded comment]
 Your version of Excel allows you to read this threaded comment; however, any edits to it will get removed if the file is opened in a newer version of Excel. Learn more: https://go.microsoft.com/fwlink/?linkid=870924
Comment:
	https://drive.google.com/file/d/1f7pQPKDQeBd-qaV7XgDOGdRHPoc41RZZ/view?usp=drive_link
</t>
      </text>
    </comment>
    <comment authorId="1393" xr:uid="{80eabb5b-a522-4710-85f8-37a9a592a068}" ref="J228">
      <text>
        <t xml:space="preserve">[Threaded comment]
 Your version of Excel allows you to read this threaded comment; however, any edits to it will get removed if the file is opened in a newer version of Excel. Learn more: https://go.microsoft.com/fwlink/?linkid=870924
Comment:
	https://drive.google.com/file/d/15lB5KMMYpHBEOGr1AucwQAGxpwISutlb/view?usp=drive_link
</t>
      </text>
    </comment>
    <comment authorId="1394" xr:uid="{80f20800-e8ef-4447-adad-df5e6793e22d}" ref="K538">
      <text>
        <t xml:space="preserve">[Threaded comment]
 Your version of Excel allows you to read this threaded comment; however, any edits to it will get removed if the file is opened in a newer version of Excel. Learn more: https://go.microsoft.com/fwlink/?linkid=870924
Comment:
	https://drive.google.com/file/d/1jpFkoEu3AMSAAKkyQh4SqYXDjSEgwUnb/view?usp=drive_link
</t>
      </text>
    </comment>
    <comment authorId="1395" xr:uid="{80f5759d-b5b6-45f5-aa1d-589cb943f7d2}" ref="V562">
      <text>
        <t xml:space="preserve">[Threaded comment]
 Your version of Excel allows you to read this threaded comment; however, any edits to it will get removed if the file is opened in a newer version of Excel. Learn more: https://go.microsoft.com/fwlink/?linkid=870924
Comment:
	faltan los nombres completos
</t>
      </text>
    </comment>
    <comment authorId="1396" xr:uid="{80f5f3d8-c9f7-47f5-9fd9-a4a38a925e45}" ref="AF192">
      <text>
        <t xml:space="preserve">[Threaded comment]
 Your version of Excel allows you to read this threaded comment; however, any edits to it will get removed if the file is opened in a newer version of Excel. Learn more: https://go.microsoft.com/fwlink/?linkid=870924
Comment:
	falta validar todo
</t>
      </text>
    </comment>
    <comment authorId="1397" xr:uid="{81067a89-0ac7-472e-bc9e-8d11333e5308}" ref="K351">
      <text>
        <t xml:space="preserve">[Threaded comment]
 Your version of Excel allows you to read this threaded comment; however, any edits to it will get removed if the file is opened in a newer version of Excel. Learn more: https://go.microsoft.com/fwlink/?linkid=870924
Comment:
	https://drive.google.com/file/d/1FCNYIoI7bGThegxrRrvQ2D7cwOlXMCXd/view?usp=drive_link
</t>
      </text>
    </comment>
    <comment authorId="1398" xr:uid="{812ace86-55f4-4cbf-9f7e-b71576a47677}" ref="L329">
      <text>
        <t xml:space="preserve">[Threaded comment]
 Your version of Excel allows you to read this threaded comment; however, any edits to it will get removed if the file is opened in a newer version of Excel. Learn more: https://go.microsoft.com/fwlink/?linkid=870924
Comment:
	Joselyn, recuerda luego aumentar la garantía
</t>
      </text>
    </comment>
    <comment authorId="1399" xr:uid="{813b3b38-5ba7-487c-90ce-c2f5eeed3b51}" ref="C32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400" xr:uid="{81847317-852b-4867-86cf-e2b0fbd957c9}" ref="K590">
      <text>
        <t xml:space="preserve">[Threaded comment]
 Your version of Excel allows you to read this threaded comment; however, any edits to it will get removed if the file is opened in a newer version of Excel. Learn more: https://go.microsoft.com/fwlink/?linkid=870924
Comment:
	https://drive.google.com/file/d/1NeH8hf9GcczWM0rwP5x86j8pm-qdJrt4/view?usp=drive_link
Reply:
	https://drive.google.com/file/d/1G3pLybT5TqcAiK8E2vzVHKH5bPeVWrh9/view?usp=drive_link
Reply:
	https://drive.google.com/file/d/1ziUEKPc4GpBqZDgl7wxmOHC7vCiuxdPt/view?usp=drive_link
</t>
      </text>
    </comment>
    <comment authorId="1401" xr:uid="{819c2b60-aa44-4676-bf1a-664c39c0daf5}" ref="C732">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https://www.bhphotovideo.com/c/product/1875946-REG/lenovo_83f00008us_15_1_legion_5i_gaming.html/specs
</t>
      </text>
    </comment>
    <comment authorId="1402" xr:uid="{81ad428f-bc06-486e-bab7-84ba86cb5376}" ref="J707">
      <text>
        <t xml:space="preserve">[Threaded comment]
 Your version of Excel allows you to read this threaded comment; however, any edits to it will get removed if the file is opened in a newer version of Excel. Learn more: https://go.microsoft.com/fwlink/?linkid=870924
Comment:
	https://drive.google.com/file/d/1DF41xYwQuMwuES6pfnlR9zrPQvuoHprZ/view?usp=drive_link
</t>
      </text>
    </comment>
    <comment authorId="1403" xr:uid="{81bd0dd1-39ad-432f-b4ca-0e98a931ab30}" ref="J310">
      <text>
        <t xml:space="preserve">[Threaded comment]
 Your version of Excel allows you to read this threaded comment; however, any edits to it will get removed if the file is opened in a newer version of Excel. Learn more: https://go.microsoft.com/fwlink/?linkid=870924
Comment:
	https://drive.google.com/file/d/16RcuGeXOLuXdoytHA3JOKbU0PxBZX3Dv/view?usp=drive_link
</t>
      </text>
    </comment>
    <comment authorId="1404" xr:uid="{81c3feb6-8cd1-4a3a-a0d5-5c96e023b1f7}" ref="AI707">
      <text>
        <t xml:space="preserve">[Threaded comment]
 Your version of Excel allows you to read this threaded comment; however, any edits to it will get removed if the file is opened in a newer version of Excel. Learn more: https://go.microsoft.com/fwlink/?linkid=870924
Comment:
	https://drive.google.com/file/d/1Vb4vdKUxVVan5Cb6m1jEFKbLBoIJmSEB/view?usp=drive_link
</t>
      </text>
    </comment>
    <comment authorId="1405" xr:uid="{81cca9c5-6433-455f-8415-d614f177d966}" ref="J367">
      <text>
        <t xml:space="preserve">[Threaded comment]
 Your version of Excel allows you to read this threaded comment; however, any edits to it will get removed if the file is opened in a newer version of Excel. Learn more: https://go.microsoft.com/fwlink/?linkid=870924
Comment:
	https://drive.google.com/file/d/1RY8zba5QFOjZwMK7NXGMQq7HmfQf506b/view?usp=drive_link
</t>
      </text>
    </comment>
    <comment authorId="1406" xr:uid="{81d1336f-4783-4a02-96f5-b9ca844f8662}" ref="W242">
      <text>
        <t xml:space="preserve">[Threaded comment]
 Your version of Excel allows you to read this threaded comment; however, any edits to it will get removed if the file is opened in a newer version of Excel. Learn more: https://go.microsoft.com/fwlink/?linkid=870924
Comment:
	https://drive.google.com/file/d/1Hy0Vv3CFHVaI-Z3_0s8MPol4LXij_XJj/view?usp=drive_link
</t>
      </text>
    </comment>
    <comment authorId="1407" xr:uid="{81ded95c-fe23-416c-8b4c-6241aa660493}" ref="K316">
      <text>
        <t xml:space="preserve">[Threaded comment]
 Your version of Excel allows you to read this threaded comment; however, any edits to it will get removed if the file is opened in a newer version of Excel. Learn more: https://go.microsoft.com/fwlink/?linkid=870924
Comment:
	https://drive.google.com/file/d/1a-Mo3VZMdNSERT9Rigclc0ahGzRR1TBP/view?usp=drive_link
</t>
      </text>
    </comment>
    <comment authorId="1408" xr:uid="{81e23611-5ae6-4eee-b9f4-4d8ed1cdd489}" ref="F580">
      <text>
        <t xml:space="preserve">[Threaded comment]
 Your version of Excel allows you to read this threaded comment; however, any edits to it will get removed if the file is opened in a newer version of Excel. Learn more: https://go.microsoft.com/fwlink/?linkid=870924
Comment:
	se está procesando, aún no está confirmado
Reply:
	sale complete
</t>
      </text>
    </comment>
    <comment authorId="1409" xr:uid="{81f20615-03d0-485c-a871-a056d44b6d95}" ref="AF236">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410" xr:uid="{821417f9-9ce0-4df3-99bc-35d41a2dda75}" ref="J515">
      <text>
        <t xml:space="preserve">[Threaded comment]
 Your version of Excel allows you to read this threaded comment; however, any edits to it will get removed if the file is opened in a newer version of Excel. Learn more: https://go.microsoft.com/fwlink/?linkid=870924
Comment:
	https://drive.google.com/file/d/1Yx032Ou0MXxWtfRf62FsBoCB1Qd-0v_I/view?usp=drive_link
Reply:
	https://drive.google.com/file/d/10-qQxESUiIpd-eHxtp-fwU9HfzevgXjz/view?usp=drive_link
</t>
      </text>
    </comment>
    <comment authorId="1411" xr:uid="{822f30c5-e697-43c7-a1b2-00fc0a2c391a}" ref="C138">
      <text>
        <t xml:space="preserve">[Threaded comment]
 Your version of Excel allows you to read this threaded comment; however, any edits to it will get removed if the file is opened in a newer version of Excel. Learn more: https://go.microsoft.com/fwlink/?linkid=870924
Comment:
	https://www.costco.com/msi-crosshair-18-hx-ai-18-gaming-laptop---intel-core-ultra-9-275hx----nvidia-rtx-5070---2560x1600---32gb-ram---1tb-ssd---windows-11-home.product.4000374413.html
</t>
      </text>
    </comment>
    <comment authorId="1412" xr:uid="{826f8c83-e8da-43ab-ab76-4528fa052a9a}" ref="L225">
      <text>
        <t xml:space="preserve">[Threaded comment]
 Your version of Excel allows you to read this threaded comment; however, any edits to it will get removed if the file is opened in a newer version of Excel. Learn more: https://go.microsoft.com/fwlink/?linkid=870924
Comment:
	https://drive.google.com/file/d/1aAYu1MOY_xMTZbC3uIKg4ERT1_myTmbh/view?usp=drive_link
</t>
      </text>
    </comment>
    <comment authorId="1413" xr:uid="{828b6770-efca-4302-849b-b2783914451e}" ref="J425">
      <text>
        <t xml:space="preserve">[Threaded comment]
 Your version of Excel allows you to read this threaded comment; however, any edits to it will get removed if the file is opened in a newer version of Excel. Learn more: https://go.microsoft.com/fwlink/?linkid=870924
Comment:
	https://drive.google.com/file/d/1-W1w4WZk9RNxffxC93Ny59uyEnW_lzuB/view?usp=drive_link
</t>
      </text>
    </comment>
    <comment authorId="1414" xr:uid="{829ffc84-bbf8-4b54-8f88-97575816bb18}" ref="J197">
      <text>
        <t xml:space="preserve">[Threaded comment]
 Your version of Excel allows you to read this threaded comment; however, any edits to it will get removed if the file is opened in a newer version of Excel. Learn more: https://go.microsoft.com/fwlink/?linkid=870924
Comment:
	https://drive.google.com/file/d/1objj9pnL5jXTNqAhSHneJ1_u7lcGGhX5/view?usp=drive_link
</t>
      </text>
    </comment>
    <comment authorId="1415" xr:uid="{82b544e0-c1d5-4f39-8060-f0fb5ca371cf}" ref="K499">
      <text>
        <t xml:space="preserve">[Threaded comment]
 Your version of Excel allows you to read this threaded comment; however, any edits to it will get removed if the file is opened in a newer version of Excel. Learn more: https://go.microsoft.com/fwlink/?linkid=870924
Comment:
	https://drive.google.com/file/d/1GrPTtGFvW-AEZdy7ctwot8_4lC8xF1fp/view?usp=sharing
</t>
      </text>
    </comment>
    <comment authorId="1416" xr:uid="{82b63850-1f5c-4f29-98f5-ec25499fdc54}" ref="C197">
      <text>
        <t xml:space="preserve">[Threaded comment]
 Your version of Excel allows you to read this threaded comment; however, any edits to it will get removed if the file is opened in a newer version of Excel. Learn more: https://go.microsoft.com/fwlink/?linkid=870924
Comment:
	https://www.costco.com/lenovo-legion-5i-16-gaming-laptop---intel-core-ultra-9-275hx---geforce-rtx-5060---wqxga-2560x1600---windows-11-home---32gb-ram---1tb-ssd.product.4000380973.html
</t>
      </text>
    </comment>
    <comment authorId="1417" xr:uid="{82d49831-dd9c-4387-93c9-70995fc478ec}" ref="P633">
      <text>
        <t xml:space="preserve">[Threaded comment]
 Your version of Excel allows you to read this threaded comment; however, any edits to it will get removed if the file is opened in a newer version of Excel. Learn more: https://go.microsoft.com/fwlink/?linkid=870924
Comment:
	de este excedente descontar para cubrir los 2 clientes de LEGION que colocaron mal el precio
</t>
      </text>
    </comment>
    <comment authorId="1418" xr:uid="{82ec0e5d-7d25-47df-8a93-8ebcaa51016b}" ref="C204">
      <text>
        <t xml:space="preserve">[Threaded comment]
 Your version of Excel allows you to read this threaded comment; however, any edits to it will get removed if the file is opened in a newer version of Excel. Learn more: https://go.microsoft.com/fwlink/?linkid=870924
Comment:
	https://www.amazon.com/-/es/Alienware-Aurora-Laptop-AC16250-Pantalla-pulgadas/dp/B0FBHXJG7K/ref=sr_1_4?__mk_es_US=%C3%85M%C3%85%C5%BD%C3%95%C3%91&amp;crid=3BOOSKZHK8C52&amp;dib=eyJ2IjoiMSJ9.HTf761iRoK_ZUbe1Xlou4k8ItREm2A-FtPg1-5DuPoWEfgBI0uVQ4kSEnAQ5vG_zFFJZst3793Gx9HoRkK4krRT1Gdr5DARddyNnl1p1A_1mjy7pWPDAy8LvWGlx0gF-IF6IsIX7J23eic8DrqRCmPY3OMeaDBv_gocLPE6MhMpLBjB3AW2xvXKFj3tIqfwU5KHFXT2nm6T1CE9oXOh_O13zS41SGedJ0NV3MTl-I7_U65Yk2E9gDm6F50ZJ3Rit0yvuWQVZHhcseTtIZ7PwW9FuVlEZQ0O54cNuHdTRvqA.QvTFts8nHOoM4SR27DP_BhX7RNrrmb7HfvZmctQE42U&amp;dib_tag=se&amp;keywords=alienware&amp;qid=1756484667&amp;s=electronics&amp;sprefix=alienwar%2Celectronics%2C231&amp;sr=1-4&amp;th=1
</t>
      </text>
    </comment>
    <comment authorId="1419" xr:uid="{8309c7e4-5be2-43c2-8253-7dc3d6cf115c}" ref="W393">
      <text>
        <t xml:space="preserve">[Threaded comment]
 Your version of Excel allows you to read this threaded comment; however, any edits to it will get removed if the file is opened in a newer version of Excel. Learn more: https://go.microsoft.com/fwlink/?linkid=870924
Comment:
	https://drive.google.com/open?id=1Pcf7Rlkb-fySlcRo2y5xapQxHq5FQ5-l&amp;usp=drive_copy
</t>
      </text>
    </comment>
    <comment authorId="1420" xr:uid="{831f532f-db57-4196-b35a-ed059608a358}" ref="S362">
      <text>
        <t xml:space="preserve">[Threaded comment]
 Your version of Excel allows you to read this threaded comment; however, any edits to it will get removed if the file is opened in a newer version of Excel. Learn more: https://go.microsoft.com/fwlink/?linkid=870924
Comment:
	garantía express, no sé cómo se agrega esto
</t>
      </text>
    </comment>
    <comment authorId="1421" xr:uid="{83233ca5-6fc5-412f-bfb5-8ae0540f80e7}" ref="L94">
      <text>
        <t xml:space="preserve">[Threaded comment]
 Your version of Excel allows you to read this threaded comment; however, any edits to it will get removed if the file is opened in a newer version of Excel. Learn more: https://go.microsoft.com/fwlink/?linkid=870924
Comment:
	https://drive.google.com/file/d/1stwbtz7VoxPwJvPDKVKpRh6rwqQYzl6y/view?usp=drive_link
</t>
      </text>
    </comment>
    <comment authorId="1422" xr:uid="{832b20bc-f61d-43f0-b52d-37b6f9e36fca}" ref="AF718">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423" xr:uid="{8333a70f-db85-47fb-86a7-c1f07ec275bd}" ref="AF502">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1424" xr:uid="{83375129-6b64-4905-9c31-cdd1717b17c8}" ref="AF375">
      <text>
        <t xml:space="preserve">[Threaded comment]
 Your version of Excel allows you to read this threaded comment; however, any edits to it will get removed if the file is opened in a newer version of Excel. Learn more: https://go.microsoft.com/fwlink/?linkid=870924
Comment:
	venta final + excedentes
</t>
      </text>
    </comment>
    <comment authorId="1425" xr:uid="{83528c97-4d72-4338-8809-b97c84df23f7}" ref="Q565">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iniical con formateo + eset nod 32 + windows 11 pro + office 2024
</t>
      </text>
    </comment>
    <comment authorId="1426" xr:uid="{8364bc19-ff7e-40d7-a1a1-865ec6f04851}" ref="Q588">
      <text>
        <t xml:space="preserve">[Threaded comment]
 Your version of Excel allows you to read this threaded comment; however, any edits to it will get removed if the file is opened in a newer version of Excel. Learn more: https://go.microsoft.com/fwlink/?linkid=870924
Comment:
	antivirus+apertura+config inicial
</t>
      </text>
    </comment>
    <comment authorId="1427" xr:uid="{8389c7e2-f1f2-4ef4-91fd-e349a20e2fbe}" ref="D279">
      <text>
        <t xml:space="preserve">[Threaded comment]
 Your version of Excel allows you to read this threaded comment; however, any edits to it will get removed if the file is opened in a newer version of Excel. Learn more: https://go.microsoft.com/fwlink/?linkid=870924
Comment:
	Ruc: 20601708311
Reenviado
Razon social: Constructora y Consultora QMED Eirl
Reenviado
Correo: constructora.qmed@gmail.com
</t>
      </text>
    </comment>
    <comment authorId="1428" xr:uid="{838d881a-380d-4df9-b3e2-8a26e884435e}" ref="AF66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429" xr:uid="{838d8e0b-0f2f-42c6-ab88-178d6cc2f2c7}" ref="L252">
      <text>
        <t xml:space="preserve">[Threaded comment]
 Your version of Excel allows you to read this threaded comment; however, any edits to it will get removed if the file is opened in a newer version of Excel. Learn more: https://go.microsoft.com/fwlink/?linkid=870924
Comment:
	https://drive.google.com/file/d/18HjnbyAvDU5tMHvBOGYrWR4bIWoxvzOM/view?usp=drive_link
</t>
      </text>
    </comment>
    <comment authorId="1430" xr:uid="{83915b4a-d5ea-421d-b6f2-cbd624888357}" ref="C542">
      <text>
        <t xml:space="preserve">[Threaded comment]
 Your version of Excel allows you to read this threaded comment; however, any edits to it will get removed if the file is opened in a newer version of Excel. Learn more: https://go.microsoft.com/fwlink/?linkid=870924
Comment:
	https://www.amazon.com/Apple-Laptop-MacBook-2025-pulgadas/dp/B0DZDC3WW5/ref=sr_1_1_sspa?__mk_es_US=%C3%85M%C3%85%C5%BD%C3%95%C3%91&amp;crid=432011WKUNZU&amp;dib=eyJ2IjoiMSJ9.g-RiYkT6xiQ5tgpw21X-wr40yqXqckOOdZxqwVk6L1sCvh-uo9SBalvA5hz7HBJUkWTEhPbXalemTw2_lVOXCyBco_kbjjGWeNTHu4F9NlyMBwFLK1zOQhGjuEQEIcZdkS7j4Ae6TL-qLZtUhmcoSglXgv62FekelTyEba-wo3Q3XJcplhhqoEqjkd2H8KuEEF8zloA8oCGSrVMbMZFnzfxbaqIpqz18QQnKoUG2fyI.Fq5U092RK5mIZt6t-qrUDipjKMU3RB8VBQ_XYYX2nqw&amp;dib_tag=se&amp;keywords=mac%2B13&amp;qid=1771110333&amp;sprefix=mac%2B13%2B%2Caps%2C423&amp;sr=8-1-spons&amp;sp_csd=d2lkZ2V0TmFtZT1zcF9hdGY&amp;th=1
</t>
      </text>
    </comment>
    <comment authorId="1431" xr:uid="{83932ca7-fa1e-4f32-9cbc-2e3a7cb4ad62}" ref="C124">
      <text>
        <t xml:space="preserve">[Threaded comment]
 Your version of Excel allows you to read this threaded comment; however, any edits to it will get removed if the file is opened in a newer version of Excel. Learn more: https://go.microsoft.com/fwlink/?linkid=870924
Comment:
	https://shop.asus.com/us/90nr0ls1-m003k0-rog-strix-scar-18-2025.html?config=90NR0LS1-M003K0
</t>
      </text>
    </comment>
    <comment authorId="1432" xr:uid="{83ce44e2-a37a-4160-9c37-8dcf99a88a50}" ref="J57">
      <text>
        <t xml:space="preserve">[Threaded comment]
 Your version of Excel allows you to read this threaded comment; however, any edits to it will get removed if the file is opened in a newer version of Excel. Learn more: https://go.microsoft.com/fwlink/?linkid=870924
Comment:
	https://drive.google.com/file/d/1pGgzcPcGSVnYBnw_gRuYF80BeRTk59Uj/view?usp=drive_link
</t>
      </text>
    </comment>
    <comment authorId="1433" xr:uid="{83da3526-51dc-4883-b08a-dadabd5f5b1d}" ref="J582">
      <text>
        <t xml:space="preserve">[Threaded comment]
 Your version of Excel allows you to read this threaded comment; however, any edits to it will get removed if the file is opened in a newer version of Excel. Learn more: https://go.microsoft.com/fwlink/?linkid=870924
Comment:
	https://drive.google.com/file/d/1sLlFKKPc4nvYcB--gwNxaVlwcAr5zxGm/view?usp=drive_link reserva
</t>
      </text>
    </comment>
    <comment authorId="1434" xr:uid="{83eb9373-8892-47e2-8ad4-460290fb1c7b}" ref="J472">
      <text>
        <t xml:space="preserve">[Threaded comment]
 Your version of Excel allows you to read this threaded comment; however, any edits to it will get removed if the file is opened in a newer version of Excel. Learn more: https://go.microsoft.com/fwlink/?linkid=870924
Comment:
	https://drive.google.com/file/d/1ymbpP3lsFPvRF6EvrNrQAH8O4xWT4d3O/view?usp=drive_link
https://drive.google.com/file/d/1Y_0Vh80paNDfAC4gxISJN2IrOSGMUbYl/view?usp=drive_link
https://drive.google.com/file/d/1SrVVcIst8bjCYccHIGhPFABQz2ycG601/view?usp=drive_link
</t>
      </text>
    </comment>
    <comment authorId="1435" xr:uid="{8405f88f-dda1-48e9-9319-a87258d51cef}" ref="L96">
      <text>
        <t xml:space="preserve">[Threaded comment]
 Your version of Excel allows you to read this threaded comment; however, any edits to it will get removed if the file is opened in a newer version of Excel. Learn more: https://go.microsoft.com/fwlink/?linkid=870924
Comment:
	https://drive.google.com/file/d/1PTkv2MYT98hxj_F_ASGaIbXVLRfivYtQ/view?usp=drive_link
Reply:
	https://drive.google.com/file/d/1qnqvgmopheAp0ZF6J-tX8TObMoXtqx1b/view?usp=drive_link
</t>
      </text>
    </comment>
    <comment authorId="1436" xr:uid="{84082a2c-8ab4-42b3-8e24-ddae83d2121d}" ref="AI778">
      <text>
        <t xml:space="preserve">[Threaded comment]
 Your version of Excel allows you to read this threaded comment; however, any edits to it will get removed if the file is opened in a newer version of Excel. Learn more: https://go.microsoft.com/fwlink/?linkid=870924
Comment:
	https://drive.google.com/file/d/1oI10QQJVF-JkMcCSnhjalcEXKgee9K3x/view?usp=drive_link
</t>
      </text>
    </comment>
    <comment authorId="1437" xr:uid="{8409dabf-6c66-44f0-8598-1fe783bcb379}" ref="L265">
      <text>
        <t xml:space="preserve">[Threaded comment]
 Your version of Excel allows you to read this threaded comment; however, any edits to it will get removed if the file is opened in a newer version of Excel. Learn more: https://go.microsoft.com/fwlink/?linkid=870924
Comment:
	https://drive.google.com/file/d/126X1P29HBHD-_Mv5SNsbidlYHBrG9oJW/view?usp=drive_link
</t>
      </text>
    </comment>
    <comment authorId="1438" xr:uid="{842feadb-77b7-47bf-aa7e-c887ea6b94ff}" ref="Q529">
      <text>
        <t xml:space="preserve">[Threaded comment]
 Your version of Excel allows you to read this threaded comment; however, any edits to it will get removed if the file is opened in a newer version of Excel. Learn more: https://go.microsoft.com/fwlink/?linkid=870924
Comment:
	office 2024 + eset nod 32 + windows 11 pro + apertura con configuración inicial con formateo
</t>
      </text>
    </comment>
    <comment authorId="1439" xr:uid="{843a5eca-d71f-47a0-99b6-b45a3f5e8d2e}" ref="L110">
      <text>
        <t xml:space="preserve">[Threaded comment]
 Your version of Excel allows you to read this threaded comment; however, any edits to it will get removed if the file is opened in a newer version of Excel. Learn more: https://go.microsoft.com/fwlink/?linkid=870924
Comment:
	https://drive.google.com/file/d/1id4EU5AyrWGBPA5N4gaNPyeHWQCunYJS/view?usp=drive_link
</t>
      </text>
    </comment>
    <comment authorId="1440" xr:uid="{843a7e4b-a9b0-42a2-baf8-41b67afe70b5}" ref="W138">
      <text>
        <t xml:space="preserve">[Threaded comment]
 Your version of Excel allows you to read this threaded comment; however, any edits to it will get removed if the file is opened in a newer version of Excel. Learn more: https://go.microsoft.com/fwlink/?linkid=870924
Comment:
	https://drive.google.com/file/d/1aw4uYITj5lH3cFNkL2NdEnWlhRAqgI5_/view?usp=drive_link
</t>
      </text>
    </comment>
    <comment authorId="1441" xr:uid="{8442322f-3bf6-4513-8ef2-bb7a53b2b711}" ref="L98">
      <text>
        <t xml:space="preserve">[Threaded comment]
 Your version of Excel allows you to read this threaded comment; however, any edits to it will get removed if the file is opened in a newer version of Excel. Learn more: https://go.microsoft.com/fwlink/?linkid=870924
Comment:
	https://drive.google.com/file/d/1_NCDYxofRKRYMBLnJB43K-saQ_kRMZ8f/view?usp=drive_link
</t>
      </text>
    </comment>
    <comment authorId="1442" xr:uid="{84496164-1603-4b87-991a-88ead8185000}" ref="J754">
      <text>
        <t xml:space="preserve">[Threaded comment]
 Your version of Excel allows you to read this threaded comment; however, any edits to it will get removed if the file is opened in a newer version of Excel. Learn more: https://go.microsoft.com/fwlink/?linkid=870924
Comment:
	https://drive.google.com/file/d/1-wS2xnb3JSDBA95oj81G1EJz2cUkjlt5/view?usp=drive_link
</t>
      </text>
    </comment>
    <comment authorId="1443" xr:uid="{84890b16-ba70-4405-8727-5db58f9c2089}" ref="C281">
      <text>
        <t xml:space="preserve">[Threaded comment]
 Your version of Excel allows you to read this threaded comment; however, any edits to it will get removed if the file is opened in a newer version of Excel. Learn more: https://go.microsoft.com/fwlink/?linkid=870924
Comment:
	https://www.bestbuy.com/product/msi-vector-16-hx-ai-400-16-240hz-qhd-gaming-laptop-intel-ultra-9-275hx-geforce-rtx-5080-16gb-memory-1tbssd-cosmo-gray/J3P7TXRSQV
</t>
      </text>
    </comment>
    <comment authorId="1444" xr:uid="{84a6c3b1-2a2e-4c96-8a9f-c4d3387b6b3f}" ref="C231">
      <text>
        <t xml:space="preserve">[Threaded comment]
 Your version of Excel allows you to read this threaded comment; however, any edits to it will get removed if the file is opened in a newer version of Excel. Learn more: https://go.microsoft.com/fwlink/?linkid=870924
Comment:
	https://www.ebay.com/itm/127152151087?_skw=scar+5090&amp;itmmeta=01K51WHN9B68HX4QFTCCDYCVWX&amp;hash=item1d9adbda2f:g:SuEAAOSwLf1oSfus&amp;itmprp=enc%3AAQAKAAAAwFkggFvd1GGDu0w3yXCmi1e5MZ8jIdve6y9h31opGAh2f5MQRECCPUThpqxRdH%2F5hIuqRKEo0pwGyUzMcvJY8Cy2rAJuhtAFa8Tk%2FKHwwztHdv1pgDVZMyrFaIgw%2FjegwYkCm3913V97ansgMaXYEwM3cdUMPsHV%2Fdz9xot3lShjtU0R15cv0mmCndJCvV61db01m7BnsOwS6ZJW5TYB3%2F4a5XWFPcgGTNsFzwN0l7KW%2FSrhhB%2F4Hc%2Fb%2BNCpdQ%2BBXA%3D%3D%7Ctkp%3ABk9SR-DUxryoZg
</t>
      </text>
    </comment>
    <comment authorId="1445" xr:uid="{84d751da-dabc-4e71-b671-fbba7fef0c92}" ref="K628">
      <text>
        <t xml:space="preserve">[Threaded comment]
 Your version of Excel allows you to read this threaded comment; however, any edits to it will get removed if the file is opened in a newer version of Excel. Learn more: https://go.microsoft.com/fwlink/?linkid=870924
Comment:
	https://drive.google.com/file/d/1ywxgtNOEmrjTplc5VTs72avh41Cj-Rom/view?usp=drive_link
Reply:
	https://drive.google.com/file/d/1g1Vyyhuw5mHOc6pAxPAc66igzLOOix_W/view?usp=drive_link
</t>
      </text>
    </comment>
    <comment authorId="1446" xr:uid="{84d77587-21d1-4efd-ac3f-4c8d8766abb9}" ref="L175">
      <text>
        <t xml:space="preserve">[Threaded comment]
 Your version of Excel allows you to read this threaded comment; however, any edits to it will get removed if the file is opened in a newer version of Excel. Learn more: https://go.microsoft.com/fwlink/?linkid=870924
Comment:
	https://drive.google.com/file/d/15lB5KMMYpHBEOGr1AucwQAGxpwISutlb/view?usp=drive_link
</t>
      </text>
    </comment>
    <comment authorId="1447" xr:uid="{84e67afa-206f-4c89-8eae-35937aed67ad}" ref="W386">
      <text>
        <t xml:space="preserve">[Threaded comment]
 Your version of Excel allows you to read this threaded comment; however, any edits to it will get removed if the file is opened in a newer version of Excel. Learn more: https://go.microsoft.com/fwlink/?linkid=870924
Comment:
	https://drive.google.com/file/d/1F7vqGSWXY6gejgoSqyIJzsoXIEEB1cdM/view?usp=drive_link
</t>
      </text>
    </comment>
    <comment authorId="1448" xr:uid="{84f6c699-ab3b-40e9-a067-62d1e981c8f8}" ref="D571">
      <text>
        <t xml:space="preserve">[Threaded comment]
 Your version of Excel allows you to read this threaded comment; however, any edits to it will get removed if the file is opened in a newer version of Excel. Learn more: https://go.microsoft.com/fwlink/?linkid=870924
Comment:
	75460315
</t>
      </text>
    </comment>
    <comment authorId="1449" xr:uid="{851854ed-6eb2-4f32-ad08-55d2812695ac}" ref="AF693">
      <text>
        <t xml:space="preserve">[Threaded comment]
 Your version of Excel allows you to read this threaded comment; however, any edits to it will get removed if the file is opened in a newer version of Excel. Learn more: https://go.microsoft.com/fwlink/?linkid=870924
Comment:
	excedentes, venta final
</t>
      </text>
    </comment>
    <comment authorId="1450" xr:uid="{852a3698-0b3a-4685-bacf-43078a38d4fa}" ref="N299">
      <text>
        <t xml:space="preserve">[Threaded comment]
 Your version of Excel allows you to read this threaded comment; however, any edits to it will get removed if the file is opened in a newer version of Excel. Learn more: https://go.microsoft.com/fwlink/?linkid=870924
Comment:
	S/.830,22881
S/.979,6700
</t>
      </text>
    </comment>
    <comment authorId="1451" xr:uid="{85b834fd-fc19-49eb-ae18-2760fa87e15b}" ref="J135">
      <text>
        <t xml:space="preserve">[Threaded comment]
 Your version of Excel allows you to read this threaded comment; however, any edits to it will get removed if the file is opened in a newer version of Excel. Learn more: https://go.microsoft.com/fwlink/?linkid=870924
Comment:
	https://drive.google.com/file/d/1NJpbnaRdn-aOYa98AO2XGNE4GhQyNYFk/view?usp=drive_link
https://drive.google.com/file/d/10OMXr1JWTH6eme8jbeFCqhshoAFdkK4K/view?usp=drive_link
https://drive.google.com/file/d/1Mu4xSKnyJumPoxs7-StA3OBBP8EUVw5F/view?usp=drive_link
https://drive.google.com/file/d/13we7o_O_Ejb8EsKtIZJolEBqHIuZlqsy/view?usp=drive_link
https://drive.google.com/file/d/1ShD3oKqI35Dl4cijOBfCYsDNEtDzsqZC/view?usp=drive_link
https://drive.google.com/file/d/1fEeX6CgBUNkdBhZReOaZ4W8-mUUWpGdV/view?usp=drive_link
</t>
      </text>
    </comment>
    <comment authorId="1452" xr:uid="{85e9e924-96a1-4025-9c5c-b2dee553f532}" ref="K631">
      <text>
        <t xml:space="preserve">[Threaded comment]
 Your version of Excel allows you to read this threaded comment; however, any edits to it will get removed if the file is opened in a newer version of Excel. Learn more: https://go.microsoft.com/fwlink/?linkid=870924
Comment:
	https://drive.google.com/file/d/1V6_S9eJHcfk_YRUOCZuFjc4PtAIMrwF9/view?usp=drive_link
</t>
      </text>
    </comment>
    <comment authorId="1453" xr:uid="{85fc31dc-0fed-4560-8db9-1810a1262469}" ref="AF578">
      <text>
        <t xml:space="preserve">[Threaded comment]
 Your version of Excel allows you to read this threaded comment; however, any edits to it will get removed if the file is opened in a newer version of Excel. Learn more: https://go.microsoft.com/fwlink/?linkid=870924
Comment:
	SOLO FORMS
</t>
      </text>
    </comment>
    <comment authorId="1454" xr:uid="{861857d2-a175-4c50-81a4-dd9180bc60dc}" ref="W231">
      <text>
        <t xml:space="preserve">[Threaded comment]
 Your version of Excel allows you to read this threaded comment; however, any edits to it will get removed if the file is opened in a newer version of Excel. Learn more: https://go.microsoft.com/fwlink/?linkid=870924
Comment:
	https://drive.google.com/file/d/1Vl3etJjcYoinELop9JUV1WurDR_TBlpX/view?usp=drive_link
</t>
      </text>
    </comment>
    <comment authorId="1455" xr:uid="{861c2542-c27b-417a-bb1c-219f2b3bb812}" ref="AI743">
      <text>
        <t xml:space="preserve">[Threaded comment]
 Your version of Excel allows you to read this threaded comment; however, any edits to it will get removed if the file is opened in a newer version of Excel. Learn more: https://go.microsoft.com/fwlink/?linkid=870924
Comment:
	https://drive.google.com/file/d/1BJWbw6z5qITn-tcGt84Y9bQHq9fiInPi/view?usp=drive_link
</t>
      </text>
    </comment>
    <comment authorId="1456" xr:uid="{861cff43-3309-4b4a-8451-4a538e863a3b}" ref="K694">
      <text>
        <t xml:space="preserve">[Threaded comment]
 Your version of Excel allows you to read this threaded comment; however, any edits to it will get removed if the file is opened in a newer version of Excel. Learn more: https://go.microsoft.com/fwlink/?linkid=870924
Comment:
	https://drive.google.com/file/d/1snBb9nmnr4pSX9aXX_T6g49YQFqbiZqE/view?usp=drive_link pago final + mouse + licencia
</t>
      </text>
    </comment>
    <comment authorId="1457" xr:uid="{86429cca-6a37-4d40-9048-fe92b72df2d7}" ref="K676">
      <text>
        <t xml:space="preserve">[Threaded comment]
 Your version of Excel allows you to read this threaded comment; however, any edits to it will get removed if the file is opened in a newer version of Excel. Learn more: https://go.microsoft.com/fwlink/?linkid=870924
Comment:
	https://drive.google.com/file/d/16S55TSxq-G_EQuJJMNgI5B8qtlBPxbmR/view?usp=drive_link
Reply:
	https://drive.google.com/file/d/1-C703qICAW5ynCoLAwzhLDzD8qDQAit-/view?usp=drive_link
</t>
      </text>
    </comment>
    <comment authorId="1458" xr:uid="{866b985b-42d8-4881-8b15-c6c18147e6f6}" ref="J458">
      <text>
        <t xml:space="preserve">[Threaded comment]
 Your version of Excel allows you to read this threaded comment; however, any edits to it will get removed if the file is opened in a newer version of Excel. Learn more: https://go.microsoft.com/fwlink/?linkid=870924
Comment:
	https://drive.google.com/file/d/1oUyCMlozqGw2uxIqnRmh3EiA67HuGi8Z/view?usp=drive_link
</t>
      </text>
    </comment>
    <comment authorId="1459" xr:uid="{86c96591-8f7e-43d7-b7e0-54684b368c63}" ref="C675">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https://www.bhphotovideo.com/c/product/1889853-REG/dell_u2725qe_ultrasharp_27_4k_uhd.html?gad_campaignid=21973659102&amp;gad_source=1&amp;gbraid=0AAAAAD7yMh0_gnZWRRH6PWCjv7QBfXVo-&amp;gclid=EAIaIQobChMIpJaY3YvkkwMVnGpIAB2EcCiBEAQYBCABEgJppPD_BwE
</t>
      </text>
    </comment>
    <comment authorId="1460" xr:uid="{86d1f4b8-260b-495a-9104-39240abc24f1}" ref="C68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1461" xr:uid="{86d3ffa8-58cc-4457-9c69-27ad36e7755d}" ref="W127">
      <text>
        <t xml:space="preserve">[Threaded comment]
 Your version of Excel allows you to read this threaded comment; however, any edits to it will get removed if the file is opened in a newer version of Excel. Learn more: https://go.microsoft.com/fwlink/?linkid=870924
Comment:
	https://drive.google.com/file/d/13-8zKmv9zMBFtV5AyQ5PWmfZVXX3N-6D/view?usp=drive_link
</t>
      </text>
    </comment>
    <comment authorId="1462" xr:uid="{86d8f681-c6c4-4b7e-bda2-f3c1ea08ab9e}" ref="L168">
      <text>
        <t xml:space="preserve">[Threaded comment]
 Your version of Excel allows you to read this threaded comment; however, any edits to it will get removed if the file is opened in a newer version of Excel. Learn more: https://go.microsoft.com/fwlink/?linkid=870924
Comment:
	https://drive.google.com/file/d/1r4LriXTg2Z11WKuRBQMj2pmUc3xd0rpr/view?usp=drive_link
https://drive.google.com/file/d/1yc9llY0StI_EjLvUIuLYKAz2dvZhXOXB/view?usp=drive_link
https://drive.google.com/file/d/17EE1TdtUXNH8g2DTT97_TTXoWdq3JmGh/view?usp=drive_link
https://drive.google.com/file/d/128RdDEz2wK7A9XudebIiF84_0QV1YpMn/view?usp=drive_link
</t>
      </text>
    </comment>
    <comment authorId="1463" xr:uid="{86e2e807-a632-44af-94b0-aae1afacef6a}" ref="AI737">
      <text>
        <t xml:space="preserve">[Threaded comment]
 Your version of Excel allows you to read this threaded comment; however, any edits to it will get removed if the file is opened in a newer version of Excel. Learn more: https://go.microsoft.com/fwlink/?linkid=870924
Comment:
	https://drive.google.com/file/d/14hiIbeSYfoINOvpEgxEo7KPG4vpHAuO1/view?usp=drive_link
</t>
      </text>
    </comment>
    <comment authorId="1464" xr:uid="{871bfd12-4ee9-489a-a3a3-14cdc7f723bb}" ref="K434">
      <text>
        <t xml:space="preserve">[Threaded comment]
 Your version of Excel allows you to read this threaded comment; however, any edits to it will get removed if the file is opened in a newer version of Excel. Learn more: https://go.microsoft.com/fwlink/?linkid=870924
Comment:
	https://drive.google.com/file/d/1iWX9IU3Ggc_bFEc4SyPWTyCpfRn4P8g6/view?usp=drive_link
https://drive.google.com/file/d/14xmA-Npoq7r-XB8n21ko--qdnRlPPEi1/view?usp=drive_link
</t>
      </text>
    </comment>
    <comment authorId="1465" xr:uid="{8720f449-d9a5-4cc4-93d8-59ad103816de}" ref="L19">
      <text>
        <t xml:space="preserve">[Threaded comment]
 Your version of Excel allows you to read this threaded comment; however, any edits to it will get removed if the file is opened in a newer version of Excel. Learn more: https://go.microsoft.com/fwlink/?linkid=870924
Comment:
	https://drive.google.com/file/d/1RsbOYdglfM02_xV9HSq6tGk5usIMPKg2/view?usp=drive_link
</t>
      </text>
    </comment>
    <comment authorId="1466" xr:uid="{8725de4d-643d-462e-8a15-71cde00cfd51}" ref="K472">
      <text>
        <t xml:space="preserve">[Threaded comment]
 Your version of Excel allows you to read this threaded comment; however, any edits to it will get removed if the file is opened in a newer version of Excel. Learn more: https://go.microsoft.com/fwlink/?linkid=870924
Comment:
	https://drive.google.com/file/d/1gsLSS-tBkYG1Q1W2MEgPYvgO_2U1UMSA/view?usp=drive_link
</t>
      </text>
    </comment>
    <comment authorId="1467" xr:uid="{8783e866-2268-40c2-9e12-f03adf256862}" ref="W427">
      <text>
        <t xml:space="preserve">[Threaded comment]
 Your version of Excel allows you to read this threaded comment; however, any edits to it will get removed if the file is opened in a newer version of Excel. Learn more: https://go.microsoft.com/fwlink/?linkid=870924
Comment:
	https://drive.google.com/file/d/1ym4PisEYQkEQhfP-1C0MUM3BGq5601S-/view?usp=drive_link
</t>
      </text>
    </comment>
    <comment authorId="1468" xr:uid="{87899501-22b1-4012-9431-4631e6940a89}" ref="C33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https://www.microcenter.com/product/698178/lenovo-legion-5-15ahp10-153-gaming-laptop-computer-eclipse-black?storeid=185
</t>
      </text>
    </comment>
    <comment authorId="1469" xr:uid="{881cbb63-ce0b-45d2-9d7f-3f69cf7200e8}" ref="K343">
      <text>
        <t xml:space="preserve">[Threaded comment]
 Your version of Excel allows you to read this threaded comment; however, any edits to it will get removed if the file is opened in a newer version of Excel. Learn more: https://go.microsoft.com/fwlink/?linkid=870924
Comment:
	https://drive.google.com/file/d/1gn4b2JrBm8u9bNWLJrNU-lYj2ip-GZ1r/view?usp=drive_link
Reply:
	https://drive.google.com/file/d/1agKRJbNdVdP4n7xf_LEzvD5GET89iBgQ/view?usp=drive_link
</t>
      </text>
    </comment>
    <comment authorId="1470" xr:uid="{884d94fc-1a33-48a6-bc0e-c9e06f185270}" ref="C40">
      <text>
        <t xml:space="preserve">[Threaded comment]
 Your version of Excel allows you to read this threaded comment; however, any edits to it will get removed if the file is opened in a newer version of Excel. Learn more: https://go.microsoft.com/fwlink/?linkid=870924
Comment:
	https://www.ebay.com/itm/335724029818?_skw=acer+nitro+5+i+9+4060&amp;epid=21066792121&amp;itmmeta=01JTRQD1YR4R5WX59CXCWTSFTZ&amp;hash=item4e2ab6277a:g:TbAAAOSwFc5nWbbz&amp;itmprp=enc%3AAQAKAAAA0FkggFvd1GGDu0w3yXCmi1erceZlaf5ks%2FkUT2qXLXuNnFGsNf7sC%2BX83w1LojE%2FtTzzeO4avaE7FK519ma02nUOhpW0kDvh5fQTSRndWpanghqGxu7aPBxwGC71Gl80HoNlnpvXGFDQik6ZeiqTK5kT68A7MujeirDef2xHRz1XODyBTiU2GO7M964ttSdEHt71eM3MHzwt%2F%2Bkz8oBCHMemRKEGK3r6rb3NCEzLKTzltbgeSa7YvgdoCV9QYhiFxPg2N0eG%2BhTGh1K0hAy0dtk%3D%7Ctkp%3ABk9SR86ftJfWZQ
</t>
      </text>
    </comment>
    <comment authorId="1471" xr:uid="{884ef5ec-8dde-467b-8d82-123aa2964c08}" ref="C72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1472" xr:uid="{88aa4d7f-fc7d-42a4-a3e4-2bb49d7e0c1a}" ref="K624">
      <text>
        <t xml:space="preserve">[Threaded comment]
 Your version of Excel allows you to read this threaded comment; however, any edits to it will get removed if the file is opened in a newer version of Excel. Learn more: https://go.microsoft.com/fwlink/?linkid=870924
Comment:
	https://drive.google.com/file/d/1BG-KJrs27pJXhSfzXYoaEULYI7GiSON0/view?usp=drive_link
Reply:
	https://drive.google.com/file/d/1eX7nU4j671PlqGhn1JSDM6H2PGdD7sDR/view?usp=drive_link
</t>
      </text>
    </comment>
    <comment authorId="1473" xr:uid="{890b8ffe-cb80-402e-9d92-3f9531eb763f}" ref="C561">
      <text>
        <t xml:space="preserve">[Threaded comment]
 Your version of Excel allows you to read this threaded comment; however, any edits to it will get removed if the file is opened in a newer version of Excel. Learn more: https://go.microsoft.com/fwlink/?linkid=870924
Comment:
	https://www.ebay.com/itm/306423604443?_skw=laptop+gaming&amp;itmmeta=01KHN5TN0YPDNJG1950QGRWCHF&amp;hash=item47584524db:g:ah4AAeSwddNpiFpk
</t>
      </text>
    </comment>
    <comment authorId="1474" xr:uid="{8925a6b0-5489-4d12-ae5f-c77351db7a65}" ref="C55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475" xr:uid="{892649d0-dac4-4e02-8f61-3af4746ae85f}" ref="M187">
      <text>
        <t xml:space="preserve">[Threaded comment]
 Your version of Excel allows you to read this threaded comment; however, any edits to it will get removed if the file is opened in a newer version of Excel. Learn more: https://go.microsoft.com/fwlink/?linkid=870924
Comment:
	cambió el precio porque no había taxes en esta tienda
</t>
      </text>
    </comment>
    <comment authorId="1476" xr:uid="{893a085d-66e1-4704-b7fc-c816799ba357}" ref="T705">
      <text>
        <t xml:space="preserve">[Threaded comment]
 Your version of Excel allows you to read this threaded comment; however, any edits to it will get removed if the file is opened in a newer version of Excel. Learn more: https://go.microsoft.com/fwlink/?linkid=870924
Comment:
	se le saco el excedente por sobreprecio
</t>
      </text>
    </comment>
    <comment authorId="1477" xr:uid="{894e9ee3-cbcd-4993-95e7-e7040fc8075d}" ref="J633">
      <text>
        <t xml:space="preserve">[Threaded comment]
 Your version of Excel allows you to read this threaded comment; however, any edits to it will get removed if the file is opened in a newer version of Excel. Learn more: https://go.microsoft.com/fwlink/?linkid=870924
Comment:
	https://drive.google.com/file/d/1cD_U-jGuLkzYkKoEjT4AmWtoA3PeHgLr/view?usp=drive_link
</t>
      </text>
    </comment>
    <comment authorId="1478" xr:uid="{895a929d-de68-471d-b0e9-e4dad8342885}" ref="J785">
      <text>
        <t xml:space="preserve">[Threaded comment]
 Your version of Excel allows you to read this threaded comment; however, any edits to it will get removed if the file is opened in a newer version of Excel. Learn more: https://go.microsoft.com/fwlink/?linkid=870924
Comment:
	https://drive.google.com/file/d/1mGfMaFFTBO8XNl8mJU_hXVRTUnTB9PbA/view?usp=drive_link
Reply:
	https://drive.google.com/file/d/1kwJZjr6CpE2GhBEzX6w2YEiradOTWnHm/view?usp=drive_link
Reply:
	https://drive.google.com/file/d/1RD9_2mkJ7dGBgAmqGVnJF-_n_541VWka/view?usp=drive_link
Reply:
	https://drive.google.com/file/d/1NDgfEPpEJcC64J6Ttx572BlVq4nowdhQ/view?usp=drive_link
</t>
      </text>
    </comment>
    <comment authorId="1479" xr:uid="{89797a05-96ae-4937-ba5c-340e139d1f24}" ref="C263">
      <text>
        <t xml:space="preserve">[Threaded comment]
 Your version of Excel allows you to read this threaded comment; however, any edits to it will get removed if the file is opened in a newer version of Excel. Learn more: https://go.microsoft.com/fwlink/?linkid=870924
Comment:
	https://www.ebay.com/itm/205606875313?_skw=5060&amp;itmmeta=01K75ZHFKJY4B0SNR2V94VF7HR&amp;hash=item2fdf1ff0b1:g:-fEAAeSwfdlo3OAG
</t>
      </text>
    </comment>
    <comment authorId="1480" xr:uid="{89ad155b-c190-40e3-8dcc-dba577138f92}" ref="K705">
      <text>
        <t xml:space="preserve">[Threaded comment]
 Your version of Excel allows you to read this threaded comment; however, any edits to it will get removed if the file is opened in a newer version of Excel. Learn more: https://go.microsoft.com/fwlink/?linkid=870924
Comment:
	https://drive.google.com/file/d/1FBHbcw7AUVgOIiYKLljD66IKXHjlucAk/view?usp=drive_link
https://drive.google.com/file/d/15dfGpc6kKEmaxW0We0y058O97KjajJyx/view?usp=drive_link
</t>
      </text>
    </comment>
    <comment authorId="1481" xr:uid="{89af6e57-6f53-45b6-b09a-7e60a055e09f}" ref="W263">
      <text>
        <t xml:space="preserve">[Threaded comment]
 Your version of Excel allows you to read this threaded comment; however, any edits to it will get removed if the file is opened in a newer version of Excel. Learn more: https://go.microsoft.com/fwlink/?linkid=870924
Comment:
	https://drive.google.com/file/d/1TcECUYUDkqhj8NpECxwS1yX8lO_Wal_Y/view?usp=drive_link
</t>
      </text>
    </comment>
    <comment authorId="1482" xr:uid="{89c2c6a0-6bef-40b6-8f8f-96671237390b}" ref="L43">
      <text>
        <t xml:space="preserve">[Threaded comment]
 Your version of Excel allows you to read this threaded comment; however, any edits to it will get removed if the file is opened in a newer version of Excel. Learn more: https://go.microsoft.com/fwlink/?linkid=870924
Comment:
	https://drive.google.com/file/d/1iZ4pp1UucM_IY8j5G4gMvhVli0X8-_k3/view?usp=drive_link
</t>
      </text>
    </comment>
    <comment authorId="1483" xr:uid="{89cd6abf-5bdf-4a21-93fa-9ddaae1d2f0b}" ref="AF745">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484" xr:uid="{89d2a4d7-bfdf-4925-b61a-b7d87918db43}" ref="D395">
      <text>
        <t xml:space="preserve">[Threaded comment]
 Your version of Excel allows you to read this threaded comment; however, any edits to it will get removed if the file is opened in a newer version of Excel. Learn more: https://go.microsoft.com/fwlink/?linkid=870924
Comment:
	Carlos Alberto Monago Diaz
45387654
991674871
cmonago20@gmail.com
</t>
      </text>
    </comment>
    <comment authorId="1485" xr:uid="{89e43f4c-5f53-4406-8203-3431b4cd71fa}" ref="AF725">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486" xr:uid="{89f5602e-060c-46a5-8e48-dca6e80d6fc9}" ref="K270">
      <text>
        <t xml:space="preserve">[Threaded comment]
 Your version of Excel allows you to read this threaded comment; however, any edits to it will get removed if the file is opened in a newer version of Excel. Learn more: https://go.microsoft.com/fwlink/?linkid=870924
Comment:
	https://drive.google.com/file/d/17R3d_kQxXjag5wSkMUYBbJymzcSW_rP-/view?usp=drive_link
</t>
      </text>
    </comment>
    <comment authorId="1487" xr:uid="{8a434bb5-b87f-42a5-94d9-5ffa7a101f93}" ref="U352">
      <text>
        <t xml:space="preserve">[Threaded comment]
 Your version of Excel allows you to read this threaded comment; however, any edits to it will get removed if the file is opened in a newer version of Excel. Learn more: https://go.microsoft.com/fwlink/?linkid=870924
Comment:
	el cliente dice que no se envió el mouse, así que no sé si se descuenta o no :/
</t>
      </text>
    </comment>
    <comment authorId="1488" xr:uid="{8a45787c-3a65-4bdd-8734-8924cb9e845d}" ref="L156">
      <text>
        <t xml:space="preserve">[Threaded comment]
 Your version of Excel allows you to read this threaded comment; however, any edits to it will get removed if the file is opened in a newer version of Excel. Learn more: https://go.microsoft.com/fwlink/?linkid=870924
Comment:
	https://drive.google.com/file/d/1pHKAF16bT5ozFQj6lwTO1lASHHrPKyvY/view?usp=drive_link
</t>
      </text>
    </comment>
    <comment authorId="1489" xr:uid="{8a53e27a-f11f-49a1-a20e-2951dd4a7089}" ref="W397">
      <text>
        <t xml:space="preserve">[Threaded comment]
 Your version of Excel allows you to read this threaded comment; however, any edits to it will get removed if the file is opened in a newer version of Excel. Learn more: https://go.microsoft.com/fwlink/?linkid=870924
Comment:
	https://drive.google.com/open?id=1ErUn32IDQu9nrxooa9F5Q6l2XKr-WVzV&amp;usp=drive_copy
</t>
      </text>
    </comment>
    <comment authorId="1490" xr:uid="{8a6ab582-ffb0-4551-a2ae-8cb7fb061855}" ref="AF273">
      <text>
        <t xml:space="preserve">[Threaded comment]
 Your version of Excel allows you to read this threaded comment; however, any edits to it will get removed if the file is opened in a newer version of Excel. Learn more: https://go.microsoft.com/fwlink/?linkid=870924
Comment:
	comprobante
</t>
      </text>
    </comment>
    <comment authorId="1491" xr:uid="{8a730033-7ec6-420d-80b6-aa4b8ba7666b}" ref="AG380">
      <text>
        <t xml:space="preserve">[Threaded comment]
 Your version of Excel allows you to read this threaded comment; however, any edits to it will get removed if the file is opened in a newer version of Excel. Learn more: https://go.microsoft.com/fwlink/?linkid=870924
Comment:
	No excedente
</t>
      </text>
    </comment>
    <comment authorId="1492" xr:uid="{8a7edb23-daa2-4411-b579-8bb9d5b78af0}" ref="L116">
      <text>
        <t xml:space="preserve">[Threaded comment]
 Your version of Excel allows you to read this threaded comment; however, any edits to it will get removed if the file is opened in a newer version of Excel. Learn more: https://go.microsoft.com/fwlink/?linkid=870924
Comment:
	https://drive.google.com/file/d/1472Dzz3d3fNmEwOqBqhpTlHDuEV6Dblv/view?usp=drive_link
</t>
      </text>
    </comment>
    <comment authorId="1493" xr:uid="{8a7fe06c-8ef2-4bc3-a9b8-6c021d56fbd7}" ref="L155">
      <text>
        <t xml:space="preserve">[Threaded comment]
 Your version of Excel allows you to read this threaded comment; however, any edits to it will get removed if the file is opened in a newer version of Excel. Learn more: https://go.microsoft.com/fwlink/?linkid=870924
Comment:
	https://drive.google.com/file/d/18-_1OFy4R4zsex8oH03XabGJ8RSsqHuh/view?usp=drive_link
</t>
      </text>
    </comment>
    <comment authorId="1494" xr:uid="{8a84a3e0-0f0e-4c01-85b3-251f8d9c4af9}" ref="V306">
      <text>
        <t xml:space="preserve">[Threaded comment]
 Your version of Excel allows you to read this threaded comment; however, any edits to it will get removed if the file is opened in a newer version of Excel. Learn more: https://go.microsoft.com/fwlink/?linkid=870924
Comment:
	no se sabe el nombre de la persona que hizo el form
</t>
      </text>
    </comment>
    <comment authorId="1495" xr:uid="{8a9ca085-e292-41e0-9492-278525ae8df2}" ref="J775">
      <text>
        <t xml:space="preserve">[Threaded comment]
 Your version of Excel allows you to read this threaded comment; however, any edits to it will get removed if the file is opened in a newer version of Excel. Learn more: https://go.microsoft.com/fwlink/?linkid=870924
Comment:
	https://drive.google.com/file/d/1ewghLlVpTwE4n9y3jFm40AKkQin4mulE/view?usp=drive_link
Reply:
	https://drive.google.com/file/d/1gBhnCZV25f9mXQcbcRNOGdUtSG6e3kA-/view?usp=drive_link
</t>
      </text>
    </comment>
    <comment authorId="1496" xr:uid="{8abc51e5-36d9-4df1-b175-28b55c4ba1b8}" ref="C320">
      <text>
        <t xml:space="preserve">[Threaded comment]
 Your version of Excel allows you to read this threaded comment; however, any edits to it will get removed if the file is opened in a newer version of Excel. Learn more: https://go.microsoft.com/fwlink/?linkid=870924
Comment:
	https://www.ebay.com/itm/127157824843?_skw=rog+flow&amp;itmmeta=01KABXXBZGRAX9F247QY9EPAQW&amp;hash=item1d9b326d4b:g:2jcAAeSwiVZpA8J1
</t>
      </text>
    </comment>
    <comment authorId="1497" xr:uid="{8ac895af-5a10-4af7-88ff-a4712216e425}" ref="J198">
      <text>
        <t xml:space="preserve">[Threaded comment]
 Your version of Excel allows you to read this threaded comment; however, any edits to it will get removed if the file is opened in a newer version of Excel. Learn more: https://go.microsoft.com/fwlink/?linkid=870924
Comment:
	https://drive.google.com/file/d/1ji3gBMgXVUg-397GyaoTffMO0CjOnjeJ/view?usp=drive_link
</t>
      </text>
    </comment>
    <comment authorId="1498" xr:uid="{8acb279b-f0b9-46c6-bbbc-300ecb51438e}" ref="J650">
      <text>
        <t xml:space="preserve">[Threaded comment]
 Your version of Excel allows you to read this threaded comment; however, any edits to it will get removed if the file is opened in a newer version of Excel. Learn more: https://go.microsoft.com/fwlink/?linkid=870924
Comment:
	https://drive.google.com/file/d/1pvFcX7fBC34uwlXZlRr7MDgv5OsZjrnd/view?usp=drive_link
</t>
      </text>
    </comment>
    <comment authorId="1499" xr:uid="{8acc188d-9ebb-486f-adda-eb0fbae733af}" ref="AF738">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500" xr:uid="{8afbb0c4-58eb-4259-9b98-278debd4e94e}" ref="AF615">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501" xr:uid="{8afdcc47-7dc6-42e7-95ac-f6135816fdde}" ref="W236">
      <text>
        <t xml:space="preserve">[Threaded comment]
 Your version of Excel allows you to read this threaded comment; however, any edits to it will get removed if the file is opened in a newer version of Excel. Learn more: https://go.microsoft.com/fwlink/?linkid=870924
Comment:
	https://drive.google.com/file/d/1Q9cp7gvnoQA3Xa0pFI_Vpk_gzwDQTusH/view?usp=drive_link
</t>
      </text>
    </comment>
    <comment authorId="1502" xr:uid="{8b0c4c50-5a55-4d97-b1b2-5ece332c1945}" ref="W251">
      <text>
        <t xml:space="preserve">[Threaded comment]
 Your version of Excel allows you to read this threaded comment; however, any edits to it will get removed if the file is opened in a newer version of Excel. Learn more: https://go.microsoft.com/fwlink/?linkid=870924
Comment:
	https://drive.google.com/file/d/1Fpy7w3G0pUYIxiioKAzqeiX_s6VO2o2-/view?usp=drive_link
</t>
      </text>
    </comment>
    <comment authorId="1503" xr:uid="{8b1cd73e-69fd-447c-a123-0db58c5935df}" ref="J670">
      <text>
        <t xml:space="preserve">[Threaded comment]
 Your version of Excel allows you to read this threaded comment; however, any edits to it will get removed if the file is opened in a newer version of Excel. Learn more: https://go.microsoft.com/fwlink/?linkid=870924
Comment:
	https://drive.google.com/file/d/1fzMfa-OOy7bT86DU9RIiQNw32FtWex2_/view?usp=drive_link
</t>
      </text>
    </comment>
    <comment authorId="1504" xr:uid="{8b2d0119-85c4-4f76-b193-d4f448b55c7f}" ref="J688">
      <text>
        <t xml:space="preserve">[Threaded comment]
 Your version of Excel allows you to read this threaded comment; however, any edits to it will get removed if the file is opened in a newer version of Excel. Learn more: https://go.microsoft.com/fwlink/?linkid=870924
Comment:
	https://drive.google.com/file/d/1kRE8X-APNkeF8IpkAbreK6ngmwtHeJlh/view?usp=drive_link
</t>
      </text>
    </comment>
    <comment authorId="1505" xr:uid="{8b390adf-e483-46c5-94b3-cfeb50d5c153}" ref="J33">
      <text>
        <t xml:space="preserve">[Threaded comment]
 Your version of Excel allows you to read this threaded comment; however, any edits to it will get removed if the file is opened in a newer version of Excel. Learn more: https://go.microsoft.com/fwlink/?linkid=870924
Comment:
	https://drive.google.com/file/d/10xVs_MGnUkffAGh0STbpMbs2liNlV5uu/view?usp=drive_link
</t>
      </text>
    </comment>
    <comment authorId="1506" xr:uid="{8b5eeb09-3ea8-436d-8a54-cc3bc12d6527}" ref="W367">
      <text>
        <t xml:space="preserve">[Threaded comment]
 Your version of Excel allows you to read this threaded comment; however, any edits to it will get removed if the file is opened in a newer version of Excel. Learn more: https://go.microsoft.com/fwlink/?linkid=870924
Comment:
	https://drive.google.com/file/d/1l7asw_s7Vy34lL8WltR0x2Voz-4gshsh/view?usp=drive_link
</t>
      </text>
    </comment>
    <comment authorId="1507" xr:uid="{8bc32c8b-c584-4079-a198-699534fa1474}" ref="K282">
      <text>
        <t xml:space="preserve">[Threaded comment]
 Your version of Excel allows you to read this threaded comment; however, any edits to it will get removed if the file is opened in a newer version of Excel. Learn more: https://go.microsoft.com/fwlink/?linkid=870924
Comment:
	https://drive.google.com/file/d/1zbVUg1Vf7B8y4CN5vdBrhssAq151Gs5H/view?usp=drive_link
</t>
      </text>
    </comment>
    <comment authorId="1508" xr:uid="{8bd33630-1969-423d-bf47-529b35227d7f}" ref="K739">
      <text>
        <t xml:space="preserve">[Threaded comment]
 Your version of Excel allows you to read this threaded comment; however, any edits to it will get removed if the file is opened in a newer version of Excel. Learn more: https://go.microsoft.com/fwlink/?linkid=870924
Comment:
	https://drive.google.com/file/d/1gUOYXBqikXmnIxhFUzwHCFLxfTP9VVKA/view?usp=drive_link
</t>
      </text>
    </comment>
    <comment authorId="1509" xr:uid="{8bd57421-9bfa-4d91-a90b-5b314815a3f2}" ref="K417">
      <text>
        <t xml:space="preserve">[Threaded comment]
 Your version of Excel allows you to read this threaded comment; however, any edits to it will get removed if the file is opened in a newer version of Excel. Learn more: https://go.microsoft.com/fwlink/?linkid=870924
Comment:
	https://drive.google.com/file/d/1q9rT0f2Umxv3-cvCJxngWA6rSGL9InoJ/view?usp=drive_link
</t>
      </text>
    </comment>
    <comment authorId="1510" xr:uid="{8bd7d972-6ee4-4034-a9d6-ec74bf12567d}" ref="K656">
      <text>
        <t xml:space="preserve">[Threaded comment]
 Your version of Excel allows you to read this threaded comment; however, any edits to it will get removed if the file is opened in a newer version of Excel. Learn more: https://go.microsoft.com/fwlink/?linkid=870924
Comment:
	https://drive.google.com/file/d/1FP_6UIqpQ3eoHO9XH4f3w8KPojcA5dor/view?usp=drive_link
</t>
      </text>
    </comment>
    <comment authorId="1511" xr:uid="{8bd7f88e-a466-4687-8857-4ec696f8f54d}"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https://drive.google.com/file/d/1nJEIdECvX8WAp3HtJfb7DVSwd3tVLu7o/view?usp=drive_link
</t>
      </text>
    </comment>
    <comment authorId="1512" xr:uid="{8bf03a74-6e4a-4ec8-a446-7550f5ffdc2c}" ref="AF553">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513" xr:uid="{8bf72d2c-136e-437d-91f9-c67eb5e8755f}" ref="AF678">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514" xr:uid="{8c1fce2a-b56e-4c2b-8afd-bdb21b6406a0}" ref="K372">
      <text>
        <t xml:space="preserve">[Threaded comment]
 Your version of Excel allows you to read this threaded comment; however, any edits to it will get removed if the file is opened in a newer version of Excel. Learn more: https://go.microsoft.com/fwlink/?linkid=870924
Comment:
	https://drive.google.com/file/d/1UD_-6dEJa6RJnt7rXfo5T-KrtfW1iR-i/view?usp=drive_link
Reply:
	https://drive.google.com/file/d/1UtOECmWcdYHlVLLMMkr0hqtBBErci6fi/view?usp=drive_link
</t>
      </text>
    </comment>
    <comment authorId="1515" xr:uid="{8c20c06c-2879-448e-a36d-3336f90b4927}" ref="U633">
      <text>
        <t xml:space="preserve">[Threaded comment]
 Your version of Excel allows you to read this threaded comment; however, any edits to it will get removed if the file is opened in a newer version of Excel. Learn more: https://go.microsoft.com/fwlink/?linkid=870924
Comment:
	MOUSE + SOPORTE
</t>
      </text>
    </comment>
    <comment authorId="1516" xr:uid="{8c252691-da38-464c-a572-d21952df72e8}" ref="AF650">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Reply:
	REVISAR FIXIT
</t>
      </text>
    </comment>
    <comment authorId="1517" xr:uid="{8c48362a-74d4-4e8b-b6dc-ed5894fdaa8b}" ref="AF68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518" xr:uid="{8c64cb3a-3956-431e-bb31-e5d5e88f68be}" ref="J724">
      <text>
        <t xml:space="preserve">[Threaded comment]
 Your version of Excel allows you to read this threaded comment; however, any edits to it will get removed if the file is opened in a newer version of Excel. Learn more: https://go.microsoft.com/fwlink/?linkid=870924
Comment:
	https://drive.google.com/file/d/1Cmy_zldyBt7_O2nQMmc_dQVGgIcoaZqJ/view?usp=drive_link
</t>
      </text>
    </comment>
    <comment authorId="1519" xr:uid="{8c6516cd-bf95-4dd7-9c15-4a77b1368cd5}" ref="L29">
      <text>
        <t xml:space="preserve">[Threaded comment]
 Your version of Excel allows you to read this threaded comment; however, any edits to it will get removed if the file is opened in a newer version of Excel. Learn more: https://go.microsoft.com/fwlink/?linkid=870924
Comment:
	https://drive.google.com/file/d/1QDiIeZgobViuAO-bE0L1pLpJzPv_V201/view?usp=drive_link
</t>
      </text>
    </comment>
    <comment authorId="1520" xr:uid="{8c72f34c-5426-4665-9aeb-5a0b7f77efb2}" ref="Q533">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y apertura
</t>
      </text>
    </comment>
    <comment authorId="1521" xr:uid="{8c8151d3-d272-44a3-aa0f-6655cd658f90}" ref="C40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https://www.microcenter.com/product/691209/asus-rog-strix-scar-18-g835lx-xs98-18-gaming-laptop-computer-platinum-collection-off-black
</t>
      </text>
    </comment>
    <comment authorId="1522" xr:uid="{8c8ab54c-5517-4d28-a43e-7dc8926665d2}" ref="F620">
      <text>
        <t xml:space="preserve">[Threaded comment]
 Your version of Excel allows you to read this threaded comment; however, any edits to it will get removed if the file is opened in a newer version of Excel. Learn more: https://go.microsoft.com/fwlink/?linkid=870924
Comment:
	verificar que no la cancelen
</t>
      </text>
    </comment>
    <comment authorId="1523" xr:uid="{8c8d9b1f-0eeb-41a3-9a74-988feb9648e9}" ref="W323">
      <text>
        <t xml:space="preserve">[Threaded comment]
 Your version of Excel allows you to read this threaded comment; however, any edits to it will get removed if the file is opened in a newer version of Excel. Learn more: https://go.microsoft.com/fwlink/?linkid=870924
Comment:
	https://drive.google.com/file/d/1TT8pOAS9qbgBvr5unjFlvg2vLPqcZdPV/view?usp=drive_link
</t>
      </text>
    </comment>
    <comment authorId="1524" xr:uid="{8c9252f0-40b1-41e9-b9b6-f86d08147c74}" ref="W345">
      <text>
        <t xml:space="preserve">[Threaded comment]
 Your version of Excel allows you to read this threaded comment; however, any edits to it will get removed if the file is opened in a newer version of Excel. Learn more: https://go.microsoft.com/fwlink/?linkid=870924
Comment:
	https://drive.google.com/file/d/1QKwRTExCRHCwLoOvQprx7JSRqUaYJjx5/view?usp=drive_link
</t>
      </text>
    </comment>
    <comment authorId="1525" xr:uid="{8ca1e7a4-26d6-4b67-b1b9-3f620be04f5a}" ref="W175">
      <text>
        <t xml:space="preserve">[Threaded comment]
 Your version of Excel allows you to read this threaded comment; however, any edits to it will get removed if the file is opened in a newer version of Excel. Learn more: https://go.microsoft.com/fwlink/?linkid=870924
Comment:
	https://drive.google.com/file/d/1o_vwVjR-L4L0Ojc6ttNSaB2MMIC-W628/view?usp=drive_link
</t>
      </text>
    </comment>
    <comment authorId="1526" xr:uid="{8caad82d-6122-4a2c-a0e6-b34632baee68}" ref="AF281">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1527" xr:uid="{8ce6c1ea-0943-4b7f-9e4c-4cb3d09fc89e}" ref="K465">
      <text>
        <t xml:space="preserve">[Threaded comment]
 Your version of Excel allows you to read this threaded comment; however, any edits to it will get removed if the file is opened in a newer version of Excel. Learn more: https://go.microsoft.com/fwlink/?linkid=870924
Comment:
	https://drive.google.com/file/d/14CRk_kXx7JuMfCIAna-5fUPv9tn6dmdv/view?usp=drive_link
Reply:
	https://drive.google.com/file/d/1S2BueEDBYvfrQwG8ftW0dnC1uAM8F6CI/view?usp=drive_link
</t>
      </text>
    </comment>
    <comment authorId="1528" xr:uid="{8cf36d9c-3d08-4d1b-97e0-6dd76d12dc62}" ref="K768">
      <text>
        <t xml:space="preserve">[Threaded comment]
 Your version of Excel allows you to read this threaded comment; however, any edits to it will get removed if the file is opened in a newer version of Excel. Learn more: https://go.microsoft.com/fwlink/?linkid=870924
Comment:
	https://drive.google.com/file/d/1nMY5xkBPgIiqpvsEpaXL_S12bZ9P_orO/view?usp=drive_link
Reply:
	https://drive.google.com/file/d/1z7ZTSJzKvPGfClgqudYuH-i6bK1Iu5e8/view?usp=drive_link
</t>
      </text>
    </comment>
    <comment authorId="1529" xr:uid="{8d276137-2be3-4754-b057-5aab95b6ce79}" ref="L218">
      <text>
        <t xml:space="preserve">[Threaded comment]
 Your version of Excel allows you to read this threaded comment; however, any edits to it will get removed if the file is opened in a newer version of Excel. Learn more: https://go.microsoft.com/fwlink/?linkid=870924
Comment:
	https://drive.google.com/file/d/1Xi1OhNdmbAHJRD87dj4iBy3Q-aXsaPEf/view?usp=drive_link
</t>
      </text>
    </comment>
    <comment authorId="1530" xr:uid="{8d4487d2-349a-4492-8172-e75b50ef049e}" ref="W387">
      <text>
        <t xml:space="preserve">[Threaded comment]
 Your version of Excel allows you to read this threaded comment; however, any edits to it will get removed if the file is opened in a newer version of Excel. Learn more: https://go.microsoft.com/fwlink/?linkid=870924
Comment:
	Razón social : Francisco Nole Villegas 
Ruc :10003726008
Número celular :964917667
Correo electrónico:luisnole11@gmail.com
Reply:
	https://drive.google.com/file/d/12iWplJe_TMiFL9kvB7fmJ9ymgtd-P2vw/view?usp=drive_link
</t>
      </text>
    </comment>
    <comment authorId="1531" xr:uid="{8d5e3dc8-81ac-44c0-9d3c-3ead0a66948c}" ref="K392">
      <text>
        <t xml:space="preserve">[Threaded comment]
 Your version of Excel allows you to read this threaded comment; however, any edits to it will get removed if the file is opened in a newer version of Excel. Learn more: https://go.microsoft.com/fwlink/?linkid=870924
Comment:
	https://drive.google.com/file/d/1OyFYrFH1LtqrJrUw3lW0ouUp6ByhZ_m1/view?usp=drive_link
</t>
      </text>
    </comment>
    <comment authorId="1532" xr:uid="{8db68c32-8626-472c-80d6-c51adb14cac9}" ref="W121">
      <text>
        <t xml:space="preserve">[Threaded comment]
 Your version of Excel allows you to read this threaded comment; however, any edits to it will get removed if the file is opened in a newer version of Excel. Learn more: https://go.microsoft.com/fwlink/?linkid=870924
Comment:
	https://drive.google.com/file/d/1orEJ3Z1v3rCGVnOtlu_NQmdzWhvsND3S/view?usp=drive_link
</t>
      </text>
    </comment>
    <comment authorId="1533" xr:uid="{8dd41c9e-31b0-4c4a-9c86-b21caead4f55}" ref="K397">
      <text>
        <t xml:space="preserve">[Threaded comment]
 Your version of Excel allows you to read this threaded comment; however, any edits to it will get removed if the file is opened in a newer version of Excel. Learn more: https://go.microsoft.com/fwlink/?linkid=870924
Comment:
	https://drive.google.com/file/d/1in4SDCWwF1Al7Gg0kPzVxyQYmfYtZ_V1/view?usp=drive_link
</t>
      </text>
    </comment>
    <comment authorId="1534" xr:uid="{8e019cce-32b6-4091-b580-3d4dbf639c43}" ref="W113">
      <text>
        <t xml:space="preserve">[Threaded comment]
 Your version of Excel allows you to read this threaded comment; however, any edits to it will get removed if the file is opened in a newer version of Excel. Learn more: https://go.microsoft.com/fwlink/?linkid=870924
Comment:
	https://drive.google.com/file/d/1Nr5_EsFeZ7yHbYDdo5WhDVKLAmiS1mCR/view?usp=drive_link
</t>
      </text>
    </comment>
    <comment authorId="1535" xr:uid="{8e064aa2-4d8d-4982-9d50-50286035c93c}" ref="J398">
      <text>
        <t xml:space="preserve">[Threaded comment]
 Your version of Excel allows you to read this threaded comment; however, any edits to it will get removed if the file is opened in a newer version of Excel. Learn more: https://go.microsoft.com/fwlink/?linkid=870924
Comment:
	https://drive.google.com/file/d/13DJN_Wrc3DaC7Yt97Qx1MHsuirB6gRw5/view?usp=drivesdk
</t>
      </text>
    </comment>
    <comment authorId="1536" xr:uid="{8e098fc4-7390-45a8-ae60-1460ef81237a}" ref="AF652">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537" xr:uid="{8e3beb32-159a-4bc5-903a-db805f2481d4}" ref="Q582">
      <text>
        <t xml:space="preserve">[Threaded comment]
 Your version of Excel allows you to read this threaded comment; however, any edits to it will get removed if the file is opened in a newer version of Excel. Learn more: https://go.microsoft.com/fwlink/?linkid=870924
Comment:
	apertura+configuracion inicial
</t>
      </text>
    </comment>
    <comment authorId="1538" xr:uid="{8e4b3ff6-d8cc-46d5-9dd0-7854515e0ae2}" ref="W351">
      <text>
        <t xml:space="preserve">[Threaded comment]
 Your version of Excel allows you to read this threaded comment; however, any edits to it will get removed if the file is opened in a newer version of Excel. Learn more: https://go.microsoft.com/fwlink/?linkid=870924
Comment:
	Nombre: JOSE ENRIQUE CORONADO INOÑAN
RUC: 20606284668
CORONADO INGENIERIA &amp; CONSTRUCCIÓN SAC
CELULAR:952828753
CORREO: coronado_topo@hotmail.com
</t>
      </text>
    </comment>
    <comment authorId="1539" xr:uid="{8e4ea392-d23e-4b0d-94c3-62999f6ea7ae}" ref="L164">
      <text>
        <t xml:space="preserve">[Threaded comment]
 Your version of Excel allows you to read this threaded comment; however, any edits to it will get removed if the file is opened in a newer version of Excel. Learn more: https://go.microsoft.com/fwlink/?linkid=870924
Comment:
	https://drive.google.com/file/d/1XAHErJ-vF-Sfxf0TnLeTrK7mumOH9nou/view?usp=drive_link
</t>
      </text>
    </comment>
    <comment authorId="1540" xr:uid="{8e6aef26-0a78-4f24-8509-1ea757eefa2e}" ref="L52">
      <text>
        <t xml:space="preserve">[Threaded comment]
 Your version of Excel allows you to read this threaded comment; however, any edits to it will get removed if the file is opened in a newer version of Excel. Learn more: https://go.microsoft.com/fwlink/?linkid=870924
Comment:
	https://drive.google.com/file/d/190XLepJoaMqMxhnCq7DBJLam6j7Z126_/view?usp=drive_link
</t>
      </text>
    </comment>
    <comment authorId="1541" xr:uid="{8e712a3b-e7e0-46d8-93d0-5dc34a174971}" ref="AI805">
      <text>
        <t xml:space="preserve">[Threaded comment]
 Your version of Excel allows you to read this threaded comment; however, any edits to it will get removed if the file is opened in a newer version of Excel. Learn more: https://go.microsoft.com/fwlink/?linkid=870924
Comment:
	https://drive.google.com/file/d/1eEgMcJntcQG-7U4rYivv0MHKTt3yTYUG/view?usp=drive_link
</t>
      </text>
    </comment>
    <comment authorId="1542" xr:uid="{8e7b3cf6-6f0e-4584-aba4-461541cd2a30}" ref="AF326">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543" xr:uid="{8ec75555-6050-4439-b1c6-fc293da2c7b3}" ref="Q701">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1544" xr:uid="{8ed5bc75-758e-4505-b55b-8ca700c18bad}" ref="J132">
      <text>
        <t xml:space="preserve">[Threaded comment]
 Your version of Excel allows you to read this threaded comment; however, any edits to it will get removed if the file is opened in a newer version of Excel. Learn more: https://go.microsoft.com/fwlink/?linkid=870924
Comment:
	https://drive.google.com/file/d/1frNgNP0GDkgia-iTp0hFMGPzkDJjmbC4/view?usp=drive_link
https://drive.google.com/file/d/1IV1spkHWSsvXH8fy9R54VlB-unjH1Jo9/view?usp=drive_link
https://drive.google.com/file/d/13he_-MMIC9mgF5KunnLQzqY30lGEL816/view?usp=drive_link
</t>
      </text>
    </comment>
    <comment authorId="1545" xr:uid="{8eea20cc-d59d-4df0-a14e-11de466a9397}" ref="J66">
      <text>
        <t xml:space="preserve">[Threaded comment]
 Your version of Excel allows you to read this threaded comment; however, any edits to it will get removed if the file is opened in a newer version of Excel. Learn more: https://go.microsoft.com/fwlink/?linkid=870924
Comment:
	https://drive.google.com/file/d/1_X5nH76FkCsrpqinDdd9lvUEyE_uPUMN/view?usp=drive_link
</t>
      </text>
    </comment>
    <comment authorId="1546" xr:uid="{8ef9c874-ac70-48d8-9f7b-c0c1625388b8}" ref="K591">
      <text>
        <t xml:space="preserve">[Threaded comment]
 Your version of Excel allows you to read this threaded comment; however, any edits to it will get removed if the file is opened in a newer version of Excel. Learn more: https://go.microsoft.com/fwlink/?linkid=870924
Comment:
	https://drive.google.com/file/d/1srA8u3wS2hgbmwe19bi-pivped8p2FlB/view?usp=drive_link
</t>
      </text>
    </comment>
    <comment authorId="1547" xr:uid="{8f19c748-a837-4b9b-bf9a-39136f720940}" ref="J620">
      <text>
        <t xml:space="preserve">[Threaded comment]
 Your version of Excel allows you to read this threaded comment; however, any edits to it will get removed if the file is opened in a newer version of Excel. Learn more: https://go.microsoft.com/fwlink/?linkid=870924
Comment:
	https://drive.google.com/file/d/160icLm5NQSRSBysqAjRLI9wuLNQkmJb6/view?usp=drive_link
</t>
      </text>
    </comment>
    <comment authorId="1548" xr:uid="{8f242634-4525-42ae-b894-f1266e3ef690}" ref="AF739">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549" xr:uid="{8f444cbb-6c0c-4cbd-bd3c-3fcdd0f9dd44}" ref="W281">
      <text>
        <t xml:space="preserve">[Threaded comment]
 Your version of Excel allows you to read this threaded comment; however, any edits to it will get removed if the file is opened in a newer version of Excel. Learn more: https://go.microsoft.com/fwlink/?linkid=870924
Comment:
	https://drive.google.com/file/d/1DUiUH3--PGobzFys_Uhzv5yncLgeeuFO/view?usp=drive_link
</t>
      </text>
    </comment>
    <comment authorId="1550" xr:uid="{8f6c967b-ca47-480b-a704-a96c3f3bf899}" ref="C218">
      <text>
        <t xml:space="preserve">[Threaded comment]
 Your version of Excel allows you to read this threaded comment; however, any edits to it will get removed if the file is opened in a newer version of Excel. Learn more: https://go.microsoft.com/fwlink/?linkid=870924
Comment:
	Compren el que llegaría antes ;-;
https://www.ebay.com/itm/326655425561?_skw=acer+predator&amp;itmmeta=01K4G7QZWGKERQ5302J3VVTF8X&amp;hash=item4c0e2e3c19:g:wY8AAeSwF-FoupKD
https://www.bestbuy.com/product/acer-predator-helios-neo-16s-ai-gaming-laptop-16-oled-240hz-intel-core-ultra-9-nvidia-geforce-rtx-5070ti-32gb-1tb-obsidian-black/JJ8V8H38XT
</t>
      </text>
    </comment>
    <comment authorId="1551" xr:uid="{8f8fea2b-9a25-412a-b225-ea3c4a98d7c6}" ref="C795">
      <text>
        <t xml:space="preserve">[Threaded comment]
 Your version of Excel allows you to read this threaded comment; however, any edits to it will get removed if the file is opened in a newer version of Excel. Learn more: https://go.microsoft.com/fwlink/?linkid=870924
Comment:
	https://shop.asus.com/us/30939-us-cnf-auto.html?config=90NR0KJ1-M00020
</t>
      </text>
    </comment>
    <comment authorId="1552" xr:uid="{8fa563cd-c95e-4263-897e-827b0b8df99c}" ref="L184">
      <text>
        <t xml:space="preserve">[Threaded comment]
 Your version of Excel allows you to read this threaded comment; however, any edits to it will get removed if the file is opened in a newer version of Excel. Learn more: https://go.microsoft.com/fwlink/?linkid=870924
Comment:
	https://drive.google.com/file/d/1zr90ZJeagZ1x5axM7Yjhyk5_ZPrmFsoa/view?usp=drive_link
</t>
      </text>
    </comment>
    <comment authorId="1553" xr:uid="{8fbdd673-7faf-484e-99f2-6e5227cd6c8d}" ref="K626">
      <text>
        <t xml:space="preserve">[Threaded comment]
 Your version of Excel allows you to read this threaded comment; however, any edits to it will get removed if the file is opened in a newer version of Excel. Learn more: https://go.microsoft.com/fwlink/?linkid=870924
Comment:
	https://drive.google.com/file/d/1WjKIdd4iKJCDSnFOUMfznqG0CGxVxXjH/view?usp=drive_link
</t>
      </text>
    </comment>
    <comment authorId="1554" xr:uid="{8fefa322-c132-44e5-b19c-4f7b1453ee28}" ref="J410">
      <text>
        <t xml:space="preserve">[Threaded comment]
 Your version of Excel allows you to read this threaded comment; however, any edits to it will get removed if the file is opened in a newer version of Excel. Learn more: https://go.microsoft.com/fwlink/?linkid=870924
Comment:
	https://drive.google.com/file/d/1oQRGstVV2adfU90B1rr8DvxKrc6z24aC/view?usp=drive_link
</t>
      </text>
    </comment>
    <comment authorId="1555" xr:uid="{900de2a9-a71f-4f14-8b44-1b232ace5fbd}" ref="AF417">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556" xr:uid="{904bcd8d-09cb-4b8a-bff8-a37c985cfc08}" ref="J253">
      <text>
        <t xml:space="preserve">[Threaded comment]
 Your version of Excel allows you to read this threaded comment; however, any edits to it will get removed if the file is opened in a newer version of Excel. Learn more: https://go.microsoft.com/fwlink/?linkid=870924
Comment:
	https://drive.google.com/file/d/1kNXR5mAtM1I73unfwGGFCuqvvyBLUprR/view?usp=drive_link
</t>
      </text>
    </comment>
    <comment authorId="1557" xr:uid="{9054dd73-9195-440c-95cc-74c4c8e7df5d}" ref="E352">
      <text>
        <t xml:space="preserve">[Threaded comment]
 Your version of Excel allows you to read this threaded comment; however, any edits to it will get removed if the file is opened in a newer version of Excel. Learn more: https://go.microsoft.com/fwlink/?linkid=870924
Comment:
	esta en sheet de Ventas Diciembre
</t>
      </text>
    </comment>
    <comment authorId="1558" xr:uid="{90572758-5c71-438f-af5f-e50157447491}" ref="W438">
      <text>
        <t xml:space="preserve">[Threaded comment]
 Your version of Excel allows you to read this threaded comment; however, any edits to it will get removed if the file is opened in a newer version of Excel. Learn more: https://go.microsoft.com/fwlink/?linkid=870924
Comment:
	https://drive.google.com/file/d/13ErVlNaVvubjZxj8XDvl9NpGvUHWAZlg/view?usp=drive_link
Reply:
	https://drive.google.com/file/d/1VpDnUYO85YstfSY93YLesH8PM8qz7LGx/view?usp=drive_link
</t>
      </text>
    </comment>
    <comment authorId="1559" xr:uid="{905fbe67-1cd4-4e96-ab5c-07227ba02ecf}" ref="C76">
      <text>
        <t xml:space="preserve">[Threaded comment]
 Your version of Excel allows you to read this threaded comment; however, any edits to it will get removed if the file is opened in a newer version of Excel. Learn more: https://go.microsoft.com/fwlink/?linkid=870924
Comment:
	https://www.ebay.com/itm/204802774106?_skw=alienware+m16+r2&amp;itmmeta=01JWEAJRQ4AQ1WWSBCVRTNBDQA&amp;hash=item2faf32545a:g:FxoAAeSw6hZnopQY
</t>
      </text>
    </comment>
    <comment authorId="1560" xr:uid="{90689ed7-4360-49ef-b4df-42b4bf9882ff}" ref="K617">
      <text>
        <t xml:space="preserve">[Threaded comment]
 Your version of Excel allows you to read this threaded comment; however, any edits to it will get removed if the file is opened in a newer version of Excel. Learn more: https://go.microsoft.com/fwlink/?linkid=870924
Comment:
	https://drive.google.com/file/d/1aGbp0-oq_HmZgbklmkSmvLFqSaszDv3P/view?usp=drive_link
</t>
      </text>
    </comment>
    <comment authorId="1561" xr:uid="{90796e23-fb65-4a23-a2b7-0f646294a2cb}" ref="S247">
      <text>
        <t xml:space="preserve">[Threaded comment]
 Your version of Excel allows you to read this threaded comment; however, any edits to it will get removed if the file is opened in a newer version of Excel. Learn more: https://go.microsoft.com/fwlink/?linkid=870924
Comment:
	https://drive.google.com/file/d/1R3uOfUbtwuDR8JX2dH64F_Ee3gSDuqAf/view?usp=drive_link
</t>
      </text>
    </comment>
    <comment authorId="1562" xr:uid="{909a6885-d760-4e78-a7c4-014a42e2a033}" ref="J780">
      <text>
        <t xml:space="preserve">[Threaded comment]
 Your version of Excel allows you to read this threaded comment; however, any edits to it will get removed if the file is opened in a newer version of Excel. Learn more: https://go.microsoft.com/fwlink/?linkid=870924
Comment:
	https://drive.google.com/file/d/11dha-5WckDrvskyXST7IMAKPiNaVBoeq/view?usp=drive_link
</t>
      </text>
    </comment>
    <comment authorId="1563" xr:uid="{90cb9c64-393d-4e24-b476-2162972e6bb1}" ref="Q621">
      <text>
        <t xml:space="preserve">[Threaded comment]
 Your version of Excel allows you to read this threaded comment; however, any edits to it will get removed if the file is opened in a newer version of Excel. Learn more: https://go.microsoft.com/fwlink/?linkid=870924
Comment:
	configuracion inicial
</t>
      </text>
    </comment>
    <comment authorId="1564" xr:uid="{90d602a8-8a8e-4ef7-9e15-375f0df08a1e}" ref="AF251">
      <text>
        <t xml:space="preserve">[Threaded comment]
 Your version of Excel allows you to read this threaded comment; however, any edits to it will get removed if the file is opened in a newer version of Excel. Learn more: https://go.microsoft.com/fwlink/?linkid=870924
Comment:
	Venta final, fixit, boleta, voucher inicial
</t>
      </text>
    </comment>
    <comment authorId="1565" xr:uid="{90e40a5e-0496-44dc-bdfd-91721414de5c}" ref="W228">
      <text>
        <t xml:space="preserve">[Threaded comment]
 Your version of Excel allows you to read this threaded comment; however, any edits to it will get removed if the file is opened in a newer version of Excel. Learn more: https://go.microsoft.com/fwlink/?linkid=870924
Comment:
	https://drive.google.com/file/d/1E3yT9wRvMQxon02Gk8oNKfng_RMFARel/view?usp=drive_link
</t>
      </text>
    </comment>
    <comment authorId="1566" xr:uid="{9124dea6-539d-41b1-96a1-63375d0b75ee}" ref="K597">
      <text>
        <t xml:space="preserve">[Threaded comment]
 Your version of Excel allows you to read this threaded comment; however, any edits to it will get removed if the file is opened in a newer version of Excel. Learn more: https://go.microsoft.com/fwlink/?linkid=870924
Comment:
	https://drive.google.com/file/d/1fmfnW0lOXgOLigRv1-pscOfa1b1WiyYS/view?usp=drive_link
</t>
      </text>
    </comment>
    <comment authorId="1567" xr:uid="{912c7464-cb4e-421d-8c63-457d6bd5f905}" ref="L11">
      <text>
        <t xml:space="preserve">[Threaded comment]
 Your version of Excel allows you to read this threaded comment; however, any edits to it will get removed if the file is opened in a newer version of Excel. Learn more: https://go.microsoft.com/fwlink/?linkid=870924
Comment:
	https://drive.google.com/file/d/1uIVLEoyHKPxtnjD1BPNEN7jVJLM5rWay/view?usp=drive_link
</t>
      </text>
    </comment>
    <comment authorId="1568" xr:uid="{9134f67f-ebd5-4179-9d28-02ce4fee8c7c}" ref="J242">
      <text>
        <t xml:space="preserve">[Threaded comment]
 Your version of Excel allows you to read this threaded comment; however, any edits to it will get removed if the file is opened in a newer version of Excel. Learn more: https://go.microsoft.com/fwlink/?linkid=870924
Comment:
	https://drive.google.com/file/d/1V2TGtq3ra4VWl7kGhb7d8bIpwUeUIw3m/view?usp=drive_link
</t>
      </text>
    </comment>
    <comment authorId="1569" xr:uid="{913fc112-41a7-4a2f-852b-794113d5e4b3}" ref="Q683">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1570" xr:uid="{9143353c-a9f3-40bb-b699-0c15a1880293}" ref="AF248">
      <text>
        <t xml:space="preserve">[Threaded comment]
 Your version of Excel allows you to read this threaded comment; however, any edits to it will get removed if the file is opened in a newer version of Excel. Learn more: https://go.microsoft.com/fwlink/?linkid=870924
Comment:
	Forms
</t>
      </text>
    </comment>
    <comment authorId="1571" xr:uid="{91439ed1-5893-4ab8-90c0-475b82c861e0}" ref="J271">
      <text>
        <t xml:space="preserve">[Threaded comment]
 Your version of Excel allows you to read this threaded comment; however, any edits to it will get removed if the file is opened in a newer version of Excel. Learn more: https://go.microsoft.com/fwlink/?linkid=870924
Comment:
	https://drive.google.com/file/d/1oep-vGURlHzHN7Tsw9UJDtoTAThYFHKz/view?usp=drive_link
</t>
      </text>
    </comment>
    <comment authorId="1572" xr:uid="{914a5638-9f14-4034-bbe9-f4af8a0d52db}" ref="J580">
      <text>
        <t xml:space="preserve">[Threaded comment]
 Your version of Excel allows you to read this threaded comment; however, any edits to it will get removed if the file is opened in a newer version of Excel. Learn more: https://go.microsoft.com/fwlink/?linkid=870924
Comment:
	https://drive.google.com/file/d/19VD5AOheKcPGFMnDBMANOSUx1smgawne/view?usp=drive_link
</t>
      </text>
    </comment>
    <comment authorId="1573" xr:uid="{914e0161-5423-4b3f-bdc0-f20d4c0c5d7d}" ref="W219">
      <text>
        <t xml:space="preserve">[Threaded comment]
 Your version of Excel allows you to read this threaded comment; however, any edits to it will get removed if the file is opened in a newer version of Excel. Learn more: https://go.microsoft.com/fwlink/?linkid=870924
Comment:
	https://drive.google.com/file/d/1PvLVEBeGSQDVzWh1CyKWu5gmIy9Txf8v/view?usp=drive_link
</t>
      </text>
    </comment>
    <comment authorId="1574" xr:uid="{91576edc-1e87-4c6c-af6e-aaebd9e7e84e}" ref="K322">
      <text>
        <t xml:space="preserve">[Threaded comment]
 Your version of Excel allows you to read this threaded comment; however, any edits to it will get removed if the file is opened in a newer version of Excel. Learn more: https://go.microsoft.com/fwlink/?linkid=870924
Comment:
	https://drive.google.com/file/d/1MU0hCy9MVzwW5Ax56ti86pHC4sUIYSEJ/view?usp=drive_link
</t>
      </text>
    </comment>
    <comment authorId="1575" xr:uid="{9172a03c-c866-41dd-aff5-a529522494bc}" ref="AF267">
      <text>
        <t xml:space="preserve">[Threaded comment]
 Your version of Excel allows you to read this threaded comment; however, any edits to it will get removed if the file is opened in a newer version of Excel. Learn more: https://go.microsoft.com/fwlink/?linkid=870924
Comment:
	falta forms
</t>
      </text>
    </comment>
    <comment authorId="1576" xr:uid="{91a900fa-e150-40f9-a0a7-2869e626b994}" ref="K317">
      <text>
        <t xml:space="preserve">[Threaded comment]
 Your version of Excel allows you to read this threaded comment; however, any edits to it will get removed if the file is opened in a newer version of Excel. Learn more: https://go.microsoft.com/fwlink/?linkid=870924
Comment:
	https://drive.google.com/file/d/1mRalzen0oklblI0hWtr8N8CmXrHu27kC/view?usp=drive_link
Reply:
	https://drive.google.com/file/d/11UzXgF3mKP-IEbilmzLso5C8clotKzIL/view?usp=drive_link
</t>
      </text>
    </comment>
    <comment authorId="1577" xr:uid="{91b8b02e-53c3-45e3-8f8c-31f255cf5f58}" ref="L64">
      <text>
        <t xml:space="preserve">[Threaded comment]
 Your version of Excel allows you to read this threaded comment; however, any edits to it will get removed if the file is opened in a newer version of Excel. Learn more: https://go.microsoft.com/fwlink/?linkid=870924
Comment:
	https://drive.google.com/file/d/14Syj_CtVnFNqmOOFgPKwm_Mwn5c6qqXu/view?usp=drive_link
</t>
      </text>
    </comment>
    <comment authorId="1578" xr:uid="{91cce1e9-5476-4086-a14e-ba220bfefb7e}" ref="L259">
      <text>
        <t xml:space="preserve">[Threaded comment]
 Your version of Excel allows you to read this threaded comment; however, any edits to it will get removed if the file is opened in a newer version of Excel. Learn more: https://go.microsoft.com/fwlink/?linkid=870924
Comment:
	https://drive.google.com/file/d/1P6fdmEf1qEow2fCVPRXEEYxZ9GLTQvij/view?usp=drive_link
Reply:
	https://drive.google.com/file/d/1gnDKlWuPv-QS3FTYjnhIbxSIt_kn_2BC/view?usp=drive_link
</t>
      </text>
    </comment>
    <comment authorId="1579" xr:uid="{91cddaa8-ea05-4d29-a73f-2de6add29848}" ref="C55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https://www.microcenter.com/product/693835/asus-rog-strix-g16-g614pp-ms96-16-gaming-laptop-computer-eclipse-gray
</t>
      </text>
    </comment>
    <comment authorId="1580" xr:uid="{91eef53c-229e-4aa7-8ae4-0aca5ce22805}" ref="W326">
      <text>
        <t xml:space="preserve">[Threaded comment]
 Your version of Excel allows you to read this threaded comment; however, any edits to it will get removed if the file is opened in a newer version of Excel. Learn more: https://go.microsoft.com/fwlink/?linkid=870924
Comment:
	https://drive.google.com/file/d/1N9Oqr2fY99YSz0uppGMxmPtyoO6Mq2wE/view?usp=drive_link
</t>
      </text>
    </comment>
    <comment authorId="1581" xr:uid="{91f1b71e-88fb-4f5c-9bed-ec385127f764}" ref="J258">
      <text>
        <t xml:space="preserve">[Threaded comment]
 Your version of Excel allows you to read this threaded comment; however, any edits to it will get removed if the file is opened in a newer version of Excel. Learn more: https://go.microsoft.com/fwlink/?linkid=870924
Comment:
	https://drive.google.com/file/d/1UrIqSdl3dq955a8q1Y18HQBI8mzOV-Z-/view?usp=drive_link
</t>
      </text>
    </comment>
    <comment authorId="1582" xr:uid="{920542bf-b986-43ef-a97e-a33e16b6944c}" ref="Q653">
      <text>
        <t xml:space="preserve">[Threaded comment]
 Your version of Excel allows you to read this threaded comment; however, any edits to it will get removed if the file is opened in a newer version of Excel. Learn more: https://go.microsoft.com/fwlink/?linkid=870924
Comment:
	apertura+configuracion inicial
</t>
      </text>
    </comment>
    <comment authorId="1583" xr:uid="{922229fa-5174-4bd6-b163-fdd0e347d9ab}" ref="W125">
      <text>
        <t xml:space="preserve">[Threaded comment]
 Your version of Excel allows you to read this threaded comment; however, any edits to it will get removed if the file is opened in a newer version of Excel. Learn more: https://go.microsoft.com/fwlink/?linkid=870924
Comment:
	https://drive.google.com/file/d/13AS9GC3ASCGFLqtNYsCnTAwGNR7iBQCS/view?usp=drive_link
</t>
      </text>
    </comment>
    <comment authorId="1584" xr:uid="{9227ba70-e274-423e-a94c-320786376a05}" ref="K685">
      <text>
        <t xml:space="preserve">[Threaded comment]
 Your version of Excel allows you to read this threaded comment; however, any edits to it will get removed if the file is opened in a newer version of Excel. Learn more: https://go.microsoft.com/fwlink/?linkid=870924
Comment:
	https://drive.google.com/file/d/1OlooRMKZKUBcIKZUU86WWfGJC03IZoJM/view?usp=drive_link
</t>
      </text>
    </comment>
    <comment authorId="1585" xr:uid="{922f84ca-ce44-467d-8ad8-2fb82ac495ef}" ref="K370">
      <text>
        <t xml:space="preserve">[Threaded comment]
 Your version of Excel allows you to read this threaded comment; however, any edits to it will get removed if the file is opened in a newer version of Excel. Learn more: https://go.microsoft.com/fwlink/?linkid=870924
Comment:
	https://drive.google.com/file/d/1Xa9i6NP3vGEZF95anBekGz2X8z0jUB67/view?usp=drive_link
</t>
      </text>
    </comment>
    <comment authorId="1586" xr:uid="{924f1aa0-feda-449f-9556-fc1fa711c190}" ref="C76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1587" xr:uid="{924f690c-2661-43dc-8b97-63c51295a17b}" ref="J331">
      <text>
        <t xml:space="preserve">[Threaded comment]
 Your version of Excel allows you to read this threaded comment; however, any edits to it will get removed if the file is opened in a newer version of Excel. Learn more: https://go.microsoft.com/fwlink/?linkid=870924
Comment:
	https://drive.google.com/file/d/1xbDmJz1gOaJNU_7omdeuvOr9J3l9jJIN/view?usp=drive_link
</t>
      </text>
    </comment>
    <comment authorId="1588" xr:uid="{925a6e63-2ce2-418d-b46a-bd0d9f96dcca}" ref="K257">
      <text>
        <t xml:space="preserve">[Threaded comment]
 Your version of Excel allows you to read this threaded comment; however, any edits to it will get removed if the file is opened in a newer version of Excel. Learn more: https://go.microsoft.com/fwlink/?linkid=870924
Comment:
	https://drive.google.com/file/d/1GK3BYH-hWOruckz5lxFAneBcYaOkqfE1/view?usp=drive_link
</t>
      </text>
    </comment>
    <comment authorId="1589" xr:uid="{926039c4-2955-4c00-a462-92fbd8d74ed1}" ref="AF506">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1590" xr:uid="{92606e6f-74a3-47c0-a817-fb8bf76f92a1}" ref="W343">
      <text>
        <t xml:space="preserve">[Threaded comment]
 Your version of Excel allows you to read this threaded comment; however, any edits to it will get removed if the file is opened in a newer version of Excel. Learn more: https://go.microsoft.com/fwlink/?linkid=870924
Comment:
	https://drive.google.com/file/d/1-JBkiAEsy-uxqF8j13WdrFGg1iUnFgcD/view?usp=drive_link
</t>
      </text>
    </comment>
    <comment authorId="1591" xr:uid="{92612c27-3261-42d7-ad87-ee82eae14bcc}" ref="L256">
      <text>
        <t xml:space="preserve">[Threaded comment]
 Your version of Excel allows you to read this threaded comment; however, any edits to it will get removed if the file is opened in a newer version of Excel. Learn more: https://go.microsoft.com/fwlink/?linkid=870924
Comment:
	https://drive.google.com/file/d/1fzh-opEix_5hq-RUpC3N5yKlw8lXheuO/view?usp=drive_link
</t>
      </text>
    </comment>
    <comment authorId="1592" xr:uid="{928979cb-384d-47aa-8c35-86d7b4517cad}" ref="K368">
      <text>
        <t xml:space="preserve">[Threaded comment]
 Your version of Excel allows you to read this threaded comment; however, any edits to it will get removed if the file is opened in a newer version of Excel. Learn more: https://go.microsoft.com/fwlink/?linkid=870924
Comment:
	https://drive.google.com/file/d/1bjHHDq3jYwX5eH2VHyjPps5TkePOyjTX/view?usp=drive_link
</t>
      </text>
    </comment>
    <comment authorId="1593" xr:uid="{928d5de6-ee33-40b4-9a65-377683444a8f}" ref="C287">
      <text>
        <t xml:space="preserve">[Threaded comment]
 Your version of Excel allows you to read this threaded comment; however, any edits to it will get removed if the file is opened in a newer version of Excel. Learn more: https://go.microsoft.com/fwlink/?linkid=870924
Comment:
	https://www.amazon.com/-/es/ASUS-Strix-Port%C3%A1til-juegos-Nebula/dp/B0DW1ZPQXX/ref=sr_1_3?__mk_es_US=%C3%85M%C3%85%C5%BD%C3%95%C3%91&amp;crid=1Q9P4J2UI35RX&amp;dib=eyJ2IjoiMSJ9.e2S-https%3A%2F%2Fwww.amazon.com%2F-%2Fes%2FASUS-Strix-Port%C3%A1til-juegos-Nebula%2Fdp%2FB0DW1ZPQXX%2Fref&amp;th=1
</t>
      </text>
    </comment>
    <comment authorId="1594" xr:uid="{9294f541-02b3-4a94-874b-1df59708d984}" ref="M195">
      <text>
        <t xml:space="preserve">[Threaded comment]
 Your version of Excel allows you to read this threaded comment; however, any edits to it will get removed if the file is opened in a newer version of Excel. Learn more: https://go.microsoft.com/fwlink/?linkid=870924
Comment:
	se va a poner según en qué tienda se compre
</t>
      </text>
    </comment>
    <comment authorId="1595" xr:uid="{92a16bac-9df5-4cbc-9a26-1c016fcee3e0}" ref="J488">
      <text>
        <t xml:space="preserve">[Threaded comment]
 Your version of Excel allows you to read this threaded comment; however, any edits to it will get removed if the file is opened in a newer version of Excel. Learn more: https://go.microsoft.com/fwlink/?linkid=870924
Comment:
	https://drive.google.com/file/d/1RDnsexJlpOQO9TH6Fw9WDjRW0RKmjR0q/view?usp=drive_link
</t>
      </text>
    </comment>
    <comment authorId="1596" xr:uid="{92a5fe35-b53f-47ba-bada-f5cae7a4f6c8}" ref="AF737">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597" xr:uid="{92b896e4-e105-42b1-b43e-b908d7acb33d}" ref="J557">
      <text>
        <t xml:space="preserve">[Threaded comment]
 Your version of Excel allows you to read this threaded comment; however, any edits to it will get removed if the file is opened in a newer version of Excel. Learn more: https://go.microsoft.com/fwlink/?linkid=870924
Comment:
	https://drive.google.com/file/d/1agAaM3bPcyEhKdD-7kVVk32QUuOcscmc/view?usp=drive_link
</t>
      </text>
    </comment>
    <comment authorId="1598" xr:uid="{92f976de-123d-4c3b-baee-8c52bf663b9a}" ref="J370">
      <text>
        <t xml:space="preserve">[Threaded comment]
 Your version of Excel allows you to read this threaded comment; however, any edits to it will get removed if the file is opened in a newer version of Excel. Learn more: https://go.microsoft.com/fwlink/?linkid=870924
Comment:
	https://drive.google.com/file/d/1-yuNI6fKpk0kbByhFVTgNuzfW6Md1tTw/view?usp=drive_link
</t>
      </text>
    </comment>
    <comment authorId="1599" xr:uid="{92fbee2d-8f2c-47c8-8c23-2371a79e2650}" ref="C309">
      <text>
        <t xml:space="preserve">[Threaded comment]
 Your version of Excel allows you to read this threaded comment; however, any edits to it will get removed if the file is opened in a newer version of Excel. Learn more: https://go.microsoft.com/fwlink/?linkid=870924
Comment:
	https://www.ebay.com/itm/306399222517?_skw=laptop+gaming&amp;itmmeta=01K9RT5AFMDAHXY5QXSR6V6Z9S&amp;hash=item4756d11af5:g:w4oAAeSw7F5o8zYa
</t>
      </text>
    </comment>
    <comment authorId="1600" xr:uid="{93109488-07b5-4ea8-8ba1-ee91b0331391}" ref="K364">
      <text>
        <t xml:space="preserve">[Threaded comment]
 Your version of Excel allows you to read this threaded comment; however, any edits to it will get removed if the file is opened in a newer version of Excel. Learn more: https://go.microsoft.com/fwlink/?linkid=870924
Comment:
	https://drive.google.com/file/d/17G5raj2Jev78sJ6YycQ4kCvLjY31_SDS/view?usp=drive_link
</t>
      </text>
    </comment>
    <comment authorId="1601" xr:uid="{93145c8e-653f-4dad-87cd-00a5857ea463}" ref="J587">
      <text>
        <t xml:space="preserve">[Threaded comment]
 Your version of Excel allows you to read this threaded comment; however, any edits to it will get removed if the file is opened in a newer version of Excel. Learn more: https://go.microsoft.com/fwlink/?linkid=870924
Comment:
	https://drive.google.com/file/d/1hqo2k1tGgqkxW6scVCzYNKr4sPYOfgQa/view?usp=drive_link
</t>
      </text>
    </comment>
    <comment authorId="1602" xr:uid="{9318f0a0-2520-4b07-8a2d-818f3cd2a357}" ref="AF682">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603" xr:uid="{935464ec-8642-4df9-bc24-c296cb9a1be5}" ref="W233">
      <text>
        <t xml:space="preserve">[Threaded comment]
 Your version of Excel allows you to read this threaded comment; however, any edits to it will get removed if the file is opened in a newer version of Excel. Learn more: https://go.microsoft.com/fwlink/?linkid=870924
Comment:
	https://drive.google.com/file/d/1CXCw5wPYr62HezguGux_4Vk0lXgeYYQi/view?usp=drive_link
</t>
      </text>
    </comment>
    <comment authorId="1604" xr:uid="{93612c60-10fd-4cc3-914d-1a459d4fec62}" ref="J257">
      <text>
        <t xml:space="preserve">[Threaded comment]
 Your version of Excel allows you to read this threaded comment; however, any edits to it will get removed if the file is opened in a newer version of Excel. Learn more: https://go.microsoft.com/fwlink/?linkid=870924
Comment:
	https://drive.google.com/file/d/1WFN1P1YDaEDqhDXm2p6b4ek3_xZHyRn2/view?usp=drive_link
</t>
      </text>
    </comment>
    <comment authorId="1605" xr:uid="{9370fadf-1729-4519-8e7f-bed1e09eb9f3}" ref="L70">
      <text>
        <t xml:space="preserve">[Threaded comment]
 Your version of Excel allows you to read this threaded comment; however, any edits to it will get removed if the file is opened in a newer version of Excel. Learn more: https://go.microsoft.com/fwlink/?linkid=870924
Comment:
	https://drive.google.com/file/d/1AlwOJdeMaEK9PuYRnhNOzhZd8KQ-5eZV/view?usp=drive_link
</t>
      </text>
    </comment>
    <comment authorId="1606" xr:uid="{939087a1-5a0e-4b32-973f-81966279cb61}" ref="AF497">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1607" xr:uid="{93a6f98c-0d9f-4bc0-a0b6-4915d75a1448}" ref="J769">
      <text>
        <t xml:space="preserve">[Threaded comment]
 Your version of Excel allows you to read this threaded comment; however, any edits to it will get removed if the file is opened in a newer version of Excel. Learn more: https://go.microsoft.com/fwlink/?linkid=870924
Comment:
	https://drive.google.com/file/d/1VzWtEw7GH4VaU1MDHLOyhlzlrMGrwBx-/view?usp=drive_link
</t>
      </text>
    </comment>
    <comment authorId="1608" xr:uid="{93b05057-0344-466e-a373-8b1c00664b91}" ref="J153">
      <text>
        <t xml:space="preserve">[Threaded comment]
 Your version of Excel allows you to read this threaded comment; however, any edits to it will get removed if the file is opened in a newer version of Excel. Learn more: https://go.microsoft.com/fwlink/?linkid=870924
Comment:
	https://drive.google.com/file/d/1kukQkkmY7yDgZzb7IhUDKFbne_ERqUqs/view?usp=drive_link
</t>
      </text>
    </comment>
    <comment authorId="1609" xr:uid="{93c212e6-dc4d-44f6-90fe-52f3a0e593c0}" ref="AF765">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1610" xr:uid="{93ca352f-3fbc-4761-b5c6-67b19296b473}" ref="K632">
      <text>
        <t xml:space="preserve">[Threaded comment]
 Your version of Excel allows you to read this threaded comment; however, any edits to it will get removed if the file is opened in a newer version of Excel. Learn more: https://go.microsoft.com/fwlink/?linkid=870924
Comment:
	https://drive.google.com/file/d/17UnsFknSa4oOWhpNz8bDk68SS_LLCvs4/view?usp=drive_link
</t>
      </text>
    </comment>
    <comment authorId="1611" xr:uid="{94044219-df8c-4867-b772-ee5e5545a56a}" ref="AF690">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1612" xr:uid="{94422e65-522c-4cf9-9ab2-afc85e2bd697}" ref="J124">
      <text>
        <t xml:space="preserve">[Threaded comment]
 Your version of Excel allows you to read this threaded comment; however, any edits to it will get removed if the file is opened in a newer version of Excel. Learn more: https://go.microsoft.com/fwlink/?linkid=870924
Comment:
	https://drive.google.com/file/d/1id2w9KjrRb-RkvosLs9sWwPFQcGREwJD/view?usp=drive_link
</t>
      </text>
    </comment>
    <comment authorId="1613" xr:uid="{9446a0fb-e5e7-41ca-9bf4-ac4726569e87}" ref="C114">
      <text>
        <t xml:space="preserve">[Threaded comment]
 Your version of Excel allows you to read this threaded comment; however, any edits to it will get removed if the file is opened in a newer version of Excel. Learn more: https://go.microsoft.com/fwlink/?linkid=870924
Comment:
	https://www.newegg.com/aorus-16x-series-16-geforce-rtx-4060-laptop-gpu-intel-core-i7-13650hx-wqxga-16gb-memory-1-tb-pcie-ssd/p/N82E16834725226
</t>
      </text>
    </comment>
    <comment authorId="1614" xr:uid="{944b2454-baf1-4346-afad-89cdd7bd0418}" ref="J77">
      <text>
        <t xml:space="preserve">[Threaded comment]
 Your version of Excel allows you to read this threaded comment; however, any edits to it will get removed if the file is opened in a newer version of Excel. Learn more: https://go.microsoft.com/fwlink/?linkid=870924
Comment:
	https://drive.google.com/file/d/1Zl9J5_wsnDkv1hOvvVZ2ZGRnh0mAug71/view?usp=drive_link
</t>
      </text>
    </comment>
    <comment authorId="1615" xr:uid="{9453a5fe-4586-4210-9b03-46ebabcfafc7}" ref="J756">
      <text>
        <t xml:space="preserve">[Threaded comment]
 Your version of Excel allows you to read this threaded comment; however, any edits to it will get removed if the file is opened in a newer version of Excel. Learn more: https://go.microsoft.com/fwlink/?linkid=870924
Comment:
	https://drive.google.com/file/d/14fDCSk3VO8u6UttvbYfQYVp3mkWflWk0/view?usp=drive_link
</t>
      </text>
    </comment>
    <comment authorId="1616" xr:uid="{94934663-14c7-4dff-9588-838d3653cbae}" ref="J61">
      <text>
        <t xml:space="preserve">[Threaded comment]
 Your version of Excel allows you to read this threaded comment; however, any edits to it will get removed if the file is opened in a newer version of Excel. Learn more: https://go.microsoft.com/fwlink/?linkid=870924
Comment:
	https://drive.google.com/file/d/18cR6jlNV89KfveSzi0tsPKZ_QqLfPYqH/view?usp=sharing
</t>
      </text>
    </comment>
    <comment authorId="1617" xr:uid="{94b07ced-147a-4a4c-a3ab-f585a6c6eb12}" ref="L238">
      <text>
        <t xml:space="preserve">[Threaded comment]
 Your version of Excel allows you to read this threaded comment; however, any edits to it will get removed if the file is opened in a newer version of Excel. Learn more: https://go.microsoft.com/fwlink/?linkid=870924
Comment:
	https://drive.google.com/file/d/1RWISIVOiIZrxe92tRXm-hS6IC3TB6NC9/view?usp=drive_link
</t>
      </text>
    </comment>
    <comment authorId="1618" xr:uid="{94fa1526-382e-43fa-b288-fc97a27c7eda}"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https://drive.google.com/file/d/1APQkR_CDfHnHE6m1v0x8-mE4UkXT6YQJ/view?usp=drive_link
</t>
      </text>
    </comment>
    <comment authorId="1619" xr:uid="{94fdc2cb-9f07-4c10-a231-6b4e51e75fdb}" ref="J469">
      <text>
        <t xml:space="preserve">[Threaded comment]
 Your version of Excel allows you to read this threaded comment; however, any edits to it will get removed if the file is opened in a newer version of Excel. Learn more: https://go.microsoft.com/fwlink/?linkid=870924
Comment:
	https://drive.google.com/file/d/1Wdc_5hvra9dPQPerAauBa7UAIUON6dqB/view?usp=drive_link
</t>
      </text>
    </comment>
    <comment authorId="1620" xr:uid="{95213926-23d8-4ff5-ac0f-65ed90f17a59}" ref="W373">
      <text>
        <t xml:space="preserve">[Threaded comment]
 Your version of Excel allows you to read this threaded comment; however, any edits to it will get removed if the file is opened in a newer version of Excel. Learn more: https://go.microsoft.com/fwlink/?linkid=870924
Comment:
	https://drive.google.com/file/d/1abhTI55FQB8CvWXFfUEkRCfI0i-12OjS/view?usp=drive_link
</t>
      </text>
    </comment>
    <comment authorId="1621" xr:uid="{9525bc3c-b5e1-4752-b67c-4e9a5878e58f}" ref="AF659">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622" xr:uid="{9530e4fa-a154-4224-8ac3-de0f6a8a6f85}" ref="L268">
      <text>
        <t xml:space="preserve">[Threaded comment]
 Your version of Excel allows you to read this threaded comment; however, any edits to it will get removed if the file is opened in a newer version of Excel. Learn more: https://go.microsoft.com/fwlink/?linkid=870924
Comment:
	https://drive.google.com/file/d/1tLscaVFmhRUTO_Kz_eqlDqUJeOs5TqDi/view?usp=drive_link
https://drive.google.com/file/d/11stck3OaSZvuzxfCij-DHiLUDuXya0Xz/view?usp=drive_link
</t>
      </text>
    </comment>
    <comment authorId="1623" xr:uid="{955a17bd-3091-4810-a8d8-bd880249ac1f}" ref="C75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1624" xr:uid="{9578266e-e384-4e8d-a8b1-5a760eaa499a}" ref="J563">
      <text>
        <t xml:space="preserve">[Threaded comment]
 Your version of Excel allows you to read this threaded comment; however, any edits to it will get removed if the file is opened in a newer version of Excel. Learn more: https://go.microsoft.com/fwlink/?linkid=870924
Comment:
	https://drive.google.com/file/d/1kgpd-6C8R0YQrs_curuaIhg6uT4gI5QX/view?usp=drive_link
</t>
      </text>
    </comment>
    <comment authorId="1625" xr:uid="{958a60ea-6f5d-4843-9b2f-ab4966f004af}" ref="W333">
      <text>
        <t xml:space="preserve">[Threaded comment]
 Your version of Excel allows you to read this threaded comment; however, any edits to it will get removed if the file is opened in a newer version of Excel. Learn more: https://go.microsoft.com/fwlink/?linkid=870924
Comment:
	https://drive.google.com/file/d/1BFF2-pEppempLo47BFdMSNJm0EJj-GLA/view?usp=drive_link
</t>
      </text>
    </comment>
    <comment authorId="1626" xr:uid="{958ba752-9571-411a-8549-b5622fa99995}" ref="W303">
      <text>
        <t xml:space="preserve">[Threaded comment]
 Your version of Excel allows you to read this threaded comment; however, any edits to it will get removed if the file is opened in a newer version of Excel. Learn more: https://go.microsoft.com/fwlink/?linkid=870924
Comment:
	https://drive.google.com/file/d/1Imj0ixrVaz736icWUOumaml_YMitbe4Z/view?usp=drive_link
</t>
      </text>
    </comment>
    <comment authorId="1627" xr:uid="{9592bd1a-c9eb-45d6-b2a3-2d2c00522701}" ref="AI733">
      <text>
        <t xml:space="preserve">[Threaded comment]
 Your version of Excel allows you to read this threaded comment; however, any edits to it will get removed if the file is opened in a newer version of Excel. Learn more: https://go.microsoft.com/fwlink/?linkid=870924
Comment:
	https://drive.google.com/file/d/1CM5kXAt1Bw9qijJXT0lPIDdmBmjqmnB0/view?usp=drive_link
</t>
      </text>
    </comment>
    <comment authorId="1628" xr:uid="{95a2032f-7096-4560-b75d-33acd5f3be7e}" ref="C33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629" xr:uid="{95c02135-70e5-44ee-abbf-b3e68d97fbfe}" ref="J452">
      <text>
        <t xml:space="preserve">[Threaded comment]
 Your version of Excel allows you to read this threaded comment; however, any edits to it will get removed if the file is opened in a newer version of Excel. Learn more: https://go.microsoft.com/fwlink/?linkid=870924
Comment:
	https://drive.google.com/file/d/12J-CuioUZGi9_gvkpERKF_PZorqHj21L/view?usp=drive_link
Reply:
	https://drive.google.com/file/d/1lqZG7Ap0mlIhhot9-NJCknbYd4YfeS6G/view?usp=drive_link
Reply:
	https://drive.google.com/file/d/18hmRAsp1OQJvYIMz2l-t-WItpjeAA68S/view?usp=drive_link
</t>
      </text>
    </comment>
    <comment authorId="1630" xr:uid="{95c216db-058c-4b96-b1b8-2d518ea1166e}" ref="J326">
      <text>
        <t xml:space="preserve">[Threaded comment]
 Your version of Excel allows you to read this threaded comment; however, any edits to it will get removed if the file is opened in a newer version of Excel. Learn more: https://go.microsoft.com/fwlink/?linkid=870924
Comment:
	https://drive.google.com/file/d/1Wkuapye8zue4aBpw7imM7qNSKjiQ9GpO/view?usp=drive_link
</t>
      </text>
    </comment>
    <comment authorId="1631" xr:uid="{95c27427-f7c7-4aa0-b6e1-ac72a539dd9b}" ref="C682">
      <text>
        <t xml:space="preserve">[Threaded comment]
 Your version of Excel allows you to read this threaded comment; however, any edits to it will get removed if the file is opened in a newer version of Excel. Learn more: https://go.microsoft.com/fwlink/?linkid=870924
Comment:
	https://www.ebay.com/itm/197812721427?_skw=laptop+gaming&amp;itmmeta=01KMFJ8Q1GK6RDN559610M4RQG&amp;hash=item2e0e8e9713:g:vpQAAeSwVRppvCqu
</t>
      </text>
    </comment>
    <comment authorId="1632" xr:uid="{95db7132-ccbd-4ca5-9dfc-fb63f8ba0395}" ref="K784">
      <text>
        <t xml:space="preserve">[Threaded comment]
 Your version of Excel allows you to read this threaded comment; however, any edits to it will get removed if the file is opened in a newer version of Excel. Learn more: https://go.microsoft.com/fwlink/?linkid=870924
Comment:
	pago en oficina
Reply:
	https://drive.google.com/file/d/1Q6HR9NC3O3VHqpLcZu5jR2QqIUDFEGMk/view?usp=drive_link
</t>
      </text>
    </comment>
    <comment authorId="1633" xr:uid="{95f3b87f-39bd-43e4-9d71-dc76781923d7}" ref="K743">
      <text>
        <t xml:space="preserve">[Threaded comment]
 Your version of Excel allows you to read this threaded comment; however, any edits to it will get removed if the file is opened in a newer version of Excel. Learn more: https://go.microsoft.com/fwlink/?linkid=870924
Comment:
	https://drive.google.com/file/d/1Jcqo9Of9NNg8lvQdkS6j6BtoB5g4Bi8w/view?usp=drive_link
</t>
      </text>
    </comment>
    <comment authorId="1634" xr:uid="{95f4c1ee-7b8f-42d1-b766-fe2fa0d716a4}" ref="J421">
      <text>
        <t xml:space="preserve">[Threaded comment]
 Your version of Excel allows you to read this threaded comment; however, any edits to it will get removed if the file is opened in a newer version of Excel. Learn more: https://go.microsoft.com/fwlink/?linkid=870924
Comment:
	https://drive.google.com/file/d/1Hm2L8pqDs43nvWQPB-Np2WhQEFh7p-5g/view?usp=drive_link
</t>
      </text>
    </comment>
    <comment authorId="1635" xr:uid="{95f5197a-29b4-4f89-ad0d-b3d13857e43d}" ref="W162">
      <text>
        <t xml:space="preserve">[Threaded comment]
 Your version of Excel allows you to read this threaded comment; however, any edits to it will get removed if the file is opened in a newer version of Excel. Learn more: https://go.microsoft.com/fwlink/?linkid=870924
Comment:
	https://drive.google.com/file/d/19QkkOudEWWKDsEhf7sZKNXkSGMjSqoxT/view?usp=drive_link
</t>
      </text>
    </comment>
    <comment authorId="1636" xr:uid="{961527db-ef32-428d-84f6-6f322e17e071}" ref="AF744">
      <text>
        <t xml:space="preserve">[Threaded comment]
 Your version of Excel allows you to read this threaded comment; however, any edits to it will get removed if the file is opened in a newer version of Excel. Learn more: https://go.microsoft.com/fwlink/?linkid=870924
Comment:
	Arreglar precio de laptop
</t>
      </text>
    </comment>
    <comment authorId="1637" xr:uid="{9626dc3e-9ffe-4795-b601-9855ce62781d}" ref="T414">
      <text>
        <t xml:space="preserve">[Threaded comment]
 Your version of Excel allows you to read this threaded comment; however, any edits to it will get removed if the file is opened in a newer version of Excel. Learn more: https://go.microsoft.com/fwlink/?linkid=870924
Comment:
	Se agrega 168 para el viajero que la compró por 50$ más
</t>
      </text>
    </comment>
    <comment authorId="1638" xr:uid="{963f886e-4dcb-4615-86f9-bcc1061b115e}" ref="J285">
      <text>
        <t xml:space="preserve">[Threaded comment]
 Your version of Excel allows you to read this threaded comment; however, any edits to it will get removed if the file is opened in a newer version of Excel. Learn more: https://go.microsoft.com/fwlink/?linkid=870924
Comment:
	https://drive.google.com/file/d/1crtI_qeKsPdUnuplInybAxevmq7t0d-F/view?usp=drive_link
</t>
      </text>
    </comment>
    <comment authorId="1639" xr:uid="{96471ff7-77d7-4950-ba3e-34abf571bfa6}" ref="Q499">
      <text>
        <t xml:space="preserve">[Threaded comment]
 Your version of Excel allows you to read this threaded comment; however, any edits to it will get removed if the file is opened in a newer version of Excel. Learn more: https://go.microsoft.com/fwlink/?linkid=870924
Comment:
	se saca 305 de excedente de otra laptop, debido a que se necesitaba ofrecerle cosas para venderlo, había autorización para esta laptop
Reply:
	Se pondrá esto como "accesorios" de la fila 483.
</t>
      </text>
    </comment>
    <comment authorId="1640" xr:uid="{969042d3-d799-4c54-a9a7-9c70796fabb2}" ref="D355">
      <text>
        <t xml:space="preserve">[Threaded comment]
 Your version of Excel allows you to read this threaded comment; however, any edits to it will get removed if the file is opened in a newer version of Excel. Learn more: https://go.microsoft.com/fwlink/?linkid=870924
Comment:
	MISMAS PERSONAS?
Reply:
	Marcado como resuelto
Reply:
	Reabierto
</t>
      </text>
    </comment>
    <comment authorId="1641" xr:uid="{969adcfd-08e6-4e01-9d31-832dd2cb9a9c}" ref="J438">
      <text>
        <t xml:space="preserve">[Threaded comment]
 Your version of Excel allows you to read this threaded comment; however, any edits to it will get removed if the file is opened in a newer version of Excel. Learn more: https://go.microsoft.com/fwlink/?linkid=870924
Comment:
	https://drive.google.com/file/d/1dtgzx2dtnKs6tZdin_eQWg9dPb8NbNBn/view?usp=drive_link
</t>
      </text>
    </comment>
    <comment authorId="1642" xr:uid="{96ad9ced-16d4-4f77-932a-f76dfc381afe}" ref="J146">
      <text>
        <t xml:space="preserve">[Threaded comment]
 Your version of Excel allows you to read this threaded comment; however, any edits to it will get removed if the file is opened in a newer version of Excel. Learn more: https://go.microsoft.com/fwlink/?linkid=870924
Comment:
	https://drive.google.com/file/d/1ESFx11nzfHTet0K-Dz1sVlcoP7v0zmNE/view?usp=drive_link
</t>
      </text>
    </comment>
    <comment authorId="1643" xr:uid="{96eb3323-50f1-4db3-b8ee-8bb9411cfd76}" ref="C386">
      <text>
        <t xml:space="preserve">[Threaded comment]
 Your version of Excel allows you to read this threaded comment; however, any edits to it will get removed if the file is opened in a newer version of Excel. Learn more: https://go.microsoft.com/fwlink/?linkid=870924
Comment:
	https://www.ebay.com/itm/326796273441?_skw=laptop+gaming&amp;itmmeta=01KBF2M67HXNKB7B163GJ6E5M6&amp;hash=item4c16936721:g:e-QAAeSw7-5pKNzx
</t>
      </text>
    </comment>
    <comment authorId="1644" xr:uid="{96ec8675-4053-401c-bda4-7c4f85afd76a}" ref="AF697">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645" xr:uid="{97430a0e-d03d-4a73-a8b6-1d255f62e68d}" ref="K527">
      <text>
        <t xml:space="preserve">[Threaded comment]
 Your version of Excel allows you to read this threaded comment; however, any edits to it will get removed if the file is opened in a newer version of Excel. Learn more: https://go.microsoft.com/fwlink/?linkid=870924
Comment:
	https://drive.google.com/file/d/1JSLwrrtaF2QCy3espDpBl6HCUWNgsQav/view?usp=drive_link
</t>
      </text>
    </comment>
    <comment authorId="1646" xr:uid="{977e26e6-dc6f-4158-bb8e-855039a663c7}" ref="J143">
      <text>
        <t xml:space="preserve">[Threaded comment]
 Your version of Excel allows you to read this threaded comment; however, any edits to it will get removed if the file is opened in a newer version of Excel. Learn more: https://go.microsoft.com/fwlink/?linkid=870924
Comment:
	https://drive.google.com/file/d/1JFNIrwM2pE3vXjmUmHc1pP5bJ-dzIncG/view?usp=drive_link
</t>
      </text>
    </comment>
    <comment authorId="1647" xr:uid="{9784d1c9-529f-479e-bfe2-a8a78aa2d301}" ref="J741">
      <text>
        <t xml:space="preserve">[Threaded comment]
 Your version of Excel allows you to read this threaded comment; however, any edits to it will get removed if the file is opened in a newer version of Excel. Learn more: https://go.microsoft.com/fwlink/?linkid=870924
Comment:
	https://drive.google.com/file/d/19tl1wE66pimfuZctpR7pDezPOk01rs57/view?usp=drive_link
</t>
      </text>
    </comment>
    <comment authorId="1648" xr:uid="{978e4362-ac47-413b-b911-140a98121510}" ref="J44">
      <text>
        <t xml:space="preserve">[Threaded comment]
 Your version of Excel allows you to read this threaded comment; however, any edits to it will get removed if the file is opened in a newer version of Excel. Learn more: https://go.microsoft.com/fwlink/?linkid=870924
Comment:
	https://drive.google.com/file/d/12nkbiukyqlIGRwLM3Flr6b5nR68cCftf/view
</t>
      </text>
    </comment>
    <comment authorId="1649" xr:uid="{97a319b1-03a3-4d7c-990c-1b0d0d576537}" ref="J787">
      <text>
        <t xml:space="preserve">[Threaded comment]
 Your version of Excel allows you to read this threaded comment; however, any edits to it will get removed if the file is opened in a newer version of Excel. Learn more: https://go.microsoft.com/fwlink/?linkid=870924
Comment:
	https://drive.google.com/file/d/1uIFWshBKNYtXO0Redo-gKpgS4AgqkE10/view?usp=drive_link
</t>
      </text>
    </comment>
    <comment authorId="1650" xr:uid="{97bed50e-9281-46b0-9804-ae8a2050c170}" ref="J360">
      <text>
        <t xml:space="preserve">[Threaded comment]
 Your version of Excel allows you to read this threaded comment; however, any edits to it will get removed if the file is opened in a newer version of Excel. Learn more: https://go.microsoft.com/fwlink/?linkid=870924
Comment:
	https://drive.google.com/file/d/1Us7PqOAdFEbTZJFB18zn2bEMFtfIlUOa/view?usp=drive_link
</t>
      </text>
    </comment>
    <comment authorId="1651" xr:uid="{97ca27f5-c4dd-4834-8ce8-b79c35918a0b}" ref="J115">
      <text>
        <t xml:space="preserve">[Threaded comment]
 Your version of Excel allows you to read this threaded comment; however, any edits to it will get removed if the file is opened in a newer version of Excel. Learn more: https://go.microsoft.com/fwlink/?linkid=870924
Comment:
	https://drive.google.com/file/d/1WJ171sA3SuPQVUt0IndLtWiX551uSnR_/view?usp=drive_link
</t>
      </text>
    </comment>
    <comment authorId="1652" xr:uid="{9803817c-48c5-4d37-a9d3-ec88e94666cf}" ref="L35">
      <text>
        <t xml:space="preserve">[Threaded comment]
 Your version of Excel allows you to read this threaded comment; however, any edits to it will get removed if the file is opened in a newer version of Excel. Learn more: https://go.microsoft.com/fwlink/?linkid=870924
Comment:
	113.58 para configuracion inicial
</t>
      </text>
    </comment>
    <comment authorId="1653" xr:uid="{98048901-959d-4968-a768-b9dd6f5cd66c}" ref="J706">
      <text>
        <t xml:space="preserve">[Threaded comment]
 Your version of Excel allows you to read this threaded comment; however, any edits to it will get removed if the file is opened in a newer version of Excel. Learn more: https://go.microsoft.com/fwlink/?linkid=870924
Comment:
	https://drive.google.com/file/d/1Uc7hDlNCvo4RqCmLHsYYEJll_d_uhXfY/view?usp=drive_link
</t>
      </text>
    </comment>
    <comment authorId="1654" xr:uid="{9817132a-1e15-49a0-8f4c-e2ed8d7307c7}" ref="AF651">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655" xr:uid="{983df107-c15d-4add-8c5e-747a872547cf}" ref="J680">
      <text>
        <t xml:space="preserve">[Threaded comment]
 Your version of Excel allows you to read this threaded comment; however, any edits to it will get removed if the file is opened in a newer version of Excel. Learn more: https://go.microsoft.com/fwlink/?linkid=870924
Comment:
	https://drive.google.com/file/d/1pbDaTxKjfO_2Lje_AXItRUZu-pP878aD/view?usp=drive_link
</t>
      </text>
    </comment>
    <comment authorId="1656" xr:uid="{9852ab6a-8a51-4d9b-916f-b409a402f3f3}" ref="J199">
      <text>
        <t xml:space="preserve">[Threaded comment]
 Your version of Excel allows you to read this threaded comment; however, any edits to it will get removed if the file is opened in a newer version of Excel. Learn more: https://go.microsoft.com/fwlink/?linkid=870924
Comment:
	https://drive.google.com/file/d/1HS4VHrBHSdq7COlntpTFDRmCo7nRs4OF/view?usp=drive_link
Reply:
	https://drive.google.com/file/d/1_UZbBRxhpi3UwSay5M_K2Gm4AvU9PEZR/view?usp=drive_link
</t>
      </text>
    </comment>
    <comment authorId="1657" xr:uid="{98565190-96bb-458b-bf4e-45135173270a}" ref="C256">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https://www.bhphotovideo.com/c/product/1877808-REG/msi_raider_18_hx_ai_a2xwig_014us_18_raider_18_hx.html/specs
</t>
      </text>
    </comment>
    <comment authorId="1658" xr:uid="{9860a8c0-02a1-4ee9-b7a4-060df6a22f04}" ref="L209">
      <text>
        <t xml:space="preserve">[Threaded comment]
 Your version of Excel allows you to read this threaded comment; however, any edits to it will get removed if the file is opened in a newer version of Excel. Learn more: https://go.microsoft.com/fwlink/?linkid=870924
Comment:
	https://drive.google.com/file/d/1lhfrB3r4ZmWaP-zqMrDLNQTJHDOdP2nk/view?usp=drive_link
</t>
      </text>
    </comment>
    <comment authorId="1659" xr:uid="{987b06fa-49da-4611-be9b-eafbf8a0a829}" ref="C133">
      <text>
        <t xml:space="preserve">[Threaded comment]
 Your version of Excel allows you to read this threaded comment; however, any edits to it will get removed if the file is opened in a newer version of Excel. Learn more: https://go.microsoft.com/fwlink/?linkid=870924
Comment:
	https://www.ebay.com/itm/197444306465?_skw=hp+omen&amp;itmmeta=01K0HW7Q8R3WN45FJKGM0MAM81&amp;hash=item2df8990621:g:H1cAAeSwLd5oe4Es&amp;itmprp=enc%3AAQAKAAAAwFkggFvd1GGDu0w3yXCmi1ekp4YFaYw63b2%2BKvvhbukSuddf5UiRJqZfog%2FOP%2By1IFgIPvcIV0PLMlwhjoFqysRwwLg4TZWboQzLrcpj2acvHkDIxEqJJQhOP4KZfQb9bf4ukEFr3DZ%2BrbGeaRuvPdW1yECYMVTfPgfXJSR5E9xDYTfDBlBJe4%2BHkE0ZuZC5XfB4EquSdttst%2Fg0k%2FD4BE0ytkARNCv8FAiOeuKDtDBfUmFtlRQuQhnYQfSKWDx%2BTg%3D%3D%7Ctkp%3ABk9SR8T0nryEZg
</t>
      </text>
    </comment>
    <comment authorId="1660" xr:uid="{988559be-4fd6-4545-ae14-d9989acdcbc9}" ref="W133">
      <text>
        <t xml:space="preserve">[Threaded comment]
 Your version of Excel allows you to read this threaded comment; however, any edits to it will get removed if the file is opened in a newer version of Excel. Learn more: https://go.microsoft.com/fwlink/?linkid=870924
Comment:
	https://drive.google.com/file/d/1hwNhLH7b6UHAZkm0N9EsupUE8Dy7s85-/view?usp=drive_link
</t>
      </text>
    </comment>
    <comment authorId="1661" xr:uid="{98a5c152-b0d2-436a-9b0c-4f32f8c6bf5b}" ref="AF196">
      <text>
        <t xml:space="preserve">[Threaded comment]
 Your version of Excel allows you to read this threaded comment; however, any edits to it will get removed if the file is opened in a newer version of Excel. Learn more: https://go.microsoft.com/fwlink/?linkid=870924
Comment:
	Falta fixit
</t>
      </text>
    </comment>
    <comment authorId="1662" xr:uid="{98c481fe-c364-4c76-b36b-5457d4c13fb8}" ref="L275">
      <text>
        <t xml:space="preserve">[Threaded comment]
 Your version of Excel allows you to read this threaded comment; however, any edits to it will get removed if the file is opened in a newer version of Excel. Learn more: https://go.microsoft.com/fwlink/?linkid=870924
Comment:
	https://drive.google.com/file/d/1XvuQSipAOnbRwQPlSuOkjrs5QgLnO_jy/view?usp=drive_link
</t>
      </text>
    </comment>
    <comment authorId="1663" xr:uid="{98e4bd6e-df0e-4489-938a-86d0971178a5}" ref="W203">
      <text>
        <t xml:space="preserve">[Threaded comment]
 Your version of Excel allows you to read this threaded comment; however, any edits to it will get removed if the file is opened in a newer version of Excel. Learn more: https://go.microsoft.com/fwlink/?linkid=870924
Comment:
	https://drive.google.com/file/d/1IeowuJWQPjlbad8G3BwRRfTlzCLa4Wcy/view?usp=drive_link
</t>
      </text>
    </comment>
    <comment authorId="1664" xr:uid="{98f19e32-2c76-4629-a0a9-af1842a24c3a}" ref="K675">
      <text>
        <t xml:space="preserve">[Threaded comment]
 Your version of Excel allows you to read this threaded comment; however, any edits to it will get removed if the file is opened in a newer version of Excel. Learn more: https://go.microsoft.com/fwlink/?linkid=870924
Comment:
	se encuentra en su chat
</t>
      </text>
    </comment>
    <comment authorId="1665" xr:uid="{9966dc84-d8ef-4dea-b5b4-756e1a31a075}" ref="J463">
      <text>
        <t xml:space="preserve">[Threaded comment]
 Your version of Excel allows you to read this threaded comment; however, any edits to it will get removed if the file is opened in a newer version of Excel. Learn more: https://go.microsoft.com/fwlink/?linkid=870924
Comment:
	https://drive.google.com/file/d/1Fn0G5GJzxuFAyoS3hBhqenH_wAgQYX_g/view?usp=drive_link
</t>
      </text>
    </comment>
    <comment authorId="1666" xr:uid="{996bfbcd-f65e-4b1d-9f5b-22de5d710f08}" ref="K766">
      <text>
        <t xml:space="preserve">[Threaded comment]
 Your version of Excel allows you to read this threaded comment; however, any edits to it will get removed if the file is opened in a newer version of Excel. Learn more: https://go.microsoft.com/fwlink/?linkid=870924
Comment:
	https://drive.google.com/file/d/11eQ_vIZBmLiR27Vd2zjw4XVzzXtV_YIi/view?usp=drive_link
</t>
      </text>
    </comment>
    <comment authorId="1667" xr:uid="{997e4235-0656-479c-8822-3e064c2d4da2}" ref="AF242">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668" xr:uid="{9994f201-51d1-492c-809d-058353711bd4}" ref="C646">
      <text>
        <t xml:space="preserve">[Threaded comment]
 Your version of Excel allows you to read this threaded comment; however, any edits to it will get removed if the file is opened in a newer version of Excel. Learn more: https://go.microsoft.com/fwlink/?linkid=870924
Comment:
	https://www.ebay.com/itm/205814283481?_skw=acer+predator&amp;itmmeta=01KMZPFH8PPYD63RC6WRRK7JPW&amp;hash=item2feb7cbcd9:g:HYoAAeSwZJxpxVkw&amp;itmprp=enc%3AAQALAAAA8GfYFPkwiKCW4ZNSs2u11xAQqGAcfg5r1FcauE0PxJvKZpknYhNStmu2hejxKVq2ttiJ4IgTI4vq0%2FU5x3%2BZyhnrQ0V5NeqNcRI6jOAHlkjQuXwIVWRHCGtcudTwWUlWS3%2BRvm2RtN6ym7kUn7dP11GchmhPS7D3GIwZyc%2Fqgxb2rLTZjsE6oO2Q%2FVE5ebOS1n4plbqzbFo58ONSWnPGskmKVYH0uu2igyWNltdbuIjQC9Ux8dbFERQ6fMmo1K%2FOqCT%2FtGzzy0YxlmxMNHh9TupFncCXODnhqDIxZCe0ApQE7S1NTSXSkle8%2Be2dFmjvJA%3D%3D%7Ctkp%3ABk9SR8KUvvanZw
</t>
      </text>
    </comment>
    <comment authorId="1669" xr:uid="{99ab5ae9-2a59-469b-bde4-b98a40cef81b}" ref="W353">
      <text>
        <t xml:space="preserve">[Threaded comment]
 Your version of Excel allows you to read this threaded comment; however, any edits to it will get removed if the file is opened in a newer version of Excel. Learn more: https://go.microsoft.com/fwlink/?linkid=870924
Comment:
	https://drive.google.com/file/d/1o4yBCbpa9HN8718YnGJkZUVWT-vETaUA/view?usp=drive_link
</t>
      </text>
    </comment>
    <comment authorId="1670" xr:uid="{99d81e51-41ed-446e-8667-97d78646277a}" ref="L25">
      <text>
        <t xml:space="preserve">[Threaded comment]
 Your version of Excel allows you to read this threaded comment; however, any edits to it will get removed if the file is opened in a newer version of Excel. Learn more: https://go.microsoft.com/fwlink/?linkid=870924
Comment:
	https://drive.google.com/file/d/17BZTA95jjJCGD7DsfX9H4JXIqbqfrJST/view?usp=drive_link
</t>
      </text>
    </comment>
    <comment authorId="1671" xr:uid="{99f94e34-fe83-45b3-a772-6c2edc4f32b6}" ref="K456">
      <text>
        <t xml:space="preserve">[Threaded comment]
 Your version of Excel allows you to read this threaded comment; however, any edits to it will get removed if the file is opened in a newer version of Excel. Learn more: https://go.microsoft.com/fwlink/?linkid=870924
Comment:
	https://drive.google.com/file/d/14PRUi_gdF0J9a07781F8U1Ir5M07moUJ/view?usp=drive_link
</t>
      </text>
    </comment>
    <comment authorId="1672" xr:uid="{9a0ab713-be9f-401b-bc78-fc7b80d97771}" ref="D353">
      <text>
        <t xml:space="preserve">[Threaded comment]
 Your version of Excel allows you to read this threaded comment; however, any edits to it will get removed if the file is opened in a newer version of Excel. Learn more: https://go.microsoft.com/fwlink/?linkid=870924
Comment:
	Nombres: Jesús Martín Ordinola Carreño.
Dni: 45954667
Celular: 979704708
Correo: martin.ordi98@gmail.com
</t>
      </text>
    </comment>
    <comment authorId="1673" xr:uid="{9a0b084d-5875-4320-852f-5f46e8ed2994}" ref="T793">
      <text>
        <t xml:space="preserve">[Threaded comment]
 Your version of Excel allows you to read this threaded comment; however, any edits to it will get removed if the file is opened in a newer version of Excel. Learn more: https://go.microsoft.com/fwlink/?linkid=870924
Comment:
	para apertura 794
</t>
      </text>
    </comment>
    <comment authorId="1674" xr:uid="{9a0ec2c1-5152-4b4a-af1f-6169d0e9db69}" ref="C610">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https://www.bestbuy.com/product/asus-zenbook-s-16-16-3k-oled-touch-screen-laptop-copilot-pc-amd-ryzen-ai-9-365-24gb-memory-1tb-ssd-scandinavian-white/JJGGLQSYLC
</t>
      </text>
    </comment>
    <comment authorId="1675" xr:uid="{9a12f177-72cc-46f9-9373-c749840ee43d}" ref="C630">
      <text>
        <t xml:space="preserve">[Threaded comment]
 Your version of Excel allows you to read this threaded comment; however, any edits to it will get removed if the file is opened in a newer version of Excel. Learn more: https://go.microsoft.com/fwlink/?linkid=870924
Comment:
	https://shop.asus.com/us/90nr0ky8-m000c0-rog-strix-g18-2025-g814.html?config=90NR0KY8-M000C0
</t>
      </text>
    </comment>
    <comment authorId="1676" xr:uid="{9a19bf3f-d0fe-4aeb-acbd-6916d67db16e}" ref="K406">
      <text>
        <t xml:space="preserve">[Threaded comment]
 Your version of Excel allows you to read this threaded comment; however, any edits to it will get removed if the file is opened in a newer version of Excel. Learn more: https://go.microsoft.com/fwlink/?linkid=870924
Comment:
	https://drive.google.com/file/d/1ljv1-0IRlbCDysK9bt6yG-nkBdKIBqdz/view?usp=drive_link
</t>
      </text>
    </comment>
    <comment authorId="1677" xr:uid="{9a36061c-5498-4c62-8169-2cc6f8ef2cac}" ref="C62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678" xr:uid="{9a54bf49-2557-4eed-a556-0d4d4ed592ad}" ref="J162">
      <text>
        <t xml:space="preserve">[Threaded comment]
 Your version of Excel allows you to read this threaded comment; however, any edits to it will get removed if the file is opened in a newer version of Excel. Learn more: https://go.microsoft.com/fwlink/?linkid=870924
Comment:
	https://drive.google.com/file/d/1u41HZHU_Bo6f937q8bGj3tpLDwx7PJUC/view?usp=drive_link
</t>
      </text>
    </comment>
    <comment authorId="1679" xr:uid="{9a702dbd-cd77-4cde-81cc-4ca46e25e74e}" ref="W153">
      <text>
        <t xml:space="preserve">[Threaded comment]
 Your version of Excel allows you to read this threaded comment; however, any edits to it will get removed if the file is opened in a newer version of Excel. Learn more: https://go.microsoft.com/fwlink/?linkid=870924
Comment:
	https://drive.google.com/file/d/1jG383on23uCZv9HWJZVSN8KYFuRibZa2/view?usp=drive_link
</t>
      </text>
    </comment>
    <comment authorId="1680" xr:uid="{9a709d95-e746-47a9-893b-83583a122e6c}" ref="W114">
      <text>
        <t xml:space="preserve">[Threaded comment]
 Your version of Excel allows you to read this threaded comment; however, any edits to it will get removed if the file is opened in a newer version of Excel. Learn more: https://go.microsoft.com/fwlink/?linkid=870924
Comment:
	https://drive.google.com/file/d/1AKksSzZK54vzNGCINgco7oGN_pGgZALc/view?usp=drive_link
</t>
      </text>
    </comment>
    <comment authorId="1681" xr:uid="{9a8163ad-fbbd-4139-ba17-f02930856503}" ref="K549">
      <text>
        <t xml:space="preserve">[Threaded comment]
 Your version of Excel allows you to read this threaded comment; however, any edits to it will get removed if the file is opened in a newer version of Excel. Learn more: https://go.microsoft.com/fwlink/?linkid=870924
Comment:
	https://drive.google.com/file/d/1uHyvRr3vJPPxCKx08d1Uu5d-lyLF-cMf/view?usp=drive_link
Reply:
	https://drive.google.com/file/d/13HlBhrdNijtwkgjIcl_0FLBJxm-e9k4b/view?usp=drive_link
</t>
      </text>
    </comment>
    <comment authorId="1682" xr:uid="{9a84f267-1b3c-42b5-8748-da52a801b898}" ref="AF353">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1683" xr:uid="{9a8d58b0-5167-437a-a350-311bf62c4cf3}" ref="C225">
      <text>
        <t xml:space="preserve">[Threaded comment]
 Your version of Excel allows you to read this threaded comment; however, any edits to it will get removed if the file is opened in a newer version of Excel. Learn more: https://go.microsoft.com/fwlink/?linkid=870924
Comment:
	https://www.costco.com/lenovo-legion-5i-16-gaming-laptop---intel-core-ultra-9-275hx---geforce-rtx-5060---wqxga-2560x1600---windows-11-home---32gb-ram---1tb-ssd.product.4000380973.html
</t>
      </text>
    </comment>
    <comment authorId="1684" xr:uid="{9a9b32db-9c70-48a0-95a2-ebe136ac8610}" ref="J299">
      <text>
        <t xml:space="preserve">[Threaded comment]
 Your version of Excel allows you to read this threaded comment; however, any edits to it will get removed if the file is opened in a newer version of Excel. Learn more: https://go.microsoft.com/fwlink/?linkid=870924
Comment:
	https://drive.google.com/file/d/1MI5Whiv2dBBnSiDRend10bTc1e5WCo0d/view?usp=drive_link
</t>
      </text>
    </comment>
    <comment authorId="1685" xr:uid="{9ab6abd0-96af-4b9f-bf62-59c6ff1dc83e}" ref="L197">
      <text>
        <t xml:space="preserve">[Threaded comment]
 Your version of Excel allows you to read this threaded comment; however, any edits to it will get removed if the file is opened in a newer version of Excel. Learn more: https://go.microsoft.com/fwlink/?linkid=870924
Comment:
	https://drive.google.com/file/d/1I43WGuZsCLIh1XQU8tMYZyK0o0BcOVhw/view?usp=drive_link
</t>
      </text>
    </comment>
    <comment authorId="1686" xr:uid="{9acf0f97-88fc-423b-9430-fa5145b1e44e}" ref="L12">
      <text>
        <t xml:space="preserve">[Threaded comment]
 Your version of Excel allows you to read this threaded comment; however, any edits to it will get removed if the file is opened in a newer version of Excel. Learn more: https://go.microsoft.com/fwlink/?linkid=870924
Comment:
	https://drive.google.com/file/d/1mJeSo22INmpzPIv94SE-Iiyd9Elrs2X1/view?usp=drive_link
</t>
      </text>
    </comment>
    <comment authorId="1687" xr:uid="{9ae11209-d4af-4ed8-b220-3f802cc2c761}" ref="J318">
      <text>
        <t xml:space="preserve">[Threaded comment]
 Your version of Excel allows you to read this threaded comment; however, any edits to it will get removed if the file is opened in a newer version of Excel. Learn more: https://go.microsoft.com/fwlink/?linkid=870924
Comment:
	https://drive.google.com/file/d/1NzWqZ6uc5GJtFNhPCgta6RubTXD0-2OR/view?usp=drive_link
</t>
      </text>
    </comment>
    <comment authorId="1688" xr:uid="{9ae7b15f-c4ce-42f5-9e58-992033631602}" ref="W322">
      <text>
        <t xml:space="preserve">[Threaded comment]
 Your version of Excel allows you to read this threaded comment; however, any edits to it will get removed if the file is opened in a newer version of Excel. Learn more: https://go.microsoft.com/fwlink/?linkid=870924
Comment:
	https://drive.google.com/file/d/132hzIG6jBLkBz_U0W_qCIoZlXQOq5yT-/view?usp=drive_link
</t>
      </text>
    </comment>
    <comment authorId="1689" xr:uid="{9aeb703c-ba3b-486b-af05-142e384c0a66}" ref="K442">
      <text>
        <t xml:space="preserve">[Threaded comment]
 Your version of Excel allows you to read this threaded comment; however, any edits to it will get removed if the file is opened in a newer version of Excel. Learn more: https://go.microsoft.com/fwlink/?linkid=870924
Comment:
	https://drive.google.com/file/d/1r8UkLPDSI2tmesXXgT0xtuNgH6ZCRSEA/view?usp=drive_link
</t>
      </text>
    </comment>
    <comment authorId="1690" xr:uid="{9b25853c-7f24-4660-add3-6016dce077d6}" ref="J327">
      <text>
        <t xml:space="preserve">[Threaded comment]
 Your version of Excel allows you to read this threaded comment; however, any edits to it will get removed if the file is opened in a newer version of Excel. Learn more: https://go.microsoft.com/fwlink/?linkid=870924
Comment:
	https://drive.google.com/file/d/1pVBU2kdV1V0w4Y-HcDdzcxlV-EVW9XO4/view?usp=drive_link
</t>
      </text>
    </comment>
    <comment authorId="1691" xr:uid="{9b386dfd-83b4-4883-9577-07c8c6d6d78a}" ref="AF435">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692" xr:uid="{9b413be4-508b-4da1-8b86-bccc789a9c1b}" ref="C729">
      <text>
        <t xml:space="preserve">[Threaded comment]
 Your version of Excel allows you to read this threaded comment; however, any edits to it will get removed if the file is opened in a newer version of Excel. Learn more: https://go.microsoft.com/fwlink/?linkid=870924
Comment:
	https://www.costco.com/p/-/lenovo-legion-5i-16-gaming-laptop-intel-core-ultra-9-275hx-geforce-rtx-5060-wqxga-2560x1600-windows-11-home-32gb-ram-1tb-ssd/4000380973?langId=-1
</t>
      </text>
    </comment>
    <comment authorId="1693" xr:uid="{9b50113a-685e-4214-a6a3-97689b49f159}" ref="K477">
      <text>
        <t xml:space="preserve">[Threaded comment]
 Your version of Excel allows you to read this threaded comment; however, any edits to it will get removed if the file is opened in a newer version of Excel. Learn more: https://go.microsoft.com/fwlink/?linkid=870924
Comment:
	https://drive.google.com/file/d/1INDNBF8kSM3YOKxAPhTsVdrBldwsLPW8/view?usp=drive_link
</t>
      </text>
    </comment>
    <comment authorId="1694" xr:uid="{9b647d4d-20cd-4240-a431-a4d24905862d}" ref="J295">
      <text>
        <t xml:space="preserve">[Threaded comment]
 Your version of Excel allows you to read this threaded comment; however, any edits to it will get removed if the file is opened in a newer version of Excel. Learn more: https://go.microsoft.com/fwlink/?linkid=870924
Comment:
	https://drive.google.com/file/d/1ESk1EVrq3x5HprK5C6gQ1eyHRfiGrUI8/view?usp=drive_link
</t>
      </text>
    </comment>
    <comment authorId="1695" xr:uid="{9b6de5f7-feab-46a5-ac75-648606aa573e}" ref="J632">
      <text>
        <t xml:space="preserve">[Threaded comment]
 Your version of Excel allows you to read this threaded comment; however, any edits to it will get removed if the file is opened in a newer version of Excel. Learn more: https://go.microsoft.com/fwlink/?linkid=870924
Comment:
	https://drive.google.com/file/d/1AhZfdb5qVJRAyxZLL9pcW_ajfq9VX2fS/view?usp=drive_link
</t>
      </text>
    </comment>
    <comment authorId="1696" xr:uid="{9b7a4ac6-d470-4197-adc5-82b1eb4c9129}" ref="W289">
      <text>
        <t xml:space="preserve">[Threaded comment]
 Your version of Excel allows you to read this threaded comment; however, any edits to it will get removed if the file is opened in a newer version of Excel. Learn more: https://go.microsoft.com/fwlink/?linkid=870924
Comment:
	https://drive.google.com/file/d/1Sb6ihkHXKzyQCW2rfCVB0E2Q5grG2k-U/view?usp=drive_link
</t>
      </text>
    </comment>
    <comment authorId="1697" xr:uid="{9b84e07c-49d0-4d0d-8166-856b8eabcdef}" ref="AF611">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698" xr:uid="{9b8c138e-efc3-4087-a9dd-3788f7431c65}" ref="J569">
      <text>
        <t xml:space="preserve">[Threaded comment]
 Your version of Excel allows you to read this threaded comment; however, any edits to it will get removed if the file is opened in a newer version of Excel. Learn more: https://go.microsoft.com/fwlink/?linkid=870924
Comment:
	https://drive.google.com/file/d/198kCZJCD-Qf2aWd5-lNU3iqrMiffhIqF/view?usp=drive_link
</t>
      </text>
    </comment>
    <comment authorId="1699" xr:uid="{9b8fb555-e5d6-4915-9c2e-655913817b67}" ref="A1">
      <text>
        <t xml:space="preserve">[Threaded comment]
 Your version of Excel allows you to read this threaded comment; however, any edits to it will get removed if the file is opened in a newer version of Excel. Learn more: https://go.microsoft.com/fwlink/?linkid=870924
Comment:
	https://www.ebay.com/itm/205756001751?_skw=g14&amp;itmmeta=01K7816DRHAK8B6MHBVDV2JWVE&amp;hash=item2fe8036dd7:g:1NwAAeSwihFo42~m
</t>
      </text>
    </comment>
    <comment authorId="1700" xr:uid="{9b97d5d9-5570-45d4-bd61-82441722a72e}" ref="AI739">
      <text>
        <t xml:space="preserve">[Threaded comment]
 Your version of Excel allows you to read this threaded comment; however, any edits to it will get removed if the file is opened in a newer version of Excel. Learn more: https://go.microsoft.com/fwlink/?linkid=870924
Comment:
	https://drive.google.com/file/d/1UoUCsW3A4zSq7T55GvOWeNCZnJZ9Or9L/view?usp=drive_link
</t>
      </text>
    </comment>
    <comment authorId="1701" xr:uid="{9ba72499-b3f4-4c59-8131-da709b16123f}" ref="AF496">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1702" xr:uid="{9bad49a6-b845-485a-bc25-e17fd01fb6ef}" ref="K444">
      <text>
        <t xml:space="preserve">[Threaded comment]
 Your version of Excel allows you to read this threaded comment; however, any edits to it will get removed if the file is opened in a newer version of Excel. Learn more: https://go.microsoft.com/fwlink/?linkid=870924
Comment:
	https://drive.google.com/file/d/1gcC-2I6tdyNrDj4H5GYCrPZUWm7uVUac/view?usp=drive_link
</t>
      </text>
    </comment>
    <comment authorId="1703" xr:uid="{9bc1b929-dcf3-43c6-93f7-d8983f898232}" ref="J627">
      <text>
        <t xml:space="preserve">[Threaded comment]
 Your version of Excel allows you to read this threaded comment; however, any edits to it will get removed if the file is opened in a newer version of Excel. Learn more: https://go.microsoft.com/fwlink/?linkid=870924
Comment:
	https://drive.google.com/file/d/1rMGS-gVHpy8ZndfiEmtaGdBhSGsA_Pv_/view?usp=drive_link
</t>
      </text>
    </comment>
    <comment authorId="1704" xr:uid="{9bc692fd-02dc-4cda-bbf9-6844cf8dd697}" ref="J207">
      <text>
        <t xml:space="preserve">[Threaded comment]
 Your version of Excel allows you to read this threaded comment; however, any edits to it will get removed if the file is opened in a newer version of Excel. Learn more: https://go.microsoft.com/fwlink/?linkid=870924
Comment:
	https://drive.google.com/file/d/1o3D9cp5B-ddXobYe7cEshHjAc1202O6j/view?usp=drive_link
</t>
      </text>
    </comment>
    <comment authorId="1705" xr:uid="{9c126063-1dda-417f-a99e-3cdf2cd8829f}" ref="C445">
      <text>
        <t xml:space="preserve">[Threaded comment]
 Your version of Excel allows you to read this threaded comment; however, any edits to it will get removed if the file is opened in a newer version of Excel. Learn more: https://go.microsoft.com/fwlink/?linkid=870924
Comment:
	https://www.ebay.com/itm/205756001751?_skw=laptop+gaming&amp;itmmeta=01KD51PGBNT5H4CTGDQ0PQSTV2&amp;hash=item2fe8036dd7:g:M1QAAeSwZxlpRwPv
</t>
      </text>
    </comment>
    <comment authorId="1706" xr:uid="{9c2620d5-37ad-4f07-9985-948dcee00071}" ref="J227">
      <text>
        <t xml:space="preserve">[Threaded comment]
 Your version of Excel allows you to read this threaded comment; however, any edits to it will get removed if the file is opened in a newer version of Excel. Learn more: https://go.microsoft.com/fwlink/?linkid=870924
Comment:
	https://drive.google.com/file/d/1nNc3tZZ-KkvsOqZYZKA7Yia0dAO8AXgh/view?usp=drive_link
</t>
      </text>
    </comment>
    <comment authorId="1707" xr:uid="{9c2a303d-5744-41d0-9739-3be54ea73774}" ref="J34">
      <text>
        <t xml:space="preserve">[Threaded comment]
 Your version of Excel allows you to read this threaded comment; however, any edits to it will get removed if the file is opened in a newer version of Excel. Learn more: https://go.microsoft.com/fwlink/?linkid=870924
Comment:
	https://drive.google.com/file/d/1pNDsn4_7c_AYU-F0-lhZM6RFEirP2V4k/view?usp=drive_link
</t>
      </text>
    </comment>
    <comment authorId="1708" xr:uid="{9c4ca82c-0f72-47d5-9dd2-8d6b6c8f2f24}" ref="D284">
      <text>
        <t xml:space="preserve">[Threaded comment]
 Your version of Excel allows you to read this threaded comment; however, any edits to it will get removed if the file is opened in a newer version of Excel. Learn more: https://go.microsoft.com/fwlink/?linkid=870924
Comment:
	Noemí elky Mateo vivas
45397964
916660085
jhosepml72727@gmail.com
</t>
      </text>
    </comment>
    <comment authorId="1709" xr:uid="{9c5291d0-d347-4616-8fa5-547a86884a1f}" ref="J542">
      <text>
        <t xml:space="preserve">[Threaded comment]
 Your version of Excel allows you to read this threaded comment; however, any edits to it will get removed if the file is opened in a newer version of Excel. Learn more: https://go.microsoft.com/fwlink/?linkid=870924
Comment:
	https://drive.google.com/file/d/1jiDjc44V5J7O9Nqv6ZzWoOK0wllyTuMf/view?usp=drive_link
</t>
      </text>
    </comment>
    <comment authorId="1710" xr:uid="{9c6438a9-b832-4d09-98e8-9fbf95085d7a}" ref="K455">
      <text>
        <t xml:space="preserve">[Threaded comment]
 Your version of Excel allows you to read this threaded comment; however, any edits to it will get removed if the file is opened in a newer version of Excel. Learn more: https://go.microsoft.com/fwlink/?linkid=870924
Comment:
	https://drive.google.com/file/d/1WNyMezucshwQwdkE0bte6OkSgqA9eQCr/view?usp=drive_link
Reply:
	https://drive.google.com/file/d/1trvjmtK5ZgJ1AiMTsQShLIX_NYr66lF5/view?usp=drive_link
</t>
      </text>
    </comment>
    <comment authorId="1711" xr:uid="{9ca6d869-f02e-4c48-9b6f-3e09f7f29677}" ref="W264">
      <text>
        <t xml:space="preserve">[Threaded comment]
 Your version of Excel allows you to read this threaded comment; however, any edits to it will get removed if the file is opened in a newer version of Excel. Learn more: https://go.microsoft.com/fwlink/?linkid=870924
Comment:
	https://drive.google.com/file/d/1w_OoTM_yNaNIXBwT-jDw6QaKQ5IG-xjh/view?usp=drive_link
</t>
      </text>
    </comment>
    <comment authorId="1712" xr:uid="{9cc64abb-1d81-486d-a983-05443b989fe6}" ref="C187">
      <text>
        <t xml:space="preserve">[Threaded comment]
 Your version of Excel allows you to read this threaded comment; however, any edits to it will get removed if the file is opened in a newer version of Excel. Learn more: https://go.microsoft.com/fwlink/?linkid=870924
Comment:
	https://www.costco.com/dell-inspiron-16-touchscreen-laptop---intel-core-7-150u-processor---fhd-1920-x-1200---windows-11-home.product.4000358293.html
</t>
      </text>
    </comment>
    <comment authorId="1713" xr:uid="{9d1ceb4c-8189-456d-bfd2-8c408ded3a40}" ref="K328">
      <text>
        <t xml:space="preserve">[Threaded comment]
 Your version of Excel allows you to read this threaded comment; however, any edits to it will get removed if the file is opened in a newer version of Excel. Learn more: https://go.microsoft.com/fwlink/?linkid=870924
Comment:
	https://drive.google.com/file/d/1h1wtwDwoMpx93APew4EOSrNuspx8uKhl/view?usp=drive_link
</t>
      </text>
    </comment>
    <comment authorId="1714" xr:uid="{9d220659-448c-41d0-937b-5f4c56f50d69}" ref="C658">
      <text>
        <t xml:space="preserve">[Threaded comment]
 Your version of Excel allows you to read this threaded comment; however, any edits to it will get removed if the file is opened in a newer version of Excel. Learn more: https://go.microsoft.com/fwlink/?linkid=870924
Comment:
	https://www.bestbuy.com/product/lenovo-legion-7i-16-2-5k-oled-gaming-laptop-intel-core-ultra-9-275hx-2025-32gb-ram-nvidia-geforce-rtx-5070-1tb-ssd-glacier-white/JJGSH3Y5H9
</t>
      </text>
    </comment>
    <comment authorId="1715" xr:uid="{9d3a341a-339d-4e30-9c55-3b38904710b9}" ref="AI782">
      <text>
        <t xml:space="preserve">[Threaded comment]
 Your version of Excel allows you to read this threaded comment; however, any edits to it will get removed if the file is opened in a newer version of Excel. Learn more: https://go.microsoft.com/fwlink/?linkid=870924
Comment:
	https://drive.google.com/file/d/1GtqP80-550EvHhGNBGfM4oMUOLDdAv0_/view?usp=drive_link
</t>
      </text>
    </comment>
    <comment authorId="1716" xr:uid="{9d4fb5ce-adb9-4f73-971f-8b8bb17f15b5}" ref="K433">
      <text>
        <t xml:space="preserve">[Threaded comment]
 Your version of Excel allows you to read this threaded comment; however, any edits to it will get removed if the file is opened in a newer version of Excel. Learn more: https://go.microsoft.com/fwlink/?linkid=870924
Comment:
	https://drive.google.com/file/d/1yTqyIcI1QiDrmiGyXRBMqN6BPxf8gSr9/view?usp=drive_link
</t>
      </text>
    </comment>
    <comment authorId="1717" xr:uid="{9d7d5a86-a563-4b53-96ff-864c47496f52}" ref="U263">
      <text>
        <t xml:space="preserve">[Threaded comment]
 Your version of Excel allows you to read this threaded comment; however, any edits to it will get removed if the file is opened in a newer version of Excel. Learn more: https://go.microsoft.com/fwlink/?linkid=870924
Comment:
	mouse + audifonos
</t>
      </text>
    </comment>
    <comment authorId="1718" xr:uid="{9d9a596d-704c-4638-b5e8-3c2add4753c1}" ref="K616">
      <text>
        <t xml:space="preserve">[Threaded comment]
 Your version of Excel allows you to read this threaded comment; however, any edits to it will get removed if the file is opened in a newer version of Excel. Learn more: https://go.microsoft.com/fwlink/?linkid=870924
Comment:
	https://drive.google.com/file/d/1CyF-8gcf4_PdhIe09AlDovuswz8vGM0J/view?usp=drive_link
Reply:
	https://drive.google.com/file/d/1vzuTHZOsv4_csRww1uc4CH6WNg1Llezo/view?usp=drive_link
</t>
      </text>
    </comment>
    <comment authorId="1719" xr:uid="{9da5cef4-eb3a-4a53-a991-d4cfd2559802}" ref="J524">
      <text>
        <t xml:space="preserve">[Threaded comment]
 Your version of Excel allows you to read this threaded comment; however, any edits to it will get removed if the file is opened in a newer version of Excel. Learn more: https://go.microsoft.com/fwlink/?linkid=870924
Comment:
	https://drive.google.com/file/d/1lXo1IB_MqUGgj78r4eLBRC1a3LeQzrvi/view?usp=drive_link ADELANTO
https://drive.google.com/file/d/1sJVnnJCaYzOxdqCH53jGj8uSzYUKTyfK/view?usp=drive_link PAGO FINAL
</t>
      </text>
    </comment>
    <comment authorId="1720" xr:uid="{9df32a6b-3642-4147-93ea-e1cd6eb2c74c}" ref="J193">
      <text>
        <t xml:space="preserve">[Threaded comment]
 Your version of Excel allows you to read this threaded comment; however, any edits to it will get removed if the file is opened in a newer version of Excel. Learn more: https://go.microsoft.com/fwlink/?linkid=870924
Comment:
	https://drive.google.com/file/d/1OIMfOM5-pCEc0AgJveaKyoV87iA9RCWF/view?usp=drive_link
</t>
      </text>
    </comment>
    <comment authorId="1721" xr:uid="{9df3e803-2bd0-4ba5-804a-2cb70732139c}" ref="J255">
      <text>
        <t xml:space="preserve">[Threaded comment]
 Your version of Excel allows you to read this threaded comment; however, any edits to it will get removed if the file is opened in a newer version of Excel. Learn more: https://go.microsoft.com/fwlink/?linkid=870924
Comment:
	https://drive.google.com/file/d/1AsuqQwqEwksrkWCgQTh81aVoynJMhO4T/view?usp=drive_link
</t>
      </text>
    </comment>
    <comment authorId="1722" xr:uid="{9e581ba1-8e69-44ed-a72a-5b7144cb1016}" ref="K385">
      <text>
        <t xml:space="preserve">[Threaded comment]
 Your version of Excel allows you to read this threaded comment; however, any edits to it will get removed if the file is opened in a newer version of Excel. Learn more: https://go.microsoft.com/fwlink/?linkid=870924
Comment:
	https://drive.google.com/file/d/1NbRWAuLnCexvdRtcUQyUXVACi76XZok-/view?usp=drive_link
</t>
      </text>
    </comment>
    <comment authorId="1723" xr:uid="{9e658df0-c5c1-4419-af6c-4eb1c44514ce}" ref="AF341">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724" xr:uid="{9e70d191-9b6d-4024-af73-de92768ccddc}" ref="W177">
      <text>
        <t xml:space="preserve">[Threaded comment]
 Your version of Excel allows you to read this threaded comment; however, any edits to it will get removed if the file is opened in a newer version of Excel. Learn more: https://go.microsoft.com/fwlink/?linkid=870924
Comment:
	https://drive.google.com/file/d/1DTqVpKWeiyTqNexb-FT9JyaEPcf3IGGJ/view?usp=drive_link
</t>
      </text>
    </comment>
    <comment authorId="1725" xr:uid="{9e832625-0f5a-475a-91cf-287bbfd20718}" ref="J492">
      <text>
        <t xml:space="preserve">[Threaded comment]
 Your version of Excel allows you to read this threaded comment; however, any edits to it will get removed if the file is opened in a newer version of Excel. Learn more: https://go.microsoft.com/fwlink/?linkid=870924
Comment:
	https://drive.google.com/file/d/10hURk4RntkJ3lJop3nQpAifymfIJ5JiJ/view?usp=drive_link
</t>
      </text>
    </comment>
    <comment authorId="1726" xr:uid="{9eba02c9-3f6a-4001-aa94-bd2237e4264d}" ref="AF405">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727" xr:uid="{9eca5049-3253-4e6a-a143-59d6ad90f08b}" ref="J698">
      <text>
        <t xml:space="preserve">[Threaded comment]
 Your version of Excel allows you to read this threaded comment; however, any edits to it will get removed if the file is opened in a newer version of Excel. Learn more: https://go.microsoft.com/fwlink/?linkid=870924
Comment:
	https://drive.google.com/file/d/1KfXhvtjVt_AFQFGzxy9P2fC95gX7q9Ij/view?usp=drive_link
</t>
      </text>
    </comment>
    <comment authorId="1728" xr:uid="{9ef1b886-83dd-4200-bcf8-59f09f4741db}" ref="C53">
      <text>
        <t xml:space="preserve">[Threaded comment]
 Your version of Excel allows you to read this threaded comment; however, any edits to it will get removed if the file is opened in a newer version of Excel. Learn more: https://go.microsoft.com/fwlink/?linkid=870924
Comment:
	https://www.ebay.com/itm/286494223493?_skw=Paquete+Surface+Pro+11&amp;itmmeta=01JTXQH2TPMS0PZW5VQ7A7D9Z4&amp;hash=item42b462ec85:g:ZDkAAOSwJLRnl~2R&amp;itmprp=enc%3AAQAKAAAA8FkggFvd1GGDu0w3yXCmi1euDbNwq9CFbf62BdXqDSR5QcDntUBl9yzDUYspeb4qh29%2Fln39wCfFHaaIjjSlqtz0q0DDmnFwSoLS7euODP%2B84IwYxgu%2FYQ%2BP1387QSzYwG0mkZL4s1NHr7tY4JVKsXpoLiqkZatyMXz6iSJUHZPJdbnmUpzg4E%2BZqiZ%2BIh8Nfy7rp6IjzjMAcZYZX%2BnkqtxWM5ZDfW2vkn7u8%2Bg%2ByxlhF%2BfGw2aO5l4t8rMebDGRNmwwQt2Lq8ijxc99mcjY%2FEuUzGBZbLYOuzT9s4EikkXI%2BKziSNGkvfJHD3ieZEU7Mw%3D%3D%7Ctkp%3ABk9SR76txLfXZQ
</t>
      </text>
    </comment>
    <comment authorId="1729" xr:uid="{9f5e1bb3-5f67-4ebd-ae0d-8d4a4cedde7b}" ref="L113">
      <text>
        <t xml:space="preserve">[Threaded comment]
 Your version of Excel allows you to read this threaded comment; however, any edits to it will get removed if the file is opened in a newer version of Excel. Learn more: https://go.microsoft.com/fwlink/?linkid=870924
Comment:
	https://drive.google.com/file/d/1PCd1-xIf9WE-0C6A0rPlKcMkhqxuHGYw/view?usp=drive_link
</t>
      </text>
    </comment>
    <comment authorId="1730" xr:uid="{9f79be5d-b891-45a2-bc0f-b9bec42eddf7}" ref="AF309">
      <text>
        <t xml:space="preserve">[Threaded comment]
 Your version of Excel allows you to read this threaded comment; however, any edits to it will get removed if the file is opened in a newer version of Excel. Learn more: https://go.microsoft.com/fwlink/?linkid=870924
Comment:
	Venta final y fixit
Reply:
	Marcado como resuelto
Reply:
	Reabierto
</t>
      </text>
    </comment>
    <comment authorId="1731" xr:uid="{9f8dddec-0ab8-4733-ba4c-2b00e43136cd}" ref="D295">
      <text>
        <t xml:space="preserve">[Threaded comment]
 Your version of Excel allows you to read this threaded comment; however, any edits to it will get removed if the file is opened in a newer version of Excel. Learn more: https://go.microsoft.com/fwlink/?linkid=870924
Comment:
	TITO ANGEL REYES CARAHUANCO
DNI 45622707
CELULAR N° 932044064
CORREO: tito_rt3@hotmail.com
</t>
      </text>
    </comment>
    <comment authorId="1732" xr:uid="{9fa9ae38-ef76-46f1-81a8-e631b59b1bfa}" ref="C30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https://www.microcenter.com/product/695523/dell-alienware-18-area-51-aa18250-18-gaming-laptop-computer-liquid-teal
</t>
      </text>
    </comment>
    <comment authorId="1733" xr:uid="{9fae9f50-de9c-4444-bab5-f010b98f21b1}" ref="U246">
      <text>
        <t xml:space="preserve">[Threaded comment]
 Your version of Excel allows you to read this threaded comment; however, any edits to it will get removed if the file is opened in a newer version of Excel. Learn more: https://go.microsoft.com/fwlink/?linkid=870924
Comment:
	mouse
</t>
      </text>
    </comment>
    <comment authorId="1734" xr:uid="{9fdf2bf8-d6f2-489f-9045-80e2c795a1a9}" ref="AF677">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735" xr:uid="{9fef441d-2a7f-446b-9633-a9f61501e189}" ref="C23">
      <text>
        <t xml:space="preserve">[Threaded comment]
 Your version of Excel allows you to read this threaded comment; however, any edits to it will get removed if the file is opened in a newer version of Excel. Learn more: https://go.microsoft.com/fwlink/?linkid=870924
Comment:
	https://www.ebay.com/itm/326068742080?_skw=4070&amp;itmmeta=01JSE8DW5WSAZK6MA5PKDC5X4C&amp;hash=item4beb3627c0:g:MeUAAeSwbrxnopc7
</t>
      </text>
    </comment>
    <comment authorId="1736" xr:uid="{a02d73b0-e1f8-42b8-b9de-124e9cf3287e}" ref="AF351">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1737" xr:uid="{a06d3261-218d-4ab2-abd1-7b8219d94e16}" ref="E138">
      <text>
        <t xml:space="preserve">[Threaded comment]
 Your version of Excel allows you to read this threaded comment; however, any edits to it will get removed if the file is opened in a newer version of Excel. Learn more: https://go.microsoft.com/fwlink/?linkid=870924
Comment:
	srta sofia si lo compro agreguele su comprobante y su codigo interno porfis
</t>
      </text>
    </comment>
    <comment authorId="1738" xr:uid="{a07feef4-c765-4ddd-bbe8-b145ee0a0a23}" ref="J562">
      <text>
        <t xml:space="preserve">[Threaded comment]
 Your version of Excel allows you to read this threaded comment; however, any edits to it will get removed if the file is opened in a newer version of Excel. Learn more: https://go.microsoft.com/fwlink/?linkid=870924
Comment:
	https://drive.google.com/file/d/1cwzUbYENFFHecJTfnlDfgzTs8s8mz7K5/view?usp=drive_link
</t>
      </text>
    </comment>
    <comment authorId="1739" xr:uid="{a080620b-96fe-48b1-9a0d-2d98d24eef8e}" ref="K545">
      <text>
        <t xml:space="preserve">[Threaded comment]
 Your version of Excel allows you to read this threaded comment; however, any edits to it will get removed if the file is opened in a newer version of Excel. Learn more: https://go.microsoft.com/fwlink/?linkid=870924
Comment:
	https://drive.google.com/file/d/1zS21Ezb4J9BbSVipnpG2zReJrdAeE4ff/view?usp=drive_link
</t>
      </text>
    </comment>
    <comment authorId="1740" xr:uid="{a0889989-8ae5-4b53-859a-a5e54b74627b}" ref="AI754">
      <text>
        <t xml:space="preserve">[Threaded comment]
 Your version of Excel allows you to read this threaded comment; however, any edits to it will get removed if the file is opened in a newer version of Excel. Learn more: https://go.microsoft.com/fwlink/?linkid=870924
Comment:
	https://drive.google.com/file/d/1XCnPezEEkHCf088eF4SbEleMZI-29yYK/view?usp=drive_link
</t>
      </text>
    </comment>
    <comment authorId="1741" xr:uid="{a08ee022-19a6-47f0-80e6-fe576cd9752a}" ref="J689">
      <text>
        <t xml:space="preserve">[Threaded comment]
 Your version of Excel allows you to read this threaded comment; however, any edits to it will get removed if the file is opened in a newer version of Excel. Learn more: https://go.microsoft.com/fwlink/?linkid=870924
Comment:
	https://drive.google.com/file/d/15OaodcwEpSj0KlPiscj1d5IG4MHb3uuS/view?usp=drive_link
</t>
      </text>
    </comment>
    <comment authorId="1742" xr:uid="{a0ae56a3-144a-43dd-8a9d-2665ad6642ec}" ref="J294">
      <text>
        <t xml:space="preserve">[Threaded comment]
 Your version of Excel allows you to read this threaded comment; however, any edits to it will get removed if the file is opened in a newer version of Excel. Learn more: https://go.microsoft.com/fwlink/?linkid=870924
Comment:
	https://drive.google.com/file/d/1WVgsf34LyXnjo_kPi31VCxGHsl1kZ8eK/view?usp=drive_link
</t>
      </text>
    </comment>
    <comment authorId="1743" xr:uid="{a0b6eecb-04be-4e4d-bedd-7cb3635279bd}" ref="W167">
      <text>
        <t xml:space="preserve">[Threaded comment]
 Your version of Excel allows you to read this threaded comment; however, any edits to it will get removed if the file is opened in a newer version of Excel. Learn more: https://go.microsoft.com/fwlink/?linkid=870924
Comment:
	https://drive.google.com/file/d/1_wUPBK0V0cAK040xVu_bog6VRn0rUT5d/view?usp=drive_link
</t>
      </text>
    </comment>
    <comment authorId="1744" xr:uid="{a0bf0d37-5b9b-4eee-9f3b-63e05bd8fcf1}" ref="C221">
      <text>
        <t xml:space="preserve">[Threaded comment]
 Your version of Excel allows you to read this threaded comment; however, any edits to it will get removed if the file is opened in a newer version of Excel. Learn more: https://go.microsoft.com/fwlink/?linkid=870924
Comment:
	https://www.amazon.com/dp/B0FBHXJG7K/ref=sspa_dk_detail_1?pf_rd_p=f2f1cf8f-cab4-44dc-82ba-0ca811fb90cc&amp;pf_rd_r=W40EG9QK46M6HZ26K4S1&amp;pd_rd_wg=S6NYg&amp;pd_rd_w=BlJxa&amp;content-id=amzn1.sym.f2f1cf8f-cab4-44dc-82ba-0ca811fb90cc&amp;pd_rd_r=3ffd88eb-c997-4865-bccc-d0f07a850fab&amp;s=electronics&amp;sp_csd=d2lkZ2V0TmFtZT1zcF9kZXRhaWxfdGhlbWF0aWM&amp;th=1
</t>
      </text>
    </comment>
    <comment authorId="1745" xr:uid="{a0c272cb-d63c-401e-86a2-d3853c6727d0}" ref="W339">
      <text>
        <t xml:space="preserve">[Threaded comment]
 Your version of Excel allows you to read this threaded comment; however, any edits to it will get removed if the file is opened in a newer version of Excel. Learn more: https://go.microsoft.com/fwlink/?linkid=870924
Comment:
	https://drive.google.com/file/d/1CnSPMINGho8ex7PTHPVC7gjet3oLO33o/view?usp=drive_link
</t>
      </text>
    </comment>
    <comment authorId="1746" xr:uid="{a0c3750d-d87d-4bf6-9a47-25fdcdc8a70c}" ref="K716">
      <text>
        <t xml:space="preserve">[Threaded comment]
 Your version of Excel allows you to read this threaded comment; however, any edits to it will get removed if the file is opened in a newer version of Excel. Learn more: https://go.microsoft.com/fwlink/?linkid=870924
Comment:
	https://drive.google.com/file/d/1pwkSb9Dtxzlj_cggBoyQNabRqYo1UCXr/view?usp=drive_link
</t>
      </text>
    </comment>
    <comment authorId="1747" xr:uid="{a0d25d48-d9ed-48b3-ac0a-68800723169f}" ref="C70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1748" xr:uid="{a0dd267e-dac3-4830-80c8-cf83db005aa3}" ref="L109">
      <text>
        <t xml:space="preserve">[Threaded comment]
 Your version of Excel allows you to read this threaded comment; however, any edits to it will get removed if the file is opened in a newer version of Excel. Learn more: https://go.microsoft.com/fwlink/?linkid=870924
Comment:
	https://drive.google.com/file/d/1cpk2eU4lr9LyCKJaftErg9HttOarppk-/view?usp=drive_link
</t>
      </text>
    </comment>
    <comment authorId="1749" xr:uid="{a0de482d-540c-4f8d-ad3d-7d0a407cfffb}" ref="AF290">
      <text>
        <t xml:space="preserve">[Threaded comment]
 Your version of Excel allows you to read this threaded comment; however, any edits to it will get removed if the file is opened in a newer version of Excel. Learn more: https://go.microsoft.com/fwlink/?linkid=870924
Comment:
	verificar vocuher con kefrin
</t>
      </text>
    </comment>
    <comment authorId="1750" xr:uid="{a11fa694-a7d2-4bd4-a7db-c14cf28ce369}" ref="AF202">
      <text>
        <t xml:space="preserve">[Threaded comment]
 Your version of Excel allows you to read this threaded comment; however, any edits to it will get removed if the file is opened in a newer version of Excel. Learn more: https://go.microsoft.com/fwlink/?linkid=870924
Comment:
	solo precio
</t>
      </text>
    </comment>
    <comment authorId="1751" xr:uid="{a123f096-02f6-4b2c-a0db-1815262e4370}" ref="J704">
      <text>
        <t xml:space="preserve">[Threaded comment]
 Your version of Excel allows you to read this threaded comment; however, any edits to it will get removed if the file is opened in a newer version of Excel. Learn more: https://go.microsoft.com/fwlink/?linkid=870924
Comment:
	https://drive.google.com/file/d/1woNuSJMarbpem0g_p_ObndHQrJwUnzIY/view?usp=drive_link
</t>
      </text>
    </comment>
    <comment authorId="1752" xr:uid="{a133d405-9edf-4803-a5b0-bf3e617e7b50}" ref="J388">
      <text>
        <t xml:space="preserve">[Threaded comment]
 Your version of Excel allows you to read this threaded comment; however, any edits to it will get removed if the file is opened in a newer version of Excel. Learn more: https://go.microsoft.com/fwlink/?linkid=870924
Comment:
	https://drive.google.com/file/d/1GeiPGiuzSyATYYQy-NjMmMLTbnnNj6yV/view?usp=drive_link
</t>
      </text>
    </comment>
    <comment authorId="1753" xr:uid="{a14bb377-add8-42f5-bee2-0e2b4d1add68}" ref="J106">
      <text>
        <t xml:space="preserve">[Threaded comment]
 Your version of Excel allows you to read this threaded comment; however, any edits to it will get removed if the file is opened in a newer version of Excel. Learn more: https://go.microsoft.com/fwlink/?linkid=870924
Comment:
	https://drive.google.com/file/d/1LRegcD_XoV4IBgWg56xO_ZVl-0z1yy9q/view?usp=drive_link
</t>
      </text>
    </comment>
    <comment authorId="1754" xr:uid="{a162af07-6a71-4a95-8226-dfff2ac074c4}" ref="K420">
      <text>
        <t xml:space="preserve">[Threaded comment]
 Your version of Excel allows you to read this threaded comment; however, any edits to it will get removed if the file is opened in a newer version of Excel. Learn more: https://go.microsoft.com/fwlink/?linkid=870924
Comment:
	https://drive.google.com/file/d/1V6cLnKAgC_3jrhMglcONF_WC2pFtbpPS/view?usp=drive_link
</t>
      </text>
    </comment>
    <comment authorId="1755" xr:uid="{a16b6f5b-783e-4f12-a37d-01208f0844f5}" ref="J761">
      <text>
        <t xml:space="preserve">[Threaded comment]
 Your version of Excel allows you to read this threaded comment; however, any edits to it will get removed if the file is opened in a newer version of Excel. Learn more: https://go.microsoft.com/fwlink/?linkid=870924
Comment:
	https://drive.google.com/file/d/1S32EPaXy5wDnM_yJ-UveAaEtfAaymFJH/view?usp=drive_link
</t>
      </text>
    </comment>
    <comment authorId="1756" xr:uid="{a189a087-894c-47f9-8218-76cd1c6c105d}" ref="AF633">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757" xr:uid="{a1944248-4e37-4b63-97a4-11675f4e7fe9}" ref="J142">
      <text>
        <t xml:space="preserve">[Threaded comment]
 Your version of Excel allows you to read this threaded comment; however, any edits to it will get removed if the file is opened in a newer version of Excel. Learn more: https://go.microsoft.com/fwlink/?linkid=870924
Comment:
	https://drive.google.com/file/d/1-oKzaN90hYz1SKP92-5nc6kgu7TsI_TS/view?usp=drive_link
</t>
      </text>
    </comment>
    <comment authorId="1758" xr:uid="{a1ab87d2-bc71-4d2b-ba3c-26f77ecf8cb5}" ref="C337">
      <text>
        <t xml:space="preserve">[Threaded comment]
 Your version of Excel allows you to read this threaded comment; however, any edits to it will get removed if the file is opened in a newer version of Excel. Learn more: https://go.microsoft.com/fwlink/?linkid=870924
Comment:
	https://www.amazon.com/gp/product/B0FDHVCDGT/ref=ox_sc_act_title_1?smid=A17MC6HOH9AVE6&amp;psc=1
</t>
      </text>
    </comment>
    <comment authorId="1759" xr:uid="{a1f5477a-dfba-4872-8df4-345df0f31640}" ref="C432">
      <text>
        <t xml:space="preserve">[Threaded comment]
 Your version of Excel allows you to read this threaded comment; however, any edits to it will get removed if the file is opened in a newer version of Excel. Learn more: https://go.microsoft.com/fwlink/?linkid=870924
Comment:
	https://www.ebay.com/itm/326840072490?_skw=legion&amp;itmmeta=01KD6ZWNKSVFS297GZA5W1EJ7K&amp;hash=item4c192fb92a:g:QZYAAeSwylhpRwvm
</t>
      </text>
    </comment>
    <comment authorId="1760" xr:uid="{a283b077-e4cf-407e-a96a-060f24d24bf8}" ref="K620">
      <text>
        <t xml:space="preserve">[Threaded comment]
 Your version of Excel allows you to read this threaded comment; however, any edits to it will get removed if the file is opened in a newer version of Excel. Learn more: https://go.microsoft.com/fwlink/?linkid=870924
Comment:
	https://drive.google.com/file/d/1QvEBpsKVvpMMJTKYqVqGr9Vyicno2Ob_/view?usp=drive_link
</t>
      </text>
    </comment>
    <comment authorId="1761" xr:uid="{a283ce73-432f-415b-9bc2-623746ce5651}" ref="J443">
      <text>
        <t xml:space="preserve">[Threaded comment]
 Your version of Excel allows you to read this threaded comment; however, any edits to it will get removed if the file is opened in a newer version of Excel. Learn more: https://go.microsoft.com/fwlink/?linkid=870924
Comment:
	https://drive.google.com/file/d/1GjR4kJ73d_kE2QJeAg44B3lDm5wMHF0Z/view?usp=drive_link
</t>
      </text>
    </comment>
    <comment authorId="1762" xr:uid="{a2a0574a-777a-40c8-97c6-583826d8d772}" ref="W307">
      <text>
        <t xml:space="preserve">[Threaded comment]
 Your version of Excel allows you to read this threaded comment; however, any edits to it will get removed if the file is opened in a newer version of Excel. Learn more: https://go.microsoft.com/fwlink/?linkid=870924
Comment:
	https://drive.google.com/file/d/1sU9DPXP0BLIVVxXmBLokm3sdK6NKgpD2/view?usp=drive_link
</t>
      </text>
    </comment>
    <comment authorId="1763" xr:uid="{a2a70abd-bdb2-4603-a808-f8229f0dfbb4}" ref="W269">
      <text>
        <t xml:space="preserve">[Threaded comment]
 Your version of Excel allows you to read this threaded comment; however, any edits to it will get removed if the file is opened in a newer version of Excel. Learn more: https://go.microsoft.com/fwlink/?linkid=870924
Comment:
	https://drive.google.com/file/d/1d8puYxUn9A1uiarOYeZ5YXKG8KknMIT8/view?usp=drive_link
</t>
      </text>
    </comment>
    <comment authorId="1764" xr:uid="{a2ab7228-6244-4198-b540-66c2c7c3daf6}" ref="W409">
      <text>
        <t xml:space="preserve">[Threaded comment]
 Your version of Excel allows you to read this threaded comment; however, any edits to it will get removed if the file is opened in a newer version of Excel. Learn more: https://go.microsoft.com/fwlink/?linkid=870924
Comment:
	https://drive.google.com/file/d/1FbcCC6GBZozAwEW4Fh2QaZWb1RGZu96Q/view?usp=drive_link
</t>
      </text>
    </comment>
    <comment authorId="1765" xr:uid="{a2af83fe-8621-47ea-b3cf-38d74c9702e4}" ref="J662">
      <text>
        <t xml:space="preserve">[Threaded comment]
 Your version of Excel allows you to read this threaded comment; however, any edits to it will get removed if the file is opened in a newer version of Excel. Learn more: https://go.microsoft.com/fwlink/?linkid=870924
Comment:
	https://drive.google.com/file/d/10Wb-efOUstpAxsPQV9862tDNA-A5ayvi/view?usp=drive_link
Reply:
	https://drive.google.com/file/d/1cc9kRyhq11_fIdIMRej9zNWJXt6Ie9we/view?usp=drive_link
</t>
      </text>
    </comment>
    <comment authorId="1766" xr:uid="{a2d8f2fb-02bf-42e1-b871-04d384626884}" ref="L117">
      <text>
        <t xml:space="preserve">[Threaded comment]
 Your version of Excel allows you to read this threaded comment; however, any edits to it will get removed if the file is opened in a newer version of Excel. Learn more: https://go.microsoft.com/fwlink/?linkid=870924
Comment:
	https://drive.google.com/file/d/18vKCoG5E2ZFFid4nQrMMLrlIGgGireGr/view?usp=drive_link
</t>
      </text>
    </comment>
    <comment authorId="1767" xr:uid="{a2f1d41e-2493-462e-a953-9bcfd93e1e37}" ref="J369">
      <text>
        <t xml:space="preserve">[Threaded comment]
 Your version of Excel allows you to read this threaded comment; however, any edits to it will get removed if the file is opened in a newer version of Excel. Learn more: https://go.microsoft.com/fwlink/?linkid=870924
Comment:
	https://drive.google.com/file/d/1U6IdxE8yWMYf0OMxQ8B_POiehj51LHAH/view?usp=drive_link
</t>
      </text>
    </comment>
    <comment authorId="1768" xr:uid="{a3107262-c824-4681-abfa-237df0055865}" ref="J544">
      <text>
        <t xml:space="preserve">[Threaded comment]
 Your version of Excel allows you to read this threaded comment; however, any edits to it will get removed if the file is opened in a newer version of Excel. Learn more: https://go.microsoft.com/fwlink/?linkid=870924
Comment:
	https://drive.google.com/file/d/1-vw27KPir4GtfZ6Y-_iv8SONjD7u-w4K/view?usp=drive_link
</t>
      </text>
    </comment>
    <comment authorId="1769" xr:uid="{a346bb0a-54cc-4be2-99ed-c61a74984fa6}" ref="K484">
      <text>
        <t xml:space="preserve">[Threaded comment]
 Your version of Excel allows you to read this threaded comment; however, any edits to it will get removed if the file is opened in a newer version of Excel. Learn more: https://go.microsoft.com/fwlink/?linkid=870924
Comment:
	https://drive.google.com/file/d/10oTj8sYKwSmdDy20412Yw-kuRrZwMPRY/view?usp=drive_link
</t>
      </text>
    </comment>
    <comment authorId="1770" xr:uid="{a36cc4c2-4467-4dea-8964-ca080de8eb11}" ref="K475">
      <text>
        <t xml:space="preserve">[Threaded comment]
 Your version of Excel allows you to read this threaded comment; however, any edits to it will get removed if the file is opened in a newer version of Excel. Learn more: https://go.microsoft.com/fwlink/?linkid=870924
Comment:
	https://drive.google.com/file/d/1QJzeep4_RPeERRiMZAZlcgzEJGtIxCTa/view?usp=drive_link
</t>
      </text>
    </comment>
    <comment authorId="1771" xr:uid="{a375cc8a-1bd3-4068-b40f-d5ad2acf1fd5}" ref="AF657">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1772" xr:uid="{a37de7b0-b67e-4c1a-a27f-41e0ff24b77b}" ref="C25">
      <text>
        <t xml:space="preserve">[Threaded comment]
 Your version of Excel allows you to read this threaded comment; however, any edits to it will get removed if the file is opened in a newer version of Excel. Learn more: https://go.microsoft.com/fwlink/?linkid=870924
Comment:
	https://www.amazon.com/-/es/Procesador-i9-13900H-port%C3%A1til-Pantalla-pulgadas/dp/B0D8JXHZTH/ref=sr_1_3?__mk_es_US=%C3%85M%C3%85%C5%BD%C3%95%C3%91&amp;crid=2RVMSLBIWSWPB&amp;dib=eyJ2IjoiMSJ9.MF9TL9Mr8pg8Wg7oNPukERytcUe0A86mioCRjx-pPb8knvx2m9FQZBQgtqtZmNBpwUAy3aNslHepVWVjSu1_aAX5W-M2IyUayr5i36eVnMJsPeuX2T9GNzRhQI5FsVcCLe6U6L_kB70lqpfIwol9cyb4w6Q0lkdztNVT2S2i7p8z16_kQjNxCljtbFWDAKw9MHhajh48WsBeaOyXe3vjdzvwUIFkd6tp7cCv78SOyY0.1zWcldI2l0Nf7QkaqwMtm9KIt9xmj8F96gTUK04_wnM&amp;dib_tag=se&amp;keywords=acer%2B4060&amp;qid=1745448413&amp;sprefix=acer%2B4060%2Caps%2C208&amp;sr=8-3&amp;th=1
</t>
      </text>
    </comment>
    <comment authorId="1773" xr:uid="{a37eb969-a021-4be2-8b5a-453f883eb622}" ref="J108">
      <text>
        <t xml:space="preserve">[Threaded comment]
 Your version of Excel allows you to read this threaded comment; however, any edits to it will get removed if the file is opened in a newer version of Excel. Learn more: https://go.microsoft.com/fwlink/?linkid=870924
Comment:
	https://drive.google.com/file/d/1zcKbrOt2MDfWFPvxzOWgTpD4oLgYLgDg/view?usp=drive_link
</t>
      </text>
    </comment>
    <comment authorId="1774" xr:uid="{a3830d5a-c301-4fb9-9709-1978a314e8cf}" ref="J311">
      <text>
        <t xml:space="preserve">[Threaded comment]
 Your version of Excel allows you to read this threaded comment; however, any edits to it will get removed if the file is opened in a newer version of Excel. Learn more: https://go.microsoft.com/fwlink/?linkid=870924
Comment:
	https://drive.google.com/file/d/16RcuGeXOLuXdoytHA3JOKbU0PxBZX3Dv/view?usp=drive_link
</t>
      </text>
    </comment>
    <comment authorId="1775" xr:uid="{a38e6535-a114-4fde-93f0-f9d57e4380f8}" ref="L226">
      <text>
        <t xml:space="preserve">[Threaded comment]
 Your version of Excel allows you to read this threaded comment; however, any edits to it will get removed if the file is opened in a newer version of Excel. Learn more: https://go.microsoft.com/fwlink/?linkid=870924
Comment:
	https://drive.google.com/file/d/1D8AsYGFkZr_ByWUzZBWmsHqyrxnA39xq/view?usp=drive_link
</t>
      </text>
    </comment>
    <comment authorId="1776" xr:uid="{a39d591d-baea-46d2-9040-812e760566ef}" ref="K398">
      <text>
        <t xml:space="preserve">[Threaded comment]
 Your version of Excel allows you to read this threaded comment; however, any edits to it will get removed if the file is opened in a newer version of Excel. Learn more: https://go.microsoft.com/fwlink/?linkid=870924
Comment:
	https://drive.google.com/file/d/1xFfXa5DSksPPvGdTGeRjXU3o1VVvxpyo/view?usp=drive_link
</t>
      </text>
    </comment>
    <comment authorId="1777" xr:uid="{a3aebc3e-e07c-4e40-8c83-7f7b10feae4a}" ref="W178">
      <text>
        <t xml:space="preserve">[Threaded comment]
 Your version of Excel allows you to read this threaded comment; however, any edits to it will get removed if the file is opened in a newer version of Excel. Learn more: https://go.microsoft.com/fwlink/?linkid=870924
Comment:
	https://drive.google.com/file/d/10BO2sqxh4BNtc9r_17GjQlyx18Hgtn6C/view?usp=drive_link
</t>
      </text>
    </comment>
    <comment authorId="1778" xr:uid="{a3b8bf46-cdf6-4d1a-a471-9b085fb40bfe}" ref="J432">
      <text>
        <t xml:space="preserve">[Threaded comment]
 Your version of Excel allows you to read this threaded comment; however, any edits to it will get removed if the file is opened in a newer version of Excel. Learn more: https://go.microsoft.com/fwlink/?linkid=870924
Comment:
	https://drive.google.com/file/d/1Cvli2BZ2OIFpA0STxrBW8q_bWFdNW-ER/view?usp=drive_link
</t>
      </text>
    </comment>
    <comment authorId="1779" xr:uid="{a3c58f4f-064d-4225-ba90-a52b236c8911}" ref="T710">
      <text>
        <t xml:space="preserve">[Threaded comment]
 Your version of Excel allows you to read this threaded comment; however, any edits to it will get removed if the file is opened in a newer version of Excel. Learn more: https://go.microsoft.com/fwlink/?linkid=870924
Comment:
	se le saco el excedente por sobreprecio
</t>
      </text>
    </comment>
    <comment authorId="1780" xr:uid="{a3ce0a5c-3f9a-47e0-8a9f-3fd3a2765adf}" ref="C648">
      <text>
        <t xml:space="preserve">[Threaded comment]
 Your version of Excel allows you to read this threaded comment; however, any edits to it will get removed if the file is opened in a newer version of Excel. Learn more: https://go.microsoft.com/fwlink/?linkid=870924
Comment:
	https://www.ebay.com/itm/206083578517?_skw=Legion+Go+2+-+8.8%22+144Hz+2K+OLED+Gaming+Handheld+-+AMD+Ryzen+Z2+Extreme+-+32GB+-+1TB+-+Windows&amp;itmmeta=01KNDH9CJS45GBYMVSM0Y6H5FF&amp;hash=item2ffb89da95:g:epIAAeSwz3ZpmP~W&amp;itmprp=enc%3AAQALAAABQGfYFPkwiKCW4ZNSs2u11xBjmmczrSGnpgtmqp%2FTfGXs4qXDYD2JJGUwCI1zLweLyYlOw98G%2FvIY4eLy%2BQ0vQGIMnsbcm03RR2yTu%2BGMPNyYa2Dc30vPI8oo7sFz7sgOSSZ9WnvTA5YMBEnsHD%2FoqALTrH%2BVAAnoZbB3u2wzi%2BjrAlgCPUt1cc02fyluXaezWxH0dz3V4QmPwEwGPE06aGW10Am3%2FwY8oAal1bspXdELzWr5LRjRK%2FCDgIq3PVD0JzV07NgCGemSZu3zN0RpoJYyknU0AF%2Bxr3EXs7ZP3NS3Lna9Ibc%2FsinF3CwANq8qMFBzYiQhX%2F0Q0nnBVlRQ87ID1RSd%2Btg8bvLS%2FC2eguMTySVtX1LkNMZsTiAoLBGynyV7OHeEVE%2BBuF9aU3kejItrqCzseuQt05mjOuG0HeEo%7Ctkp%3ABk9SR8bJpbGrZw
</t>
      </text>
    </comment>
    <comment authorId="1781" xr:uid="{a425f66f-008c-4a39-b38b-ddd1631fb121}" ref="J74">
      <text>
        <t xml:space="preserve">[Threaded comment]
 Your version of Excel allows you to read this threaded comment; however, any edits to it will get removed if the file is opened in a newer version of Excel. Learn more: https://go.microsoft.com/fwlink/?linkid=870924
Comment:
	https://drive.google.com/file/d/1aVUa2XI5ZuIYOOcLuoL5Nyzs3NZR6jOM/view?usp=drive_link
</t>
      </text>
    </comment>
    <comment authorId="1782" xr:uid="{a42c2a23-a005-4f63-8798-340bb25c2d06}" ref="L249">
      <text>
        <t xml:space="preserve">[Threaded comment]
 Your version of Excel allows you to read this threaded comment; however, any edits to it will get removed if the file is opened in a newer version of Excel. Learn more: https://go.microsoft.com/fwlink/?linkid=870924
Comment:
	https://drive.google.com/file/d/1oZoh7g_GBzBcy9X8aWVl0W5zRPZ0SvzB/view?usp=drive_link
Reply:
	https://drive.google.com/file/d/1FcMZ_cWN_UXCJeps-fYYZ8nKf5JkQZOy/view?usp=drive_link
</t>
      </text>
    </comment>
    <comment authorId="1783" xr:uid="{a43c0f19-c953-4521-8b61-3eef12072d21}" ref="C471">
      <text>
        <t xml:space="preserve">[Threaded comment]
 Your version of Excel allows you to read this threaded comment; however, any edits to it will get removed if the file is opened in a newer version of Excel. Learn more: https://go.microsoft.com/fwlink/?linkid=870924
Comment:
	https://www.ebay.com/itm/326840085180?_skw=laptop+gaming&amp;itmmeta=01KE98AQR48QZAKW98XR32B2HG&amp;hash=item4c192feabc:g:HFkAAeSwK2JpVzTk
</t>
      </text>
    </comment>
    <comment authorId="1784" xr:uid="{a43d9182-a4c9-42a5-95f9-6effb974221a}" ref="K770">
      <text>
        <t xml:space="preserve">[Threaded comment]
 Your version of Excel allows you to read this threaded comment; however, any edits to it will get removed if the file is opened in a newer version of Excel. Learn more: https://go.microsoft.com/fwlink/?linkid=870924
Comment:
	https://drive.google.com/file/d/1TS9b4bg855cQ5Ah4G95HTfROPvTIGgN9/view?usp=drive_link
</t>
      </text>
    </comment>
    <comment authorId="1785" xr:uid="{a4de63c9-7a9b-4154-a18a-40f799cf7c43}" ref="J464">
      <text>
        <t xml:space="preserve">[Threaded comment]
 Your version of Excel allows you to read this threaded comment; however, any edits to it will get removed if the file is opened in a newer version of Excel. Learn more: https://go.microsoft.com/fwlink/?linkid=870924
Comment:
	https://drive.google.com/file/d/1CqEFdlGl8ZKiQQReiPGulmW3_Ggjfo75/view?usp=drive_link
</t>
      </text>
    </comment>
    <comment authorId="1786" xr:uid="{a52621d3-1d75-4abc-b8df-a84fcd719560}" ref="J136">
      <text>
        <t xml:space="preserve">[Threaded comment]
 Your version of Excel allows you to read this threaded comment; however, any edits to it will get removed if the file is opened in a newer version of Excel. Learn more: https://go.microsoft.com/fwlink/?linkid=870924
Comment:
	https://drive.google.com/file/d/1frNgNP0GDkgia-iTp0hFMGPzkDJjmbC4/view?usp=drive_link
https://drive.google.com/file/d/1IV1spkHWSsvXH8fy9R54VlB-unjH1Jo9/view?usp=drive_link
https://drive.google.com/file/d/13he_-MMIC9mgF5KunnLQzqY30lGEL816/view?usp=drive_link
https://drive.google.com/file/d/18xqu-6lqbaVdgrjm8I-cNZC1HxAcTM7U/view?usp=drive_link
</t>
      </text>
    </comment>
    <comment authorId="1787" xr:uid="{a534d284-f61d-4e23-afbe-4f116db75c40}" ref="AF654">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788" xr:uid="{a53783e5-3410-4275-ab73-a26c6534178e}" ref="K660">
      <text>
        <t xml:space="preserve">[Threaded comment]
 Your version of Excel allows you to read this threaded comment; however, any edits to it will get removed if the file is opened in a newer version of Excel. Learn more: https://go.microsoft.com/fwlink/?linkid=870924
Comment:
	https://drive.google.com/file/d/19waoZ5-hwr3dMEN-vmnM1lAr19gK74x4/view?usp=drive_link
Reply:
	pago incluye envio
</t>
      </text>
    </comment>
    <comment authorId="1789" xr:uid="{a565552d-01fb-4464-b60d-dc04148bd697}" ref="W327">
      <text>
        <t xml:space="preserve">[Threaded comment]
 Your version of Excel allows you to read this threaded comment; however, any edits to it will get removed if the file is opened in a newer version of Excel. Learn more: https://go.microsoft.com/fwlink/?linkid=870924
Comment:
	https://drive.google.com/file/d/1qjF7ZG9Y_tkM4soW1JaGO0okurqxsf2D/view?usp=drive_link
</t>
      </text>
    </comment>
    <comment authorId="1790" xr:uid="{a578718c-7311-472f-915e-4e2290402c91}" ref="W296">
      <text>
        <t xml:space="preserve">[Threaded comment]
 Your version of Excel allows you to read this threaded comment; however, any edits to it will get removed if the file is opened in a newer version of Excel. Learn more: https://go.microsoft.com/fwlink/?linkid=870924
Comment:
	https://drive.google.com/file/d/1AyvlPZ2ZXbEK7JU8tLTmSCV2fjFv0H6E/view?usp=drive_link
</t>
      </text>
    </comment>
    <comment authorId="1791" xr:uid="{a587311a-f911-4b9b-921d-c52aa2ec3f8e}" ref="C743">
      <text>
        <t xml:space="preserve">[Threaded comment]
 Your version of Excel allows you to read this threaded comment; however, any edits to it will get removed if the file is opened in a newer version of Excel. Learn more: https://go.microsoft.com/fwlink/?linkid=870924
Comment:
	https://www.ebay.com/itm/205579362723?_skw=zephyrus+g16&amp;itmmeta=01KRKJKKXSRD4BFAYKDF7G40E8&amp;hash=item2fdd7c21a3:g:GbIAAeSwdJBqACwv&amp;itmprp=enc%3AAQALAAAA8GfYFPkwiKCW4ZNSs2u11xDV81vS7EET4XJL36ksUBGZeo1Dc1gW4P4jK0cjA3pC30Fjb04TSh3Y4Ww7WvuFsKNLL%2FIkr1q%2BCvuAnOfkGJph2nTcNClL1dUkjrQoBe2hiBv%2Fqf2n05Gm5YKb00H7Ln%2F2BQiUZqzGIwnAZ5n19Q0kvELW0W8tiPezUaLiu73WQuzMxlUn303gq628fIyH9IKdkdHkS833E9D7ssHd2Y9S%2FCdeURtTM2WIJLsU7b2wxtVqB2UXdMBNTsnNcpyKp7EXEa5JSUgIfpUyHiLdIodhDHANc61gVspZm1H3p%2B0ISw%3D%3D%7Ctkp%3ABk9SR4q_zvLEZw
</t>
      </text>
    </comment>
    <comment authorId="1792" xr:uid="{a5953836-1931-4c6b-b29b-4b678765318f}" ref="C63">
      <text>
        <t xml:space="preserve">[Threaded comment]
 Your version of Excel allows you to read this threaded comment; however, any edits to it will get removed if the file is opened in a newer version of Excel. Learn more: https://go.microsoft.com/fwlink/?linkid=870924
Comment:
	https://www.amazon.com/-/es/Lenovo-Legion-Notebook-GeForce-Eclipse/dp/B0DXXMLXVD/ref=sr_1_3?__mk_es_US=%C3%85M%C3%85%C5%BD%C3%95%C3%91&amp;crid=3OEM3W1IJDDLZ&amp;dib=eyJ2IjoiMSJ9.IY-Q9rbA1IPX2kqalD-XqsduyN1ioYbR_he7MpDFQjpN4GDD6aBOds3T0FNzWlNHXtS77Vdd5k9Gazk2Lm0YphCbxNRSA9SQjISRKPkuxflP_2ccKs9spULtWxwa4t1ajOJmFWVfDh29O17IVHvbFUz6PqgmPofb-eXsWkqqBKNFe114jvyX_fOpJG7kHrAUrcRqcaQ-AXmdEX6GJVxq7gl8R91jedRS7_lIcTylofs.XdEAVfuelWred6M1avJ_WIjZePQXPAwRa1Jxeg-HyZg&amp;dib_tag=se&amp;keywords=Lenovo+Legion+Pro&amp;qid=1747775658&amp;sprefix=lenovo+legion+pro%2Caps%2C236&amp;sr=8-3
</t>
      </text>
    </comment>
    <comment authorId="1793" xr:uid="{a5963141-d5c3-4c23-8fe6-c675c29f1f84}" ref="J474">
      <text>
        <t xml:space="preserve">[Threaded comment]
 Your version of Excel allows you to read this threaded comment; however, any edits to it will get removed if the file is opened in a newer version of Excel. Learn more: https://go.microsoft.com/fwlink/?linkid=870924
Comment:
	https://drive.google.com/file/d/1pz7omHPSyMltZ2kJNZca_3oTUVp1nQkI/view?usp=drive_link
</t>
      </text>
    </comment>
    <comment authorId="1794" xr:uid="{a59d362a-e1b5-451f-840e-9b2d9b4c210f}" ref="J507">
      <text>
        <t xml:space="preserve">[Threaded comment]
 Your version of Excel allows you to read this threaded comment; however, any edits to it will get removed if the file is opened in a newer version of Excel. Learn more: https://go.microsoft.com/fwlink/?linkid=870924
Comment:
	https://drive.google.com/file/d/1puA2R5XnZHqJVF1UdoCwJDzIr7pz6MAB/view?usp=drive_link
</t>
      </text>
    </comment>
    <comment authorId="1795" xr:uid="{a59efc37-43cf-4f37-9ba5-f8e4b879a331}" ref="C109">
      <text>
        <t xml:space="preserve">[Threaded comment]
 Your version of Excel allows you to read this threaded comment; however, any edits to it will get removed if the file is opened in a newer version of Excel. Learn more: https://go.microsoft.com/fwlink/?linkid=870924
Comment:
	https://www.amazon.com/-/es/Port%C3%A1til-juegos-Strix-pantalla-Nebula/dp/B0CRCYJ8YV/
</t>
      </text>
    </comment>
    <comment authorId="1796" xr:uid="{a5ac8140-e8ac-42e8-a302-567160fc9d4f}" ref="AF754">
      <text>
        <t xml:space="preserve">[Threaded comment]
 Your version of Excel allows you to read this threaded comment; however, any edits to it will get removed if the file is opened in a newer version of Excel. Learn more: https://go.microsoft.com/fwlink/?linkid=870924
Comment:
	excedentes, voucher final, fixit
</t>
      </text>
    </comment>
    <comment authorId="1797" xr:uid="{a5bcc552-be2a-4458-9f0f-238524a33c3a}" ref="K334">
      <text>
        <t xml:space="preserve">[Threaded comment]
 Your version of Excel allows you to read this threaded comment; however, any edits to it will get removed if the file is opened in a newer version of Excel. Learn more: https://go.microsoft.com/fwlink/?linkid=870924
Comment:
	https://drive.google.com/file/d/1UBr24T_WMr8qECeR31M_2f4hrUoWD-dv/view?usp=drive_link
</t>
      </text>
    </comment>
    <comment authorId="1798" xr:uid="{a5cd3c5f-25c3-49a3-8650-feb7954b5faf}" ref="K548">
      <text>
        <t xml:space="preserve">[Threaded comment]
 Your version of Excel allows you to read this threaded comment; however, any edits to it will get removed if the file is opened in a newer version of Excel. Learn more: https://go.microsoft.com/fwlink/?linkid=870924
Comment:
	https://drive.google.com/file/d/1RTjcmG51mdWYZcgO7nuiUEUV8arUxeVf/view?usp=drive_link
Reply:
	https://drive.google.com/file/d/13N_0n-qi0zpXqNxwWHT9b9SZRx5bm0xu/view?usp=drive_link
</t>
      </text>
    </comment>
    <comment authorId="1799" xr:uid="{a5cfc5cd-2b8c-4c6d-9fb4-533af5a8dfdd}" ref="C514">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1800" xr:uid="{a5fc2983-2892-4a1d-9635-c556cfb7756c}" ref="C38">
      <text>
        <t xml:space="preserve">[Threaded comment]
 Your version of Excel allows you to read this threaded comment; however, any edits to it will get removed if the file is opened in a newer version of Excel. Learn more: https://go.microsoft.com/fwlink/?linkid=870924
Comment:
	https://www.amazon.com/dp/B0CV2SCH63?ref=cm_sw_r_cso_cp_apan_dp_GJTV75E72P4WT5PYHB9D&amp;ref_=cm_sw_r_cso_cp_apan_dp_GJTV75E72P4WT5PYHB9D&amp;social_share=cm_sw_r_cso_cp_apan_dp_GJTV75E72P4WT5PYHB9D&amp;previewDoh=1&amp;th=1
</t>
      </text>
    </comment>
    <comment authorId="1801" xr:uid="{a5fd0c5e-783f-4c46-9766-d7e9081d7fec}" ref="W390">
      <text>
        <t xml:space="preserve">[Threaded comment]
 Your version of Excel allows you to read this threaded comment; however, any edits to it will get removed if the file is opened in a newer version of Excel. Learn more: https://go.microsoft.com/fwlink/?linkid=870924
Comment:
	https://drive.google.com/file/d/17bHIqPkPurbsuv0-EcBDGoa9AU2VEZ2u/view?usp=drive_link
</t>
      </text>
    </comment>
    <comment authorId="1802" xr:uid="{a5fdbb57-6ef0-4ee8-8068-9bf99826ce2a}" ref="C252">
      <text>
        <t xml:space="preserve">[Threaded comment]
 Your version of Excel allows you to read this threaded comment; however, any edits to it will get removed if the file is opened in a newer version of Excel. Learn more: https://go.microsoft.com/fwlink/?linkid=870924
Comment:
	https://www.bestbuy.com/product/msi-vector-16-hx-ai-400-16-240hz-qhd-gaming-laptop-intel-ultra-9-275hx-geforce-rtx-5080-16gb-memory-1tbssd-cosmo-gray/J3P7TXRSQV
</t>
      </text>
    </comment>
    <comment authorId="1803" xr:uid="{a6024c01-0ce3-4396-ab38-8ac4ce0b1bb0}" ref="Q575">
      <text>
        <t xml:space="preserve">[Threaded comment]
 Your version of Excel allows you to read this threaded comment; however, any edits to it will get removed if the file is opened in a newer version of Excel. Learn more: https://go.microsoft.com/fwlink/?linkid=870924
Comment:
	office 2024 + eset nod 32 + windows 11 pro + apertura con configuración inicial con formateo
</t>
      </text>
    </comment>
    <comment authorId="1804" xr:uid="{a602c74a-0cec-41e5-91b0-e2415012c51e}" ref="K382">
      <text>
        <t xml:space="preserve">[Threaded comment]
 Your version of Excel allows you to read this threaded comment; however, any edits to it will get removed if the file is opened in a newer version of Excel. Learn more: https://go.microsoft.com/fwlink/?linkid=870924
Comment:
	https://drive.google.com/file/d/1Y_3ZY3PiYD6gvmqjjyE0Qx5NHnGolKzZ/view?usp=drive_link
Reply:
	https://drive.google.com/file/d/1lveELd1kwSvaXZoUfmIPCjG5SoofDgpG/view?usp=drive_link
</t>
      </text>
    </comment>
    <comment authorId="1805" xr:uid="{a606f014-aa23-4154-bd08-f634aa9ae2e4}" ref="J558">
      <text>
        <t xml:space="preserve">[Threaded comment]
 Your version of Excel allows you to read this threaded comment; however, any edits to it will get removed if the file is opened in a newer version of Excel. Learn more: https://go.microsoft.com/fwlink/?linkid=870924
Comment:
	https://drive.google.com/file/d/1izaxUQ8hBBjAicrjoj0pjeDUdO1At_r1/view?usp=drive_link
</t>
      </text>
    </comment>
    <comment authorId="1806" xr:uid="{a61675df-9fef-46e6-92bc-55240efe3147}" ref="AF416">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1807" xr:uid="{a619a009-8593-460a-a212-7008b20fc50a}" ref="K439">
      <text>
        <t xml:space="preserve">[Threaded comment]
 Your version of Excel allows you to read this threaded comment; however, any edits to it will get removed if the file is opened in a newer version of Excel. Learn more: https://go.microsoft.com/fwlink/?linkid=870924
Comment:
	https://drive.google.com/file/d/1QlRbz6gGgE-_3l2bO6zh6t6Geqw-KVcD/view?usp=drive_link
Reply:
	https://drive.google.com/file/d/1W8mYyWkDMc1DCL05Lla6VFmG7I8fdZ9n/view?usp=drive_link
</t>
      </text>
    </comment>
    <comment authorId="1808" xr:uid="{a6214403-4f71-4476-a486-dde1bf205135}" ref="L623">
      <text>
        <t xml:space="preserve">[Threaded comment]
 Your version of Excel allows you to read this threaded comment; however, any edits to it will get removed if the file is opened in a newer version of Excel. Learn more: https://go.microsoft.com/fwlink/?linkid=870924
Comment:
	https://drive.google.com/file/d/1ziRiG-q9yJuno8PszfyNtvkQ7OCxNCVL/view?usp=drive_link
Reply:
	https://drive.google.com/file/d/19QPZ8GhzuxTQiuSNeE31DnNKupE5Zqyf/view?usp=drive_link
Reply:
	https://drive.google.com/file/d/1CcBC2AloCZDZP4gelRkTZfyPFBXvHgim/view?usp=drive_link
Reply:
	https://drive.google.com/file/d/1liBFSHi6CWi_4Q5hF_yoNgmFxpKK9ave/view?usp=drive_link
Reply:
	https://drive.google.com/file/d/13-03BGjVwBu-raZxCbjycfFNlPyN4osd/view?usp=drive_link
</t>
      </text>
    </comment>
    <comment authorId="1809" xr:uid="{a632354f-1743-484b-becd-719aaaf9ac3e}" ref="C509">
      <text>
        <t xml:space="preserve">[Threaded comment]
 Your version of Excel allows you to read this threaded comment; however, any edits to it will get removed if the file is opened in a newer version of Excel. Learn more: https://go.microsoft.com/fwlink/?linkid=870924
Comment:
	https://www.ebay.com/itm/197489937322?_skw=pro+5i&amp;itmmeta=01KG5EA4D0V2P7NKBCTXNQ6PK1&amp;hash=item2dfb514baa:g:gjkAAeSwKGlpc4jX
</t>
      </text>
    </comment>
    <comment authorId="1810" xr:uid="{a6326065-a5da-481c-89fc-14a8669956d0}" ref="O211">
      <text>
        <t xml:space="preserve">[Threaded comment]
 Your version of Excel allows you to read this threaded comment; however, any edits to it will get removed if the file is opened in a newer version of Excel. Learn more: https://go.microsoft.com/fwlink/?linkid=870924
Comment:
	+349 que se considera con la laptop
</t>
      </text>
    </comment>
    <comment authorId="1811" xr:uid="{a6370f37-5101-42d3-a9bd-29040d1c0013}" ref="AF753">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812" xr:uid="{a641495c-466a-4f39-b7a8-cdabb390868d}" ref="L274">
      <text>
        <t xml:space="preserve">[Threaded comment]
 Your version of Excel allows you to read this threaded comment; however, any edits to it will get removed if the file is opened in a newer version of Excel. Learn more: https://go.microsoft.com/fwlink/?linkid=870924
Comment:
	https://drive.google.com/file/d/11pJQohdkH1AsuGmqEZ4wjKcCs03tXGLs/view?usp=drive_link
</t>
      </text>
    </comment>
    <comment authorId="1813" xr:uid="{a64bdc32-86fc-4326-86e7-bdad5288053e}" ref="W212">
      <text>
        <t xml:space="preserve">[Threaded comment]
 Your version of Excel allows you to read this threaded comment; however, any edits to it will get removed if the file is opened in a newer version of Excel. Learn more: https://go.microsoft.com/fwlink/?linkid=870924
Comment:
	https://drive.google.com/file/d/1o_ybjV0X9q2D6vDais9prmdEjFNPJnXX/view?usp=drive_link
</t>
      </text>
    </comment>
    <comment authorId="1814" xr:uid="{a6778df2-0635-4fd4-abdf-1f985397451e}" ref="J720">
      <text>
        <t xml:space="preserve">[Threaded comment]
 Your version of Excel allows you to read this threaded comment; however, any edits to it will get removed if the file is opened in a newer version of Excel. Learn more: https://go.microsoft.com/fwlink/?linkid=870924
Comment:
	va a pagar 1000 soles más su familiar el martes
https://drive.google.com/file/d/19YJHI5pjCot5ViFw4ZGnHHqyIaXEDX67/view?usp=drive_link
Reply:
	Verificado, esta en su grupo de wspp 2 vouchers de 500
</t>
      </text>
    </comment>
    <comment authorId="1815" xr:uid="{a69845a7-eef3-4c1e-81e7-acdd44448247}" ref="C781">
      <text>
        <t xml:space="preserve">[Threaded comment]
 Your version of Excel allows you to read this threaded comment; however, any edits to it will get removed if the file is opened in a newer version of Excel. Learn more: https://go.microsoft.com/fwlink/?linkid=870924
Comment:
	https://www.amazon.com/-/es/Laptop-gamer-Strix-pulgadas-Nebula/dp/B0DW29H85Z/ref=sr_1_1?__mk_es_US=%C3%85M%C3%85%C5%BD%C3%95%C3%91&amp;crid=1P58HJIEXBEWO&amp;dib=eyJ2IjoiMSJ9.p8wIC8g93SILiBs__UVjOQG48U8_7YftU5_51mi2fwOAwJyquaL-UYK3xeOA3b9C6brfDnHbZh4ie4zyGbbbWj6UGU0sP6OxFLTMwNks8MQCCT3zf33v3iwA_WqMk3Lkwps5pMpWIACzt2dpIBhWb5pDbkVRnhmW1AVjV1X1gAOC8B3iA6uymkCYZwLljYXAKwVdqen5Hl_eknBmhrCqEH5Lyhqt5g8W_-W-1EqFdAM.1zSb7VPLHS6ZtnceCU_QFErUsZcFl3ob7Xqjs-3yzD4&amp;dib_tag=se&amp;keywords=scar%2B18&amp;qid=1779389139&amp;sprefix=scar%2B1%2Caps%2C352&amp;sr=8-1&amp;th=1
</t>
      </text>
    </comment>
    <comment authorId="1816" xr:uid="{a698c1db-0c08-4597-9620-1f31dbbf2122}" ref="J528">
      <text>
        <t xml:space="preserve">[Threaded comment]
 Your version of Excel allows you to read this threaded comment; however, any edits to it will get removed if the file is opened in a newer version of Excel. Learn more: https://go.microsoft.com/fwlink/?linkid=870924
Comment:
	https://drive.google.com/file/d/1xKUsGdI53vNmO6yrhD7-xKIgm4BLAwyw/view?usp=drive_link
</t>
      </text>
    </comment>
    <comment authorId="1817" xr:uid="{a6a3423d-9f6e-4923-bcac-429daea3bc86}" ref="W199">
      <text>
        <t xml:space="preserve">[Threaded comment]
 Your version of Excel allows you to read this threaded comment; however, any edits to it will get removed if the file is opened in a newer version of Excel. Learn more: https://go.microsoft.com/fwlink/?linkid=870924
Comment:
	https://drive.google.com/file/d/12vOg9TPRYRvR3FBdkMpqjgX4VVr0UWji/view?usp=drive_link
</t>
      </text>
    </comment>
    <comment authorId="1818" xr:uid="{a6a54c55-1691-464e-9c3f-7732f2381504}" ref="AF709">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819" xr:uid="{a6abc103-467b-4d40-b60c-a7988deea353}" ref="J151">
      <text>
        <t xml:space="preserve">[Threaded comment]
 Your version of Excel allows you to read this threaded comment; however, any edits to it will get removed if the file is opened in a newer version of Excel. Learn more: https://go.microsoft.com/fwlink/?linkid=870924
Comment:
	https://drive.google.com/file/d/1D-UXmEOEJ92OmCWkex3PlFYacZUedpKI/view?usp=drive_link
</t>
      </text>
    </comment>
    <comment authorId="1820" xr:uid="{a6b224ad-b556-4f77-a078-00212ef3072f}" ref="C201">
      <text>
        <t xml:space="preserve">[Threaded comment]
 Your version of Excel allows you to read this threaded comment; however, any edits to it will get removed if the file is opened in a newer version of Excel. Learn more: https://go.microsoft.com/fwlink/?linkid=870924
Comment:
	https://www.ebay.com/itm/376459134161?
</t>
      </text>
    </comment>
    <comment authorId="1821" xr:uid="{a6b8282d-0a83-4499-a6c8-ffe8ccf04c76}" ref="J208">
      <text>
        <t xml:space="preserve">[Threaded comment]
 Your version of Excel allows you to read this threaded comment; however, any edits to it will get removed if the file is opened in a newer version of Excel. Learn more: https://go.microsoft.com/fwlink/?linkid=870924
Comment:
	https://drive.google.com/file/d/17WEDabEcrE6aoinSBKmdwXoHp-bxHk7S/view?usp=drive_link
Reply:
	https://drive.google.com/file/d/19lz62-HtJpoYzKHPF2_VofWQLblvOECf/view?usp=drive_link
Reply:
	https://drive.google.com/file/d/1akP2dNV07OcT_4gAnrZzYnldwj3dbEC3/view?usp=drive_link
</t>
      </text>
    </comment>
    <comment authorId="1822" xr:uid="{a6d96ed1-1b79-4ce5-9367-3a26bdd781b8}" ref="J222">
      <text>
        <t xml:space="preserve">[Threaded comment]
 Your version of Excel allows you to read this threaded comment; however, any edits to it will get removed if the file is opened in a newer version of Excel. Learn more: https://go.microsoft.com/fwlink/?linkid=870924
Comment:
	https://drive.google.com/file/d/1CX0nEPMRodOuZTW2L9PA-tfv26VzP8YE/view?usp=drive_link
</t>
      </text>
    </comment>
    <comment authorId="1823" xr:uid="{a6fb5449-44e7-43f1-93c8-9690ab140a0e}" ref="AI775">
      <text>
        <t xml:space="preserve">[Threaded comment]
 Your version of Excel allows you to read this threaded comment; however, any edits to it will get removed if the file is opened in a newer version of Excel. Learn more: https://go.microsoft.com/fwlink/?linkid=870924
Comment:
	https://drive.google.com/file/d/13wVCz76-CI401Xw1tn_db0b4IYTfEGVk/view?usp=drive_link
</t>
      </text>
    </comment>
    <comment authorId="1824" xr:uid="{a7158a20-0b5c-47f7-a880-69a675713f99}" ref="C332">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https://www.bestbuy.com/product/asus-rog-strix-g16-16-fhd-165hz-gaming-laptop-amd-ryzen-9-hx-16gb-ram-nvidia-geforce-rtx-5070-ti-1tb-ssd-eclipse-gray/JJGGLHJLTS
</t>
      </text>
    </comment>
    <comment authorId="1825" xr:uid="{a715b947-f29b-439d-ac83-5263ce39cb6e}" ref="J804">
      <text>
        <t xml:space="preserve">[Threaded comment]
 Your version of Excel allows you to read this threaded comment; however, any edits to it will get removed if the file is opened in a newer version of Excel. Learn more: https://go.microsoft.com/fwlink/?linkid=870924
Comment:
	https://drive.google.com/file/d/1DlJ-BvElE9lD8aBU7GRsceNylxZI26aG/view?usp=drive_link
</t>
      </text>
    </comment>
    <comment authorId="1826" xr:uid="{a7214bb1-5ced-4f19-ad31-67dc44f67ca2}" ref="J519">
      <text>
        <t xml:space="preserve">[Threaded comment]
 Your version of Excel allows you to read this threaded comment; however, any edits to it will get removed if the file is opened in a newer version of Excel. Learn more: https://go.microsoft.com/fwlink/?linkid=870924
Comment:
	https://drive.google.com/file/d/11rwpN9fhxZEpXXauKE5S2FjVvjD64Nbj/view?usp=drive_link
</t>
      </text>
    </comment>
    <comment authorId="1827" xr:uid="{a761ac0b-605f-40dc-bfcb-7903803d1504}" ref="K547">
      <text>
        <t xml:space="preserve">[Threaded comment]
 Your version of Excel allows you to read this threaded comment; however, any edits to it will get removed if the file is opened in a newer version of Excel. Learn more: https://go.microsoft.com/fwlink/?linkid=870924
Comment:
	https://drive.google.com/file/d/1U21VuDgkCAxeiMh4m5Dy9TtFl3ygWjbo/view?usp=drive_link pago 1
https://drive.google.com/file/d/1z1anbz3we4yA1RMVIcRcsY5Vuc6tIfdS/view?usp=drive_link pago 2
</t>
      </text>
    </comment>
    <comment authorId="1828" xr:uid="{a783df39-8506-4f1b-a5ba-c32bd40da8eb}" ref="C541">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https://www.ebay.com/itm/326655425561?_skw=laptop+gaming&amp;itmmeta=01KH37KYA760Z21A1PCK00FZ0K&amp;hash=item4c0e2e3c19:g:lSsAAeSwwJdpe5j1
</t>
      </text>
    </comment>
    <comment authorId="1829" xr:uid="{a790fe84-d8a4-4d71-b9aa-059fe4b7efd4}" ref="AF530">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830" xr:uid="{a7b1256e-d477-4e7d-b926-7b21a4cb6b10}" ref="W258">
      <text>
        <t xml:space="preserve">[Threaded comment]
 Your version of Excel allows you to read this threaded comment; however, any edits to it will get removed if the file is opened in a newer version of Excel. Learn more: https://go.microsoft.com/fwlink/?linkid=870924
Comment:
	https://drive.google.com/file/d/1XBDNk9ScU9nznrowPeVq1jujdcL5Jwpp/view?usp=drive_link
</t>
      </text>
    </comment>
    <comment authorId="1831" xr:uid="{a7b3e573-4992-44cc-88bf-c2c5fb79b5c8}" ref="J687">
      <text>
        <t xml:space="preserve">[Threaded comment]
 Your version of Excel allows you to read this threaded comment; however, any edits to it will get removed if the file is opened in a newer version of Excel. Learn more: https://go.microsoft.com/fwlink/?linkid=870924
Comment:
	https://drive.google.com/file/d/1TxyrOxR-z23yUFCMDrwiGA-3Q1j-OEVJ/view?usp=drive_link
</t>
      </text>
    </comment>
    <comment authorId="1832" xr:uid="{a7b999d4-f8aa-4207-896a-02e91b67070c}" ref="J51">
      <text>
        <t xml:space="preserve">[Threaded comment]
 Your version of Excel allows you to read this threaded comment; however, any edits to it will get removed if the file is opened in a newer version of Excel. Learn more: https://go.microsoft.com/fwlink/?linkid=870924
Comment:
	https://drive.google.com/file/d/1Nu_XpthY3hMigAWBHeBWVNix22j768wZ/view?usp=drive_link
</t>
      </text>
    </comment>
    <comment authorId="1833" xr:uid="{a7c5905c-bcd0-4a61-9505-f455bccb0828}" ref="C12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1834" xr:uid="{a7c9de5c-b9d2-4bde-8667-c1f3415eea85}" ref="AF507">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1835" xr:uid="{a7d0ed18-3061-4a72-9a8a-8921ec3cb0eb}" ref="AF666">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1836" xr:uid="{a7fca905-c5e4-4b6d-ba40-7ff863c693d6}" ref="N343">
      <text>
        <t xml:space="preserve">[Threaded comment]
 Your version of Excel allows you to read this threaded comment; however, any edits to it will get removed if the file is opened in a newer version of Excel. Learn more: https://go.microsoft.com/fwlink/?linkid=870924
Comment:
	lo cambié a uno similar, porque el anterior incluía taxes
</t>
      </text>
    </comment>
    <comment authorId="1837" xr:uid="{a82d9189-2ce7-4071-8bd7-0becc36f24d8}" ref="S248">
      <text>
        <t xml:space="preserve">[Threaded comment]
 Your version of Excel allows you to read this threaded comment; however, any edits to it will get removed if the file is opened in a newer version of Excel. Learn more: https://go.microsoft.com/fwlink/?linkid=870924
Comment:
	https://drive.google.com/file/d/1mCTC-TwSuG0wgOhSJYKkb82--kT5ws2H/view?usp=drive_link
</t>
      </text>
    </comment>
    <comment authorId="1838" xr:uid="{a83345a9-cbfe-4214-b9b2-20c357badd59}" ref="J808">
      <text>
        <t xml:space="preserve">[Threaded comment]
 Your version of Excel allows you to read this threaded comment; however, any edits to it will get removed if the file is opened in a newer version of Excel. Learn more: https://go.microsoft.com/fwlink/?linkid=870924
Comment:
	https://drive.google.com/file/d/1PP58J6w9SZrZbMwI0xM1jwekd6ReYxf0/view?usp=drive_link
</t>
      </text>
    </comment>
    <comment authorId="1839" xr:uid="{a83d87fb-0508-46d9-b6d1-979da07d4f0c}" ref="J527">
      <text>
        <t xml:space="preserve">[Threaded comment]
 Your version of Excel allows you to read this threaded comment; however, any edits to it will get removed if the file is opened in a newer version of Excel. Learn more: https://go.microsoft.com/fwlink/?linkid=870924
Comment:
	https://drive.google.com/file/d/1pZvIUvJNLrVfSEMkYM6HXDs5FHogGlIH/view?usp=drive_link
</t>
      </text>
    </comment>
    <comment authorId="1840" xr:uid="{a83f483f-e01c-4043-bcf1-b3cb34aa7741}" ref="J643">
      <text>
        <t xml:space="preserve">[Threaded comment]
 Your version of Excel allows you to read this threaded comment; however, any edits to it will get removed if the file is opened in a newer version of Excel. Learn more: https://go.microsoft.com/fwlink/?linkid=870924
Comment:
	https://drive.google.com/file/d/113rpcw-F4T0JhpFhQJbDUG3irqJOkN8p/view?usp=drive_link
</t>
      </text>
    </comment>
    <comment authorId="1841" xr:uid="{a85561e0-d64c-4910-ab27-24f1a22fb893}" ref="L143">
      <text>
        <t xml:space="preserve">[Threaded comment]
 Your version of Excel allows you to read this threaded comment; however, any edits to it will get removed if the file is opened in a newer version of Excel. Learn more: https://go.microsoft.com/fwlink/?linkid=870924
Comment:
	https://drive.google.com/file/d/1hyGRZvJ_MzF9D602S67rzkSafqcWR0OZ/view?usp=drive_link
</t>
      </text>
    </comment>
    <comment authorId="1842" xr:uid="{a85e0922-c7f4-42ef-b82f-915d9621ec62}" ref="K673">
      <text>
        <t xml:space="preserve">[Threaded comment]
 Your version of Excel allows you to read this threaded comment; however, any edits to it will get removed if the file is opened in a newer version of Excel. Learn more: https://go.microsoft.com/fwlink/?linkid=870924
Comment:
	https://drive.google.com/file/d/1BDZX3rXvOn6Zwkp9Uv6SiH-1J0B6MMJd/view?usp=drive_link
</t>
      </text>
    </comment>
    <comment authorId="1843" xr:uid="{a86e276f-e938-4217-8b5b-3d7e95039793}" ref="J412">
      <text>
        <t xml:space="preserve">[Threaded comment]
 Your version of Excel allows you to read this threaded comment; however, any edits to it will get removed if the file is opened in a newer version of Excel. Learn more: https://go.microsoft.com/fwlink/?linkid=870924
Comment:
	https://drive.google.com/file/d/1OtnH5qrq7fTXUo0B-yRL1NtLVB_B4f7z/view?usp=drive_link
</t>
      </text>
    </comment>
    <comment authorId="1844" xr:uid="{a888e1ab-ee85-45af-935e-e7238568729e}" ref="J418">
      <text>
        <t xml:space="preserve">[Threaded comment]
 Your version of Excel allows you to read this threaded comment; however, any edits to it will get removed if the file is opened in a newer version of Excel. Learn more: https://go.microsoft.com/fwlink/?linkid=870924
Comment:
	https://drive.google.com/file/d/1YukOJd7U4xvkJ7sIn_uerf347I-MB2CN/view?usp=drive_link
</t>
      </text>
    </comment>
    <comment authorId="1845" xr:uid="{a88ed5c0-23c0-45ae-925a-8a2cb2dcb93a}" ref="W389">
      <text>
        <t xml:space="preserve">[Threaded comment]
 Your version of Excel allows you to read this threaded comment; however, any edits to it will get removed if the file is opened in a newer version of Excel. Learn more: https://go.microsoft.com/fwlink/?linkid=870924
Comment:
	https://drive.google.com/file/d/160mHRda6wnaH7AWBWTTYuTDzt6hMkvo2/view?usp=drive_link
</t>
      </text>
    </comment>
    <comment authorId="1846" xr:uid="{a8984b30-be29-44f1-8493-b5b8d4d5c339}" ref="C635">
      <text>
        <t xml:space="preserve">[Threaded comment]
 Your version of Excel allows you to read this threaded comment; however, any edits to it will get removed if the file is opened in a newer version of Excel. Learn more: https://go.microsoft.com/fwlink/?linkid=870924
Comment:
	https://www.costco.com/p/-/lenovo-legion-5i-16-gaming-laptop-intel-core-ultra-9-275hx-geforce-rtx-5060-wqxga-2560x1600-windows-11-home-32gb-ram-1tb-ssd/4000380973?langId=-1
</t>
      </text>
    </comment>
    <comment authorId="1847" xr:uid="{a899046a-0cd4-4c11-848a-feadedab07a5}" ref="W395">
      <text>
        <t xml:space="preserve">[Threaded comment]
 Your version of Excel allows you to read this threaded comment; however, any edits to it will get removed if the file is opened in a newer version of Excel. Learn more: https://go.microsoft.com/fwlink/?linkid=870924
Comment:
	https://drive.google.com/file/d/1ArofLntI2JLcvh00bc0uwQtKJHs6H2Cd/view?usp=drive_link
</t>
      </text>
    </comment>
    <comment authorId="1848" xr:uid="{a8bc8324-918a-4b8c-a4ec-394f16394acd}" ref="W372">
      <text>
        <t xml:space="preserve">[Threaded comment]
 Your version of Excel allows you to read this threaded comment; however, any edits to it will get removed if the file is opened in a newer version of Excel. Learn more: https://go.microsoft.com/fwlink/?linkid=870924
Comment:
	https://drive.google.com/file/d/10ZBMZ9BrDZoqdSQe-gFCKvJS4q2cyf03/view?usp=drive_link
</t>
      </text>
    </comment>
    <comment authorId="1849" xr:uid="{a8d0ee80-ced7-437e-9caf-a0991f13d540}" ref="K627">
      <text>
        <t xml:space="preserve">[Threaded comment]
 Your version of Excel allows you to read this threaded comment; however, any edits to it will get removed if the file is opened in a newer version of Excel. Learn more: https://go.microsoft.com/fwlink/?linkid=870924
Comment:
	https://drive.google.com/file/d/1qWTouQILpgybd58aayc5e7JNVvZuyTOv/view?usp=drive_link
Reply:
	https://drive.google.com/file/d/1qWTouQILpgybd58aayc5e7JNVvZuyTOv/view?usp=drive_link
</t>
      </text>
    </comment>
    <comment authorId="1850" xr:uid="{a8d0f3b0-a02c-4bb0-a18f-808b38281b2f}" ref="AF270">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1851" xr:uid="{a8d6ce8f-147c-40b0-bfd1-172942cca825}" ref="J598">
      <text>
        <t xml:space="preserve">[Threaded comment]
 Your version of Excel allows you to read this threaded comment; however, any edits to it will get removed if the file is opened in a newer version of Excel. Learn more: https://go.microsoft.com/fwlink/?linkid=870924
Comment:
	https://drive.google.com/file/d/1KcsMJqoQ0ckfARSnoWnH4mrbwiMApJke/view?usp=drive_link
Reply:
	https://drive.google.com/file/d/1OfJXy7Bxx-QRxAKkJylwzBNBKpoQreQn/view?usp=drive_link
</t>
      </text>
    </comment>
    <comment authorId="1852" xr:uid="{a8e0e3ea-b2b4-4df6-9afd-3bdeb4f40d2b}" ref="C42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https://www.microcenter.com/product/693716/asus-rog-strix-g16-g615lr-ms97-16-gaming-laptop-computer-platinum-collection-eclipse-gray?ob=1
</t>
      </text>
    </comment>
    <comment authorId="1853" xr:uid="{a8e4bac0-bd67-408c-a883-18ccd454bacc}" ref="C735">
      <text>
        <t xml:space="preserve">[Threaded comment]
 Your version of Excel allows you to read this threaded comment; however, any edits to it will get removed if the file is opened in a newer version of Excel. Learn more: https://go.microsoft.com/fwlink/?linkid=870924
Comment:
	https://www.ebay.com/itm/326685495041
</t>
      </text>
    </comment>
    <comment authorId="1854" xr:uid="{a8f62618-5c33-4448-ae23-95a5677b592e}" ref="C27">
      <text>
        <t xml:space="preserve">[Threaded comment]
 Your version of Excel allows you to read this threaded comment; however, any edits to it will get removed if the file is opened in a newer version of Excel. Learn more: https://go.microsoft.com/fwlink/?linkid=870924
Comment:
	https://www.walmart.com/ip/MSI-Thin-15-6-inch-FHD-144Hz-Gaming-Laptop-Intel-Core-i5-13420H-NVIDIA-GeForce-RTX-4060-16GB-DDR4-512GB-SSD-Gray-2025/14673204103?classType=REGULAR&amp;athbdg=L1102&amp;from=/search
</t>
      </text>
    </comment>
    <comment authorId="1855" xr:uid="{a90e354e-8a12-4837-9f50-a38b8a206602}" ref="L190">
      <text>
        <t xml:space="preserve">[Threaded comment]
 Your version of Excel allows you to read this threaded comment; however, any edits to it will get removed if the file is opened in a newer version of Excel. Learn more: https://go.microsoft.com/fwlink/?linkid=870924
Comment:
	https://drive.google.com/file/d/1OzAtRy0CdfP8OXgSuLexKwo0-UQsi5FH/view?usp=drive_link
</t>
      </text>
    </comment>
    <comment authorId="1856" xr:uid="{a927a5d3-e5bd-4af4-996b-b2176e21dcd9}" ref="AF567">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1857" xr:uid="{a94e9c46-0fc1-400b-97c9-12b62c3f4ffb}" ref="J475">
      <text>
        <t xml:space="preserve">[Threaded comment]
 Your version of Excel allows you to read this threaded comment; however, any edits to it will get removed if the file is opened in a newer version of Excel. Learn more: https://go.microsoft.com/fwlink/?linkid=870924
Comment:
	https://drive.google.com/file/d/1XXxhMZbKx3ihF6OnTC_ANZj_1NONGQAQ/view?usp=drive_link
</t>
      </text>
    </comment>
    <comment authorId="1858" xr:uid="{a97768f3-fd8e-4d44-b6b2-904c5ebfec77}" ref="AF542">
      <text>
        <t xml:space="preserve">[Threaded comment]
 Your version of Excel allows you to read this threaded comment; however, any edits to it will get removed if the file is opened in a newer version of Excel. Learn more: https://go.microsoft.com/fwlink/?linkid=870924
Comment:
	vental final, fixit, excedentes
</t>
      </text>
    </comment>
    <comment authorId="1859" xr:uid="{a996885b-3221-4c83-a904-431539810d0b}" ref="W366">
      <text>
        <t xml:space="preserve">[Threaded comment]
 Your version of Excel allows you to read this threaded comment; however, any edits to it will get removed if the file is opened in a newer version of Excel. Learn more: https://go.microsoft.com/fwlink/?linkid=870924
Comment:
	https://drive.google.com/file/d/1_o2WqrM8zXiKYCEy972AL6nvw43zOb3j/view?usp=drive_link
</t>
      </text>
    </comment>
    <comment authorId="1860" xr:uid="{a9a95ab6-387a-4b4f-ba0b-c936d1873005}" ref="J491">
      <text>
        <t xml:space="preserve">[Threaded comment]
 Your version of Excel allows you to read this threaded comment; however, any edits to it will get removed if the file is opened in a newer version of Excel. Learn more: https://go.microsoft.com/fwlink/?linkid=870924
Comment:
	https://drive.google.com/file/d/17ruRO6ZqUgMJwEahPOusrP22KPbURzU3/view?usp=drive_link
</t>
      </text>
    </comment>
    <comment authorId="1861" xr:uid="{a9d970da-6b7c-454f-96c1-463574bd3051}" ref="J210">
      <text>
        <t xml:space="preserve">[Threaded comment]
 Your version of Excel allows you to read this threaded comment; however, any edits to it will get removed if the file is opened in a newer version of Excel. Learn more: https://go.microsoft.com/fwlink/?linkid=870924
Comment:
	https://drive.google.com/file/d/1Xbm2wCcFUbHUJjsziOBfPCwHzg6Q3O-F/view?usp=drive_link
</t>
      </text>
    </comment>
    <comment authorId="1862" xr:uid="{aa0bb169-a52b-464b-8172-32f8d9dca830}" ref="C621">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https://www.bestbuy.com/product/asus-zenbook-s-16-16-3k-oled-touch-screen-laptop-copilot-pc-amd-ryzen-ai-9-365-24gb-memory-1tb-ssd-scandinavian-white/JJGGLQSYLC
</t>
      </text>
    </comment>
    <comment authorId="1863" xr:uid="{aa19804d-741c-409e-bcc4-3a05d99ba8d9}" ref="AF433">
      <text>
        <t xml:space="preserve">[Threaded comment]
 Your version of Excel allows you to read this threaded comment; however, any edits to it will get removed if the file is opened in a newer version of Excel. Learn more: https://go.microsoft.com/fwlink/?linkid=870924
Comment:
	FIXIT, EXCEDENTE, VOUCHER FINAL
</t>
      </text>
    </comment>
    <comment authorId="1864" xr:uid="{aa3831d9-444a-4afa-af8b-8ca5ed2929a7}" ref="K665">
      <text>
        <t xml:space="preserve">[Threaded comment]
 Your version of Excel allows you to read this threaded comment; however, any edits to it will get removed if the file is opened in a newer version of Excel. Learn more: https://go.microsoft.com/fwlink/?linkid=870924
Comment:
	https://drive.google.com/file/d/1ZWWB8I5yd9yD74hAC2qDCeoyq2kz1gum/view?usp=drive_link
</t>
      </text>
    </comment>
    <comment authorId="1865" xr:uid="{aa3e4926-5863-400b-98be-bd89f1e46231}" ref="C742">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https://www.bhphotovideo.com/c/product/1900311-REG/acer_ph16_73_94qc_16_predator_helios_16.html/specs
</t>
      </text>
    </comment>
    <comment authorId="1866" xr:uid="{aa5c8e60-1cde-4fb9-805e-2e34cb4d39b4}" ref="K735">
      <text>
        <t xml:space="preserve">[Threaded comment]
 Your version of Excel allows you to read this threaded comment; however, any edits to it will get removed if the file is opened in a newer version of Excel. Learn more: https://go.microsoft.com/fwlink/?linkid=870924
Comment:
	https://drive.google.com/file/d/1mA_OaVp7dv6skcvgcX4uSFNvXQlW1FOa/view?usp=drive_link
Reply:
	https://drive.google.com/file/d/1S09_aQ_7QtxZgEOm7Q9XCQnRwiZBmPtV/view?usp=drive_link
</t>
      </text>
    </comment>
    <comment authorId="1867" xr:uid="{aa626c0b-63fe-486c-a99a-455aa0bb8dd9}" ref="L131">
      <text>
        <t xml:space="preserve">[Threaded comment]
 Your version of Excel allows you to read this threaded comment; however, any edits to it will get removed if the file is opened in a newer version of Excel. Learn more: https://go.microsoft.com/fwlink/?linkid=870924
Comment:
	https://drive.google.com/file/d/18Cu9PJGlMwcSuWh1tHgVHWe3DpWdjpcr/view?usp=drive_link
Reply:
	https://drive.google.com/file/d/1CnGSvg1E6ohnLMBj30olRU26hdVZqBxw/view?usp=drive_link
</t>
      </text>
    </comment>
    <comment authorId="1868" xr:uid="{aa837fda-48ba-47f2-a01f-e9ad0ca7db01}" ref="D468">
      <text>
        <t xml:space="preserve">[Threaded comment]
 Your version of Excel allows you to read this threaded comment; however, any edits to it will get removed if the file is opened in a newer version of Excel. Learn more: https://go.microsoft.com/fwlink/?linkid=870924
Comment:
	yoli este es el cliente que dio miedito
</t>
      </text>
    </comment>
    <comment authorId="1869" xr:uid="{aac53d22-18a1-4e8f-ada7-de246d6c70d1}" ref="C480">
      <text>
        <t xml:space="preserve">[Threaded comment]
 Your version of Excel allows you to read this threaded comment; however, any edits to it will get removed if the file is opened in a newer version of Excel. Learn more: https://go.microsoft.com/fwlink/?linkid=870924
Comment:
	https://www.ebay.com/itm/326796273689?_skw=zephyrus+g16&amp;itmmeta=01KEA6P75CNEHBK944E9JNB5VB&amp;hash=item4c16936819:g:~t8AAeSwWZRpVqs~&amp;itmprp=enc%3AAQAKAAAA0FkggFvd1GGDu0w3yXCmi1ez3dMaVaO44gw8AwVoKqmk4qiFUfRnixNmN%2FgKVo%2FNNEGCZXX8H3pfoqs0m%2B2QJm4E6hLVROM%2F8Cw04oLW7UBj2LulL%2Fc31sAGoLmj%2Fq0Vhm6JjruXeQImP9PqXgf%2BBfp6%2FCqfBdlEruvtlsbvIfsmDpYUBY5VFKgmMTS83p62hlf4ZR5FlCI5FIJrTx4Mlo0%2Boi784F2cK%2Fm1G%2BzNwBj%2FbZP4i3j2F%2B62nUZWqj1%2BmfrBQl8CkmqZXpxq3%2BvFqG4%3D%7Ctkp%3ABk9SR-7y2MbyZg
</t>
      </text>
    </comment>
    <comment authorId="1870" xr:uid="{aac9093c-2b7c-4fea-8c51-475280cce4c5}" ref="C533">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https://www.bestbuy.com/product/asus-zenbook-s-14-14-3k-oled-touch-laptop-copilot-pc-intel-core-ultra-7-series-2-with-32gb-memory-1tb-ssd-scandinavian-white/JJGGLQQWKS
</t>
      </text>
    </comment>
    <comment authorId="1871" xr:uid="{aacc99d1-8be1-41cb-9829-5ccd0756481a}" ref="K767">
      <text>
        <t xml:space="preserve">[Threaded comment]
 Your version of Excel allows you to read this threaded comment; however, any edits to it will get removed if the file is opened in a newer version of Excel. Learn more: https://go.microsoft.com/fwlink/?linkid=870924
Comment:
	https://drive.google.com/file/d/1vT_rYgZG7Umhj70OtSoOuzokT4PDPztT/view?usp=drive_link
</t>
      </text>
    </comment>
    <comment authorId="1872" xr:uid="{aacfb061-ba20-4e0b-8bd2-fee88aa7962f}" ref="L42">
      <text>
        <t xml:space="preserve">[Threaded comment]
 Your version of Excel allows you to read this threaded comment; however, any edits to it will get removed if the file is opened in a newer version of Excel. Learn more: https://go.microsoft.com/fwlink/?linkid=870924
Comment:
	https://drive.google.com/file/d/1_n5wWUBpnPxOgGkAsJc82aeKYAs7Nfhy/view?usp=drive_link
https://drive.google.com/file/d/1UfJH3TYcOZ8NnlLQLtlG6la43IajqpkS/view?usp=drive_link
</t>
      </text>
    </comment>
    <comment authorId="1873" xr:uid="{aaf33e1c-4318-47a3-bb56-01b5397c888e}" ref="C330">
      <text>
        <t xml:space="preserve">[Threaded comment]
 Your version of Excel allows you to read this threaded comment; however, any edits to it will get removed if the file is opened in a newer version of Excel. Learn more: https://go.microsoft.com/fwlink/?linkid=870924
Comment:
	https://www.ebay.com/itm/127210724599?_skw=legion&amp;itmmeta=01KAPHCYY36GHYFZ4N2BS1QB6V&amp;hash=item1d9e599cf7:g:RrQAAeSwnqBo7U7h
</t>
      </text>
    </comment>
    <comment authorId="1874" xr:uid="{ab047a3e-7735-4ebd-907a-4be2a5f03b3a}" ref="P436">
      <text>
        <t xml:space="preserve">[Threaded comment]
 Your version of Excel allows you to read this threaded comment; however, any edits to it will get removed if the file is opened in a newer version of Excel. Learn more: https://go.microsoft.com/fwlink/?linkid=870924
Comment:
	descontar del cliente fila 13 de provedores
Reply:
	se agregó 80 soles a la columna de Accesorios adicionales
Reply:
	337-80= monto actual 257
</t>
      </text>
    </comment>
    <comment authorId="1875" xr:uid="{ab2b11fc-1b32-48f9-a3af-542363ce6a47}" ref="L246">
      <text>
        <t xml:space="preserve">[Threaded comment]
 Your version of Excel allows you to read this threaded comment; however, any edits to it will get removed if the file is opened in a newer version of Excel. Learn more: https://go.microsoft.com/fwlink/?linkid=870924
Comment:
	https://drive.google.com/file/d/1A4y1z9MGbk4LnQXkXsODwu3VkroLUGi3/view?usp=drive_link
Reply:
	https://drive.google.com/file/d/1PBfDu6fgsopLSPQwK5XkJR-cVz0GhSSn/view?usp=drive_link
</t>
      </text>
    </comment>
    <comment authorId="1876" xr:uid="{ab3a2720-4079-4686-8406-51c7d9ac6a27}" ref="L148">
      <text>
        <t xml:space="preserve">[Threaded comment]
 Your version of Excel allows you to read this threaded comment; however, any edits to it will get removed if the file is opened in a newer version of Excel. Learn more: https://go.microsoft.com/fwlink/?linkid=870924
Comment:
	https://drive.google.com/file/d/1rj5ucFEbmDymm0_ZpSBiBqu_2ncxwWk8/view?usp=drive_link
</t>
      </text>
    </comment>
    <comment authorId="1877" xr:uid="{ab52d8d6-ddc4-47bc-9a0a-15462cc67bb6}" ref="K478">
      <text>
        <t xml:space="preserve">[Threaded comment]
 Your version of Excel allows you to read this threaded comment; however, any edits to it will get removed if the file is opened in a newer version of Excel. Learn more: https://go.microsoft.com/fwlink/?linkid=870924
Comment:
	https://drive.google.com/file/d/1ZICkeafwMgI-cfagoVw4cdbLHqsKSESw/view?usp=drive_link
</t>
      </text>
    </comment>
    <comment authorId="1878" xr:uid="{ab5408a1-7e65-4a5d-8dba-0b7a4798c6e6}" ref="L83">
      <text>
        <t xml:space="preserve">[Threaded comment]
 Your version of Excel allows you to read this threaded comment; however, any edits to it will get removed if the file is opened in a newer version of Excel. Learn more: https://go.microsoft.com/fwlink/?linkid=870924
Comment:
	https://drive.google.com/file/d/1w91xKHOV1KlwJV3oR3l-3KIyFd0uyUzQ/view?usp=drive_link
</t>
      </text>
    </comment>
    <comment authorId="1879" xr:uid="{ab5a8c8f-9f8b-43dd-8fcd-3781a9c6e3f0}" ref="W329">
      <text>
        <t xml:space="preserve">[Threaded comment]
 Your version of Excel allows you to read this threaded comment; however, any edits to it will get removed if the file is opened in a newer version of Excel. Learn more: https://go.microsoft.com/fwlink/?linkid=870924
Comment:
	https://drive.google.com/file/d/1He_tdYLcvaS6iLReiiyYI0-67XJQhU_q/view?usp=drive_link
</t>
      </text>
    </comment>
    <comment authorId="1880" xr:uid="{ab6df4a2-a821-4fd4-ab0e-ec1110332ef4}" ref="C723">
      <text>
        <t xml:space="preserve">[Threaded comment]
 Your version of Excel allows you to read this threaded comment; however, any edits to it will get removed if the file is opened in a newer version of Excel. Learn more: https://go.microsoft.com/fwlink/?linkid=870924
Comment:
	https://www.ebay.com/itm/326655425561
</t>
      </text>
    </comment>
    <comment authorId="1881" xr:uid="{ab71e601-cb36-473c-be1f-d1329cd0adf0}" ref="C62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https://www.microcenter.com/product/704275/asus-rog-strix-g16-g615lw-cs94-16-gaming-laptop-computer-eclipse-gray
</t>
      </text>
    </comment>
    <comment authorId="1882" xr:uid="{ab9277fd-cf41-4df5-a443-d23a90a369ca}" ref="W262">
      <text>
        <t xml:space="preserve">[Threaded comment]
 Your version of Excel allows you to read this threaded comment; however, any edits to it will get removed if the file is opened in a newer version of Excel. Learn more: https://go.microsoft.com/fwlink/?linkid=870924
Comment:
	https://drive.google.com/file/d/1GTXe25yYu9avx7pCklR85M2JuJspV64m/view?usp=drive_link
</t>
      </text>
    </comment>
    <comment authorId="1883" xr:uid="{ab9e3ff4-a333-453d-b220-5557f462dab9}" ref="AF563">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1884" xr:uid="{abad99b4-d156-45b8-a80e-1c91f4d2b2ba}" ref="J393">
      <text>
        <t xml:space="preserve">[Threaded comment]
 Your version of Excel allows you to read this threaded comment; however, any edits to it will get removed if the file is opened in a newer version of Excel. Learn more: https://go.microsoft.com/fwlink/?linkid=870924
Comment:
	https://drive.google.com/file/d/1lINrYAw5jnxHzzgajh45qnjYBx4BH63Q/view?usp=drive_link
</t>
      </text>
    </comment>
    <comment authorId="1885" xr:uid="{abb1f7b8-f176-4c7d-ae52-9a69119002f1}" ref="AF191">
      <text>
        <t xml:space="preserve">[Threaded comment]
 Your version of Excel allows you to read this threaded comment; however, any edits to it will get removed if the file is opened in a newer version of Excel. Learn more: https://go.microsoft.com/fwlink/?linkid=870924
Comment:
	falta fixit
</t>
      </text>
    </comment>
    <comment authorId="1886" xr:uid="{abb9d5fc-f855-4205-b015-74508368ae8b}" ref="L152">
      <text>
        <t xml:space="preserve">[Threaded comment]
 Your version of Excel allows you to read this threaded comment; however, any edits to it will get removed if the file is opened in a newer version of Excel. Learn more: https://go.microsoft.com/fwlink/?linkid=870924
Comment:
	https://drive.google.com/file/d/1GnzyNOh6rLrN5B3A9ZH-MVPT_pPyFlnd/view?usp=drive_link
</t>
      </text>
    </comment>
    <comment authorId="1887" xr:uid="{abe4c7be-3407-49d1-9a45-89ddcf15e35d}" ref="C216">
      <text>
        <t xml:space="preserve">[Threaded comment]
 Your version of Excel allows you to read this threaded comment; however, any edits to it will get removed if the file is opened in a newer version of Excel. Learn more: https://go.microsoft.com/fwlink/?linkid=870924
Comment:
	https://www.ebay.com/itm/127157824843?_skw=rog+flow&amp;itmmeta=01K4DX0G6MYZ5NYFF8GNQ7385P&amp;hash=item1d9b326d4b:g:hagAAeSw569osTVC
</t>
      </text>
    </comment>
    <comment authorId="1888" xr:uid="{abf9b654-bfd0-4e14-a6ce-bf728333ce0f}" ref="J570">
      <text>
        <t xml:space="preserve">[Threaded comment]
 Your version of Excel allows you to read this threaded comment; however, any edits to it will get removed if the file is opened in a newer version of Excel. Learn more: https://go.microsoft.com/fwlink/?linkid=870924
Comment:
	https://drive.google.com/file/d/1GIT18ACaMJebqJpZ3lon46T43pQcGcNG/view?usp=drive_link
</t>
      </text>
    </comment>
    <comment authorId="1889" xr:uid="{ac0330d4-f39d-4e6c-99b3-166da6ee8993}" ref="S420">
      <text>
        <t xml:space="preserve">[Threaded comment]
 Your version of Excel allows you to read this threaded comment; however, any edits to it will get removed if the file is opened in a newer version of Excel. Learn more: https://go.microsoft.com/fwlink/?linkid=870924
Comment:
	https://drive.google.com/file/d/1vRB8HUGlfJzrIbuhqJaQ3aI2IgG-Y40R/view?usp=drive_link
</t>
      </text>
    </comment>
    <comment authorId="1890" xr:uid="{ac147aa2-3479-40cb-8da0-cec1a867580d}"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https://drive.google.com/file/d/1ji3gBMgXVUg-397GyaoTffMO0CjOnjeJ/view?usp=drive_link
</t>
      </text>
    </comment>
    <comment authorId="1891" xr:uid="{ac203d69-5dff-4827-941d-0ddd9bf7e0c8}" ref="AF328">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892" xr:uid="{ac27818d-6a78-4749-beaf-148f110e2832}" ref="K424">
      <text>
        <t xml:space="preserve">[Threaded comment]
 Your version of Excel allows you to read this threaded comment; however, any edits to it will get removed if the file is opened in a newer version of Excel. Learn more: https://go.microsoft.com/fwlink/?linkid=870924
Comment:
	https://drive.google.com/file/d/175xHHd3n51Xo4meqcAeOQA-qqUIak-bV/view?usp=drive_link
</t>
      </text>
    </comment>
    <comment authorId="1893" xr:uid="{ac3d7f5e-10cb-4713-9915-27ce2321a2f7}" ref="J697">
      <text>
        <t xml:space="preserve">[Threaded comment]
 Your version of Excel allows you to read this threaded comment; however, any edits to it will get removed if the file is opened in a newer version of Excel. Learn more: https://go.microsoft.com/fwlink/?linkid=870924
Comment:
	https://drive.google.com/file/d/1QnzIeQSbyNG8c3Y8NKr4JBxI7VveLwNo/view?usp=drive_link
</t>
      </text>
    </comment>
    <comment authorId="1894" xr:uid="{ac3e74e9-5e57-4e9b-9fe4-374da2d07360}" ref="C299">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https://www.bestbuy.com/product/asus-proart-pz13-13-oled-3k-detachable-laptop-copilot-pc-snapdragon-x-plus-16gb-memory-1tb-ssd-nano-black/JJGGLQ6Z4X
</t>
      </text>
    </comment>
    <comment authorId="1895" xr:uid="{ac7f4833-3905-40a0-b1e6-842e8a9f5efe}"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https://drive.google.com/file/d/1w7WhLslGdsL2lO02sSz0bgAgLmAMY8Ea/view?usp=drive_link
</t>
      </text>
    </comment>
    <comment authorId="1896" xr:uid="{acb62338-646c-4707-92c4-0b3c7dc25351}" ref="W285">
      <text>
        <t xml:space="preserve">[Threaded comment]
 Your version of Excel allows you to read this threaded comment; however, any edits to it will get removed if the file is opened in a newer version of Excel. Learn more: https://go.microsoft.com/fwlink/?linkid=870924
Comment:
	https://drive.google.com/file/d/149d__sPU0RWMAsIf8mEaCZL1jPD26Ldg/view?usp=drive_link
</t>
      </text>
    </comment>
    <comment authorId="1897" xr:uid="{acd29393-0dc6-4498-9734-f9d43ca4ef52}" ref="J639">
      <text>
        <t xml:space="preserve">[Threaded comment]
 Your version of Excel allows you to read this threaded comment; however, any edits to it will get removed if the file is opened in a newer version of Excel. Learn more: https://go.microsoft.com/fwlink/?linkid=870924
Comment:
	https://drive.google.com/file/d/19D-3Qvfevkb6csXT0d9p201VwVjyXD9h/view?usp=drive_link
</t>
      </text>
    </comment>
    <comment authorId="1898" xr:uid="{acd68ef6-8ba7-4c98-a04e-0403eb03fd98}" ref="J278">
      <text>
        <t xml:space="preserve">[Threaded comment]
 Your version of Excel allows you to read this threaded comment; however, any edits to it will get removed if the file is opened in a newer version of Excel. Learn more: https://go.microsoft.com/fwlink/?linkid=870924
Comment:
	https://drive.google.com/file/d/1h2k6JihR9AfnCLHi4fCrXCKcF2pZKslc/view?usp=drive_link
Reply:
	https://drive.google.com/file/d/154VAQsnWfKoGrNPkcKWrXaTmfckJuCIf/view?usp=drive_link
</t>
      </text>
    </comment>
    <comment authorId="1899" xr:uid="{ad06708e-fc0a-46a9-94ec-09c3af1c821e}" ref="J800">
      <text>
        <t xml:space="preserve">[Threaded comment]
 Your version of Excel allows you to read this threaded comment; however, any edits to it will get removed if the file is opened in a newer version of Excel. Learn more: https://go.microsoft.com/fwlink/?linkid=870924
Comment:
	https://drive.google.com/file/d/1VfnLmWJwIu0Go4Bq079ivaAOEUd0QT_f/view?usp=drive_link
</t>
      </text>
    </comment>
    <comment authorId="1900" xr:uid="{ad0938db-e1e4-413e-8c1f-bc3d11c8600b}" ref="W188">
      <text>
        <t xml:space="preserve">[Threaded comment]
 Your version of Excel allows you to read this threaded comment; however, any edits to it will get removed if the file is opened in a newer version of Excel. Learn more: https://go.microsoft.com/fwlink/?linkid=870924
Comment:
	https://drive.google.com/file/d/1_PoyOybaWBIQCje4Wv-VUjgqQZR0b7JW/view?usp=drive_link
</t>
      </text>
    </comment>
    <comment authorId="1901" xr:uid="{ad0f3f5d-289d-48ea-ab57-2678b99b8899}" ref="K669">
      <text>
        <t xml:space="preserve">[Threaded comment]
 Your version of Excel allows you to read this threaded comment; however, any edits to it will get removed if the file is opened in a newer version of Excel. Learn more: https://go.microsoft.com/fwlink/?linkid=870924
Comment:
	https://drive.google.com/file/d/17mWkEwcAYalxM9htudBCdjk4hkCBB-Pm/view?usp=drive_link
</t>
      </text>
    </comment>
    <comment authorId="1902" xr:uid="{ad0f5347-fe42-4ca9-8471-9ad4748a9a81}" ref="AF321">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1903" xr:uid="{ad1e812a-d8e3-413c-8abb-b6a48a3dbed7}" ref="J566">
      <text>
        <t xml:space="preserve">[Threaded comment]
 Your version of Excel allows you to read this threaded comment; however, any edits to it will get removed if the file is opened in a newer version of Excel. Learn more: https://go.microsoft.com/fwlink/?linkid=870924
Comment:
	https://drive.google.com/file/d/1J-6kfig4uVSxGDhf7A87HYBwvtvLGqlA/view?usp=drive_link
Reply:
	https://drive.google.com/file/d/1h0YuZ6jaTuVIUgKHkshbKaJqbaO8ZIkv/view?usp=drive_link
</t>
      </text>
    </comment>
    <comment authorId="1904" xr:uid="{ad420263-a1c5-465d-b243-03b114a6a5a7}" ref="C756">
      <text>
        <t xml:space="preserve">[Threaded comment]
 Your version of Excel allows you to read this threaded comment; however, any edits to it will get removed if the file is opened in a newer version of Excel. Learn more: https://go.microsoft.com/fwlink/?linkid=870924
Comment:
	https://www.ebay.com/itm/127874306903?_skw=rog+strix+g18+ryzen+9+8940hx&amp;itmmeta=01KS6AX8A2RN33TV4RFJDXN16E&amp;hash=item1dc5e71357:g:noIAAeSw~U1qDTMz&amp;itmprp=enc%3AAQALAAABAGfYFPkwiKCW4ZNSs2u11xBor%2FPWuC9cxYvaDGv%2FFHEbnlKCkBxKZW2kCdORthMeAEMe4atJShBHf%2BG5WKJ6%2B5%2BHHGhOxVIL06mW%2BenS91xkV0yTn2Dsg0EhZ1OC7YPR652nv38kR0sm2eG2rZh%2FagUrQ31gBbCl6cliUJ%2Fb7rfk6S3oQ35eGuUwIa8Ek%2F0oi0JVq66BjnP8HG8qCaUU5a2aB3R20H73tQVPCd0z2EFMXi5vuK%2FGmWlrcHYhXonCo%2BnB4Q0%2Fg9lbbCt8ZyWcC9v6TyOsMcS5zLEL%2BLcLdIKOZ8tNHUVzosak5pe8CnsVkNHnJ4PXn4m8CZryTPDKVGU%3D%7Ctkp%3ABk9SR5yF9crJZw
</t>
      </text>
    </comment>
    <comment authorId="1905" xr:uid="{ad576643-68fd-46a8-bb61-7e880d23af5c}" ref="J127">
      <text>
        <t xml:space="preserve">[Threaded comment]
 Your version of Excel allows you to read this threaded comment; however, any edits to it will get removed if the file is opened in a newer version of Excel. Learn more: https://go.microsoft.com/fwlink/?linkid=870924
Comment:
	https://drive.google.com/file/d/1eG9eY8bGxPJTJCSURF3lyBoChlEEFkIW/view?usp=drive_link
</t>
      </text>
    </comment>
    <comment authorId="1906" xr:uid="{ad5b1039-165f-453f-88bf-e3f24c2676d1}" ref="W182">
      <text>
        <t xml:space="preserve">[Threaded comment]
 Your version of Excel allows you to read this threaded comment; however, any edits to it will get removed if the file is opened in a newer version of Excel. Learn more: https://go.microsoft.com/fwlink/?linkid=870924
Comment:
	https://drive.google.com/file/d/1PzVg8AzPNdVGbv3W1QdwObwqwQmmX_Nv/view?usp=drive_link
</t>
      </text>
    </comment>
    <comment authorId="1907" xr:uid="{adca4fc4-a538-4f7e-ad1e-43ad169c4d86}" ref="J219">
      <text>
        <t xml:space="preserve">[Threaded comment]
 Your version of Excel allows you to read this threaded comment; however, any edits to it will get removed if the file is opened in a newer version of Excel. Learn more: https://go.microsoft.com/fwlink/?linkid=870924
Comment:
	https://drive.google.com/file/d/1SFh9mN2deFMST4a3T1cAfI0cQoF9XwYp/view?usp=drive_link
</t>
      </text>
    </comment>
    <comment authorId="1908" xr:uid="{ae024c77-167d-40ec-a56a-239f7af4aa2a}" ref="AF786">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1909" xr:uid="{ae33891a-a401-4ab1-950b-e5b5923108c4}" ref="C79">
      <text>
        <t xml:space="preserve">[Threaded comment]
 Your version of Excel allows you to read this threaded comment; however, any edits to it will get removed if the file is opened in a newer version of Excel. Learn more: https://go.microsoft.com/fwlink/?linkid=870924
Comment:
	https://www.ebay.com/itm/297272518971?_skw=scar+18&amp;itmmeta=01JWKXTSVBXHEPEB3E2YZKVNQA&amp;hash=item4536d2a93b%3Ag%3Ad8EAAeSw0c5oN3l3&amp;itmprp=enc%3AAQAKAAAA4FkggFvd1GGDu0w3yXCmi1eioiyqntLV3fM%2FU40UaKWvFDhfhacCpnory7joP%2BRTgG8MlJDPIQWV4dWbys4WpcRvdkrvZ2nBwBQFaIB851H2GCkXsIK6i2m0lr%2Fh9oplfGPXE%2Fu0A81Z44BBkCgaEV0OL6qafl2L8GPtI0uUX1DfCkm8rPukVNpbjcTtAPN4XRoMo6mPQNHUZr0z%2Ft1kf3kV1q%2Fi%2FgZS9Kg6V5RO%2B74lGq1TZeqb3rO432hTltxRqzHhbrngYtjjmBYPm9Hib%2BGEhOUuBjHCCBh07kisqNpv%7Ctkp%3ABk9SR-6d6_3kZQ&amp;LH_ItemCondition=1000
</t>
      </text>
    </comment>
    <comment authorId="1910" xr:uid="{ae504d4c-6cee-4dcb-a852-a7bcf16e9caa}" ref="W278">
      <text>
        <t xml:space="preserve">[Threaded comment]
 Your version of Excel allows you to read this threaded comment; however, any edits to it will get removed if the file is opened in a newer version of Excel. Learn more: https://go.microsoft.com/fwlink/?linkid=870924
Comment:
	https://drive.google.com/file/d/1f8zmLcTKA53_BPZxtqsmaPzYYkCg-laW/view?usp=drive_link
</t>
      </text>
    </comment>
    <comment authorId="1911" xr:uid="{ae530da8-e7ea-422d-839b-0e64e30bedb9}" ref="J94">
      <text>
        <t xml:space="preserve">[Threaded comment]
 Your version of Excel allows you to read this threaded comment; however, any edits to it will get removed if the file is opened in a newer version of Excel. Learn more: https://go.microsoft.com/fwlink/?linkid=870924
Comment:
	https://drive.google.com/file/d/11VmI4xMINEx5f_3QCP2SkCi2dAXp_MIZ/view?usp=drive_link
</t>
      </text>
    </comment>
    <comment authorId="1912" xr:uid="{ae7215b4-7490-4c61-9b7b-fc802a6bc28f}" ref="J625">
      <text>
        <t xml:space="preserve">[Threaded comment]
 Your version of Excel allows you to read this threaded comment; however, any edits to it will get removed if the file is opened in a newer version of Excel. Learn more: https://go.microsoft.com/fwlink/?linkid=870924
Comment:
	https://drive.google.com/file/d/1Oqfslz8fUUyy1S4K-WIlkcx-Gxi56vi-/view?usp=drive_link
</t>
      </text>
    </comment>
    <comment authorId="1913" xr:uid="{ae7e27bb-dd60-4053-9bc9-36c1dfb5690d}" ref="J584">
      <text>
        <t xml:space="preserve">[Threaded comment]
 Your version of Excel allows you to read this threaded comment; however, any edits to it will get removed if the file is opened in a newer version of Excel. Learn more: https://go.microsoft.com/fwlink/?linkid=870924
Comment:
	https://drive.google.com/file/d/1UYN9D56dwCoubyFVxQqonA9P7Uv18QVg/view?usp=drive_link
</t>
      </text>
    </comment>
    <comment authorId="1914" xr:uid="{ae8949b3-f3c0-4c77-a69c-63402b9e9e38}" ref="W207">
      <text>
        <t xml:space="preserve">[Threaded comment]
 Your version of Excel allows you to read this threaded comment; however, any edits to it will get removed if the file is opened in a newer version of Excel. Learn more: https://go.microsoft.com/fwlink/?linkid=870924
Comment:
	https://drive.google.com/file/d/1jl0qAp9y0zQodYsXNsjVe--gr6Zo_M36/view?usp=drive_link
</t>
      </text>
    </comment>
    <comment authorId="1915" xr:uid="{ae96d854-399c-4c3d-9fef-4d3e5c13415e}" ref="J511">
      <text>
        <t xml:space="preserve">[Threaded comment]
 Your version of Excel allows you to read this threaded comment; however, any edits to it will get removed if the file is opened in a newer version of Excel. Learn more: https://go.microsoft.com/fwlink/?linkid=870924
Comment:
	https://drive.google.com/file/d/1nArZri8mPPbgY1eq_cBNGNf6iJPHAl6s/view?usp=drive_link
</t>
      </text>
    </comment>
    <comment authorId="1916" xr:uid="{aea48335-d316-4f16-a0b4-4a87327e6019}" ref="W319">
      <text>
        <t xml:space="preserve">[Threaded comment]
 Your version of Excel allows you to read this threaded comment; however, any edits to it will get removed if the file is opened in a newer version of Excel. Learn more: https://go.microsoft.com/fwlink/?linkid=870924
Comment:
	https://drive.google.com/file/d/1GApoycQ8dZQ5TBN1sA63pCFNGPb61pH7/view?usp=drive_link
</t>
      </text>
    </comment>
    <comment authorId="1917" xr:uid="{aedbca38-a889-4d83-b097-adc3917d56f9}" ref="C202">
      <text>
        <t xml:space="preserve">[Threaded comment]
 Your version of Excel allows you to read this threaded comment; however, any edits to it will get removed if the file is opened in a newer version of Excel. Learn more: https://go.microsoft.com/fwlink/?linkid=870924
Comment:
	https://www.amazon.com/-/es/Katana-15-6-165Hz-Port%C3%A1til-juegos/dp/B0DZFVBQLK/ref=sr_1_18?__mk_es_US=%C3%85M%C3%85%C5%BD%C3%95%C3%91&amp;crid=IZ6L6RCYV7P8&amp;dib=eyJ2IjoiMSJ9.t9eIAk3DVr2UwUtPDx2daJw5DaZCugFB-xtDCHSL0pNPn5LxpVIex9HxgahZF0oFkxtnDeh9Eu1ndO2vcEYye4YYcxkoyoS17R5JxqkevkRLA4C_ZflOR-fidEZGK6aKn7xPjcpE4Y3shppX4WbWRNn1tmEAhOizMtJkl4OsN_2y34lNu2_jVWfNPw34aaD4.UIZ66AZ4DKy_rKinJzTv8Zx8FZbG53hpLYf5K2ImMWE&amp;dib_tag=se&amp;keywords=laptop%2Bgaming&amp;qid=1756204688&amp;sprefix=laptop%2Bgaming%2Caps%2C175&amp;sr=8-18&amp;xpid=rTXsMsfkiooxR&amp;th=1
</t>
      </text>
    </comment>
    <comment authorId="1918" xr:uid="{aee425c9-d758-4794-a9d5-07a8e6b19fc3}" ref="J384">
      <text>
        <t xml:space="preserve">[Threaded comment]
 Your version of Excel allows you to read this threaded comment; however, any edits to it will get removed if the file is opened in a newer version of Excel. Learn more: https://go.microsoft.com/fwlink/?linkid=870924
Comment:
	https://drive.google.com/file/d/1wITYlJ3Br8LFySM4Zh8kbiZEjpIsf8xs/view?usp=drive_link
</t>
      </text>
    </comment>
    <comment authorId="1919" xr:uid="{af0df5dc-41bb-4656-947d-391b8e51c001}" ref="K518">
      <text>
        <t xml:space="preserve">[Threaded comment]
 Your version of Excel allows you to read this threaded comment; however, any edits to it will get removed if the file is opened in a newer version of Excel. Learn more: https://go.microsoft.com/fwlink/?linkid=870924
Comment:
	https://drive.google.com/file/d/1bejD-WPFBzD0F5chL1dj_Yg-peIGcAR-/view?usp=drive_link
Reply:
	https://drive.google.com/file/d/1z1gEAYkTv_pZ3AKszBoijl9ahAQUTy5E/view?usp=drive_link
</t>
      </text>
    </comment>
    <comment authorId="1920" xr:uid="{af144b1d-f621-4722-b9b7-a7ec5eba2932}" ref="AF44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921" xr:uid="{af2244b2-6ea0-4b00-9d22-948e7f2756be}" ref="W384">
      <text>
        <t xml:space="preserve">[Threaded comment]
 Your version of Excel allows you to read this threaded comment; however, any edits to it will get removed if the file is opened in a newer version of Excel. Learn more: https://go.microsoft.com/fwlink/?linkid=870924
Comment:
	https://drive.google.com/file/d/1FBVU1mXTNLmSO5xgnqnSUMV-LIzJ6zbL/view?usp=drive_link
</t>
      </text>
    </comment>
    <comment authorId="1922" xr:uid="{af23f0bf-bf6f-4ece-bbca-1deb6f21823f}" ref="C71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1923" xr:uid="{af7f7f68-e499-4350-80c0-8ced6e584123}" ref="F390">
      <text>
        <t xml:space="preserve">[Threaded comment]
 Your version of Excel allows you to read this threaded comment; however, any edits to it will get removed if the file is opened in a newer version of Excel. Learn more: https://go.microsoft.com/fwlink/?linkid=870924
Comment:
	no lo encuentro
</t>
      </text>
    </comment>
    <comment authorId="1924" xr:uid="{af8782dc-e759-4d10-827e-a8d254c830c0}" ref="J428">
      <text>
        <t xml:space="preserve">[Threaded comment]
 Your version of Excel allows you to read this threaded comment; however, any edits to it will get removed if the file is opened in a newer version of Excel. Learn more: https://go.microsoft.com/fwlink/?linkid=870924
Comment:
	https://drive.google.com/file/d/1tFc5QiLGqE_v0U0RUYnSZYYUrA6S8yu0/view?usp=drive_link
</t>
      </text>
    </comment>
    <comment authorId="1925" xr:uid="{afbafc57-a7cd-4646-a1a4-d4467f1a815a}" ref="C52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https://www.microcenter.com/product/695522/dell-alienware-18-area-51-aa18250-18-gaming-laptop-computer-liquid-teal#photogroup-4
</t>
      </text>
    </comment>
    <comment authorId="1926" xr:uid="{afcf12e7-47cf-4743-bd18-418f0ce69f73}" ref="J594">
      <text>
        <t xml:space="preserve">[Threaded comment]
 Your version of Excel allows you to read this threaded comment; however, any edits to it will get removed if the file is opened in a newer version of Excel. Learn more: https://go.microsoft.com/fwlink/?linkid=870924
Comment:
	https://drive.google.com/file/d/1nbyLRPlQMXOaKYaNrpkDFNk6X_FPMkcY/view?usp=drive_link
</t>
      </text>
    </comment>
    <comment authorId="1927" xr:uid="{afd791e7-6cf4-4fc1-a1d6-61f122767406}" ref="L73">
      <text>
        <t xml:space="preserve">[Threaded comment]
 Your version of Excel allows you to read this threaded comment; however, any edits to it will get removed if the file is opened in a newer version of Excel. Learn more: https://go.microsoft.com/fwlink/?linkid=870924
Comment:
	https://drive.google.com/file/d/1cTYbpZX34dt8_90791IF6bo-tD9XZQ8h/view?usp=drive_link
</t>
      </text>
    </comment>
    <comment authorId="1928" xr:uid="{afdd53e4-8f04-4144-9643-cdaa2c9ccffc}" ref="C92">
      <text>
        <t xml:space="preserve">[Threaded comment]
 Your version of Excel allows you to read this threaded comment; however, any edits to it will get removed if the file is opened in a newer version of Excel. Learn more: https://go.microsoft.com/fwlink/?linkid=870924
Comment:
	https://www.amazon.com/UGREEN-Nexode-Pro-Cargador-Pixelbook/dp/B0CCVQB7MY/ref=sxin_16_pa_sp_search_thematic_sspa?content-id=amzn1.sym.2da95b6c-f59a-4699-bc43-d0ff036c6388%3Aamzn1.sym.2da95b6c-f59a-4699-bc43-d0ff036c6388&amp;crid=VI08MHY3XJBJ&amp;cv_ct_cx=100w+type+c+charger&amp;keywords=cargador+100w+tipo+c&amp;pd_rd_i=B0CCVQB7MY&amp;pd_rd_r=cfa4a3f9-5289-4e85-a446-dcb234b70a0a&amp;pd_rd_w=tK4wc&amp;pd_rd_wg=RJGAE&amp;pf_rd_p=2da95b6c-f59a-4699-bc43-d0ff036c6388&amp;pf_rd_r=9C47MZXGSR41KD2036DM&amp;qid=1749248426&amp;s=electronics&amp;sbo=9ZOMT9Jm0JH%2Ft%2BWi68iDSA%3D%3D&amp;sprefix=cargador+100%2Celectronics%2C227&amp;sr=1-3-6024b2a3-78e4-4fed-8fed-e1613be3bcce-spons&amp;sp_csd=d2lkZ2V0TmFtZT1zcF9zZWFyY2hfdGhlbWF0aWM&amp;psc=1
</t>
      </text>
    </comment>
    <comment authorId="1929" xr:uid="{b0023b58-7e18-4022-8770-0b99fcc9329b}" ref="J798">
      <text>
        <t xml:space="preserve">[Threaded comment]
 Your version of Excel allows you to read this threaded comment; however, any edits to it will get removed if the file is opened in a newer version of Excel. Learn more: https://go.microsoft.com/fwlink/?linkid=870924
Comment:
	abono en oficina en efectivo
</t>
      </text>
    </comment>
    <comment authorId="1930" xr:uid="{b02152d7-4be7-4bac-8472-7d5f173c9cfa}" ref="AF330">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931" xr:uid="{b041f355-7865-4bcd-b1d4-8b387df3f810}" ref="F496">
      <text>
        <t xml:space="preserve">[Threaded comment]
 Your version of Excel allows you to read this threaded comment; however, any edits to it will get removed if the file is opened in a newer version of Excel. Learn more: https://go.microsoft.com/fwlink/?linkid=870924
Comment:
	Procesando
</t>
      </text>
    </comment>
    <comment authorId="1932" xr:uid="{b069a6fe-8a39-4ce8-adb8-aed8277701b7}" ref="J779">
      <text>
        <t xml:space="preserve">[Threaded comment]
 Your version of Excel allows you to read this threaded comment; however, any edits to it will get removed if the file is opened in a newer version of Excel. Learn more: https://go.microsoft.com/fwlink/?linkid=870924
Comment:
	https://drive.google.com/file/d/1TeRDcIVP1BjOAblNr99qTlNIQtHCfBKI/view?usp=drive_link
</t>
      </text>
    </comment>
    <comment authorId="1933" xr:uid="{b0943ea1-22f4-45f7-a777-8c21927d5d65}" ref="J536">
      <text>
        <t xml:space="preserve">[Threaded comment]
 Your version of Excel allows you to read this threaded comment; however, any edits to it will get removed if the file is opened in a newer version of Excel. Learn more: https://go.microsoft.com/fwlink/?linkid=870924
Comment:
	https://drive.google.com/file/d/1oQVn3lhtW8jEO1i-wURPuauC-UyC0LTV/view?usp=drive_link
</t>
      </text>
    </comment>
    <comment authorId="1934" xr:uid="{b09d38c6-c28f-412c-b84c-ce3a1b23b996}" ref="J591">
      <text>
        <t xml:space="preserve">[Threaded comment]
 Your version of Excel allows you to read this threaded comment; however, any edits to it will get removed if the file is opened in a newer version of Excel. Learn more: https://go.microsoft.com/fwlink/?linkid=870924
Comment:
	https://drive.google.com/file/d/14QIuxt6EAoiCEx9-2lAKi4GGqjzzqa5l/view?usp=drive_link
</t>
      </text>
    </comment>
    <comment authorId="1935" xr:uid="{b0be4b50-4921-4760-bfa9-21bb07c9e30d}" ref="J233">
      <text>
        <t xml:space="preserve">[Threaded comment]
 Your version of Excel allows you to read this threaded comment; however, any edits to it will get removed if the file is opened in a newer version of Excel. Learn more: https://go.microsoft.com/fwlink/?linkid=870924
Comment:
	https://drive.google.com/file/d/1wsRvUa7yUXKj-jSTa4Ful00j--1w0gdi/view?usp=drive_link
</t>
      </text>
    </comment>
    <comment authorId="1936" xr:uid="{b0db761e-692e-4f87-bb02-a351e5ec1b90}" ref="W312">
      <text>
        <t xml:space="preserve">[Threaded comment]
 Your version of Excel allows you to read this threaded comment; however, any edits to it will get removed if the file is opened in a newer version of Excel. Learn more: https://go.microsoft.com/fwlink/?linkid=870924
Comment:
	https://drive.google.com/file/d/1vpOv1ktD2dzAZUles7Q0cF5MbYM479Sb/view?usp=drive_link
</t>
      </text>
    </comment>
    <comment authorId="1937" xr:uid="{b0fee260-2b52-4fc8-940f-f6ff6973743b}" ref="D244">
      <text>
        <t xml:space="preserve">[Threaded comment]
 Your version of Excel allows you to read this threaded comment; however, any edits to it will get removed if the file is opened in a newer version of Excel. Learn more: https://go.microsoft.com/fwlink/?linkid=870924
Comment:
	Alex Yefry Yepez Huaquisto 
72843033
979681174 
topris1000@outlook.com
</t>
      </text>
    </comment>
    <comment authorId="1938" xr:uid="{b0fee61c-2f47-40f5-b4cb-587b5b1ce61e}" ref="C547">
      <text>
        <t xml:space="preserve">[Threaded comment]
 Your version of Excel allows you to read this threaded comment; however, any edits to it will get removed if the file is opened in a newer version of Excel. Learn more: https://go.microsoft.com/fwlink/?linkid=870924
Comment:
	https://www.ebay.com/itm/326645194194?_skw=laptop+gaming&amp;itmmeta=01KHN5B21NJAPN9X1T7MRSM0SK&amp;hash=item4c0d921dd2:g:hecAAeSwI1ZpjuU3
</t>
      </text>
    </comment>
    <comment authorId="1939" xr:uid="{b10b32c2-342a-4328-b2e6-b7474cf066dc}" ref="L292">
      <text>
        <t xml:space="preserve">[Threaded comment]
 Your version of Excel allows you to read this threaded comment; however, any edits to it will get removed if the file is opened in a newer version of Excel. Learn more: https://go.microsoft.com/fwlink/?linkid=870924
Comment:
	https://drive.google.com/file/d/1fSyFZyj_afauUVJN3Ge8ycixD76dcZIO/view?usp=drive_link
</t>
      </text>
    </comment>
    <comment authorId="1940" xr:uid="{b1258987-11b3-47ee-a5c9-a96098506076}" ref="J467">
      <text>
        <t xml:space="preserve">[Threaded comment]
 Your version of Excel allows you to read this threaded comment; however, any edits to it will get removed if the file is opened in a newer version of Excel. Learn more: https://go.microsoft.com/fwlink/?linkid=870924
Comment:
	https://drive.google.com/file/d/1O_B3ilN1dWvVBRRN11d55LHrFKhl1f1L/view?usp=drive_link
</t>
      </text>
    </comment>
    <comment authorId="1941" xr:uid="{b14445aa-6654-476d-86d2-87ab891e9d78}" ref="K781">
      <text>
        <t xml:space="preserve">[Threaded comment]
 Your version of Excel allows you to read this threaded comment; however, any edits to it will get removed if the file is opened in a newer version of Excel. Learn more: https://go.microsoft.com/fwlink/?linkid=870924
Comment:
	https://drive.google.com/file/d/1UJxObhHDFGmcH_2NlrDD4oQnfzrtszeh/view?usp=drive_link
Reply:
	https://drive.google.com/file/d/1jwl4RoNVbwKKXrM8NsoubXVlo8CIiqDq/view?usp=drive_link
</t>
      </text>
    </comment>
    <comment authorId="1942" xr:uid="{b14ec05e-f2c9-4762-99f6-9c5b56ac741e}" ref="AF734">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943" xr:uid="{b15e156f-a03f-4044-a16b-0594ec42f758}" ref="K537">
      <text>
        <t xml:space="preserve">[Threaded comment]
 Your version of Excel allows you to read this threaded comment; however, any edits to it will get removed if the file is opened in a newer version of Excel. Learn more: https://go.microsoft.com/fwlink/?linkid=870924
Comment:
	https://drive.google.com/file/d/1IrWsSo4SIbvzjg0PG4O1yvw0Sst6ylvm/view?usp=drive_link
</t>
      </text>
    </comment>
    <comment authorId="1944" xr:uid="{b183417b-6c24-4819-aadf-cacddee76632}" ref="J281">
      <text>
        <t xml:space="preserve">[Threaded comment]
 Your version of Excel allows you to read this threaded comment; however, any edits to it will get removed if the file is opened in a newer version of Excel. Learn more: https://go.microsoft.com/fwlink/?linkid=870924
Comment:
	https://drive.google.com/file/d/1sDYZU9i1j9UisTs8hAZmqWYvU6O-Dnhz/view?usp=drive_link
</t>
      </text>
    </comment>
    <comment authorId="1945" xr:uid="{b1ecc1f4-1774-4ae3-b1d9-1ca93d4107ea}" ref="W287">
      <text>
        <t xml:space="preserve">[Threaded comment]
 Your version of Excel allows you to read this threaded comment; however, any edits to it will get removed if the file is opened in a newer version of Excel. Learn more: https://go.microsoft.com/fwlink/?linkid=870924
Comment:
	https://drive.google.com/file/d/1gg1RjgdO1m-cPjSaMgKpHghSvuDPHpW9/view?usp=drive_link
</t>
      </text>
    </comment>
    <comment authorId="1946" xr:uid="{b222f3f5-cad1-44db-bea3-b68853559824}" ref="L290">
      <text>
        <t xml:space="preserve">[Threaded comment]
 Your version of Excel allows you to read this threaded comment; however, any edits to it will get removed if the file is opened in a newer version of Excel. Learn more: https://go.microsoft.com/fwlink/?linkid=870924
Comment:
	https://drive.google.com/file/d/1W0751Cw7UMUmIcQvOIDTbph-rXmj8Vj9/view?usp=drive_link
</t>
      </text>
    </comment>
    <comment authorId="1947" xr:uid="{b228cbed-c65e-4d56-8896-f6779fb9d11e}" ref="AF406">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1948" xr:uid="{b2414602-56e3-4a61-950f-3bf00c243dfa}" ref="K655">
      <text>
        <t xml:space="preserve">[Threaded comment]
 Your version of Excel allows you to read this threaded comment; however, any edits to it will get removed if the file is opened in a newer version of Excel. Learn more: https://go.microsoft.com/fwlink/?linkid=870924
Comment:
	https://drive.google.com/file/d/1FP_6UIqpQ3eoHO9XH4f3w8KPojcA5dor/view?usp=drive_link
</t>
      </text>
    </comment>
    <comment authorId="1949" xr:uid="{b243210c-d63b-4f3b-b685-80d3264349b4}" ref="J568">
      <text>
        <t xml:space="preserve">[Threaded comment]
 Your version of Excel allows you to read this threaded comment; however, any edits to it will get removed if the file is opened in a newer version of Excel. Learn more: https://go.microsoft.com/fwlink/?linkid=870924
Comment:
	https://drive.google.com/file/d/1nq8XuawQNN-PQZ9F8rp0MKnLKJzEq0LK/view?usp=drive_link
</t>
      </text>
    </comment>
    <comment authorId="1950" xr:uid="{b26fe346-530c-450c-89e2-649c112af95e}" ref="J123">
      <text>
        <t xml:space="preserve">[Threaded comment]
 Your version of Excel allows you to read this threaded comment; however, any edits to it will get removed if the file is opened in a newer version of Excel. Learn more: https://go.microsoft.com/fwlink/?linkid=870924
Comment:
	https://drive.google.com/file/d/1GPV0b-bIQhr8DrRDFw0bKuTHDeReNrOP/view?usp=drive_link
</t>
      </text>
    </comment>
    <comment authorId="1951" xr:uid="{b277f59e-defb-4940-a7c0-4bcce7827fe6}" ref="V308">
      <text>
        <t xml:space="preserve">[Threaded comment]
 Your version of Excel allows you to read this threaded comment; however, any edits to it will get removed if the file is opened in a newer version of Excel. Learn more: https://go.microsoft.com/fwlink/?linkid=870924
Comment:
	esta a nombre de LUIS PINEDO
</t>
      </text>
    </comment>
    <comment authorId="1952" xr:uid="{b27993ab-3e27-448d-8cd8-baca97d676a4}" ref="AF335">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1953" xr:uid="{b27dfe2c-ce58-430e-b819-fa8bda735b42}" ref="J477">
      <text>
        <t xml:space="preserve">[Threaded comment]
 Your version of Excel allows you to read this threaded comment; however, any edits to it will get removed if the file is opened in a newer version of Excel. Learn more: https://go.microsoft.com/fwlink/?linkid=870924
Comment:
	https://drive.google.com/file/d/1QQhw60qEN8A37P-AGHw1s5jy2Bd-p9XC/view?usp=drive_link
</t>
      </text>
    </comment>
    <comment authorId="1954" xr:uid="{b280ecc8-91d0-41f7-ac7b-03d8b80e4b81}" ref="K510">
      <text>
        <t xml:space="preserve">[Threaded comment]
 Your version of Excel allows you to read this threaded comment; however, any edits to it will get removed if the file is opened in a newer version of Excel. Learn more: https://go.microsoft.com/fwlink/?linkid=870924
Comment:
	https://drive.google.com/file/d/10XRrcf4YJ5896R3f3gBCp3VGu_g8Kd1I/view?usp=drive_link
</t>
      </text>
    </comment>
    <comment authorId="1955" xr:uid="{b29ef2a8-6854-4356-bc7a-0a31bdc2a5a3}" ref="A1">
      <text>
        <t xml:space="preserve">[Threaded comment]
 Your version of Excel allows you to read this threaded comment; however, any edits to it will get removed if the file is opened in a newer version of Excel. Learn more: https://go.microsoft.com/fwlink/?linkid=870924
Comment:
	https://www.ebay.com/itm/167641074088?_skw=rtx&amp;itmmeta=01K1CTZQE1WZG9DJEE4TFWE7WE&amp;hash=item27082fc9a8%3Ag%3AC%7EUAAeSwoAdoiZTA&amp;LH_ItemCondition=1000
</t>
      </text>
    </comment>
    <comment authorId="1956" xr:uid="{b2a550af-6b8b-4d55-93f9-a69cf3031d1d}" ref="K644">
      <text>
        <t xml:space="preserve">[Threaded comment]
 Your version of Excel allows you to read this threaded comment; however, any edits to it will get removed if the file is opened in a newer version of Excel. Learn more: https://go.microsoft.com/fwlink/?linkid=870924
Comment:
	https://drive.google.com/file/d/1N1hZRqokmIgfLNZtlAh7k4b77piGk53u/view?usp=drive_link
</t>
      </text>
    </comment>
    <comment authorId="1957" xr:uid="{b2b3ce51-bed6-4728-8f8f-1da7ebf299a7}" ref="J703">
      <text>
        <t xml:space="preserve">[Threaded comment]
 Your version of Excel allows you to read this threaded comment; however, any edits to it will get removed if the file is opened in a newer version of Excel. Learn more: https://go.microsoft.com/fwlink/?linkid=870924
Comment:
	https://drive.google.com/file/d/1IMwJNgQmH9himySoIYkQPfhPt4zwD6AK/view?usp=drive_link
</t>
      </text>
    </comment>
    <comment authorId="1958" xr:uid="{b2bb62f0-9fee-466b-bd16-04aa860fe61a}" ref="W144">
      <text>
        <t xml:space="preserve">[Threaded comment]
 Your version of Excel allows you to read this threaded comment; however, any edits to it will get removed if the file is opened in a newer version of Excel. Learn more: https://go.microsoft.com/fwlink/?linkid=870924
Comment:
	https://drive.google.com/file/d/1BKfG5X23EgDvDuXm1VuGKv3pNyfDcOig/view?usp=drive_link
</t>
      </text>
    </comment>
    <comment authorId="1959" xr:uid="{b2cda89e-49a3-4574-984e-32ecda1a7898}" ref="AF173">
      <text>
        <t xml:space="preserve">[Threaded comment]
 Your version of Excel allows you to read this threaded comment; however, any edits to it will get removed if the file is opened in a newer version of Excel. Learn more: https://go.microsoft.com/fwlink/?linkid=870924
Comment:
	comprobar precio y boleta
</t>
      </text>
    </comment>
    <comment authorId="1960" xr:uid="{b2d2031a-8e32-4275-93a2-2888b8e5d088}" ref="C769">
      <text>
        <t xml:space="preserve">[Threaded comment]
 Your version of Excel allows you to read this threaded comment; however, any edits to it will get removed if the file is opened in a newer version of Excel. Learn more: https://go.microsoft.com/fwlink/?linkid=870924
Comment:
	https://www.amazon.com/Apple-Laptop-MacBook-2026-pulgadas/dp/B0GR114BV7/ref=sr_1_1_sspa?__mk_es_US=%C3%85M%C3%85%C5%BD%C3%95%C3%91&amp;crid=2WO013FN205JL&amp;dib=eyJ2IjoiMSJ9.YeU3G8niAgIoUALlYUhrCfST4bgzTqnvTR_m12vL1sFIr2iZtp0j6p3N77oz07MKZAMatT5aV1qCS5Nxwu929GGiTTHmZb4QfYKnoJEXNJR7ECDP3mRoxOstfALExH2nDmqZ0h0QLPOcmqQhtgoIW1eNhg8CIYu0L7B7YbgohmZlAM4329XNqddhDPm0dYFqrJg4JKIo-mU0nUX68kThEE_LM9TwfqiTLF_0TiS6wXLLSJl_Xdy5hSmtKFUUSriD5C5B30seaNwSEsLQdrwo_tpfO4csJvNLNq-PoocLFLY._5ZusdbP1LPg6TsPqMuJlplY8RQ0lWI7LOpJs-AT10Q&amp;dib_tag=se&amp;keywords=macbook%2Bair&amp;qid=1780098636&amp;s=electronics&amp;sprefix=macbook%2Bair%2B%2Celectronics%2C222&amp;sr=1-1-spons&amp;sp_csd=d2lkZ2V0TmFtZT1zcF9hdGY&amp;th=1
</t>
      </text>
    </comment>
    <comment authorId="1961" xr:uid="{b2e1f249-852b-4c01-9056-5cfa061e5ccb}" ref="Q722">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1962" xr:uid="{b30003a0-6d71-4250-bec9-cee23e23bedc}" ref="J286">
      <text>
        <t xml:space="preserve">[Threaded comment]
 Your version of Excel allows you to read this threaded comment; however, any edits to it will get removed if the file is opened in a newer version of Excel. Learn more: https://go.microsoft.com/fwlink/?linkid=870924
Comment:
	https://drive.google.com/file/d/1Xjyh2uT56u39rZ8xJHobXp2ahQOtdZ2k/view?usp=drive_link
</t>
      </text>
    </comment>
    <comment authorId="1963" xr:uid="{b31b3114-7d63-4329-a124-69ef4063d014}" ref="AF694">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1964" xr:uid="{b3373809-b8f9-42ac-9884-15626d1adab0}" ref="AF179">
      <text>
        <t xml:space="preserve">[Threaded comment]
 Your version of Excel allows you to read this threaded comment; however, any edits to it will get removed if the file is opened in a newer version of Excel. Learn more: https://go.microsoft.com/fwlink/?linkid=870924
Comment:
	preguntar fixit y boleta
</t>
      </text>
    </comment>
    <comment authorId="1965" xr:uid="{b33ca40c-d831-4032-88b1-f910ef441b51}" ref="M329">
      <text>
        <t xml:space="preserve">[Threaded comment]
 Your version of Excel allows you to read this threaded comment; however, any edits to it will get removed if the file is opened in a newer version of Excel. Learn more: https://go.microsoft.com/fwlink/?linkid=870924
Comment:
	todavía no ponen el precio en el sheet
</t>
      </text>
    </comment>
    <comment authorId="1966" xr:uid="{b345da53-dc42-49ae-be59-ff055243039d}" ref="K540">
      <text>
        <t xml:space="preserve">[Threaded comment]
 Your version of Excel allows you to read this threaded comment; however, any edits to it will get removed if the file is opened in a newer version of Excel. Learn more: https://go.microsoft.com/fwlink/?linkid=870924
Comment:
	https://drive.google.com/file/d/1t-kd9qL8KaFXf-YbcMxcv8i4i-K4HUgj/view?usp=drive_link
Reply:
	el excedente es por la compra de una memoria
</t>
      </text>
    </comment>
    <comment authorId="1967" xr:uid="{b347fc7b-33c4-4f05-a06e-94d56fc2fb25}" ref="K753">
      <text>
        <t xml:space="preserve">[Threaded comment]
 Your version of Excel allows you to read this threaded comment; however, any edits to it will get removed if the file is opened in a newer version of Excel. Learn more: https://go.microsoft.com/fwlink/?linkid=870924
Comment:
	https://drive.google.com/file/d/1gaezE47w2DWPqga13V4ITquq-6aZ5LP_/view?usp=drive_link
</t>
      </text>
    </comment>
    <comment authorId="1968" xr:uid="{b354a716-a6be-4c67-b25f-24c7f7b13438}" ref="AI735">
      <text>
        <t xml:space="preserve">[Threaded comment]
 Your version of Excel allows you to read this threaded comment; however, any edits to it will get removed if the file is opened in a newer version of Excel. Learn more: https://go.microsoft.com/fwlink/?linkid=870924
Comment:
	https://drive.google.com/file/d/1KIV6WVLp03TXBcBiKbgnh0B1L84O2Nkq/view?usp=drive_link
</t>
      </text>
    </comment>
    <comment authorId="1969" xr:uid="{b387fe55-6349-45f4-bb70-c4478ee5d92f}" ref="J249">
      <text>
        <t xml:space="preserve">[Threaded comment]
 Your version of Excel allows you to read this threaded comment; however, any edits to it will get removed if the file is opened in a newer version of Excel. Learn more: https://go.microsoft.com/fwlink/?linkid=870924
Comment:
	https://drive.google.com/file/d/1aUTqland9F80UCMrStXJogUhY-TnaUDj/view?usp=drive_link
</t>
      </text>
    </comment>
    <comment authorId="1970" xr:uid="{b392be30-11aa-4f84-8b32-8baeb8aa3859}" ref="K360">
      <text>
        <t xml:space="preserve">[Threaded comment]
 Your version of Excel allows you to read this threaded comment; however, any edits to it will get removed if the file is opened in a newer version of Excel. Learn more: https://go.microsoft.com/fwlink/?linkid=870924
Comment:
	https://drive.google.com/file/d/1sUjjsZOFkW41q1maQe72DX3roZg1KKfK/view?usp=drive_link
</t>
      </text>
    </comment>
    <comment authorId="1971" xr:uid="{b396d47c-6e86-4e06-80c8-fa524834e9ad}" ref="C72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1972" xr:uid="{b39ecb6c-640f-4f0f-91e3-4f0efa9f3796}" ref="J540">
      <text>
        <t xml:space="preserve">[Threaded comment]
 Your version of Excel allows you to read this threaded comment; however, any edits to it will get removed if the file is opened in a newer version of Excel. Learn more: https://go.microsoft.com/fwlink/?linkid=870924
Comment:
	https://drive.google.com/file/d/1aSEPEDe6FeGw_K--xK1_-QQai_s2pzzK/view?usp=drive_link
</t>
      </text>
    </comment>
    <comment authorId="1973" xr:uid="{b3a1ef29-65dc-404e-b937-5f7b90ee1ab6}" ref="AF550">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1974" xr:uid="{b3b3e6bc-c6af-4220-a422-f1da5f5c41db}" ref="J234">
      <text>
        <t xml:space="preserve">[Threaded comment]
 Your version of Excel allows you to read this threaded comment; however, any edits to it will get removed if the file is opened in a newer version of Excel. Learn more: https://go.microsoft.com/fwlink/?linkid=870924
Comment:
	https://drive.google.com/file/d/1BmMdaynzJziagPEtrQvnhOgqwh5lmKER/view?usp=drive_link
</t>
      </text>
    </comment>
    <comment authorId="1975" xr:uid="{b3c886b2-bc8f-4d99-9c89-3a390f6ec205}" ref="J195">
      <text>
        <t xml:space="preserve">[Threaded comment]
 Your version of Excel allows you to read this threaded comment; however, any edits to it will get removed if the file is opened in a newer version of Excel. Learn more: https://go.microsoft.com/fwlink/?linkid=870924
Comment:
	https://drive.google.com/file/d/1Ht1qA_BiXe29_EldLKMsmF3dEPlSO_7t/view?usp=drive_link
</t>
      </text>
    </comment>
    <comment authorId="1976" xr:uid="{b3dbb165-6250-47a0-b7a4-ffccaee951d0}" ref="K756">
      <text>
        <t xml:space="preserve">[Threaded comment]
 Your version of Excel allows you to read this threaded comment; however, any edits to it will get removed if the file is opened in a newer version of Excel. Learn more: https://go.microsoft.com/fwlink/?linkid=870924
Comment:
	https://drive.google.com/file/d/17gzV3f6eod8iQjmQEan61H_0DWowvPuq/view?usp=drive_link
https://drive.google.com/file/d/1o7EgKn6lu-Bj6Taf7-L6u1SEG0l_1gWu/view?usp=drive_link
</t>
      </text>
    </comment>
    <comment authorId="1977" xr:uid="{b3e53c5e-a7e2-430a-9ee7-a4f93dcaa68c}" ref="AF255">
      <text>
        <t xml:space="preserve">[Threaded comment]
 Your version of Excel allows you to read this threaded comment; however, any edits to it will get removed if the file is opened in a newer version of Excel. Learn more: https://go.microsoft.com/fwlink/?linkid=870924
Comment:
	Venta final, fixit, boleta
</t>
      </text>
    </comment>
    <comment authorId="1978" xr:uid="{b4120423-401c-462e-bff1-f19397a9d8bf}" ref="AF720">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1979" xr:uid="{b4309766-c03c-4e17-92c1-c9c4c7968e00}" ref="J628">
      <text>
        <t xml:space="preserve">[Threaded comment]
 Your version of Excel allows you to read this threaded comment; however, any edits to it will get removed if the file is opened in a newer version of Excel. Learn more: https://go.microsoft.com/fwlink/?linkid=870924
Comment:
	https://drive.google.com/file/d/1sAmCc3CK6v54hubPVMqsrv-a2Ywmyo_t/view?usp=drive_link
Reply:
	https://drive.google.com/file/d/156zRXK0ReN8k1rJJpWU4sbWA0zSf7p6K/view?usp=drive_link
</t>
      </text>
    </comment>
    <comment authorId="1980" xr:uid="{b4562bbc-a270-4bd6-83a5-2487f7a22f92}" ref="C588">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1981" xr:uid="{b467852f-08ce-447a-9c6f-d3b6a4c6f019}" ref="J494">
      <text>
        <t xml:space="preserve">[Threaded comment]
 Your version of Excel allows you to read this threaded comment; however, any edits to it will get removed if the file is opened in a newer version of Excel. Learn more: https://go.microsoft.com/fwlink/?linkid=870924
Comment:
	https://drive.google.com/file/d/1ldu1E572GPdeiQxpYJcAqDSmk8OrfBHq/view?usp=drive_link
</t>
      </text>
    </comment>
    <comment authorId="1982" xr:uid="{b4679318-2dcc-46c9-9adb-e9d08eb8cd86}" ref="S377">
      <text>
        <t xml:space="preserve">[Threaded comment]
 Your version of Excel allows you to read this threaded comment; however, any edits to it will get removed if the file is opened in a newer version of Excel. Learn more: https://go.microsoft.com/fwlink/?linkid=870924
Comment:
	https://drive.google.com/file/d/1-o9cfBigKQpFJoupNzing_qvIVphaT7N/view?usp=drive_link
</t>
      </text>
    </comment>
    <comment authorId="1983" xr:uid="{b4959f1c-1dba-4b04-8330-93eb755b1c41}" ref="J797">
      <text>
        <t xml:space="preserve">[Threaded comment]
 Your version of Excel allows you to read this threaded comment; however, any edits to it will get removed if the file is opened in a newer version of Excel. Learn more: https://go.microsoft.com/fwlink/?linkid=870924
Comment:
	https://drive.google.com/file/d/1b530tTrAEHeYYVkIDUEImDIz1b6sRhYp/view?usp=drive_link
</t>
      </text>
    </comment>
    <comment authorId="1984" xr:uid="{b4a197ba-3d95-4a25-b3b4-6057b5f65525}" ref="F353">
      <text>
        <t xml:space="preserve">[Threaded comment]
 Your version of Excel allows you to read this threaded comment; however, any edits to it will get removed if the file is opened in a newer version of Excel. Learn more: https://go.microsoft.com/fwlink/?linkid=870924
Comment:
	compraron, falta que lo suban en el sheet
Reply:
	@yolinette152@gmail.com
</t>
      </text>
    </comment>
    <comment authorId="1985" xr:uid="{b4a5f8d2-12ad-44f4-a883-69354ff94275}" ref="J590">
      <text>
        <t xml:space="preserve">[Threaded comment]
 Your version of Excel allows you to read this threaded comment; however, any edits to it will get removed if the file is opened in a newer version of Excel. Learn more: https://go.microsoft.com/fwlink/?linkid=870924
Comment:
	https://drive.google.com/file/d/1XoBWk8zcYMkEvpIkvOzp27oAW46rYwGb/view?usp=drive_link
</t>
      </text>
    </comment>
    <comment authorId="1986" xr:uid="{b4c3f090-8b0b-4404-afb5-c3a211a559c4}" ref="AF174">
      <text>
        <t xml:space="preserve">[Threaded comment]
 Your version of Excel allows you to read this threaded comment; however, any edits to it will get removed if the file is opened in a newer version of Excel. Learn more: https://go.microsoft.com/fwlink/?linkid=870924
Comment:
	Final: verificar precio de venta y fixit
</t>
      </text>
    </comment>
    <comment authorId="1987" xr:uid="{b4d6cec3-df31-463a-b130-e01f31f3426c}" ref="V570">
      <text>
        <t xml:space="preserve">[Threaded comment]
 Your version of Excel allows you to read this threaded comment; however, any edits to it will get removed if the file is opened in a newer version of Excel. Learn more: https://go.microsoft.com/fwlink/?linkid=870924
Comment:
	falta llenar nombres y apellidos completos, como en su DNI
</t>
      </text>
    </comment>
    <comment authorId="1988" xr:uid="{b4fdf31a-917c-42d3-9585-9eeb5c2ce036}" ref="J600">
      <text>
        <t xml:space="preserve">[Threaded comment]
 Your version of Excel allows you to read this threaded comment; however, any edits to it will get removed if the file is opened in a newer version of Excel. Learn more: https://go.microsoft.com/fwlink/?linkid=870924
Comment:
	https://drive.google.com/file/d/1oqxehFq3qgPsqxZCvVHv3SQfPzOu-wrS/view?usp=drive_link
https://drive.google.com/file/d/1pgw478xu8V9AfVLIaqoE_Pbsn9ZeBrEE/view?usp=drive_link
</t>
      </text>
    </comment>
    <comment authorId="1989" xr:uid="{b51e19f0-851f-4bce-b45a-55b640123a69}" ref="J501">
      <text>
        <t xml:space="preserve">[Threaded comment]
 Your version of Excel allows you to read this threaded comment; however, any edits to it will get removed if the file is opened in a newer version of Excel. Learn more: https://go.microsoft.com/fwlink/?linkid=870924
Comment:
	https://drive.google.com/file/d/1IWAMeAFvtssEYq-e66KrhFP8zzJyBPas/view?usp=drive_link
</t>
      </text>
    </comment>
    <comment authorId="1990" xr:uid="{b52c6ef8-2f12-4842-a8b7-816c4138d78e}" ref="J485">
      <text>
        <t xml:space="preserve">[Threaded comment]
 Your version of Excel allows you to read this threaded comment; however, any edits to it will get removed if the file is opened in a newer version of Excel. Learn more: https://go.microsoft.com/fwlink/?linkid=870924
Comment:
	https://drive.google.com/file/d/1djaTQgzhh9YibUYipBspVzAHzKAO0def/view?usp=drive_link
</t>
      </text>
    </comment>
    <comment authorId="1991" xr:uid="{b56c7fbc-fecb-4550-88d2-162f59126cbc}" ref="J47">
      <text>
        <t xml:space="preserve">[Threaded comment]
 Your version of Excel allows you to read this threaded comment; however, any edits to it will get removed if the file is opened in a newer version of Excel. Learn more: https://go.microsoft.com/fwlink/?linkid=870924
Comment:
	https://drive.google.com/file/d/1xkoPiHOe_TRvQPvqHmYZLBoD_p28jh9L/view?usp=drive_link
</t>
      </text>
    </comment>
    <comment authorId="1992" xr:uid="{b57e5b69-28b7-49b6-acf8-29cd5f297f7d}" ref="J188">
      <text>
        <t xml:space="preserve">[Threaded comment]
 Your version of Excel allows you to read this threaded comment; however, any edits to it will get removed if the file is opened in a newer version of Excel. Learn more: https://go.microsoft.com/fwlink/?linkid=870924
Comment:
	https://drive.google.com/file/d/16-BF67DGPV493rZ66cm0C1g2r-aBt2JD/view?usp=drive_link
</t>
      </text>
    </comment>
    <comment authorId="1993" xr:uid="{b59932ea-573f-4de4-a7c8-227db1bc4532}" ref="J620">
      <text>
        <t xml:space="preserve">[Threaded comment]
 Your version of Excel allows you to read this threaded comment; however, any edits to it will get removed if the file is opened in a newer version of Excel. Learn more: https://go.microsoft.com/fwlink/?linkid=870924
Comment:
	https://drive.google.com/file/d/1jodo8-E-AsVeu6QU1ZskOEwb_KxYT4Uq/view?usp=drive_link
</t>
      </text>
    </comment>
    <comment authorId="1994" xr:uid="{b5f9fc12-4ad3-4130-a075-9c68a638826f}" ref="L122">
      <text>
        <t xml:space="preserve">[Threaded comment]
 Your version of Excel allows you to read this threaded comment; however, any edits to it will get removed if the file is opened in a newer version of Excel. Learn more: https://go.microsoft.com/fwlink/?linkid=870924
Comment:
	https://drive.google.com/file/d/1QXZko0vzDH0JtaYmGwKLEb03UZuXGC53/view?usp=drive_link
</t>
      </text>
    </comment>
    <comment authorId="1995" xr:uid="{b61f5de4-b4d8-4983-91a7-c527c5a764b0}" ref="J436">
      <text>
        <t xml:space="preserve">[Threaded comment]
 Your version of Excel allows you to read this threaded comment; however, any edits to it will get removed if the file is opened in a newer version of Excel. Learn more: https://go.microsoft.com/fwlink/?linkid=870924
Comment:
	https://drive.google.com/file/d/1e_f27GpKMrArnBMa4XpGCJJgjUYvTpc4/view?usp=drive_link
Reply:
	https://drive.google.com/file/d/1XedQDTJZZCAUv370cOSSt6sj0ZqBZ1ua/view?usp=drive_link
</t>
      </text>
    </comment>
    <comment authorId="1996" xr:uid="{b65dbd13-70fb-43f0-94d3-d6dc75c51fd4}" ref="Q594">
      <text>
        <t xml:space="preserve">[Threaded comment]
 Your version of Excel allows you to read this threaded comment; however, any edits to it will get removed if the file is opened in a newer version of Excel. Learn more: https://go.microsoft.com/fwlink/?linkid=870924
Comment:
	apertura+config inicial+ licencia office
</t>
      </text>
    </comment>
    <comment authorId="1997" xr:uid="{b664670b-c9ff-4866-b4d3-0bd2b830ac24}" ref="W311">
      <text>
        <t xml:space="preserve">[Threaded comment]
 Your version of Excel allows you to read this threaded comment; however, any edits to it will get removed if the file is opened in a newer version of Excel. Learn more: https://go.microsoft.com/fwlink/?linkid=870924
Comment:
	https://drive.google.com/file/d/14SbBDFlwBVmtO7V7azKP-7PJMXO3Zu5f/view?usp=drive_link
</t>
      </text>
    </comment>
    <comment authorId="1998" xr:uid="{b66a7e52-12a6-4b16-9db8-309c99285a3f}" ref="AF643">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1999" xr:uid="{b68266d7-11a8-47b4-af58-a9c220d4e8d9}" ref="K508">
      <text>
        <t xml:space="preserve">[Threaded comment]
 Your version of Excel allows you to read this threaded comment; however, any edits to it will get removed if the file is opened in a newer version of Excel. Learn more: https://go.microsoft.com/fwlink/?linkid=870924
Comment:
	https://drive.google.com/file/d/1wfYKa1wPQNGm7GhDiAB6ZbQQDmQvH3Ts/view?usp=drive_link
</t>
      </text>
    </comment>
    <comment authorId="2000" xr:uid="{b690d3f5-c1e3-4ee4-99f1-21300dc1dfc2}" ref="J729">
      <text>
        <t xml:space="preserve">[Threaded comment]
 Your version of Excel allows you to read this threaded comment; however, any edits to it will get removed if the file is opened in a newer version of Excel. Learn more: https://go.microsoft.com/fwlink/?linkid=870924
Comment:
	https://drive.google.com/file/d/1oLe2gWw4OLcrflEPYPB533Q277ZdB7Pj/view?usp=drive_link
</t>
      </text>
    </comment>
    <comment authorId="2001" xr:uid="{b6977b27-5964-4cac-98ce-01be76592d85}" ref="AF325">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2002" xr:uid="{b6dfa8da-c8ac-4d86-913b-5c41f99904ca}" ref="C234">
      <text>
        <t xml:space="preserve">[Threaded comment]
 Your version of Excel allows you to read this threaded comment; however, any edits to it will get removed if the file is opened in a newer version of Excel. Learn more: https://go.microsoft.com/fwlink/?linkid=870924
Comment:
	https://ebay.us/m/dH90HF
</t>
      </text>
    </comment>
    <comment authorId="2003" xr:uid="{b70194e7-e7f4-406d-925a-a2067a7a50ff}" ref="J302">
      <text>
        <t xml:space="preserve">[Threaded comment]
 Your version of Excel allows you to read this threaded comment; however, any edits to it will get removed if the file is opened in a newer version of Excel. Learn more: https://go.microsoft.com/fwlink/?linkid=870924
Comment:
	https://drive.google.com/file/d/1bCttf7Dscxa8UczRqM6bNqwqATRfezNK/view?usp=drive_link
Reply:
	https://drive.google.com/file/d/1r09uSsRhxZaseLu7oTVS5StUWqsQmFJK/view?usp=drive_link
Reply:
	https://drive.google.com/file/d/1Ec1a886c5LwC6yloacmnAKlZt837n4MD/view?usp=drive_link
Reply:
	https://drive.google.com/file/d/1qPC-jUBj9IPHer7GTfVtB25mzF2HBgjH/view?usp=drive_link
</t>
      </text>
    </comment>
    <comment authorId="2004" xr:uid="{b773e6ae-f9c6-4697-8c7a-86f3f8c78a66}" ref="K498">
      <text>
        <t xml:space="preserve">[Threaded comment]
 Your version of Excel allows you to read this threaded comment; however, any edits to it will get removed if the file is opened in a newer version of Excel. Learn more: https://go.microsoft.com/fwlink/?linkid=870924
Comment:
	https://drive.google.com/file/d/1heHC_nEwtyph3JLe3uQl5Wwj8D1NTX3w/view?usp=drive_link
</t>
      </text>
    </comment>
    <comment authorId="2005" xr:uid="{b78946e0-2d40-494d-859f-00ab21a90a55}" ref="K574">
      <text>
        <t xml:space="preserve">[Threaded comment]
 Your version of Excel allows you to read this threaded comment; however, any edits to it will get removed if the file is opened in a newer version of Excel. Learn more: https://go.microsoft.com/fwlink/?linkid=870924
Comment:
	https://drive.google.com/file/d/1m2_jXn36NgQcL5CDd5tu-cfo1Yr_I000/view?usp=drive_link
</t>
      </text>
    </comment>
    <comment authorId="2006" xr:uid="{b78d674a-3ff8-4f47-a87c-caac038bc535}" ref="C413">
      <text>
        <t xml:space="preserve">[Threaded comment]
 Your version of Excel allows you to read this threaded comment; however, any edits to it will get removed if the file is opened in a newer version of Excel. Learn more: https://go.microsoft.com/fwlink/?linkid=870924
Comment:
	ESTE CLIENTE PAGO EL ADELNATO DE SU LAPTOP PERO AUN NO ESTA DISPONIBLE PARA COMPRAR , ESTamos esperando que salga en stock
</t>
      </text>
    </comment>
    <comment authorId="2007" xr:uid="{b7b3ebd0-530b-4f2e-95bd-805e575db687}" ref="C585">
      <text>
        <t xml:space="preserve">[Threaded comment]
 Your version of Excel allows you to read this threaded comment; however, any edits to it will get removed if the file is opened in a newer version of Excel. Learn more: https://go.microsoft.com/fwlink/?linkid=870924
Comment:
	https://us-store.msi.com/Titan-18-HX-Dragon-Edition-Norse-Myth-A2XWJG?search=titan%20
</t>
      </text>
    </comment>
    <comment authorId="2008" xr:uid="{b7b9241c-a4d2-4005-bfe8-ef14d696f8a6}" ref="L176">
      <text>
        <t xml:space="preserve">[Threaded comment]
 Your version of Excel allows you to read this threaded comment; however, any edits to it will get removed if the file is opened in a newer version of Excel. Learn more: https://go.microsoft.com/fwlink/?linkid=870924
Comment:
	https://drive.google.com/file/d/1RJbYsNt0ekJNxc2AqrzCu1SAFiqr3-U5/view?usp=drive_link
</t>
      </text>
    </comment>
    <comment authorId="2009" xr:uid="{b7c13362-1669-413b-9fbe-ca0d218c2d13}" ref="C63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010" xr:uid="{b85f08bf-e8e3-40f2-988f-f612be70f9d4}" ref="W119">
      <text>
        <t xml:space="preserve">[Threaded comment]
 Your version of Excel allows you to read this threaded comment; however, any edits to it will get removed if the file is opened in a newer version of Excel. Learn more: https://go.microsoft.com/fwlink/?linkid=870924
Comment:
	https://drive.google.com/file/d/1V7EVwZrvHYbwVXTiPQfWv7goGg_vFbs9/view?usp=drive_link
</t>
      </text>
    </comment>
    <comment authorId="2011" xr:uid="{b8606b6f-4c14-4b86-869c-c2d8829924b0}" ref="J530">
      <text>
        <t xml:space="preserve">[Threaded comment]
 Your version of Excel allows you to read this threaded comment; however, any edits to it will get removed if the file is opened in a newer version of Excel. Learn more: https://go.microsoft.com/fwlink/?linkid=870924
Comment:
	https://drive.google.com/file/d/1b349vqi3Ov2O7jCNBlgINcjX4SByg3ly/view?usp=drive_link
</t>
      </text>
    </comment>
    <comment authorId="2012" xr:uid="{b88be370-c504-4419-9542-51f194b338c3}" ref="J745">
      <text>
        <t xml:space="preserve">[Threaded comment]
 Your version of Excel allows you to read this threaded comment; however, any edits to it will get removed if the file is opened in a newer version of Excel. Learn more: https://go.microsoft.com/fwlink/?linkid=870924
Comment:
	https://drive.google.com/file/d/1GQ3O9uqjQSAc3t5kGkiqnas0gOvYg_M6/view?usp=drive_link
</t>
      </text>
    </comment>
    <comment authorId="2013" xr:uid="{b8adde2b-da45-4429-801c-24584874cac1}" ref="F686">
      <text>
        <t xml:space="preserve">[Threaded comment]
 Your version of Excel allows you to read this threaded comment; however, any edits to it will get removed if the file is opened in a newer version of Excel. Learn more: https://go.microsoft.com/fwlink/?linkid=870924
Comment:
	reservado
</t>
      </text>
    </comment>
    <comment authorId="2014" xr:uid="{b8b720cd-c937-479b-9ca5-9b40074e623d}" ref="C545">
      <text>
        <t xml:space="preserve">[Threaded comment]
 Your version of Excel allows you to read this threaded comment; however, any edits to it will get removed if the file is opened in a newer version of Excel. Learn more: https://go.microsoft.com/fwlink/?linkid=870924
Comment:
	https://www.ebay.com/itm/306433464520?_skw=zenbook+14&amp;itmmeta=01KHMFKDQY0R95M90YVXC007XQ&amp;hash=item4758db98c8:g:gGQAAeSw1Clokkci&amp;itmprp=enc%3AAQALAAAAwGfYFPkwiKCW4ZNSs2u11xCgT9IIoYxBnlQ%2B4T9oKXukJ%2F7lQW3VDBxdrw2xM%2FtIcd34VQ%2BSb1QgMyJ6AI4eY4iEwbzwfgWSRBf7dQOFW9CwBZpE66I81T5SyG21fl6QWCeiKQkgm1T3DC9OcpHXECcX%2FxqwjQlDjTg81sO3ycG%2B%2Fy2i3fOUF8D5fCw9MWBi3Wxk0I6omd5Fg86BEQRTbHW%2FYIa0y7ycUUvXZ97HNAUBm4rMXlQckJiZ%2F9pE1ZDZLA%3D%3D%7Ctkp%3ABk9SR5LczY-NZw
</t>
      </text>
    </comment>
    <comment authorId="2015" xr:uid="{b8ba4b31-34c4-414c-9d02-1711a2e35789}" ref="J663">
      <text>
        <t xml:space="preserve">[Threaded comment]
 Your version of Excel allows you to read this threaded comment; however, any edits to it will get removed if the file is opened in a newer version of Excel. Learn more: https://go.microsoft.com/fwlink/?linkid=870924
Comment:
	https://drive.google.com/file/d/1HkBh5LoDsmz95b1isnNseX3t6tIk7laq/view?usp=drive_link
</t>
      </text>
    </comment>
    <comment authorId="2016" xr:uid="{b8bbf0e1-87af-4014-bf02-7dc7f1cd6ada}" ref="J694">
      <text>
        <t xml:space="preserve">[Threaded comment]
 Your version of Excel allows you to read this threaded comment; however, any edits to it will get removed if the file is opened in a newer version of Excel. Learn more: https://go.microsoft.com/fwlink/?linkid=870924
Comment:
	https://drive.google.com/file/d/1oDIoQIQ9aZUHSEhZoHt-Pxm0VtV4KAzz/view?usp=drive_link
</t>
      </text>
    </comment>
    <comment authorId="2017" xr:uid="{b8e5f1fd-41f1-4e0e-b5b1-c8a55f32f14f}" ref="K473">
      <text>
        <t xml:space="preserve">[Threaded comment]
 Your version of Excel allows you to read this threaded comment; however, any edits to it will get removed if the file is opened in a newer version of Excel. Learn more: https://go.microsoft.com/fwlink/?linkid=870924
Comment:
	https://drive.google.com/file/d/1YtUEZrRwLNL3tN3tJQie393mLb4q-tNp/view?usp=drive_link
</t>
      </text>
    </comment>
    <comment authorId="2018" xr:uid="{b8efb80a-316e-411e-98d5-835d54e8594e}" ref="U695">
      <text>
        <t xml:space="preserve">[Threaded comment]
 Your version of Excel allows you to read this threaded comment; however, any edits to it will get removed if the file is opened in a newer version of Excel. Learn more: https://go.microsoft.com/fwlink/?linkid=870924
Comment:
	mouse
</t>
      </text>
    </comment>
    <comment authorId="2019" xr:uid="{b8f0c51b-2721-458c-a853-ceff385d46f6}" ref="J419">
      <text>
        <t xml:space="preserve">[Threaded comment]
 Your version of Excel allows you to read this threaded comment; however, any edits to it will get removed if the file is opened in a newer version of Excel. Learn more: https://go.microsoft.com/fwlink/?linkid=870924
Comment:
	https://drive.google.com/file/d/1RkxwZWfPQrImTOizTS35tOtggTgfYb-7/view?usp=drive_link
</t>
      </text>
    </comment>
    <comment authorId="2020" xr:uid="{b908de7a-aad4-42eb-b79e-78f2070777ef}" ref="C228">
      <text>
        <t xml:space="preserve">[Threaded comment]
 Your version of Excel allows you to read this threaded comment; however, any edits to it will get removed if the file is opened in a newer version of Excel. Learn more: https://go.microsoft.com/fwlink/?linkid=870924
Comment:
	https://www.amazon.com/-/es/GIGABYTE-2560x1600-GeForce-i7-14650HX-AKG-53USC64SH/dp/B0CW2BM5MV/ref=sr_1_1?__mk_es_US=%C3%85M%C3%85%C5%BD%C3%95%C3%91&amp;dib=eyJ2IjoiMSJ9.54TD-0R3LPmphC2IoGU2UMdZO7JdHMzccR7cgxmJGOZRDzdhZCFfIOtUsvaMZnBiaEroawf46MOLMPbtzEnBrf803oEzlySFxjc9-4eXPHOuYlqm5XTWQj1t3A8RiReXHAulQGVxEbSpWwDuEbcMF5J6X-mH6edtFM2RUoRCLug7RE-lnGFRxaW1cLf6gkXvSF-zLi9EKAyDz3Q-DbWBK2Hm59FpsdIqiSzvRN-5nSM.IP3h3xeCAKtkQ8SQm_e7agVz9D1z0Pg01od15gGZPjE&amp;dib_tag=se&amp;keywords=gigabyte%2Baorus&amp;qid=1757547372&amp;sr=8-1&amp;th=1
</t>
      </text>
    </comment>
    <comment authorId="2021" xr:uid="{b911e36b-e2ed-4363-998c-dc88792ec637}" ref="F638">
      <text>
        <t xml:space="preserve">[Threaded comment]
 Your version of Excel allows you to read this threaded comment; however, any edits to it will get removed if the file is opened in a newer version of Excel. Learn more: https://go.microsoft.com/fwlink/?linkid=870924
Comment:
	Revisar si la cancelan o no
Reply:
	Sale estado en Proceso
</t>
      </text>
    </comment>
    <comment authorId="2022" xr:uid="{b93dea92-fdfb-4ebe-b7d4-06ff385fd168}" ref="J414">
      <text>
        <t xml:space="preserve">[Threaded comment]
 Your version of Excel allows you to read this threaded comment; however, any edits to it will get removed if the file is opened in a newer version of Excel. Learn more: https://go.microsoft.com/fwlink/?linkid=870924
Comment:
	https://drive.google.com/file/d/1-OHMJjOKqWq9hgEuTwg8_Hj8bOsCuuCE/view?usp=drive_link
Reply:
	https://drive.google.com/file/d/1awyF8NqC2Vn7rhsHxDB2Wk_jO-t2wUfH/view?usp=drive_link
Reply:
	https://drive.google.com/file/d/1T5IArb-6pTwD9h6JuqU81tIGS0s24WFf/view?usp=drive_link
</t>
      </text>
    </comment>
    <comment authorId="2023" xr:uid="{b983f11b-601a-44f1-a49a-6bbd36857dc1}" ref="J549">
      <text>
        <t xml:space="preserve">[Threaded comment]
 Your version of Excel allows you to read this threaded comment; however, any edits to it will get removed if the file is opened in a newer version of Excel. Learn more: https://go.microsoft.com/fwlink/?linkid=870924
Comment:
	https://drive.google.com/file/d/1BRlrlyzyt3RTjcQCQ2vGsZd946DPvEOH/view?usp=drive_link
Reply:
	https://drive.google.com/file/d/1QNTEjTB6k3CcA8zPDdl_U7zfPPuHT98D/view?usp=drive_link
Reply:
	https://drive.google.com/file/d/1YyGIC4QTRRVybcXhFneYzlC5ILo71JRH/view?usp=drive_link
</t>
      </text>
    </comment>
    <comment authorId="2024" xr:uid="{b98a8015-798c-4952-a499-53d13b52a1b5}" ref="AF408">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025" xr:uid="{b98fa988-1c6d-48d4-9a31-56b746cb0975}" ref="L277">
      <text>
        <t xml:space="preserve">[Threaded comment]
 Your version of Excel allows you to read this threaded comment; however, any edits to it will get removed if the file is opened in a newer version of Excel. Learn more: https://go.microsoft.com/fwlink/?linkid=870924
Comment:
	https://drive.google.com/file/d/1VSp5kCAkeJtCHBwumq02B-yTtVZdmBsZ/view?usp=drive_link
</t>
      </text>
    </comment>
    <comment authorId="2026" xr:uid="{b99528b9-dd7d-4370-99f5-1a42e21e1a0b}" ref="O270">
      <text>
        <t xml:space="preserve">[Threaded comment]
 Your version of Excel allows you to read this threaded comment; however, any edits to it will get removed if the file is opened in a newer version of Excel. Learn more: https://go.microsoft.com/fwlink/?linkid=870924
Comment:
	desea laptop sellada
</t>
      </text>
    </comment>
    <comment authorId="2027" xr:uid="{b99a3f4f-748f-4607-84f8-2f0716bf6ace}" ref="J601">
      <text>
        <t xml:space="preserve">[Threaded comment]
 Your version of Excel allows you to read this threaded comment; however, any edits to it will get removed if the file is opened in a newer version of Excel. Learn more: https://go.microsoft.com/fwlink/?linkid=870924
Comment:
	https://drive.google.com/file/d/1PNMmhi_LpFug3Zij6Uw2xahMVidRNXUb/view?usp=drive_link
</t>
      </text>
    </comment>
    <comment authorId="2028" xr:uid="{b9bc9885-7db6-4d59-9225-5d9f4b6af511}" ref="W310">
      <text>
        <t xml:space="preserve">[Threaded comment]
 Your version of Excel allows you to read this threaded comment; however, any edits to it will get removed if the file is opened in a newer version of Excel. Learn more: https://go.microsoft.com/fwlink/?linkid=870924
Comment:
	https://drive.google.com/file/d/1Ll_nh70W70Oj2Pg1lqmK0Nr6QOuuBkHw/view?usp=drive_link
</t>
      </text>
    </comment>
    <comment authorId="2029" xr:uid="{b9d2e1e6-c5b0-48a4-b81f-3a7b2ebdeaf8}" ref="W317">
      <text>
        <t xml:space="preserve">[Threaded comment]
 Your version of Excel allows you to read this threaded comment; however, any edits to it will get removed if the file is opened in a newer version of Excel. Learn more: https://go.microsoft.com/fwlink/?linkid=870924
Comment:
	DNI Carlos Mellado Martinez 40422866
Reply:
	https://drive.google.com/file/d/1p2qfAZ19RFBzKeyyLhX4s2Uo8q_rBcvG/view?usp=drive_link
Reply:
	https://drive.google.com/file/d/1UF0VqZmgu3yy-LnwYwzyihsEX26lSxBw/view?usp=drive_link
</t>
      </text>
    </comment>
    <comment authorId="2030" xr:uid="{b9dd2583-9b72-42fd-bc25-67662c25dcd2}" ref="W273">
      <text>
        <t xml:space="preserve">[Threaded comment]
 Your version of Excel allows you to read this threaded comment; however, any edits to it will get removed if the file is opened in a newer version of Excel. Learn more: https://go.microsoft.com/fwlink/?linkid=870924
Comment:
	https://drive.google.com/file/d/18tyNATS0BVoX6GsnjAlCNzJcQEcIUT6N/view?usp=drive_link
</t>
      </text>
    </comment>
    <comment authorId="2031" xr:uid="{b9fa5207-25af-414b-a7b7-d3bdd4260690}" ref="AF728">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032" xr:uid="{ba2869e3-c266-403a-8b14-35e6456253e7}" ref="J677">
      <text>
        <t xml:space="preserve">[Threaded comment]
 Your version of Excel allows you to read this threaded comment; however, any edits to it will get removed if the file is opened in a newer version of Excel. Learn more: https://go.microsoft.com/fwlink/?linkid=870924
Comment:
	https://drive.google.com/file/d/1RYLotWbVDYoFV4Dt0L7vMTSZUgAgXVue/view?usp=drive_link
</t>
      </text>
    </comment>
    <comment authorId="2033" xr:uid="{ba378028-3670-4903-b3e4-b5122800e108}" ref="AI781">
      <text>
        <t xml:space="preserve">[Threaded comment]
 Your version of Excel allows you to read this threaded comment; however, any edits to it will get removed if the file is opened in a newer version of Excel. Learn more: https://go.microsoft.com/fwlink/?linkid=870924
Comment:
	https://drive.google.com/file/d/1LLUYpmFCfWdAXKUyc5JkCZKyeSIjLnO2/view?usp=drive_link
</t>
      </text>
    </comment>
    <comment authorId="2034" xr:uid="{ba398707-40a8-489f-b90f-729020caec2c}" ref="L188">
      <text>
        <t xml:space="preserve">[Threaded comment]
 Your version of Excel allows you to read this threaded comment; however, any edits to it will get removed if the file is opened in a newer version of Excel. Learn more: https://go.microsoft.com/fwlink/?linkid=870924
Comment:
	https://drive.google.com/file/d/1CTYqnztgDwKvED1-oLyWhLb5RWjhlXJU/view?usp=drive_link
Reply:
	https://drive.google.com/file/d/1M3LxbANt8g_bYDIiEaPwAmZq2s3SvxAd/view?usp=drive_link
</t>
      </text>
    </comment>
    <comment authorId="2035" xr:uid="{ba503d5e-ee7c-4a9d-a6f1-90fc78c8e7cf}" ref="N320">
      <text>
        <t xml:space="preserve">[Threaded comment]
 Your version of Excel allows you to read this threaded comment; however, any edits to it will get removed if the file is opened in a newer version of Excel. Learn more: https://go.microsoft.com/fwlink/?linkid=870924
Comment:
	S/.876,22881
S/.1.033,9500
</t>
      </text>
    </comment>
    <comment authorId="2036" xr:uid="{ba68325b-67e0-455c-879b-31817b0137bd}" ref="AF653">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2037" xr:uid="{ba8ddfd5-3685-4855-89a3-e38ff33df618}" ref="K693">
      <text>
        <t xml:space="preserve">[Threaded comment]
 Your version of Excel allows you to read this threaded comment; however, any edits to it will get removed if the file is opened in a newer version of Excel. Learn more: https://go.microsoft.com/fwlink/?linkid=870924
Comment:
	https://drive.google.com/file/d/1hltGd6BL9zWuxdF8fH-EhSzMxubIbU_2/view?usp=drive_link
</t>
      </text>
    </comment>
    <comment authorId="2038" xr:uid="{baa4b8c8-27a2-4761-9e1f-3fde95a6db42}" ref="AF670">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039" xr:uid="{baddb8c8-0300-44cd-8eff-0a938c2c5766}" ref="W346">
      <text>
        <t xml:space="preserve">[Threaded comment]
 Your version of Excel allows you to read this threaded comment; however, any edits to it will get removed if the file is opened in a newer version of Excel. Learn more: https://go.microsoft.com/fwlink/?linkid=870924
Comment:
	https://drive.google.com/file/d/1-OWncDxURgfOy1kvaOG8p5MqJn_C3YDZ/view?usp=drive_link
</t>
      </text>
    </comment>
    <comment authorId="2040" xr:uid="{baef62b5-061d-4fd2-abd8-d0edd61c41e1}" ref="Q713">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2041" xr:uid="{bb10f8af-afec-4c59-9f55-266eede2b6ca}" ref="W391">
      <text>
        <t xml:space="preserve">[Threaded comment]
 Your version of Excel allows you to read this threaded comment; however, any edits to it will get removed if the file is opened in a newer version of Excel. Learn more: https://go.microsoft.com/fwlink/?linkid=870924
Comment:
	https://drive.google.com/file/d/1bwF73uo2rRhxAaJ_s-E5xwKPmk1swFXb/view?usp=drive_link
</t>
      </text>
    </comment>
    <comment authorId="2042" xr:uid="{bb12cbe8-5b2c-46ea-8845-2ec2d145b6cf}" ref="M488">
      <text>
        <t xml:space="preserve">[Threaded comment]
 Your version of Excel allows you to read this threaded comment; however, any edits to it will get removed if the file is opened in a newer version of Excel. Learn more: https://go.microsoft.com/fwlink/?linkid=870924
Comment:
	No lo han puesto en el sheet todavía pondré el de hoy
</t>
      </text>
    </comment>
    <comment authorId="2043" xr:uid="{bb39439e-23d3-48c2-9d37-bfb8142feb3a}" ref="C751">
      <text>
        <t xml:space="preserve">[Threaded comment]
 Your version of Excel allows you to read this threaded comment; however, any edits to it will get removed if the file is opened in a newer version of Excel. Learn more: https://go.microsoft.com/fwlink/?linkid=870924
Comment:
	https://www.costco.com/p/-/acer-predator-helios-neo-16-ai-gaming-laptop-intel-core-ultra-9-275hx-processor-16-2560-x-1600-240hz-display-nvidia-rtx-5070-ti-12gb-1-tb-ssd-windows-11-home/4000398640?langId=-1
</t>
      </text>
    </comment>
    <comment authorId="2044" xr:uid="{bb3a7394-ad30-4fc9-833d-a449da5b735f}" ref="C397">
      <text>
        <t xml:space="preserve">[Threaded comment]
 Your version of Excel allows you to read this threaded comment; however, any edits to it will get removed if the file is opened in a newer version of Excel. Learn more: https://go.microsoft.com/fwlink/?linkid=870924
Comment:
	https://www.ebay.com/itm/205814283481?_skw=laptop+gaming&amp;itmmeta=01KC39AGPBRWEHNG3RX08DV8HM&amp;hash=item2feb7cbcd9:g:7kQAAeSwHjZpN7Fz
</t>
      </text>
    </comment>
    <comment authorId="2045" xr:uid="{bb4ff88a-aa51-4d3c-a65a-1f962fca8012}" ref="J482">
      <text>
        <t xml:space="preserve">[Threaded comment]
 Your version of Excel allows you to read this threaded comment; however, any edits to it will get removed if the file is opened in a newer version of Excel. Learn more: https://go.microsoft.com/fwlink/?linkid=870924
Comment:
	https://drive.google.com/file/d/19UwwdXmfIpgn-_jP14tNH1AZpFRXPNY8/view?usp=drive_link
</t>
      </text>
    </comment>
    <comment authorId="2046" xr:uid="{bb66ac92-3dfb-475a-8f63-1ea8c01e2f68}" ref="L200">
      <text>
        <t xml:space="preserve">[Threaded comment]
 Your version of Excel allows you to read this threaded comment; however, any edits to it will get removed if the file is opened in a newer version of Excel. Learn more: https://go.microsoft.com/fwlink/?linkid=870924
Comment:
	https://drive.google.com/file/d/1VWcoDqdZ0QwVUXOjMFz0DnBSsUsnNXOm/view?usp=drive_link
</t>
      </text>
    </comment>
    <comment authorId="2047" xr:uid="{bbea6630-9de5-40ff-866c-86bd8813139d}" ref="K750">
      <text>
        <t xml:space="preserve">[Threaded comment]
 Your version of Excel allows you to read this threaded comment; however, any edits to it will get removed if the file is opened in a newer version of Excel. Learn more: https://go.microsoft.com/fwlink/?linkid=870924
Comment:
	https://drive.google.com/file/d/1vv8JO7xxlDQaHxJAhq0y1YoUt9DUC4cE/view?usp=drive_link
Reply:
	https://drive.google.com/file/d/1ik5qyT7LV9_m2qPLsxu_tAOJJvaTFlFw/view?usp=drive_link
</t>
      </text>
    </comment>
    <comment authorId="2048" xr:uid="{bc1f4c1e-e647-4bbe-b882-190033d812bc}" ref="W277">
      <text>
        <t xml:space="preserve">[Threaded comment]
 Your version of Excel allows you to read this threaded comment; however, any edits to it will get removed if the file is opened in a newer version of Excel. Learn more: https://go.microsoft.com/fwlink/?linkid=870924
Comment:
	https://drive.google.com/file/d/1OqPkdM1NOq9zOEoQ7GAasjuQmBNuUw3M/view?usp=drive_link
</t>
      </text>
    </comment>
    <comment authorId="2049" xr:uid="{bc353cd6-7e16-4c75-93e7-07c66f645557}" ref="J657">
      <text>
        <t xml:space="preserve">[Threaded comment]
 Your version of Excel allows you to read this threaded comment; however, any edits to it will get removed if the file is opened in a newer version of Excel. Learn more: https://go.microsoft.com/fwlink/?linkid=870924
Comment:
	https://drive.google.com/file/d/1XUi9kx-rNGoNKui03J0-OMOsgeROzkh6/view?usp=drive_link
</t>
      </text>
    </comment>
    <comment authorId="2050" xr:uid="{bc70e71f-bf77-4213-9e81-52e6ffa6a517}" ref="AF247">
      <text>
        <t xml:space="preserve">[Threaded comment]
 Your version of Excel allows you to read this threaded comment; however, any edits to it will get removed if the file is opened in a newer version of Excel. Learn more: https://go.microsoft.com/fwlink/?linkid=870924
Comment:
	consultar garantía
</t>
      </text>
    </comment>
    <comment authorId="2051" xr:uid="{bc79a202-003b-4b9b-96b6-2dbdb2d71c3b}" ref="F414">
      <text>
        <t xml:space="preserve">[Threaded comment]
 Your version of Excel allows you to read this threaded comment; however, any edits to it will get removed if the file is opened in a newer version of Excel. Learn more: https://go.microsoft.com/fwlink/?linkid=870924
Comment:
	Yoli la srta sofia me envio el comprobante de compra
</t>
      </text>
    </comment>
    <comment authorId="2052" xr:uid="{bc970ec3-7fb8-48c5-8e9e-de091d5e3025}" ref="M744">
      <text>
        <t xml:space="preserve">[Threaded comment]
 Your version of Excel allows you to read this threaded comment; however, any edits to it will get removed if the file is opened in a newer version of Excel. Learn more: https://go.microsoft.com/fwlink/?linkid=870924
Comment:
	Descuento porque era un equipo que otro cliente lo canceló
</t>
      </text>
    </comment>
    <comment authorId="2053" xr:uid="{bc9d2fb8-54cf-400d-82df-9c418781090e}" ref="L249">
      <text>
        <t xml:space="preserve">[Threaded comment]
 Your version of Excel allows you to read this threaded comment; however, any edits to it will get removed if the file is opened in a newer version of Excel. Learn more: https://go.microsoft.com/fwlink/?linkid=870924
Comment:
	https://drive.google.com/file/d/1MJ2CjFirae8NcbosybVfmCj1JVAyWQc5/view?usp=drive_link
Reply:
	https://drive.google.com/file/d/1IqpA8GPLtrH7KWMbq7rzU0O5_dYw2hjS/view?usp=drive_link
</t>
      </text>
    </comment>
    <comment authorId="2054" xr:uid="{bc9f44fd-1cd2-4586-a409-788615b1ca53}" ref="W125">
      <text>
        <t xml:space="preserve">[Threaded comment]
 Your version of Excel allows you to read this threaded comment; however, any edits to it will get removed if the file is opened in a newer version of Excel. Learn more: https://go.microsoft.com/fwlink/?linkid=870924
Comment:
	https://drive.google.com/file/d/19jobRcQoggi0DI1FnEEnTuBNi4wm47ZU/view?usp=drive_link
</t>
      </text>
    </comment>
    <comment authorId="2055" xr:uid="{bca04aa5-171b-4927-a4da-670edf3be621}" ref="L72">
      <text>
        <t xml:space="preserve">[Threaded comment]
 Your version of Excel allows you to read this threaded comment; however, any edits to it will get removed if the file is opened in a newer version of Excel. Learn more: https://go.microsoft.com/fwlink/?linkid=870924
Comment:
	https://drive.google.com/file/d/156d2WxST4tqxiN9vkvLw6dOJxXf1Fij-/view?usp=drive_link
</t>
      </text>
    </comment>
    <comment authorId="2056" xr:uid="{bcb344ee-2a43-43f2-ae40-b1dea0014d80}" ref="A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2057" xr:uid="{bce214cd-1a53-4e3e-b9ca-85c4fe5c0016}" ref="K493">
      <text>
        <t xml:space="preserve">[Threaded comment]
 Your version of Excel allows you to read this threaded comment; however, any edits to it will get removed if the file is opened in a newer version of Excel. Learn more: https://go.microsoft.com/fwlink/?linkid=870924
Comment:
	https://drive.google.com/file/d/1alRrs_wxUeX2MoVlv0TzYfwGVG40mWB_/view?usp=drive_link
https://drive.google.com/file/d/1hWor8FxusDOGEBNyYq7NT9GQywDjIQFi/view?usp=drive_link
</t>
      </text>
    </comment>
    <comment authorId="2058" xr:uid="{bd37c8fb-9e0a-45de-bdd7-1f77f2949fbd}" ref="C12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2059" xr:uid="{bd557a57-9e5e-48f2-b1fd-71f10dba37a8}" ref="K359">
      <text>
        <t xml:space="preserve">[Threaded comment]
 Your version of Excel allows you to read this threaded comment; however, any edits to it will get removed if the file is opened in a newer version of Excel. Learn more: https://go.microsoft.com/fwlink/?linkid=870924
Comment:
	https://drive.google.com/file/d/1Nwn3fbnETHkfet4IQZVdo1MdkI6nYkll/view?usp=drive_link
</t>
      </text>
    </comment>
    <comment authorId="2060" xr:uid="{bd5a0c03-3f42-46a5-9f5c-5419321283ff}" ref="C308">
      <text>
        <t xml:space="preserve">[Threaded comment]
 Your version of Excel allows you to read this threaded comment; however, any edits to it will get removed if the file is opened in a newer version of Excel. Learn more: https://go.microsoft.com/fwlink/?linkid=870924
Comment:
	https://www.ebay.com/itm/306399222517?_skw=laptop+gaming&amp;itmmeta=01K9RT5AFMDAHXY5QXSR6V6Z9S&amp;hash=item4756d11af5:g:w4oAAeSw7F5o8zYa
</t>
      </text>
    </comment>
    <comment authorId="2061" xr:uid="{bd6f0679-ed44-4aff-9035-004be9223d1c}" ref="C678">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https://www.bhphotovideo.com/c/product/1883233-REG/lenovo_83f0001uus_15_1_legion_5i_gaming.html
</t>
      </text>
    </comment>
    <comment authorId="2062" xr:uid="{bd876a9d-e969-4a6e-9484-b08c050a6d24}" ref="J176">
      <text>
        <t xml:space="preserve">[Threaded comment]
 Your version of Excel allows you to read this threaded comment; however, any edits to it will get removed if the file is opened in a newer version of Excel. Learn more: https://go.microsoft.com/fwlink/?linkid=870924
Comment:
	https://drive.google.com/file/d/12I1GNcZ2qP2OShTCR3vynA1zMWJn3oCJ/view?usp=drive_link
</t>
      </text>
    </comment>
    <comment authorId="2063" xr:uid="{bd95c8da-260b-4f3b-8ddd-3f40e305ca20}" ref="AF681">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064" xr:uid="{bd9ab271-9651-4e3a-a291-84f5fc2a9ca3}" ref="L250">
      <text>
        <t xml:space="preserve">[Threaded comment]
 Your version of Excel allows you to read this threaded comment; however, any edits to it will get removed if the file is opened in a newer version of Excel. Learn more: https://go.microsoft.com/fwlink/?linkid=870924
Comment:
	https://drive.google.com/file/d/1kWVOPAlDTUXJj2j7LYnMd2eyi3U4OcGe/view?usp=drive_link
</t>
      </text>
    </comment>
    <comment authorId="2065" xr:uid="{bd9e9014-3d2f-4854-a3ca-e0db26df5e23}" ref="J428">
      <text>
        <t xml:space="preserve">[Threaded comment]
 Your version of Excel allows you to read this threaded comment; however, any edits to it will get removed if the file is opened in a newer version of Excel. Learn more: https://go.microsoft.com/fwlink/?linkid=870924
Comment:
	https://drive.google.com/file/d/1cJYbQf4wByXP8JmaEZ33KfGFdm5PdSho/view?usp=drive_link
</t>
      </text>
    </comment>
    <comment authorId="2066" xr:uid="{bdc17fde-2f0e-4e61-a384-2cdd5ba43cd6}" ref="W257">
      <text>
        <t xml:space="preserve">[Threaded comment]
 Your version of Excel allows you to read this threaded comment; however, any edits to it will get removed if the file is opened in a newer version of Excel. Learn more: https://go.microsoft.com/fwlink/?linkid=870924
Comment:
	https://drive.google.com/file/d/14FZBHsavQ6tYGuNEgZ2Perc9euvSRpm8/view?usp=drive_link
</t>
      </text>
    </comment>
    <comment authorId="2067" xr:uid="{bdc466d0-f7e7-4994-8a5f-d9b6e5ceedfb}" ref="L265">
      <text>
        <t xml:space="preserve">[Threaded comment]
 Your version of Excel allows you to read this threaded comment; however, any edits to it will get removed if the file is opened in a newer version of Excel. Learn more: https://go.microsoft.com/fwlink/?linkid=870924
Comment:
	https://drive.google.com/file/d/1qcgrM7e1t5_BSWaYdj6fH-xyVwr2Rem2/view?usp=drive_link
</t>
      </text>
    </comment>
    <comment authorId="2068" xr:uid="{bdf2acf4-452c-4199-abdb-0cad61b74481}" ref="C47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https://www.microcenter.com/product/695263/acer-predator-helios-neo-16-ai-phn16-73-934n-16-gaming-laptop-computer-abyssal-black
</t>
      </text>
    </comment>
    <comment authorId="2069" xr:uid="{be005955-e1a2-46d6-a195-6c1351323a75}" ref="Q500">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2070" xr:uid="{be04e9b9-60a2-4219-baff-8fb0097dbc99}" ref="C564">
      <text>
        <t xml:space="preserve">[Threaded comment]
 Your version of Excel allows you to read this threaded comment; however, any edits to it will get removed if the file is opened in a newer version of Excel. Learn more: https://go.microsoft.com/fwlink/?linkid=870924
Comment:
	https://www.ebay.com/itm/306295101642?_skw=laptop+gaming&amp;itmmeta=01KHN5TN0YTS8ZE0N59P36NP49&amp;hash=item47509c58ca:g:NAAAAeSwEvtoK4mm
</t>
      </text>
    </comment>
    <comment authorId="2071" xr:uid="{be2183e9-dd35-449b-aaaa-4dce59b9a65d}" ref="L240">
      <text>
        <t xml:space="preserve">[Threaded comment]
 Your version of Excel allows you to read this threaded comment; however, any edits to it will get removed if the file is opened in a newer version of Excel. Learn more: https://go.microsoft.com/fwlink/?linkid=870924
Comment:
	https://drive.google.com/file/d/1VlQB_VWeSjsFUqpfZGXdWMGZLa1j85Ra/view?usp=drive_link
</t>
      </text>
    </comment>
    <comment authorId="2072" xr:uid="{be4a1788-9096-4a64-94ab-3832b865b2de}" ref="K529">
      <text>
        <t xml:space="preserve">[Threaded comment]
 Your version of Excel allows you to read this threaded comment; however, any edits to it will get removed if the file is opened in a newer version of Excel. Learn more: https://go.microsoft.com/fwlink/?linkid=870924
Comment:
	https://drive.google.com/file/d/1IaIOGm-6Dyjcjs5ABb2-kXlbwOQyt3RQ/view?usp=drive_link
</t>
      </text>
    </comment>
    <comment authorId="2073" xr:uid="{be75d311-64d1-4b44-ad58-ddfc26bede41}" ref="K503">
      <text>
        <t xml:space="preserve">[Threaded comment]
 Your version of Excel allows you to read this threaded comment; however, any edits to it will get removed if the file is opened in a newer version of Excel. Learn more: https://go.microsoft.com/fwlink/?linkid=870924
Comment:
	https://drive.google.com/file/d/1H5g04vviDOkG8COmlqxsOxUl3u1zJjp2/view?usp=drive_link
</t>
      </text>
    </comment>
    <comment authorId="2074" xr:uid="{be883f4b-ec37-4382-b962-479e8dada776}" ref="J214">
      <text>
        <t xml:space="preserve">[Threaded comment]
 Your version of Excel allows you to read this threaded comment; however, any edits to it will get removed if the file is opened in a newer version of Excel. Learn more: https://go.microsoft.com/fwlink/?linkid=870924
Comment:
	https://drive.google.com/file/d/14YxtfngsvdZkJFX-2thzepVk-XwlzUcY/view?usp=drive_link
</t>
      </text>
    </comment>
    <comment authorId="2075" xr:uid="{bea19ce7-0886-4314-b43e-9a5ecba61a10}" ref="C334">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https://www.bestbuy.com/product/asus-rog-zephyrus-g14-14-oled-3k-120hz-gaming-laptop-amd-ryzen-9-270-16gb-lpddr5x-geforce-rtx-5060-1tb-ssd-platinum-white/JJGGLH72GT
</t>
      </text>
    </comment>
    <comment authorId="2076" xr:uid="{beb637a8-932d-4cd8-89ef-7ff72e24f863}" ref="L694">
      <text>
        <t xml:space="preserve">[Threaded comment]
 Your version of Excel allows you to read this threaded comment; however, any edits to it will get removed if the file is opened in a newer version of Excel. Learn more: https://go.microsoft.com/fwlink/?linkid=870924
Comment:
	Se modificó porque se le cobró al cliente 85 más
</t>
      </text>
    </comment>
    <comment authorId="2077" xr:uid="{bebe812c-9d01-439c-b99c-fab7a4345d49}" ref="J496">
      <text>
        <t xml:space="preserve">[Threaded comment]
 Your version of Excel allows you to read this threaded comment; however, any edits to it will get removed if the file is opened in a newer version of Excel. Learn more: https://go.microsoft.com/fwlink/?linkid=870924
Comment:
	https://drive.google.com/file/d/1o7vWXDS66sWF-ddCg9xfbODKRgwup0fP/view?usp=drive_link
</t>
      </text>
    </comment>
    <comment authorId="2078" xr:uid="{bec06ce8-8f75-4552-ad2d-5f35d1952263}" ref="W200">
      <text>
        <t xml:space="preserve">[Threaded comment]
 Your version of Excel allows you to read this threaded comment; however, any edits to it will get removed if the file is opened in a newer version of Excel. Learn more: https://go.microsoft.com/fwlink/?linkid=870924
Comment:
	https://drive.google.com/file/d/1HL-dGw6cExxjg-qo9f38fMODDqKuboZ1/view?usp=drive_link
</t>
      </text>
    </comment>
    <comment authorId="2079" xr:uid="{bed74fd2-1420-4329-9b17-06045a995fb7}" ref="C803">
      <text>
        <t xml:space="preserve">[Threaded comment]
 Your version of Excel allows you to read this threaded comment; however, any edits to it will get removed if the file is opened in a newer version of Excel. Learn more: https://go.microsoft.com/fwlink/?linkid=870924
Comment:
	https://www.ebay.com/itm/205565391274?_skw=alienware&amp;epid=21081456107&amp;itmmeta=01KTCTGSGR6VZCD27GVRYMPSNE&amp;hash=item2fdca6f1aa:g:ehsAAeSw5AhqEzGp&amp;itmprp=enc%3AAQALAAAA0GfYFPkwiKCW4ZNSs2u11xAhOzVOZoK1lG%2B%2BaXtIV8WJ%2Be53VW0YazljH3TsHC0OOPEoKPXNSkH3pp0M4X8c4n7JqcNQNZN2QeHLnneA7r7jOtMo%2FcO98SkdKMnfaVJz%2F5w7kDlO7b3FVINac2hrud3QFMN3k1DBQcBT%2BFuGUSzQHfbSuXYLXSXTcqGOwI2rrOg9EORTNG2GKNpl20GNz1KLem%2Fh%2FDbbUlouIbYRLLWySN6CWkoafrj9EDannty1XzUm3M1Ve32%2BsTpSqpfet3Y%3D%7Ctkp%3ABk9SR8CYw5rTZw
</t>
      </text>
    </comment>
    <comment authorId="2080" xr:uid="{bee33b91-e28f-4d83-abfa-5950f73190cd}" ref="W450">
      <text>
        <t xml:space="preserve">[Threaded comment]
 Your version of Excel allows you to read this threaded comment; however, any edits to it will get removed if the file is opened in a newer version of Excel. Learn more: https://go.microsoft.com/fwlink/?linkid=870924
Comment:
	factura
Reply:
	Ruc: 20482614770
Reply:
	https://drive.google.com/file/d/1N755lw0YpGKOSzcKPmbUoISTk0FrkMVi/view?usp=drive_link
</t>
      </text>
    </comment>
    <comment authorId="2081" xr:uid="{bf13f77f-c363-4b32-82ac-841e4817b41f}" ref="AF320">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2082" xr:uid="{bf191971-e4ac-4756-b871-f46510b29f66}" ref="AF397">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083" xr:uid="{bf3efa47-bd89-4d5a-8a45-6042e9cf1dc0}" ref="W185">
      <text>
        <t xml:space="preserve">[Threaded comment]
 Your version of Excel allows you to read this threaded comment; however, any edits to it will get removed if the file is opened in a newer version of Excel. Learn more: https://go.microsoft.com/fwlink/?linkid=870924
Comment:
	https://drive.google.com/file/d/1nfu2DCh3n_o8C_CKwhVNPkhUVyJTKmxz/view?usp=drive_link
</t>
      </text>
    </comment>
    <comment authorId="2084" xr:uid="{bf3f9fec-b273-4ac9-865f-2c8e0aad694b}" ref="J159">
      <text>
        <t xml:space="preserve">[Threaded comment]
 Your version of Excel allows you to read this threaded comment; however, any edits to it will get removed if the file is opened in a newer version of Excel. Learn more: https://go.microsoft.com/fwlink/?linkid=870924
Comment:
	https://drive.google.com/file/d/13u21Bu4K-oZa6y3cvrllSouN0MGWXY5c/view?usp=drive_link
</t>
      </text>
    </comment>
    <comment authorId="2085" xr:uid="{bf4452d7-4208-469c-8546-614d1f4a739f}" ref="K671">
      <text>
        <t xml:space="preserve">[Threaded comment]
 Your version of Excel allows you to read this threaded comment; however, any edits to it will get removed if the file is opened in a newer version of Excel. Learn more: https://go.microsoft.com/fwlink/?linkid=870924
Comment:
	https://drive.google.com/file/d/15v3c6LA0J7O4WKEsQw0-HXxb6reKVGwN/view?usp=drive_link
</t>
      </text>
    </comment>
    <comment authorId="2086" xr:uid="{bf5973f1-5241-48ae-ba37-e4ae26aa015e}" ref="AF322">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2087" xr:uid="{bf5b4a87-5858-47fb-b1a6-2d3903d4b020}" ref="AF229">
      <text>
        <t xml:space="preserve">[Threaded comment]
 Your version of Excel allows you to read this threaded comment; however, any edits to it will get removed if the file is opened in a newer version of Excel. Learn more: https://go.microsoft.com/fwlink/?linkid=870924
Comment:
	Voucher, precio dolares
</t>
      </text>
    </comment>
    <comment authorId="2088" xr:uid="{bf67b48e-e42b-43e6-b4dd-d5880491a879}" ref="W385">
      <text>
        <t xml:space="preserve">[Threaded comment]
 Your version of Excel allows you to read this threaded comment; however, any edits to it will get removed if the file is opened in a newer version of Excel. Learn more: https://go.microsoft.com/fwlink/?linkid=870924
Comment:
	https://drive.google.com/file/d/14rAfQJDpoyslogRlHjqOti5LIn-e93sr/view?usp=drive_link
</t>
      </text>
    </comment>
    <comment authorId="2089" xr:uid="{bf98a44f-a265-4879-bd2e-c122b5f3981a}" ref="L171">
      <text>
        <t xml:space="preserve">[Threaded comment]
 Your version of Excel allows you to read this threaded comment; however, any edits to it will get removed if the file is opened in a newer version of Excel. Learn more: https://go.microsoft.com/fwlink/?linkid=870924
Comment:
	https://drive.google.com/file/d/1JAjuVVqGn0fabZk5mcwHtYtE759nqXxu/view?usp=drive_link
</t>
      </text>
    </comment>
    <comment authorId="2090" xr:uid="{bfc616f9-121f-45aa-b368-b40b61bf212d}" ref="K321">
      <text>
        <t xml:space="preserve">[Threaded comment]
 Your version of Excel allows you to read this threaded comment; however, any edits to it will get removed if the file is opened in a newer version of Excel. Learn more: https://go.microsoft.com/fwlink/?linkid=870924
Comment:
	https://drive.google.com/file/d/1LjUz6Cb9dRu4od3Ofmh_XSXNTgA76BwD/view?usp=drive_link
</t>
      </text>
    </comment>
    <comment authorId="2091" xr:uid="{bfcefc98-dd61-4435-b79d-9344f9c9eb1a}" ref="W316">
      <text>
        <t xml:space="preserve">[Threaded comment]
 Your version of Excel allows you to read this threaded comment; however, any edits to it will get removed if the file is opened in a newer version of Excel. Learn more: https://go.microsoft.com/fwlink/?linkid=870924
Comment:
	https://drive.google.com/file/d/1QtZKA-RoJNrlkQdgCKHwR3Kd-Lee_ZAn/view?usp=drive_link
</t>
      </text>
    </comment>
    <comment authorId="2092" xr:uid="{bfdbd0c6-f62f-45ff-8162-7096270ab50c}" ref="L16">
      <text>
        <t xml:space="preserve">[Threaded comment]
 Your version of Excel allows you to read this threaded comment; however, any edits to it will get removed if the file is opened in a newer version of Excel. Learn more: https://go.microsoft.com/fwlink/?linkid=870924
Comment:
	https://drive.google.com/file/d/1w3BI3ymcnT50Pm5qaE-DHIXbiFyxbHiH/view?usp=drive_link
</t>
      </text>
    </comment>
    <comment authorId="2093" xr:uid="{c043ac36-9d85-4b91-ae4b-bbb340e769b1}" ref="C318">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
</t>
      </text>
    </comment>
    <comment authorId="2094" xr:uid="{c08b0242-6d0e-42d6-bf9b-7e694d8602c6}" ref="AF537">
      <text>
        <t xml:space="preserve">[Threaded comment]
 Your version of Excel allows you to read this threaded comment; however, any edits to it will get removed if the file is opened in a newer version of Excel. Learn more: https://go.microsoft.com/fwlink/?linkid=870924
Comment:
	vental final, fixit, excedentes
</t>
      </text>
    </comment>
    <comment authorId="2095" xr:uid="{c0b42771-d0da-4bef-867b-c16e63c3115f}" ref="J415">
      <text>
        <t xml:space="preserve">[Threaded comment]
 Your version of Excel allows you to read this threaded comment; however, any edits to it will get removed if the file is opened in a newer version of Excel. Learn more: https://go.microsoft.com/fwlink/?linkid=870924
Comment:
	https://drive.google.com/file/d/1TazS3dBwo0B4fv_CFGP5dU9PzVr0Ef6s/view?usp=drive_link
</t>
      </text>
    </comment>
    <comment authorId="2096" xr:uid="{c0b4923e-73bc-4365-8be2-b484069ced67}" ref="C673">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097" xr:uid="{c0d659b4-0cda-48c9-b85b-c9bbfc12b6b4}" ref="J356">
      <text>
        <t xml:space="preserve">[Threaded comment]
 Your version of Excel allows you to read this threaded comment; however, any edits to it will get removed if the file is opened in a newer version of Excel. Learn more: https://go.microsoft.com/fwlink/?linkid=870924
Comment:
	https://drive.google.com/file/d/1c3haXaa4JwYnjOyFk1_q6rXSiaQ2oKQI/view?usp=drive_link
</t>
      </text>
    </comment>
    <comment authorId="2098" xr:uid="{c0e8454c-3e9c-45e6-9e3a-7fb831f27a14}" ref="C52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2099" xr:uid="{c0f971eb-fe57-4a0a-a130-e12ce63040aa}" ref="L173">
      <text>
        <t xml:space="preserve">[Threaded comment]
 Your version of Excel allows you to read this threaded comment; however, any edits to it will get removed if the file is opened in a newer version of Excel. Learn more: https://go.microsoft.com/fwlink/?linkid=870924
Comment:
	https://drive.google.com/file/d/1lkiPLjx8V2do9nvtcqFw089EywA9JK1b/view?usp=drive_link
</t>
      </text>
    </comment>
    <comment authorId="2100" xr:uid="{c10d5518-b8d2-4146-a667-eea0375d7c80}" ref="AF306">
      <text>
        <t xml:space="preserve">[Threaded comment]
 Your version of Excel allows you to read this threaded comment; however, any edits to it will get removed if the file is opened in a newer version of Excel. Learn more: https://go.microsoft.com/fwlink/?linkid=870924
Comment:
	solo forms
</t>
      </text>
    </comment>
    <comment authorId="2101" xr:uid="{c15ab763-4e43-4c52-95be-78991e5d61b5}" ref="C34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
</t>
      </text>
    </comment>
    <comment authorId="2102" xr:uid="{c16d6c99-0465-470b-9817-edb780be0c1e}" ref="L119">
      <text>
        <t xml:space="preserve">[Threaded comment]
 Your version of Excel allows you to read this threaded comment; however, any edits to it will get removed if the file is opened in a newer version of Excel. Learn more: https://go.microsoft.com/fwlink/?linkid=870924
Comment:
	https://drive.google.com/file/d/1UG-uhWzbX0k-yXhBvLFhTGKQJ2iSRQ0n/view?usp=drive_link
</t>
      </text>
    </comment>
    <comment authorId="2103" xr:uid="{c1896476-7d02-4654-8699-0a6e3bb4e329}" ref="AF630">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104" xr:uid="{c19d51a2-410e-4054-8245-bf14728b5fd7}" ref="K740">
      <text>
        <t xml:space="preserve">[Threaded comment]
 Your version of Excel allows you to read this threaded comment; however, any edits to it will get removed if the file is opened in a newer version of Excel. Learn more: https://go.microsoft.com/fwlink/?linkid=870924
Comment:
	https://drive.google.com/file/d/1-6r71dZicoTegfsipnFXsFiqDiYQQpDv/view?usp=drive_link
</t>
      </text>
    </comment>
    <comment authorId="2105" xr:uid="{c1c205ec-ce30-4775-ba51-e8c506474664}" ref="K430">
      <text>
        <t xml:space="preserve">[Threaded comment]
 Your version of Excel allows you to read this threaded comment; however, any edits to it will get removed if the file is opened in a newer version of Excel. Learn more: https://go.microsoft.com/fwlink/?linkid=870924
Comment:
	https://drive.google.com/file/d/1Se_ZT1QMuvnk2v14pbuhIw_5GlPpeY1M/view?usp=drive_link
</t>
      </text>
    </comment>
    <comment authorId="2106" xr:uid="{c1ed450d-8f96-458d-90ca-f916d31804e4}" ref="AF200">
      <text>
        <t xml:space="preserve">[Threaded comment]
 Your version of Excel allows you to read this threaded comment; however, any edits to it will get removed if the file is opened in a newer version of Excel. Learn more: https://go.microsoft.com/fwlink/?linkid=870924
Comment:
	FINAL: vental final y fixit
</t>
      </text>
    </comment>
    <comment authorId="2107" xr:uid="{c24ecd5c-caed-4a91-a551-b1cc2cb36a87}" ref="L124">
      <text>
        <t xml:space="preserve">[Threaded comment]
 Your version of Excel allows you to read this threaded comment; however, any edits to it will get removed if the file is opened in a newer version of Excel. Learn more: https://go.microsoft.com/fwlink/?linkid=870924
Comment:
	https://drive.google.com/file/d/14elcHTlo9JpAIeE_2aaU8MPHVt1S2vGh/view?usp=drive_link
</t>
      </text>
    </comment>
    <comment authorId="2108" xr:uid="{c26339ca-7c9d-4e34-a95a-b0aa2905a3a7}" ref="W440">
      <text>
        <t xml:space="preserve">[Threaded comment]
 Your version of Excel allows you to read this threaded comment; however, any edits to it will get removed if the file is opened in a newer version of Excel. Learn more: https://go.microsoft.com/fwlink/?linkid=870924
Comment:
	https://drive.google.com/file/d/1rSaD2JbjvdbYvrf_mkqw3lGkGCipWUTM/view?usp=drive_link
</t>
      </text>
    </comment>
    <comment authorId="2109" xr:uid="{c265e691-75f4-49cd-a6a6-863f81cf58fd}" ref="J618">
      <text>
        <t xml:space="preserve">[Threaded comment]
 Your version of Excel allows you to read this threaded comment; however, any edits to it will get removed if the file is opened in a newer version of Excel. Learn more: https://go.microsoft.com/fwlink/?linkid=870924
Comment:
	https://drive.google.com/file/d/1Iw700i_yLSJT4uC2WF_rbwJMKtkXoQBL/view?usp=drive_link
Reply:
	https://drive.google.com/file/d/1Ex9XE9Dcl6TzsVyd7VPqWXQYkbldOapV/view?usp=drive_link
</t>
      </text>
    </comment>
    <comment authorId="2110" xr:uid="{c278f863-4932-48b8-97b0-bd6def4fc179}" ref="J246">
      <text>
        <t xml:space="preserve">[Threaded comment]
 Your version of Excel allows you to read this threaded comment; however, any edits to it will get removed if the file is opened in a newer version of Excel. Learn more: https://go.microsoft.com/fwlink/?linkid=870924
Comment:
	https://drive.google.com/file/d/19IK8K9nmieFrBZVuOz7nZgzKMtE4um4f/view?usp=drive_link
https://drive.google.com/file/d/1KsnUvUeLjwVm5NFdvaq5UojyP5zfokO7/view?usp=drive_link
</t>
      </text>
    </comment>
    <comment authorId="2111" xr:uid="{c27aadd5-2fe9-42ea-9ba6-6e33d0c148ab}" ref="J339">
      <text>
        <t xml:space="preserve">[Threaded comment]
 Your version of Excel allows you to read this threaded comment; however, any edits to it will get removed if the file is opened in a newer version of Excel. Learn more: https://go.microsoft.com/fwlink/?linkid=870924
Comment:
	https://drive.google.com/file/d/17wOGGPeKP_btn9jr3-A-W-7711sYXmu9/view?usp=drive_link
</t>
      </text>
    </comment>
    <comment authorId="2112" xr:uid="{c292c4de-0ddb-4562-bcfc-c49b4f306ee6}" ref="A1">
      <text>
        <t xml:space="preserve">[Threaded comment]
 Your version of Excel allows you to read this threaded comment; however, any edits to it will get removed if the file is opened in a newer version of Excel. Learn more: https://go.microsoft.com/fwlink/?linkid=870924
Comment:
	se queda en Porlles
</t>
      </text>
    </comment>
    <comment authorId="2113" xr:uid="{c2aec279-96a8-4ab0-9066-c46c758f1ebf}" ref="Z155">
      <text>
        <t xml:space="preserve">[Threaded comment]
 Your version of Excel allows you to read this threaded comment; however, any edits to it will get removed if the file is opened in a newer version of Excel. Learn more: https://go.microsoft.com/fwlink/?linkid=870924
Comment:
	https://drive.google.com/file/d/18-_1OFy4R4zsex8oH03XabGJ8RSsqHuh/view
</t>
      </text>
    </comment>
    <comment authorId="2114" xr:uid="{c2cbef50-fd11-42ef-afd1-d28c598bbac4}" ref="L199">
      <text>
        <t xml:space="preserve">[Threaded comment]
 Your version of Excel allows you to read this threaded comment; however, any edits to it will get removed if the file is opened in a newer version of Excel. Learn more: https://go.microsoft.com/fwlink/?linkid=870924
Comment:
	https://drive.google.com/file/d/1wKZzgsCuUEArfPAx5wL7Juru6GqkKiCu/view?usp=drive_link
</t>
      </text>
    </comment>
    <comment authorId="2115" xr:uid="{c2d5d531-9d10-4bff-9944-e48ba2462359}" ref="J433">
      <text>
        <t xml:space="preserve">[Threaded comment]
 Your version of Excel allows you to read this threaded comment; however, any edits to it will get removed if the file is opened in a newer version of Excel. Learn more: https://go.microsoft.com/fwlink/?linkid=870924
Comment:
	https://drive.google.com/file/d/1JVwW5bNk79SOo35kPvvNfgtsWwjnX34A/view?usp=drive_link
</t>
      </text>
    </comment>
    <comment authorId="2116" xr:uid="{c2e10e3e-d7bc-4562-a2f0-4c842b9c5258}" ref="J366">
      <text>
        <t xml:space="preserve">[Threaded comment]
 Your version of Excel allows you to read this threaded comment; however, any edits to it will get removed if the file is opened in a newer version of Excel. Learn more: https://go.microsoft.com/fwlink/?linkid=870924
Comment:
	https://drive.google.com/file/d/1ST0TcBkvkiwVzGYA22_tL4CwcvYtXAid/view?usp=drive_link
Reply:
	https://drive.google.com/file/d/1PSaAz98MyWlWjNQAL4y7BVKZ2efzYwEU/view?usp=drive_link
</t>
      </text>
    </comment>
    <comment authorId="2117" xr:uid="{c300ec72-65f5-4562-9a20-353f25244b41}" ref="C51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https://www.microcenter.com/product/692120/msi-raider-18-hx-ai-a2xwig-418us-18-gaming-laptop-computer-core-black
</t>
      </text>
    </comment>
    <comment authorId="2118" xr:uid="{c339bb9d-6ddb-49d2-bc26-d3e9bff21b41}" ref="J133">
      <text>
        <t xml:space="preserve">[Threaded comment]
 Your version of Excel allows you to read this threaded comment; however, any edits to it will get removed if the file is opened in a newer version of Excel. Learn more: https://go.microsoft.com/fwlink/?linkid=870924
Comment:
	https://drive.google.com/file/d/10ckTMIVAQy3OuLe0a88TTPo1FwqeiTae/view?usp=drive_link
</t>
      </text>
    </comment>
    <comment authorId="2119" xr:uid="{c34751ef-161a-43f1-bd33-387ec00327c0}" ref="Z208">
      <text>
        <t xml:space="preserve">[Threaded comment]
 Your version of Excel allows you to read this threaded comment; however, any edits to it will get removed if the file is opened in a newer version of Excel. Learn more: https://go.microsoft.com/fwlink/?linkid=870924
Comment:
	https://drive.google.com/file/d/1lwui-O9Ot-aL-l_hOfratp3mvwihlkKv/view?usp=drive_link
</t>
      </text>
    </comment>
    <comment authorId="2120" xr:uid="{c3641ec4-1964-40c5-969d-6a43cbefdc3f}" ref="J560">
      <text>
        <t xml:space="preserve">[Threaded comment]
 Your version of Excel allows you to read this threaded comment; however, any edits to it will get removed if the file is opened in a newer version of Excel. Learn more: https://go.microsoft.com/fwlink/?linkid=870924
Comment:
	https://drive.google.com/file/d/1p_rYAXtVS9TJAfW1TF_PzITTcNsQNIh-/view?usp=drive_link
</t>
      </text>
    </comment>
    <comment authorId="2121" xr:uid="{c37a609a-d998-475c-aa22-55ff72c57bd1}" ref="K491">
      <text>
        <t xml:space="preserve">[Threaded comment]
 Your version of Excel allows you to read this threaded comment; however, any edits to it will get removed if the file is opened in a newer version of Excel. Learn more: https://go.microsoft.com/fwlink/?linkid=870924
Comment:
	https://drive.google.com/file/d/1mGCENAEgZnFIVhaXy2IdxrCc4MZ5_sRS/view?usp=drive_link
</t>
      </text>
    </comment>
    <comment authorId="2122" xr:uid="{c37a9d23-1d4d-496c-9626-98a356609de1}" ref="J493">
      <text>
        <t xml:space="preserve">[Threaded comment]
 Your version of Excel allows you to read this threaded comment; however, any edits to it will get removed if the file is opened in a newer version of Excel. Learn more: https://go.microsoft.com/fwlink/?linkid=870924
Comment:
	https://drive.google.com/file/d/1NMaHIosl_bIbbCxqH5FAeBTeTUP9FJfQ/view?usp=drive_link
</t>
      </text>
    </comment>
    <comment authorId="2123" xr:uid="{c3b43e0c-140e-4a53-9e2d-62c5ee43a7cd}" ref="AF631">
      <text>
        <t xml:space="preserve">[Threaded comment]
 Your version of Excel allows you to read this threaded comment; however, any edits to it will get removed if the file is opened in a newer version of Excel. Learn more: https://go.microsoft.com/fwlink/?linkid=870924
Comment:
	venta final,excedentes, fixit
</t>
      </text>
    </comment>
    <comment authorId="2124" xr:uid="{c3c0b394-01d9-42aa-94ee-0a4f4eacab3d}" ref="K356">
      <text>
        <t xml:space="preserve">[Threaded comment]
 Your version of Excel allows you to read this threaded comment; however, any edits to it will get removed if the file is opened in a newer version of Excel. Learn more: https://go.microsoft.com/fwlink/?linkid=870924
Comment:
	https://drive.google.com/file/d/1MU0hCy9MVzwW5Ax56ti86pHC4sUIYSEJ/view?usp=drive_link
</t>
      </text>
    </comment>
    <comment authorId="2125" xr:uid="{c3d11ed0-3824-42d2-967d-66bb3ab531ff}" ref="J502">
      <text>
        <t xml:space="preserve">[Threaded comment]
 Your version of Excel allows you to read this threaded comment; however, any edits to it will get removed if the file is opened in a newer version of Excel. Learn more: https://go.microsoft.com/fwlink/?linkid=870924
Comment:
	https://drive.google.com/file/d/1xY4Qp9fAYNH2HQlck5yh3cmYm0Ajwbdc/view?usp=drive_link
</t>
      </text>
    </comment>
    <comment authorId="2126" xr:uid="{c4157fcf-e473-43fc-aeac-593db967c4f4}" ref="W486">
      <text>
        <t xml:space="preserve">[Threaded comment]
 Your version of Excel allows you to read this threaded comment; however, any edits to it will get removed if the file is opened in a newer version of Excel. Learn more: https://go.microsoft.com/fwlink/?linkid=870924
Comment:
	https://drive.google.com/open?id=14OA36Q-kCI3-NnyQ-gfCF3unK6fr7uy3&amp;usp=drive_copy
</t>
      </text>
    </comment>
    <comment authorId="2127" xr:uid="{c41fa355-a443-4d6c-9854-78337bde4cb2}" ref="C121">
      <text>
        <t xml:space="preserve">[Threaded comment]
 Your version of Excel allows you to read this threaded comment; however, any edits to it will get removed if the file is opened in a newer version of Excel. Learn more: https://go.microsoft.com/fwlink/?linkid=870924
Comment:
	https://www.amazon.com/dp/B0DW1WX8H2?tag=psuni-03-us-52937-20&amp;linkCode=osi&amp;th=1&amp;ascsubtag=6822e9ece1078f7da09e09a3
</t>
      </text>
    </comment>
    <comment authorId="2128" xr:uid="{c42e6d2c-b12c-44db-ab06-67220f03969a}" ref="K729">
      <text>
        <t xml:space="preserve">[Threaded comment]
 Your version of Excel allows you to read this threaded comment; however, any edits to it will get removed if the file is opened in a newer version of Excel. Learn more: https://go.microsoft.com/fwlink/?linkid=870924
Comment:
	https://drive.google.com/file/d/1b4-DkHpcVF5bVkzkv_AHhDsV19MkYD5c/view?usp=drive_link
</t>
      </text>
    </comment>
    <comment authorId="2129" xr:uid="{c4498452-c5b8-451b-8abf-4a356124781e}" ref="C505">
      <text>
        <t xml:space="preserve">[Threaded comment]
 Your version of Excel allows you to read this threaded comment; however, any edits to it will get removed if the file is opened in a newer version of Excel. Learn more: https://go.microsoft.com/fwlink/?linkid=870924
Comment:
	https://www.ebay.com/itm/326840072490?_skw=laptop+gaming&amp;itmmeta=01KETC2QE15N7Y56C8XQ1PJY0H&amp;hash=item4c192fb92a:g:3EkAAeSw~RBpXBpQ
</t>
      </text>
    </comment>
    <comment authorId="2130" xr:uid="{c46f4784-7256-4a82-b77d-0be2d4ea756f}" ref="W340">
      <text>
        <t xml:space="preserve">[Threaded comment]
 Your version of Excel allows you to read this threaded comment; however, any edits to it will get removed if the file is opened in a newer version of Excel. Learn more: https://go.microsoft.com/fwlink/?linkid=870924
Comment:
	https://drive.google.com/file/d/1lKYvIZ-Iah_hNSZ_qOPtezfCUw7oq9VQ/view?usp=drive_link
</t>
      </text>
    </comment>
    <comment authorId="2131" xr:uid="{c477eb10-ebad-4045-b6f4-92458744adce}" ref="J334">
      <text>
        <t xml:space="preserve">[Threaded comment]
 Your version of Excel allows you to read this threaded comment; however, any edits to it will get removed if the file is opened in a newer version of Excel. Learn more: https://go.microsoft.com/fwlink/?linkid=870924
Comment:
	https://drive.google.com/file/d/1wA7tZqXy5nBtM0rw82kDZvKB39rK61Gc/view?usp=drive_link
Reply:
	https://drive.google.com/file/d/1MxfT0PQLL63iGVFJvOpITHLGSDYhyn-O/view?usp=drive_link
</t>
      </text>
    </comment>
    <comment authorId="2132" xr:uid="{c49ca94f-08b1-45d0-a14c-1e557fc6324d}" ref="C380">
      <text>
        <t xml:space="preserve">[Threaded comment]
 Your version of Excel allows you to read this threaded comment; however, any edits to it will get removed if the file is opened in a newer version of Excel. Learn more: https://go.microsoft.com/fwlink/?linkid=870924
Comment:
	https://www.ebay.com/itm/306295101642
</t>
      </text>
    </comment>
    <comment authorId="2133" xr:uid="{c49d1354-cfee-4cd6-989e-492340a2de9b}" ref="J660">
      <text>
        <t xml:space="preserve">[Threaded comment]
 Your version of Excel allows you to read this threaded comment; however, any edits to it will get removed if the file is opened in a newer version of Excel. Learn more: https://go.microsoft.com/fwlink/?linkid=870924
Comment:
	https://drive.google.com/file/d/1LgDcoRFUGq1XdiTLdQusHRA4x28zQL6t/view?usp=drive_link
</t>
      </text>
    </comment>
    <comment authorId="2134" xr:uid="{c4aac629-c846-4172-a34c-39e0c8bc1055}" ref="Q488">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office 2024 + eset nod 32 + windows 11 pro
</t>
      </text>
    </comment>
    <comment authorId="2135" xr:uid="{c4afe990-2046-4e66-b84a-a3a08ad6c93a}" ref="AF274">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2136" xr:uid="{c4c7308f-04bb-4154-bfd7-06496000395b}" ref="J603">
      <text>
        <t xml:space="preserve">[Threaded comment]
 Your version of Excel allows you to read this threaded comment; however, any edits to it will get removed if the file is opened in a newer version of Excel. Learn more: https://go.microsoft.com/fwlink/?linkid=870924
Comment:
	https://drive.google.com/file/d/18gUZ5tlD_e_lLBThlIY70VsdVkx2c6we/view?usp=drive_link
</t>
      </text>
    </comment>
    <comment authorId="2137" xr:uid="{c51b228c-b0d3-4f7e-8948-428557beb32d}" ref="Q556">
      <text>
        <t xml:space="preserve">[Threaded comment]
 Your version of Excel allows you to read this threaded comment; however, any edits to it will get removed if the file is opened in a newer version of Excel. Learn more: https://go.microsoft.com/fwlink/?linkid=870924
Comment:
	apertura+config inicial+eset nod
</t>
      </text>
    </comment>
    <comment authorId="2138" xr:uid="{c55609f3-96ab-463e-aabc-b3522476fcbf}" ref="AF456">
      <text>
        <t xml:space="preserve">[Threaded comment]
 Your version of Excel allows you to read this threaded comment; however, any edits to it will get removed if the file is opened in a newer version of Excel. Learn more: https://go.microsoft.com/fwlink/?linkid=870924
Comment:
	FIXIT excedentes
</t>
      </text>
    </comment>
    <comment authorId="2139" xr:uid="{c57aade2-30ac-44da-be14-496f3c4ad17b}" ref="C53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https://www.microcenter.com/product/695522/dell-alienware-18-area-51-aa18250-18-gaming-laptop-computer-liquid-teal?storeid=065
</t>
      </text>
    </comment>
    <comment authorId="2140" xr:uid="{c597c722-98a5-470e-bac5-a5903401f2c1}" ref="W198">
      <text>
        <t xml:space="preserve">[Threaded comment]
 Your version of Excel allows you to read this threaded comment; however, any edits to it will get removed if the file is opened in a newer version of Excel. Learn more: https://go.microsoft.com/fwlink/?linkid=870924
Comment:
	https://drive.google.com/file/d/1ZUa95qPxOusgYozbBz2FnSIgRwJBAF7n/view?usp=drive_link
</t>
      </text>
    </comment>
    <comment authorId="2141" xr:uid="{c5a31819-e88b-45c0-9a89-9c515c7eab13}" ref="K577">
      <text>
        <t xml:space="preserve">[Threaded comment]
 Your version of Excel allows you to read this threaded comment; however, any edits to it will get removed if the file is opened in a newer version of Excel. Learn more: https://go.microsoft.com/fwlink/?linkid=870924
Comment:
	https://drive.google.com/file/d/13loh89Q3OBcCcv-QYz7p5prZqfRah5-S/view?usp=drive_link
Reply:
	https://drive.google.com/file/d/1yykoEFGILdmj5nWYpPTKjMnaa9cnklKh/view?usp=drive_link
Reply:
	https://drive.google.com/file/d/17bSvfuM2W7N8-5RaEZKtVE6qG0paaNfU/view?usp=drive_link
</t>
      </text>
    </comment>
    <comment authorId="2142" xr:uid="{c5aaa556-a3f9-4378-b100-f0b71482ae87}" ref="J267">
      <text>
        <t xml:space="preserve">[Threaded comment]
 Your version of Excel allows you to read this threaded comment; however, any edits to it will get removed if the file is opened in a newer version of Excel. Learn more: https://go.microsoft.com/fwlink/?linkid=870924
Comment:
	https://drive.google.com/file/d/19Vz1JyBS1fE0pkeuc5mGQqxxCWm5DTD_/view?usp=drive_link
Reply:
	https://drive.google.com/file/d/1eTENlWPi5pD_XY7z87ioN_9udlWgtwb8/view?usp=drive_link
</t>
      </text>
    </comment>
    <comment authorId="2143" xr:uid="{c5b270ee-28de-47f6-80d2-8dcd70c6fef2}" ref="K374">
      <text>
        <t xml:space="preserve">[Threaded comment]
 Your version of Excel allows you to read this threaded comment; however, any edits to it will get removed if the file is opened in a newer version of Excel. Learn more: https://go.microsoft.com/fwlink/?linkid=870924
Comment:
	https://drive.google.com/file/d/1CRig67D7Cgh1IrPI21o3UboDDXgeSYu9/view?usp=drive_link
</t>
      </text>
    </comment>
    <comment authorId="2144" xr:uid="{c5bc244f-27c7-4a53-ba3d-2155feea3d96}" ref="J710">
      <text>
        <t xml:space="preserve">[Threaded comment]
 Your version of Excel allows you to read this threaded comment; however, any edits to it will get removed if the file is opened in a newer version of Excel. Learn more: https://go.microsoft.com/fwlink/?linkid=870924
Comment:
	https://drive.google.com/file/d/1m8_dssXlwWq5p_32Op9t55VrOl05K7sG/view?usp=drive_link
</t>
      </text>
    </comment>
    <comment authorId="2145" xr:uid="{c5d60fe8-959c-4d98-897b-b103cf3dd23c}" ref="J277">
      <text>
        <t xml:space="preserve">[Threaded comment]
 Your version of Excel allows you to read this threaded comment; however, any edits to it will get removed if the file is opened in a newer version of Excel. Learn more: https://go.microsoft.com/fwlink/?linkid=870924
Comment:
	https://drive.google.com/file/d/1p7n-OpRpNDXruK_QEZjQA1p74mprZ-P8/view?usp=drive_link
</t>
      </text>
    </comment>
    <comment authorId="2146" xr:uid="{c62433f3-aa46-4979-83e6-557f8d96c2ff}" ref="C457">
      <text>
        <t xml:space="preserve">[Threaded comment]
 Your version of Excel allows you to read this threaded comment; however, any edits to it will get removed if the file is opened in a newer version of Excel. Learn more: https://go.microsoft.com/fwlink/?linkid=870924
Comment:
	https://www.amazon.com/-/es/Port%C3%A1til-juegos-pantalla-Nebula-pulgadas/dp/B0F1C665XL/ref=sr_1_4?__mk_es_US=%C3%85M%C3%85%C5%BD%C3%95%C3%91&amp;crid=20JCFXWCLJNW4&amp;dib=eyJ2IjoiMSJ9.YhHbHzCnqanTh_gNopTAybRXaYG0-J42gzaSzwwc-HFeEYlWh6yhyvuyCUGAri0gI7mNBYP_h1-v0AlXUm4UnYkHmPPVu1RAnZHCKtZ02WpbcK9or2JZQ9OPlVLNLhQnlSGvazyKTHo8g9uq0s06jCKArX7kV-IduWSN5tGCGvptsm-7cWNq2dJxGn2quPRDGITkxw_fJhWlgpTmnfYEF_D6eb7ZVQNb-Qzgavp2bTI.v7cVuEiCqe_P-1KnEkAEAWeLnMMB_Ax1lj_RxqJ3afc&amp;dib_tag=se&amp;keywords=laptop%2Bgaming&amp;qid=1767061992&amp;sprefix=laptop%2Bgami%2Caps%2C297&amp;sr=8-4&amp;th=1
</t>
      </text>
    </comment>
    <comment authorId="2147" xr:uid="{c6a09dc9-6d32-42f1-8293-afb1f7cc93a0}" ref="K773">
      <text>
        <t xml:space="preserve">[Threaded comment]
 Your version of Excel allows you to read this threaded comment; however, any edits to it will get removed if the file is opened in a newer version of Excel. Learn more: https://go.microsoft.com/fwlink/?linkid=870924
Comment:
	https://drive.google.com/file/d/185yXRX4CuSCsoWEO_KCj9Sc2mJTSerhg/view?usp=drive_link
Reply:
	https://drive.google.com/file/d/1Wa42aJ8oigurIcsYZq2H3mPdwlUinYIM/view?usp=drive_link
Reply:
	https://drive.google.com/file/d/174T4k2IXwwkRzrU6_OeXdPXe0gPZo8KH/view?usp=drive_link
Reply:
	https://drive.google.com/file/d/1pkGdlTNxDvTeMKCynvX8XqcuU4oMlyGM/view?usp=drive_link
Reply:
	https://drive.google.com/file/d/1jxnHbhHAaOWd11MgE7rk-45CRjhyvHyp/view?usp=drive_link
Reply:
	https://drive.google.com/file/d/12sQ4BAiy7Q31MleWkQ_ZWpHonuy5Mr3c/view?usp=drive_link
Reply:
	https://drive.google.com/file/d/1F__edrKpagh7Zzh2FdlZyKQ8j0iS9I49/view?usp=drive_link
Reply:
	https://drive.google.com/file/d/1QA2UmDHpCiVO_HoNZ-zEUAQPSA8lZPwg/view?usp=drive_link
Reply:
	https://drive.google.com/file/d/179U1G7wliuQXYwXAJ1E88IfOeoz3KxsH/view?usp=drive_link
Reply:
	https://drive.google.com/file/d/19dLxbaWk9Rp8jtrWvJg-40foC-NnbnRb/view?usp=drive_link
Reply:
	https://drive.google.com/file/d/1WzugQsVMO6bz1GtZM8SuSWF4RbyQd68i/view?usp=drive_link
Reply:
	https://drive.google.com/file/d/1vH213pC9QV5_K0HxWyAMf9cYygah-5aK/view?usp=drive_link
</t>
      </text>
    </comment>
    <comment authorId="2148" xr:uid="{c6c89f4d-9114-4669-835f-65b8f8fa56a2}" ref="K710">
      <text>
        <t xml:space="preserve">[Threaded comment]
 Your version of Excel allows you to read this threaded comment; however, any edits to it will get removed if the file is opened in a newer version of Excel. Learn more: https://go.microsoft.com/fwlink/?linkid=870924
Comment:
	https://drive.google.com/file/d/1yZwpqdSGCGU_oRVTY_im5-jpTgiC_hGv/view?usp=drive_link
</t>
      </text>
    </comment>
    <comment authorId="2149" xr:uid="{c6ca1e0f-e9e6-4835-9653-d3aff05a4f3a}" ref="J503">
      <text>
        <t xml:space="preserve">[Threaded comment]
 Your version of Excel allows you to read this threaded comment; however, any edits to it will get removed if the file is opened in a newer version of Excel. Learn more: https://go.microsoft.com/fwlink/?linkid=870924
Comment:
	https://drive.google.com/file/d/1vZhQzxDvWKHdFzfc_qGkQiVkN7beVvpY/view?usp=drive_link
</t>
      </text>
    </comment>
    <comment authorId="2150" xr:uid="{c6edc3da-4973-431a-909c-ce34d0fa7f9b}" ref="F393">
      <text>
        <t xml:space="preserve">[Threaded comment]
 Your version of Excel allows you to read this threaded comment; however, any edits to it will get removed if the file is opened in a newer version of Excel. Learn more: https://go.microsoft.com/fwlink/?linkid=870924
Comment:
	Recibo pendiente
</t>
      </text>
    </comment>
    <comment authorId="2151" xr:uid="{c70457d7-d202-48f7-a432-a7eb692d56db}" ref="Q356">
      <text>
        <t xml:space="preserve">[Threaded comment]
 Your version of Excel allows you to read this threaded comment; however, any edits to it will get removed if the file is opened in a newer version of Excel. Learn more: https://go.microsoft.com/fwlink/?linkid=870924
Comment:
	70 soles de su licencia de office esta en la fila de josmel
</t>
      </text>
    </comment>
    <comment authorId="2152" xr:uid="{c70d2941-da88-4691-80b1-c4fb9b982618}" ref="L53">
      <text>
        <t xml:space="preserve">[Threaded comment]
 Your version of Excel allows you to read this threaded comment; however, any edits to it will get removed if the file is opened in a newer version of Excel. Learn more: https://go.microsoft.com/fwlink/?linkid=870924
Comment:
	https://drive.google.com/file/d/1EAU8OJ8nufvR_Zy-SxQgI-6N4gKqIoru/view?usp=drive_link
Reply:
	https://drive.google.com/file/d/14ScYrwPfLP1M8boVADDMpPxmuyQx17Ia/view?usp=drive_link
</t>
      </text>
    </comment>
    <comment authorId="2153" xr:uid="{c74e127e-49fa-4d81-a110-5eb848a3893e}" ref="C42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https://www.microcenter.com/product/693716/asus-rog-strix-g16-g615lr-ms97-16-gaming-laptop-computer-platinum-collection-eclipse-gray?storeid=185
</t>
      </text>
    </comment>
    <comment authorId="2154" xr:uid="{c75490ef-80e2-4504-837a-da2747892580}" ref="W407">
      <text>
        <t xml:space="preserve">[Threaded comment]
 Your version of Excel allows you to read this threaded comment; however, any edits to it will get removed if the file is opened in a newer version of Excel. Learn more: https://go.microsoft.com/fwlink/?linkid=870924
Comment:
	factura 20614045192
Reply:
	https://drive.google.com/file/d/1OzCJNBr5521Eaz94l6SykETlYYwnQfpM/view?usp=drive_link
</t>
      </text>
    </comment>
    <comment authorId="2155" xr:uid="{c77a2578-866c-4eff-929e-1f0e5b7672a3}" ref="T738">
      <text>
        <t xml:space="preserve">[Threaded comment]
 Your version of Excel allows you to read this threaded comment; however, any edits to it will get removed if the file is opened in a newer version of Excel. Learn more: https://go.microsoft.com/fwlink/?linkid=870924
Comment:
	para el cliente de provedores fila 38
</t>
      </text>
    </comment>
    <comment authorId="2156" xr:uid="{c7a1250d-16b2-4321-b729-642b3f8300a1}" ref="AF655">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2157" xr:uid="{c7a950af-9ca8-4db8-bfb3-f5436972e681}" ref="AF740">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158" xr:uid="{c7b0401a-70f0-4d14-bae4-fdcce8b9f595}" ref="AF208">
      <text>
        <t xml:space="preserve">[Threaded comment]
 Your version of Excel allows you to read this threaded comment; however, any edits to it will get removed if the file is opened in a newer version of Excel. Learn more: https://go.microsoft.com/fwlink/?linkid=870924
Comment:
	No suma voucher
</t>
      </text>
    </comment>
    <comment authorId="2159" xr:uid="{c7b43c01-a5fb-467d-b63e-dc14dd76914d}" ref="J272">
      <text>
        <t xml:space="preserve">[Threaded comment]
 Your version of Excel allows you to read this threaded comment; however, any edits to it will get removed if the file is opened in a newer version of Excel. Learn more: https://go.microsoft.com/fwlink/?linkid=870924
Comment:
	https://drive.google.com/file/d/1rZL4CPPABc_8gbxentId7YzPyTpKeS5f/view?usp=drive_link
</t>
      </text>
    </comment>
    <comment authorId="2160" xr:uid="{c7d24508-85ce-4384-a67e-28cb8f611e56}" ref="J308">
      <text>
        <t xml:space="preserve">[Threaded comment]
 Your version of Excel allows you to read this threaded comment; however, any edits to it will get removed if the file is opened in a newer version of Excel. Learn more: https://go.microsoft.com/fwlink/?linkid=870924
Comment:
	https://drive.google.com/file/d/1SaOMMEP56G_s_PPWdznEsQ5JzEjeMAHY/view?usp=drive_link
</t>
      </text>
    </comment>
    <comment authorId="2161" xr:uid="{c7d69bb3-fa90-48c9-a5dd-495c0fd60b51}" ref="J69">
      <text>
        <t xml:space="preserve">[Threaded comment]
 Your version of Excel allows you to read this threaded comment; however, any edits to it will get removed if the file is opened in a newer version of Excel. Learn more: https://go.microsoft.com/fwlink/?linkid=870924
Comment:
	https://drive.google.com/file/d/1GHT7sw7lahmOAwxMOcrRxBNi_vJG2oKf/view?usp=drive_link
</t>
      </text>
    </comment>
    <comment authorId="2162" xr:uid="{c7f7b035-c963-4eae-b40f-ce7514f6e875}" ref="C29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163" xr:uid="{c8082d96-6961-4888-b816-53a8269c50cc}" ref="J357">
      <text>
        <t xml:space="preserve">[Threaded comment]
 Your version of Excel allows you to read this threaded comment; however, any edits to it will get removed if the file is opened in a newer version of Excel. Learn more: https://go.microsoft.com/fwlink/?linkid=870924
Comment:
	https://drive.google.com/file/d/1js0tAfPfQ_d_mFm2qqXGxpRjJ3BzroGz/view?usp=drive_link
</t>
      </text>
    </comment>
    <comment authorId="2164" xr:uid="{c80c8b54-1df6-4683-a1dc-f92c8cf55cca}" ref="C473">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https://www.bhphotovideo.com/c/product/1875947-REG/lenovo_83f50018us_16_legion_pro_7i.html
</t>
      </text>
    </comment>
    <comment authorId="2165" xr:uid="{c80e1e50-785a-4109-bf14-4530f4648766}" ref="C25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https://www.microcenter.com/product/354465/case-logic-laptop-case-fits-screens-up-to-184-black
</t>
      </text>
    </comment>
    <comment authorId="2166" xr:uid="{c8467c4d-349b-445e-8dcf-201aa372d31a}" ref="J537">
      <text>
        <t xml:space="preserve">[Threaded comment]
 Your version of Excel allows you to read this threaded comment; however, any edits to it will get removed if the file is opened in a newer version of Excel. Learn more: https://go.microsoft.com/fwlink/?linkid=870924
Comment:
	https://drive.google.com/file/d/1YiFTTCvOoyKkgDFzDQVABbX4zxeWCczG/view?usp=drive_link
</t>
      </text>
    </comment>
    <comment authorId="2167" xr:uid="{c8575e22-4dd2-4494-a5dc-d68900241511}" ref="K658">
      <text>
        <t xml:space="preserve">[Threaded comment]
 Your version of Excel allows you to read this threaded comment; however, any edits to it will get removed if the file is opened in a newer version of Excel. Learn more: https://go.microsoft.com/fwlink/?linkid=870924
Comment:
	https://drive.google.com/file/d/1w_reM_3iEk0x5JQg1_3TrK5EFT0kkCAo/view?usp=drive_link
</t>
      </text>
    </comment>
    <comment authorId="2168" xr:uid="{c86b8aa3-4a7b-4d3b-beab-c9ef75cf4d35}" ref="C163">
      <text>
        <t xml:space="preserve">[Threaded comment]
 Your version of Excel allows you to read this threaded comment; however, any edits to it will get removed if the file is opened in a newer version of Excel. Learn more: https://go.microsoft.com/fwlink/?linkid=870924
Comment:
	https://www.dell.com/en-us/shop/dell-laptops/alienware-18-area-51-gaming-laptop/spd/alienware-area-51-aa18250-gaming-laptop/useaa18250hbtshpxs
</t>
      </text>
    </comment>
    <comment authorId="2169" xr:uid="{c87510d7-e784-4148-b0f8-af0ab48d3419}" ref="J442">
      <text>
        <t xml:space="preserve">[Threaded comment]
 Your version of Excel allows you to read this threaded comment; however, any edits to it will get removed if the file is opened in a newer version of Excel. Learn more: https://go.microsoft.com/fwlink/?linkid=870924
Comment:
	https://drive.google.com/file/d/1FkqKbxpcEf5a2B4vmx8y3i004HEiV_Ma/view?usp=drive_link
</t>
      </text>
    </comment>
    <comment authorId="2170" xr:uid="{c89b8914-8c97-4429-83d8-045a40e77dd1}" ref="J304">
      <text>
        <t xml:space="preserve">[Threaded comment]
 Your version of Excel allows you to read this threaded comment; however, any edits to it will get removed if the file is opened in a newer version of Excel. Learn more: https://go.microsoft.com/fwlink/?linkid=870924
Comment:
	https://drive.google.com/file/d/1ZkiBfK-6Oj0-adY9oCR6nl9ZKA7gxJ1d/view?usp=drive_link
</t>
      </text>
    </comment>
    <comment authorId="2171" xr:uid="{c8b8682a-023b-493c-bf43-f3097be88b33}" ref="C88">
      <text>
        <t xml:space="preserve">[Threaded comment]
 Your version of Excel allows you to read this threaded comment; however, any edits to it will get removed if the file is opened in a newer version of Excel. Learn more: https://go.microsoft.com/fwlink/?linkid=870924
Comment:
	https://www.ebay.com/itm/297282597330?_skw=5070&amp;itmmeta=01JX2Y62KJ80PQX3WTYHHTQ5XA&amp;hash=item45376c71d2:g:MpIAAeSw8PNoJCUU
</t>
      </text>
    </comment>
    <comment authorId="2172" xr:uid="{c8c3fe4b-f538-4808-b4d7-4a14706de946}" ref="C45">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https://www.bestbuy.com/site/asus-rog-strix-g16-16-fhd-165hz-gaming-laptop-amd-ryzen-9-hx-16gb-ram-nvidia-geforce-rtx-5070-ti-1tb-ssd-eclipse-grey/6613956.p?skuId=6613956
</t>
      </text>
    </comment>
    <comment authorId="2173" xr:uid="{c8f76937-5e48-4e56-9b96-76e3d1d05654}" ref="C495">
      <text>
        <t xml:space="preserve">[Threaded comment]
 Your version of Excel allows you to read this threaded comment; however, any edits to it will get removed if the file is opened in a newer version of Excel. Learn more: https://go.microsoft.com/fwlink/?linkid=870924
Comment:
	https://www.ebay.com/itm/197737868679?_skw=laptop+gaming&amp;itmmeta=01KFHAZ1Y3WAM2HSA2SMD073PB&amp;hash=item2e0a186d87:g:qHUAAeSwhodpZnxV
</t>
      </text>
    </comment>
    <comment authorId="2174" xr:uid="{c901f9e7-e1f9-4789-9c98-b8039c04e454}" ref="W402">
      <text>
        <t xml:space="preserve">[Threaded comment]
 Your version of Excel allows you to read this threaded comment; however, any edits to it will get removed if the file is opened in a newer version of Excel. Learn more: https://go.microsoft.com/fwlink/?linkid=870924
Comment:
	https://drive.google.com/file/d/1wJxsaQtHkZwCWOkR32AxbW5RLU0-uF_T/view?usp=drive_link
</t>
      </text>
    </comment>
    <comment authorId="2175" xr:uid="{c903c62a-62f1-4317-b78e-08886189a880}" ref="W213">
      <text>
        <t xml:space="preserve">[Threaded comment]
 Your version of Excel allows you to read this threaded comment; however, any edits to it will get removed if the file is opened in a newer version of Excel. Learn more: https://go.microsoft.com/fwlink/?linkid=870924
Comment:
	https://drive.google.com/file/d/1Oe7zfBU1T65wkiZswC-w4ZTg21szcM5M/view?usp=drive_link
</t>
      </text>
    </comment>
    <comment authorId="2176" xr:uid="{c90aff8a-1aa9-41ba-b2be-e03bd7cb02e7}" ref="T405">
      <text>
        <t xml:space="preserve">[Threaded comment]
 Your version of Excel allows you to read this threaded comment; however, any edits to it will get removed if the file is opened in a newer version of Excel. Learn more: https://go.microsoft.com/fwlink/?linkid=870924
Comment:
	memoria RAM 16GB
</t>
      </text>
    </comment>
    <comment authorId="2177" xr:uid="{c918806e-f9d4-4000-b114-70ef47efc4bb}" ref="L169">
      <text>
        <t xml:space="preserve">[Threaded comment]
 Your version of Excel allows you to read this threaded comment; however, any edits to it will get removed if the file is opened in a newer version of Excel. Learn more: https://go.microsoft.com/fwlink/?linkid=870924
Comment:
	https://drive.google.com/file/d/1Q4C0GQV_DmG-Nc8gudqxnqPgJxpvNA6K/view?usp=drive_link
Reply:
	https://drive.google.com/file/d/100QT4Vk2SmbSCaH40-R4e2i1qYc5_NsX/view?usp=drive_link
</t>
      </text>
    </comment>
    <comment authorId="2178" xr:uid="{c9292db4-ee87-4d5d-9092-c1c1fdf04ff4}" ref="K501">
      <text>
        <t xml:space="preserve">[Threaded comment]
 Your version of Excel allows you to read this threaded comment; however, any edits to it will get removed if the file is opened in a newer version of Excel. Learn more: https://go.microsoft.com/fwlink/?linkid=870924
Comment:
	https://drive.google.com/file/d/1rSbesSk0PikFLvXKKikIaYW8KaNzzYDL/view?usp=drive_link
</t>
      </text>
    </comment>
    <comment authorId="2179" xr:uid="{c9e25bcc-45d8-4856-96aa-7fdf1265d26e}" ref="L186">
      <text>
        <t xml:space="preserve">[Threaded comment]
 Your version of Excel allows you to read this threaded comment; however, any edits to it will get removed if the file is opened in a newer version of Excel. Learn more: https://go.microsoft.com/fwlink/?linkid=870924
Comment:
	https://drive.google.com/file/d/133h88mBpZOgzfU-3kuaIkZjK7n4KooUM/view?usp=drive_link
</t>
      </text>
    </comment>
    <comment authorId="2180" xr:uid="{c9fc1d57-19ef-4d8c-8632-22df8f4bb61a}" ref="J661">
      <text>
        <t xml:space="preserve">[Threaded comment]
 Your version of Excel allows you to read this threaded comment; however, any edits to it will get removed if the file is opened in a newer version of Excel. Learn more: https://go.microsoft.com/fwlink/?linkid=870924
Comment:
	https://drive.google.com/file/d/14rc9m-c7AS_C6gmuXG8EMAkwj1rhTHHc/view?usp=drive_link
Reply:
	https://drive.google.com/file/d/1DX-sBiCwGuadXRe7Cm29nnK9gV-E-Uo7/view?usp=drive_link
Reply:
	https://drive.google.com/file/d/158zeQjhKoZSDU0DsVdlAzzTLhADHrGGK/view?usp=drive_link
</t>
      </text>
    </comment>
    <comment authorId="2181" xr:uid="{ca0b0300-1b50-461b-8e74-a1e6774f1032}" ref="C439">
      <text>
        <t xml:space="preserve">[Threaded comment]
 Your version of Excel allows you to read this threaded comment; however, any edits to it will get removed if the file is opened in a newer version of Excel. Learn more: https://go.microsoft.com/fwlink/?linkid=870924
Comment:
	https://www.ebay.com/itm/205756001751?_skw=laptop+gaming&amp;itmmeta=01KD51PGBNT5H4CTGDQ0PQSTV2&amp;hash=item2fe8036dd7:g:M1QAAeSwZxlpRwPv
</t>
      </text>
    </comment>
    <comment authorId="2182" xr:uid="{ca1473f4-09a9-444c-98cd-6ce04c710a46}" ref="J504">
      <text>
        <t xml:space="preserve">[Threaded comment]
 Your version of Excel allows you to read this threaded comment; however, any edits to it will get removed if the file is opened in a newer version of Excel. Learn more: https://go.microsoft.com/fwlink/?linkid=870924
Comment:
	https://drive.google.com/file/d/1kUX1Pwe3qwyV9GgCi7xnV51a0lAsUvsr/view?usp=drive_link
</t>
      </text>
    </comment>
    <comment authorId="2183" xr:uid="{ca1d1050-2c5b-4957-ae24-f318ee743506}" ref="L49">
      <text>
        <t xml:space="preserve">[Threaded comment]
 Your version of Excel allows you to read this threaded comment; however, any edits to it will get removed if the file is opened in a newer version of Excel. Learn more: https://go.microsoft.com/fwlink/?linkid=870924
Comment:
	https://drive.google.com/file/d/1DdgdlVu0YqnIQkfXEvJUVytd0rF9HTJo/view?usp=drive_link
</t>
      </text>
    </comment>
    <comment authorId="2184" xr:uid="{ca25f2e4-ed52-4ddf-afdb-ba8d9f7846e6}" ref="L147">
      <text>
        <t xml:space="preserve">[Threaded comment]
 Your version of Excel allows you to read this threaded comment; however, any edits to it will get removed if the file is opened in a newer version of Excel. Learn more: https://go.microsoft.com/fwlink/?linkid=870924
Comment:
	https://drive.google.com/file/d/1xrFvEbPEpXRE1XtYStUN4TxgeDbJ3yJr/view?usp=drive_link
</t>
      </text>
    </comment>
    <comment authorId="2185" xr:uid="{ca6c0d27-ca3f-4db3-9769-60fe6481f466}" ref="N33">
      <text>
        <t xml:space="preserve">[Threaded comment]
 Your version of Excel allows you to read this threaded comment; however, any edits to it will get removed if the file is opened in a newer version of Excel. Learn more: https://go.microsoft.com/fwlink/?linkid=870924
Comment:
	Aumenta por el envío
</t>
      </text>
    </comment>
    <comment authorId="2186" xr:uid="{ca86a7d6-38bc-4cfc-81cb-61f409b8b03d}" ref="W126">
      <text>
        <t xml:space="preserve">[Threaded comment]
 Your version of Excel allows you to read this threaded comment; however, any edits to it will get removed if the file is opened in a newer version of Excel. Learn more: https://go.microsoft.com/fwlink/?linkid=870924
Comment:
	https://drive.google.com/file/d/1GFmlHcUGFofhijfk9rDh_OFjN09c7PFq/view?usp=drive_link
</t>
      </text>
    </comment>
    <comment authorId="2187" xr:uid="{ca9abd5c-fba7-4a1c-9542-cdf448ebc5e2}" ref="AF190">
      <text>
        <t xml:space="preserve">[Threaded comment]
 Your version of Excel allows you to read this threaded comment; however, any edits to it will get removed if the file is opened in a newer version of Excel. Learn more: https://go.microsoft.com/fwlink/?linkid=870924
Comment:
	FALTA: venta final y fixit
</t>
      </text>
    </comment>
    <comment authorId="2188" xr:uid="{caa0a27e-7846-4d9f-9c55-d258bbf789fe}" ref="W260">
      <text>
        <t xml:space="preserve">[Threaded comment]
 Your version of Excel allows you to read this threaded comment; however, any edits to it will get removed if the file is opened in a newer version of Excel. Learn more: https://go.microsoft.com/fwlink/?linkid=870924
Comment:
	https://drive.google.com/file/d/1E5QGYAL02E00BbtYXTcpZB548SwNQs6d/view?usp=drive_link
</t>
      </text>
    </comment>
    <comment authorId="2189" xr:uid="{caa4352f-2238-4395-ad11-2d15a337bfdf}" ref="AI749">
      <text>
        <t xml:space="preserve">[Threaded comment]
 Your version of Excel allows you to read this threaded comment; however, any edits to it will get removed if the file is opened in a newer version of Excel. Learn more: https://go.microsoft.com/fwlink/?linkid=870924
Comment:
	https://drive.google.com/file/d/1aVzpHz-KDubCNZnOU_utuojESe2oHCWQ/view?usp=drive_link
</t>
      </text>
    </comment>
    <comment authorId="2190" xr:uid="{caa9df4d-7261-49f3-9385-da11c74ea168}" ref="K643">
      <text>
        <t xml:space="preserve">[Threaded comment]
 Your version of Excel allows you to read this threaded comment; however, any edits to it will get removed if the file is opened in a newer version of Excel. Learn more: https://go.microsoft.com/fwlink/?linkid=870924
Comment:
	https://drive.google.com/file/d/1FIfSNZjm5Zvn2nGWeC54YTZDM49dtMJ1/view?usp=drive_link
Reply:
	https://drive.google.com/file/d/1b8O2Z-QbXL1FpMbvPnF1kihu5Ir7ZoFP/view?usp=drive_link
</t>
      </text>
    </comment>
    <comment authorId="2191" xr:uid="{cae17399-7200-4f41-931c-a8e814095f0c}" ref="M35">
      <text>
        <t xml:space="preserve">[Threaded comment]
 Your version of Excel allows you to read this threaded comment; however, any edits to it will get removed if the file is opened in a newer version of Excel. Learn more: https://go.microsoft.com/fwlink/?linkid=870924
Comment:
	https://drive.google.com/file/d/1eVDdvt99scBCvLeK7iHgky3QekFdLUEh/view?usp=drive_link
</t>
      </text>
    </comment>
    <comment authorId="2192" xr:uid="{cae1e8a2-ca83-455d-9833-0aecdef61593}" ref="M285">
      <text>
        <t xml:space="preserve">[Threaded comment]
 Your version of Excel allows you to read this threaded comment; however, any edits to it will get removed if the file is opened in a newer version of Excel. Learn more: https://go.microsoft.com/fwlink/?linkid=870924
Comment:
	el cliente pagará adicionalmente 100 dólares por el servicio express
</t>
      </text>
    </comment>
    <comment authorId="2193" xr:uid="{caff2082-af79-41a5-adbf-65a38b5bb7ee}" ref="AF363">
      <text>
        <t xml:space="preserve">[Threaded comment]
 Your version of Excel allows you to read this threaded comment; however, any edits to it will get removed if the file is opened in a newer version of Excel. Learn more: https://go.microsoft.com/fwlink/?linkid=870924
Comment:
	falta GARANTIA colocar
Reply:
	Marcado como resuelto
Reply:
	Reabierto
</t>
      </text>
    </comment>
    <comment authorId="2194" xr:uid="{cb2abc90-7e35-4af2-9b77-bd1f56ede0a4}" ref="L266">
      <text>
        <t xml:space="preserve">[Threaded comment]
 Your version of Excel allows you to read this threaded comment; however, any edits to it will get removed if the file is opened in a newer version of Excel. Learn more: https://go.microsoft.com/fwlink/?linkid=870924
Comment:
	https://drive.google.com/file/d/1DwLEEeMrAhh7_jC7630J-rQDlHiZ_j3h/view?usp=drive_link
https://drive.google.com/file/d/1bNh1Kvf4rwLaIC_T6SrGvRDK93HxJpKR/view?usp=drive_link
</t>
      </text>
    </comment>
    <comment authorId="2195" xr:uid="{cb41fa97-de1b-4b0d-ac12-f961cbe848ec}" ref="J490">
      <text>
        <t xml:space="preserve">[Threaded comment]
 Your version of Excel allows you to read this threaded comment; however, any edits to it will get removed if the file is opened in a newer version of Excel. Learn more: https://go.microsoft.com/fwlink/?linkid=870924
Comment:
	se juntó con el de arriba
</t>
      </text>
    </comment>
    <comment authorId="2196" xr:uid="{cb5332c1-d6d6-4dcc-a58e-01e5d32c60e0}" ref="J409">
      <text>
        <t xml:space="preserve">[Threaded comment]
 Your version of Excel allows you to read this threaded comment; however, any edits to it will get removed if the file is opened in a newer version of Excel. Learn more: https://go.microsoft.com/fwlink/?linkid=870924
Comment:
	https://drive.google.com/file/d/1_UguMKdNhBL2exq_T_DQd4sq5rRpRQnp/view?usp=drive_link
https://drive.google.com/file/d/12c2by6KUqBC8G13hgRJWH_15gaslpy25/view?usp=drive_link
https://drive.google.com/file/d/1rox0YPD8NsXjNRIj5kOTX3se6mlPXQRc/view?usp=drive_link
</t>
      </text>
    </comment>
    <comment authorId="2197" xr:uid="{cb61112f-33e0-4a17-b52a-2c80da076419}" ref="C91">
      <text>
        <t xml:space="preserve">[Threaded comment]
 Your version of Excel allows you to read this threaded comment; however, any edits to it will get removed if the file is opened in a newer version of Excel. Learn more: https://go.microsoft.com/fwlink/?linkid=870924
Comment:
	https://www.amazon.com/-/es/Apple-Cable-magn%C3%A9tico-carga-r%C3%A1pida/dp/B0CHX5CS34/ref=sr_1_4?crid=E3KI3SKIV3MZ&amp;dib=eyJ2IjoiMSJ9.9AMwZiE9j-E7soHIgFaW2ERc0edxoPGgeLkAQBEA67Nhbc_7FHXBSzHPTpNnK_2ZdrRk6xgmx9-9mnLhqSKAPdnjEju83SMUZEcPDI8Ko2eyQO3UfB7w48rCGUyBPhYbSxzaLYzTBD2WRsiARgOznYIuHJ0e4zVtAxqrgPEi1B--uAZcJd-REAQseWK57Ieoph8Ad4vxBzjz88ClWNxIANG18NGsL1ENECU0mQaKpt8.6DRuKxZlQ6coczB7ao1bfKT5g2mMeeTzkRMO6mfuqdI&amp;dib_tag=se&amp;keywords=Apple%2BCable%2Bmagn%C3%A9tico%2Bde%2Bcargador%2Br%C3%A1pido%2Ba%2BUSB-C%2B(1%2Bm)&amp;qid=1749246895&amp;sprefix=apple%2Bcable%2Bmagn%C3%A9tico%2Bde%2Bcargador%2Br%C3%A1pido%2Ba%2Busb-c%2B1%2Bm%2B%2Caps%2C181&amp;sr=8-4&amp;th=1
</t>
      </text>
    </comment>
    <comment authorId="2198" xr:uid="{cb8cb070-1e20-481d-bf03-a3475ff4e2e8}" ref="AF412">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199" xr:uid="{cb8e843e-7eb6-4ca0-b50c-50a63f9809e1}" ref="K416">
      <text>
        <t xml:space="preserve">[Threaded comment]
 Your version of Excel allows you to read this threaded comment; however, any edits to it will get removed if the file is opened in a newer version of Excel. Learn more: https://go.microsoft.com/fwlink/?linkid=870924
Comment:
	https://drive.google.com/file/d/1Nuh9abl03M4tKvNaX3zXP-xEBQ8gxJ1j/view?usp=drive_link
https://drive.google.com/file/d/1ADZlDqONv7vKC-gcdWuwy96YfmwF9tDN/view?usp=drive_link
https://drive.google.com/file/d/1EXd_g0uuqrfFFAHUw6sqQfRbse6VzF73/view?usp=drive_link
https://drive.google.com/file/d/18xEY9shOCD52zj7d_MXZU1nWzrjQllqN/view?usp=drive_link
https://drive.google.com/file/d/11xaWaq2lfM6QMR2gTKW-1iclBA8bcyyo/view?usp=drive_link
</t>
      </text>
    </comment>
    <comment authorId="2200" xr:uid="{cb91a264-e3a5-46f5-bdd3-8d69ef6445d5}" ref="J709">
      <text>
        <t xml:space="preserve">[Threaded comment]
 Your version of Excel allows you to read this threaded comment; however, any edits to it will get removed if the file is opened in a newer version of Excel. Learn more: https://go.microsoft.com/fwlink/?linkid=870924
Comment:
	https://drive.google.com/file/d/1f2j6QIEW4nADlcyzEz-dcudQEWIgHRdJ/view?usp=drive_link
</t>
      </text>
    </comment>
    <comment authorId="2201" xr:uid="{cba959c8-9d7f-4b4c-8a10-be95a632d947}" ref="C394">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2202" xr:uid="{cbae4e9b-a8ec-4df6-898b-d491a88d094a}" ref="K305">
      <text>
        <t xml:space="preserve">[Threaded comment]
 Your version of Excel allows you to read this threaded comment; however, any edits to it will get removed if the file is opened in a newer version of Excel. Learn more: https://go.microsoft.com/fwlink/?linkid=870924
Comment:
	https://drive.google.com/file/d/1amPF8LcEkhX59O0TZQcV-glOhkEWnqma/view?usp=drive_link
</t>
      </text>
    </comment>
    <comment authorId="2203" xr:uid="{cbb8fd53-ffec-4b34-811f-49a8ec292fb9}" ref="AF641">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204" xr:uid="{cbcd1081-9038-4cac-8792-3d4251f8265a}" ref="AF572">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205" xr:uid="{cbf9c48d-b071-4965-b6c5-fc067f437c18}" ref="L28">
      <text>
        <t xml:space="preserve">[Threaded comment]
 Your version of Excel allows you to read this threaded comment; however, any edits to it will get removed if the file is opened in a newer version of Excel. Learn more: https://go.microsoft.com/fwlink/?linkid=870924
Comment:
	https://drive.google.com/file/d/1T7_LxHtCZhlDqLA2e2jcY82PML4Tp5oB/view?usp=drive_link
</t>
      </text>
    </comment>
    <comment authorId="2206" xr:uid="{cbfccef2-59bb-40dc-82c4-644e93a3b74b}" ref="J232">
      <text>
        <t xml:space="preserve">[Threaded comment]
 Your version of Excel allows you to read this threaded comment; however, any edits to it will get removed if the file is opened in a newer version of Excel. Learn more: https://go.microsoft.com/fwlink/?linkid=870924
Comment:
	https://drive.google.com/file/d/17JH21H2MX0yU78Ke44EgmSKhyZAdYdmO/view?usp=drive_link
https://drive.google.com/file/d/1MHs_FYCUbZllsJDfrYnojV8tIcS-PCEy/view?usp=drive_link
</t>
      </text>
    </comment>
    <comment authorId="2207" xr:uid="{cc310415-89e0-4b7c-b589-ec9cc205e8a3}" ref="L180">
      <text>
        <t xml:space="preserve">[Threaded comment]
 Your version of Excel allows you to read this threaded comment; however, any edits to it will get removed if the file is opened in a newer version of Excel. Learn more: https://go.microsoft.com/fwlink/?linkid=870924
Comment:
	https://drive.google.com/file/d/1G2VR72p5S1_4v8v3y6Q2cxdQiJ7_o0E9/view?usp=drive_link
</t>
      </text>
    </comment>
    <comment authorId="2208" xr:uid="{cc595d0d-5975-499e-983c-e9f91da43789}" ref="Q690">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2209" xr:uid="{cc61d8cf-d8bc-48fb-a57a-f01134923918}" ref="L93">
      <text>
        <t xml:space="preserve">[Threaded comment]
 Your version of Excel allows you to read this threaded comment; however, any edits to it will get removed if the file is opened in a newer version of Excel. Learn more: https://go.microsoft.com/fwlink/?linkid=870924
Comment:
	https://drive.google.com/file/d/14F41XHxVgGX8Zn5HHt1xH9SfV3kIaBQ4/view?usp=drive_link
</t>
      </text>
    </comment>
    <comment authorId="2210" xr:uid="{cc72f430-86d4-40af-aaab-8309a0735af1}" ref="A1">
      <text>
        <t xml:space="preserve">[Threaded comment]
 Your version of Excel allows you to read this threaded comment; however, any edits to it will get removed if the file is opened in a newer version of Excel. Learn more: https://go.microsoft.com/fwlink/?linkid=870924
Comment:
	https://www.amazon.com/-/es/dp/B0DZZWMB2L?ref_=ppx_hzod_title_dt_b_fed_asin_title_0_0&amp;th=1
</t>
      </text>
    </comment>
    <comment authorId="2211" xr:uid="{cc78066f-3045-4536-b850-f37cfd78cb7a}" ref="AI764">
      <text>
        <t xml:space="preserve">[Threaded comment]
 Your version of Excel allows you to read this threaded comment; however, any edits to it will get removed if the file is opened in a newer version of Excel. Learn more: https://go.microsoft.com/fwlink/?linkid=870924
Comment:
	https://drive.google.com/file/d/1ANXuEGwiBy9XSYf6OiLtwq7-EF9HHMz3/view?usp=drive_link
</t>
      </text>
    </comment>
    <comment authorId="2212" xr:uid="{cc8a415c-2d00-41b7-931a-ede80e716a12}" ref="F469">
      <text>
        <t xml:space="preserve">[Threaded comment]
 Your version of Excel allows you to read this threaded comment; however, any edits to it will get removed if the file is opened in a newer version of Excel. Learn more: https://go.microsoft.com/fwlink/?linkid=870924
Comment:
	Sigue procesando
</t>
      </text>
    </comment>
    <comment authorId="2213" xr:uid="{cc94ed71-7091-4ff6-8453-e8876d1c80cc}" ref="K615">
      <text>
        <t xml:space="preserve">[Threaded comment]
 Your version of Excel allows you to read this threaded comment; however, any edits to it will get removed if the file is opened in a newer version of Excel. Learn more: https://go.microsoft.com/fwlink/?linkid=870924
Comment:
	https://drive.google.com/file/d/1SvXRmi1NdLDkKQfkvjUj9EfA--CSyJ_9/view?usp=drive_link
</t>
      </text>
    </comment>
    <comment authorId="2214" xr:uid="{ccaea062-59ed-4d1d-bec9-f348de6ae96b}" ref="C619">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2215" xr:uid="{cce071e5-288b-4cb4-be2b-869eaa1a1f23}" ref="K354">
      <text>
        <t xml:space="preserve">[Threaded comment]
 Your version of Excel allows you to read this threaded comment; however, any edits to it will get removed if the file is opened in a newer version of Excel. Learn more: https://go.microsoft.com/fwlink/?linkid=870924
Comment:
	https://drive.google.com/file/d/17Modhrn9O3EVKKS-odqTgzaItrLfu3XF/view?usp=drive_link
</t>
      </text>
    </comment>
    <comment authorId="2216" xr:uid="{cce71426-9700-42e5-a7b4-6edb88c74632}" ref="L170">
      <text>
        <t xml:space="preserve">[Threaded comment]
 Your version of Excel allows you to read this threaded comment; however, any edits to it will get removed if the file is opened in a newer version of Excel. Learn more: https://go.microsoft.com/fwlink/?linkid=870924
Comment:
	https://drive.google.com/file/d/1fJJbatj9xYb669uHEqlRH_JGAzx6KXEl/view?usp=drive_link
</t>
      </text>
    </comment>
    <comment authorId="2217" xr:uid="{ccee0136-92b3-47cb-b47a-bce8cfe32b4d}" ref="K732">
      <text>
        <t xml:space="preserve">[Threaded comment]
 Your version of Excel allows you to read this threaded comment; however, any edits to it will get removed if the file is opened in a newer version of Excel. Learn more: https://go.microsoft.com/fwlink/?linkid=870924
Comment:
	https://drive.google.com/file/d/1g6xncaFXkawJUIRLP-WS6aSw1aLyODTu/view?usp=drive_link
Reply:
	https://drive.google.com/file/d/1aFuNGbebl_9h-uJZ5Fqt1qLSrQvqzNWc/view?usp=drive_link
</t>
      </text>
    </comment>
    <comment authorId="2218" xr:uid="{cd0775c2-2df3-41bd-8ea1-af0260e64f26}" ref="J572">
      <text>
        <t xml:space="preserve">[Threaded comment]
 Your version of Excel allows you to read this threaded comment; however, any edits to it will get removed if the file is opened in a newer version of Excel. Learn more: https://go.microsoft.com/fwlink/?linkid=870924
Comment:
	https://drive.google.com/file/d/1Yj_mqB22lu7Q_1fSikBs94-4JKDGc-lz/view?usp=drive_link
Reply:
	https://drive.google.com/file/d/1W30VPbmBRCCfMKHGKIn8roSOUGfRZzWR/view?usp=drive_link
</t>
      </text>
    </comment>
    <comment authorId="2219" xr:uid="{cd53a906-0eac-4350-9d19-35ae9bba7ccc}" ref="M218">
      <text>
        <t xml:space="preserve">[Threaded comment]
 Your version of Excel allows you to read this threaded comment; however, any edits to it will get removed if the file is opened in a newer version of Excel. Learn more: https://go.microsoft.com/fwlink/?linkid=870924
Comment:
	si se compra de bestbuy sería 7229.39
</t>
      </text>
    </comment>
    <comment authorId="2220" xr:uid="{cd6319fc-5f74-4ed2-b593-98303cc6f9f6}" ref="K396">
      <text>
        <t xml:space="preserve">[Threaded comment]
 Your version of Excel allows you to read this threaded comment; however, any edits to it will get removed if the file is opened in a newer version of Excel. Learn more: https://go.microsoft.com/fwlink/?linkid=870924
Comment:
	https://drive.google.com/file/d/134NBOu2cYhAF003xtSKAAhCs2Uk_lHtG/view?usp=drive_link
</t>
      </text>
    </comment>
    <comment authorId="2221" xr:uid="{cd71c343-a8b8-4d83-b98e-19bf4d752bc7}" ref="L111">
      <text>
        <t xml:space="preserve">[Threaded comment]
 Your version of Excel allows you to read this threaded comment; however, any edits to it will get removed if the file is opened in a newer version of Excel. Learn more: https://go.microsoft.com/fwlink/?linkid=870924
Comment:
	https://drive.google.com/file/d/1F0uoGR6uf3leFeKROMEqFHUivkRJ2xZe/view?usp=drive_link
</t>
      </text>
    </comment>
    <comment authorId="2222" xr:uid="{cd7fbcde-f968-44fc-92cf-c1d3ef374378}" ref="AF667">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223" xr:uid="{cd961a41-23f3-4b1c-8d8f-3bdc55eab1d7}" ref="C220">
      <text>
        <t xml:space="preserve">[Threaded comment]
 Your version of Excel allows you to read this threaded comment; however, any edits to it will get removed if the file is opened in a newer version of Excel. Learn more: https://go.microsoft.com/fwlink/?linkid=870924
Comment:
	https://www.amazon.com/Port%C3%A1til-para-juegos-Vector-144Hz/dp/B0DTMX7RKM/ref=sr_1_1_sspa?__mk_es_US=%C3%85M%C3%85%C5%BD%C3%95%C3%91&amp;crid=MDXH0IMAASJF&amp;dib=eyJ2IjoiMSJ9.PGr3CPrW_X90mmSkdGTeAmKNbRyjGcKNl0BPFwPO1Fi6GggN0QROagaeBiwSCJYKkl_bIUZtsgCovcCU4WzM9zGY9dl139_GKPifVhsh2E8-aWmt0j_uVsRF_sUVFTUjce6aV1UyH9EX2O3GzGLU-6Y2kjB6QqpyBIrcQtRMO8Ix0tDUDI5RFqjulvB7my4MvqwXp7MVsNqMMpgd8eH8Ze69iVQgAVQcRhf15DFZZgnQv8Rl4Al4roSeSmdVtixSBKpx6V2eXGnKX43u1anyKkAXOPbnwCdbecOltJv5ZSA.jovGgrOQpPYVT4pcoXXO61XmOoA9HsKi5yIbKIjhy8g&amp;dib_tag=se&amp;keywords=laptop%2Bgaming&amp;qid=1756815081&amp;refinements=p_n_deal_type%3A23566065011&amp;rnid=23566063011&amp;s=electronics&amp;sprefix=laptop%2Bgamin%2Celectronics%2C170&amp;sr=1-1-spons&amp;sp_csd=d2lkZ2V0TmFtZT1zcF9hdGY&amp;th=1
</t>
      </text>
    </comment>
    <comment authorId="2224" xr:uid="{cd9f4ec3-554d-48a0-afe5-283f04010347}" ref="J489">
      <text>
        <t xml:space="preserve">[Threaded comment]
 Your version of Excel allows you to read this threaded comment; however, any edits to it will get removed if the file is opened in a newer version of Excel. Learn more: https://go.microsoft.com/fwlink/?linkid=870924
Comment:
	https://drive.google.com/file/d/1POKDzeo0abpo49VscYMDRrrL-qsMGoyA/view?usp=drive_link
</t>
      </text>
    </comment>
    <comment authorId="2225" xr:uid="{cda5334a-97fe-4ce4-a785-7da01301b38a}" ref="J441">
      <text>
        <t xml:space="preserve">[Threaded comment]
 Your version of Excel allows you to read this threaded comment; however, any edits to it will get removed if the file is opened in a newer version of Excel. Learn more: https://go.microsoft.com/fwlink/?linkid=870924
Comment:
	https://drive.google.com/file/d/1YRd97M0Vb8Dcrmvic651uDoFPAcatqlQ/view?usp=drive_link
</t>
      </text>
    </comment>
    <comment authorId="2226" xr:uid="{cdba5d8c-9cee-4cd2-8775-cdb5895fe622}" ref="L123">
      <text>
        <t xml:space="preserve">[Threaded comment]
 Your version of Excel allows you to read this threaded comment; however, any edits to it will get removed if the file is opened in a newer version of Excel. Learn more: https://go.microsoft.com/fwlink/?linkid=870924
Comment:
	https://drive.google.com/file/d/1jl310o15iZIKDZK0y00LfYRK66xnra-f/view?usp=drive_link
Reply:
	https://drive.google.com/file/d/1L1Gdxp4i9ZA7UNs1TG8hc89LTWo8uaGz/view?usp=drive_link
</t>
      </text>
    </comment>
    <comment authorId="2227" xr:uid="{ce15e5ba-a266-46bf-9b35-28988ecc03f2}" ref="J62">
      <text>
        <t xml:space="preserve">[Threaded comment]
 Your version of Excel allows you to read this threaded comment; however, any edits to it will get removed if the file is opened in a newer version of Excel. Learn more: https://go.microsoft.com/fwlink/?linkid=870924
Comment:
	https://drive.google.com/file/d/1851lD9JD7Q3UNob4KNtm5PTvn6EWVCrw/view?usp=drive_link
</t>
      </text>
    </comment>
    <comment authorId="2228" xr:uid="{ce19d567-b6be-475d-9447-4827bbe57381}" ref="K335">
      <text>
        <t xml:space="preserve">[Threaded comment]
 Your version of Excel allows you to read this threaded comment; however, any edits to it will get removed if the file is opened in a newer version of Excel. Learn more: https://go.microsoft.com/fwlink/?linkid=870924
Comment:
	https://drive.google.com/file/d/1mRYFHXYMUM09d1zsXJcRaLVlaI9pseaj/view?usp=drive_link
</t>
      </text>
    </comment>
    <comment authorId="2229" xr:uid="{ce627714-0ec8-4038-8322-0a9d42c4b7bc}" ref="C115">
      <text>
        <t xml:space="preserve">[Threaded comment]
 Your version of Excel allows you to read this threaded comment; however, any edits to it will get removed if the file is opened in a newer version of Excel. Learn more: https://go.microsoft.com/fwlink/?linkid=870924
Comment:
	https://www.amazon.com/ASUS-Port%C3%A1til-juegos-Strix-pantalla/dp/B0DZZWMB2L/ref=sxin_16_pa_sp_search_thematic_sspa?__mk_es_US=%C3%85M%C3%85%C5%BD%C3%95%C3%91&amp;cv_ct_cx=asus+tuf+gaming+a+16&amp;sbo=9ZOMT9Jm0JH%2Ft%2BWi68iDSA%3D%3D&amp;sr=1-2-77b0cf77-415f-48d3-9e56-0b97527a0d28-spons&amp;sp_csd=d2lkZ2V0TmFtZT1zcF9zZWFyY2hfdGhlbWF0aWM&amp;psc=1
</t>
      </text>
    </comment>
    <comment authorId="2230" xr:uid="{ce7332de-19de-4a0f-bfdc-ba92c967352d}" ref="J456">
      <text>
        <t xml:space="preserve">[Threaded comment]
 Your version of Excel allows you to read this threaded comment; however, any edits to it will get removed if the file is opened in a newer version of Excel. Learn more: https://go.microsoft.com/fwlink/?linkid=870924
Comment:
	https://drive.google.com/file/d/1Lg3HOdb5qSYY2BS79cg8UyNd1R6oUydg/view?usp=drive_link
</t>
      </text>
    </comment>
    <comment authorId="2231" xr:uid="{ce955f7b-b4aa-4ae1-b1ab-885b524eb4d1}" ref="AF663">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232" xr:uid="{ceb1ef0b-0e5b-40b6-be6f-509a89f7e4b6}" ref="J417">
      <text>
        <t xml:space="preserve">[Threaded comment]
 Your version of Excel allows you to read this threaded comment; however, any edits to it will get removed if the file is opened in a newer version of Excel. Learn more: https://go.microsoft.com/fwlink/?linkid=870924
Comment:
	https://drive.google.com/file/d/17BHfrUmR-3QJsZovCiVGzZBDDRAJcwUr/view?usp=drive_link
</t>
      </text>
    </comment>
    <comment authorId="2233" xr:uid="{ceb2ca6b-6dd4-459e-89cc-db18b1c5f839}" ref="J737">
      <text>
        <t xml:space="preserve">[Threaded comment]
 Your version of Excel allows you to read this threaded comment; however, any edits to it will get removed if the file is opened in a newer version of Excel. Learn more: https://go.microsoft.com/fwlink/?linkid=870924
Comment:
	https://drive.google.com/file/d/1MpC_xSJJ7mfDugBtSgYB2vnBpZQt5bSM/view?usp=drive_link
</t>
      </text>
    </comment>
    <comment authorId="2234" xr:uid="{ceb6691a-e4be-41fd-91e7-fb2481eeadd4}" ref="J345">
      <text>
        <t xml:space="preserve">[Threaded comment]
 Your version of Excel allows you to read this threaded comment; however, any edits to it will get removed if the file is opened in a newer version of Excel. Learn more: https://go.microsoft.com/fwlink/?linkid=870924
Comment:
	https://drive.google.com/file/d/1hfZsngbEa83EexCebqe6m42NUYCVpyHy/view?usp=drive_link
https://drive.google.com/file/d/1X4aFIqm70r1SMlG7fmuGBDx4omkNpmw0/view?usp=drive_link
https://drive.google.com/file/d/1ZKBNaGU70cJOb23IYSDbdOFAqCvzCjui/view?usp=drive_link
https://drive.google.com/file/d/1yMFnalyGkoSypv_nV1ovPTWaxXdODKAX/view?usp=drive_link
</t>
      </text>
    </comment>
    <comment authorId="2235" xr:uid="{ceb82835-26f3-4ca9-b0e0-abd90821d9d9}" ref="J676">
      <text>
        <t xml:space="preserve">[Threaded comment]
 Your version of Excel allows you to read this threaded comment; however, any edits to it will get removed if the file is opened in a newer version of Excel. Learn more: https://go.microsoft.com/fwlink/?linkid=870924
Comment:
	https://drive.google.com/file/d/1lCZSeEMjcB0JRtOcnjcB7ZIBDmZFXXF1/view?usp=drive_link
</t>
      </text>
    </comment>
    <comment authorId="2236" xr:uid="{cec1340c-0ca1-4bd6-99db-0d238d97a301}" ref="AF735">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237" xr:uid="{cee1e81d-ac06-472d-bf22-6b2f1c2d8c56}" ref="V795">
      <text>
        <t xml:space="preserve">[Threaded comment]
 Your version of Excel allows you to read this threaded comment; however, any edits to it will get removed if the file is opened in a newer version of Excel. Learn more: https://go.microsoft.com/fwlink/?linkid=870924
Comment:
	lo rellenó  a nombre de su enamorad
</t>
      </text>
    </comment>
    <comment authorId="2238" xr:uid="{cf2db55b-41fd-4003-8c62-7e1c50229f10}" ref="J347">
      <text>
        <t xml:space="preserve">[Threaded comment]
 Your version of Excel allows you to read this threaded comment; however, any edits to it will get removed if the file is opened in a newer version of Excel. Learn more: https://go.microsoft.com/fwlink/?linkid=870924
Comment:
	https://drive.google.com/file/d/1V-DTrR5kRtIPF8zJOTfItft1D3b3ElAT/view?usp=drive_link
</t>
      </text>
    </comment>
    <comment authorId="2239" xr:uid="{cf2fcd8b-e0db-428d-a2b9-3b0cac7f2bc0}" ref="W420">
      <text>
        <t xml:space="preserve">[Threaded comment]
 Your version of Excel allows you to read this threaded comment; however, any edits to it will get removed if the file is opened in a newer version of Excel. Learn more: https://go.microsoft.com/fwlink/?linkid=870924
Comment:
	https://drive.google.com/file/d/1dCYzZGWQc3CjeTAt1hVWX20jd_RI69A7/view?usp=drive_link
Reply:
	https://drive.google.com/file/d/17zkIZq4Vt2Irg0YBaSE4obN5aDBF5IF2/view?usp=drive_link
</t>
      </text>
    </comment>
    <comment authorId="2240" xr:uid="{cf374f17-c135-4be3-872f-947f3d440280}" ref="T737">
      <text>
        <t xml:space="preserve">[Threaded comment]
 Your version of Excel allows you to read this threaded comment; however, any edits to it will get removed if the file is opened in a newer version of Excel. Learn more: https://go.microsoft.com/fwlink/?linkid=870924
Comment:
	comision de banco
</t>
      </text>
    </comment>
    <comment authorId="2241" xr:uid="{cf3913a5-8981-4f14-b974-23271ac98f89}" ref="K377">
      <text>
        <t xml:space="preserve">[Threaded comment]
 Your version of Excel allows you to read this threaded comment; however, any edits to it will get removed if the file is opened in a newer version of Excel. Learn more: https://go.microsoft.com/fwlink/?linkid=870924
Comment:
	https://drive.google.com/file/d/1a-Mo3VZMdNSERT9Rigclc0ahGzRR1TBP/view?usp=drive_link
</t>
      </text>
    </comment>
    <comment authorId="2242" xr:uid="{cf7f0638-2564-4316-91a4-6475f97e2312}" ref="J735">
      <text>
        <t xml:space="preserve">[Threaded comment]
 Your version of Excel allows you to read this threaded comment; however, any edits to it will get removed if the file is opened in a newer version of Excel. Learn more: https://go.microsoft.com/fwlink/?linkid=870924
Comment:
	https://drive.google.com/file/d/1GfosAZsGr2R4Hm6L1wScV4jRptMcHZRH/view?usp=drive_link
</t>
      </text>
    </comment>
    <comment authorId="2243" xr:uid="{cf90341a-0687-4d06-a9e0-529f76625d95}" ref="C71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2244" xr:uid="{cfb28ac7-b578-487c-8afe-abf49ac826b3}" ref="AF787">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2245" xr:uid="{cfc0256e-8afa-4a9d-8148-e8ff0622577f}" ref="U554">
      <text>
        <t xml:space="preserve">[Threaded comment]
 Your version of Excel allows you to read this threaded comment; however, any edits to it will get removed if the file is opened in a newer version of Excel. Learn more: https://go.microsoft.com/fwlink/?linkid=870924
Comment:
	de fila 20 de provedores
Reply:
	de fila 21 de provedores
Marcado como resuelto
</t>
      </text>
    </comment>
    <comment authorId="2246" xr:uid="{d009ccf3-805f-49c5-b5cd-48b390f52aec}" ref="C494">
      <text>
        <t xml:space="preserve">[Threaded comment]
 Your version of Excel allows you to read this threaded comment; however, any edits to it will get removed if the file is opened in a newer version of Excel. Learn more: https://go.microsoft.com/fwlink/?linkid=870924
Comment:
	https://www.ebay.com/itm/197468116655?_skw=laptop+gaming&amp;itmmeta=01KETC2QE153T8TW53DFRPNATT&amp;hash=item2dfa0456af:g:u7wAAeSwWg5pXpKD
</t>
      </text>
    </comment>
    <comment authorId="2247" xr:uid="{d014bb46-14e9-4d15-9f6c-80fabcc7e49b}" ref="AI726">
      <text>
        <t xml:space="preserve">[Threaded comment]
 Your version of Excel allows you to read this threaded comment; however, any edits to it will get removed if the file is opened in a newer version of Excel. Learn more: https://go.microsoft.com/fwlink/?linkid=870924
Comment:
	https://drive.google.com/file/d/1jfiYQO4Hj18fyJc4e2fh2J1s0q57KUEi/view?usp=drive_link
</t>
      </text>
    </comment>
    <comment authorId="2248" xr:uid="{d018d346-30b6-49e8-9017-ddcdafbabe3d}" ref="S781">
      <text>
        <t xml:space="preserve">[Threaded comment]
 Your version of Excel allows you to read this threaded comment; however, any edits to it will get removed if the file is opened in a newer version of Excel. Learn more: https://go.microsoft.com/fwlink/?linkid=870924
Comment:
	fue aprobado por la Srta SOFIA
</t>
      </text>
    </comment>
    <comment authorId="2249" xr:uid="{d01a9d4f-8ae2-4910-a939-c6e121537aef}" ref="AF660">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2250" xr:uid="{d01be118-9772-4341-aa3d-183cf6b068e5}" ref="J638">
      <text>
        <t xml:space="preserve">[Threaded comment]
 Your version of Excel allows you to read this threaded comment; however, any edits to it will get removed if the file is opened in a newer version of Excel. Learn more: https://go.microsoft.com/fwlink/?linkid=870924
Comment:
	https://drive.google.com/file/d/1b0UKoeWhp1f7fyowM2wGIT_dWBYek0ag/view?usp=drive_link
</t>
      </text>
    </comment>
    <comment authorId="2251" xr:uid="{d01f3c84-a6fa-4aaf-88b8-15b022a763e2}" ref="J577">
      <text>
        <t xml:space="preserve">[Threaded comment]
 Your version of Excel allows you to read this threaded comment; however, any edits to it will get removed if the file is opened in a newer version of Excel. Learn more: https://go.microsoft.com/fwlink/?linkid=870924
Comment:
	https://drive.google.com/file/d/1EDK4NkcjXpnTFLq1EKSkwSEOCwYJ2nj6/view?usp=drive_link
Reply:
	https://drive.google.com/file/d/1b1RnW16w3jTPnC7DeTCKekVTFW5kDNVW/view?usp=drive_link
Reply:
	https://drive.google.com/file/d/1rOSQ9N82HV6N3nAEeXgz390DsI8MUBxm/view?usp=drive_link
Reply:
	https://docs.google.com/presentation/d/1WEDbOt7xagsx2tuY99q8fSiE1cj9wWy4/edit?usp=drive_link&amp;ouid=100487870793048741695&amp;rtpof=true&amp;sd=true
</t>
      </text>
    </comment>
    <comment authorId="2252" xr:uid="{d022d150-2cb9-4488-80e9-f8d76df85884}" ref="W224">
      <text>
        <t xml:space="preserve">[Threaded comment]
 Your version of Excel allows you to read this threaded comment; however, any edits to it will get removed if the file is opened in a newer version of Excel. Learn more: https://go.microsoft.com/fwlink/?linkid=870924
Comment:
	https://drive.google.com/file/d/1oUcYtCblCVP9cHtjXotwO0ooc7_SIQiZ/view?usp=drive_link
</t>
      </text>
    </comment>
    <comment authorId="2253" xr:uid="{d02feeda-c03e-4575-a863-d346fa8ad223}" ref="J586">
      <text>
        <t xml:space="preserve">[Threaded comment]
 Your version of Excel allows you to read this threaded comment; however, any edits to it will get removed if the file is opened in a newer version of Excel. Learn more: https://go.microsoft.com/fwlink/?linkid=870924
Comment:
	https://drive.google.com/file/d/1Qch9u1F1QimuAn5Mk45bWAajdvDiHlaI/view?usp=drive_link
</t>
      </text>
    </comment>
    <comment authorId="2254" xr:uid="{d048ed71-b212-4ee5-9050-c3544227ebb3}" ref="K736">
      <text>
        <t xml:space="preserve">[Threaded comment]
 Your version of Excel allows you to read this threaded comment; however, any edits to it will get removed if the file is opened in a newer version of Excel. Learn more: https://go.microsoft.com/fwlink/?linkid=870924
Comment:
	https://drive.google.com/file/d/151wXeAD6QjR-IGVx5kvnB0aJEqzci4QQ/view?usp=drive_link
Reply:
	https://drive.google.com/file/d/1qEB6h4CThQUmQydL6ai7AMfMGejvgDsO/view?usp=drive_link
</t>
      </text>
    </comment>
    <comment authorId="2255" xr:uid="{d07abae3-8ba2-4978-8141-10280b2bfbc8}" ref="J559">
      <text>
        <t xml:space="preserve">[Threaded comment]
 Your version of Excel allows you to read this threaded comment; however, any edits to it will get removed if the file is opened in a newer version of Excel. Learn more: https://go.microsoft.com/fwlink/?linkid=870924
Comment:
	https://drive.google.com/file/d/1eSdb5uiUFjAhrby4sy-pimFbj7Kx64ZX/view?usp=drive_link
</t>
      </text>
    </comment>
    <comment authorId="2256" xr:uid="{d08d2930-9982-4023-872e-411d6205b4dc}" ref="J602">
      <text>
        <t xml:space="preserve">[Threaded comment]
 Your version of Excel allows you to read this threaded comment; however, any edits to it will get removed if the file is opened in a newer version of Excel. Learn more: https://go.microsoft.com/fwlink/?linkid=870924
Comment:
	https://drive.google.com/file/d/1UfEAUntV88nsKxBhNlfbbD030ZO_V64s/view?usp=drive_link
</t>
      </text>
    </comment>
    <comment authorId="2257" xr:uid="{d09f2309-a079-461e-b136-7b434194ba46}" ref="W434">
      <text>
        <t xml:space="preserve">[Threaded comment]
 Your version of Excel allows you to read this threaded comment; however, any edits to it will get removed if the file is opened in a newer version of Excel. Learn more: https://go.microsoft.com/fwlink/?linkid=870924
Comment:
	https://drive.google.com/open?id=1-FzjBG84ZvC14qf_mHbHiz6yvjqYQH9y&amp;usp=drive_copy
</t>
      </text>
    </comment>
    <comment authorId="2258" xr:uid="{d0e68af6-b23d-4184-94b7-4b95bef991df}" ref="F184">
      <text>
        <t xml:space="preserve">[Threaded comment]
 Your version of Excel allows you to read this threaded comment; however, any edits to it will get removed if the file is opened in a newer version of Excel. Learn more: https://go.microsoft.com/fwlink/?linkid=870924
Comment:
	NO hay en el sheet de ingresos
</t>
      </text>
    </comment>
    <comment authorId="2259" xr:uid="{d1039ac2-0678-4fe1-be64-9e586d5d77c3}" ref="C68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260" xr:uid="{d10e6bb5-8de4-4c54-96b7-95218ce183ab}" ref="J758">
      <text>
        <t xml:space="preserve">[Threaded comment]
 Your version of Excel allows you to read this threaded comment; however, any edits to it will get removed if the file is opened in a newer version of Excel. Learn more: https://go.microsoft.com/fwlink/?linkid=870924
Comment:
	https://drive.google.com/file/d/15FUNrbN2aS1rXH0M3JuMAQNYOXcNxfIn/view?usp=drive_link
</t>
      </text>
    </comment>
    <comment authorId="2261" xr:uid="{d120f02e-5d3d-43ba-a9de-19db1de5c858}" ref="AF377">
      <text>
        <t xml:space="preserve">[Threaded comment]
 Your version of Excel allows you to read this threaded comment; however, any edits to it will get removed if the file is opened in a newer version of Excel. Learn more: https://go.microsoft.com/fwlink/?linkid=870924
Comment:
	FIXIT
Reply:
	Marcado como resuelto
Reply:
	Reabierto
</t>
      </text>
    </comment>
    <comment authorId="2262" xr:uid="{d16de928-e000-4e02-9394-a31d2c3b8796}" ref="L295">
      <text>
        <t xml:space="preserve">[Threaded comment]
 Your version of Excel allows you to read this threaded comment; however, any edits to it will get removed if the file is opened in a newer version of Excel. Learn more: https://go.microsoft.com/fwlink/?linkid=870924
Comment:
	https://drive.google.com/file/d/1zNYt5THgS9Syuna7FyYBDJtn59c3OKaI/view?usp=drive_link
</t>
      </text>
    </comment>
    <comment authorId="2263" xr:uid="{d180f8bf-0494-45e3-b972-9a60a1e74c10}" ref="C311">
      <text>
        <t xml:space="preserve">[Threaded comment]
 Your version of Excel allows you to read this threaded comment; however, any edits to it will get removed if the file is opened in a newer version of Excel. Learn more: https://go.microsoft.com/fwlink/?linkid=870924
Comment:
	https://www.ebay.com/itm/197489938982?_skw=laptop+gaming&amp;itmmeta=01K9RRJGZTT40T9ADAN7GJ7CRY&amp;hash=item2dfb515226:g:z3IAAeSw7QlpEOn9
</t>
      </text>
    </comment>
    <comment authorId="2264" xr:uid="{d1892a4b-f7cc-4dd1-8cbb-cbb85f6b7160}" ref="J289">
      <text>
        <t xml:space="preserve">[Threaded comment]
 Your version of Excel allows you to read this threaded comment; however, any edits to it will get removed if the file is opened in a newer version of Excel. Learn more: https://go.microsoft.com/fwlink/?linkid=870924
Comment:
	https://drive.google.com/file/d/1Y-Fb98R679FZCqtMEf3a8nA0jkm_miIf/view?usp=drive_link
</t>
      </text>
    </comment>
    <comment authorId="2265" xr:uid="{d1935d77-582e-415b-8351-d2e86c8b9a3e}" ref="J793">
      <text>
        <t xml:space="preserve">[Threaded comment]
 Your version of Excel allows you to read this threaded comment; however, any edits to it will get removed if the file is opened in a newer version of Excel. Learn more: https://go.microsoft.com/fwlink/?linkid=870924
Comment:
	https://drive.google.com/file/d/1jnQ2glOBVrufdgaeE-goaDfcBYPsdXIK/view?usp=drive_link
</t>
      </text>
    </comment>
    <comment authorId="2266" xr:uid="{d193e880-bd45-43be-b2c6-a57e06deb8ec}" ref="W300">
      <text>
        <t xml:space="preserve">[Threaded comment]
 Your version of Excel allows you to read this threaded comment; however, any edits to it will get removed if the file is opened in a newer version of Excel. Learn more: https://go.microsoft.com/fwlink/?linkid=870924
Comment:
	https://drive.google.com/file/d/1VxabFo83BskitoQQuxZbsxNQbYhYCzOk/view?usp=drive_link
</t>
      </text>
    </comment>
    <comment authorId="2267" xr:uid="{d1b542c9-c644-4c6b-b3f2-c9888ef275ba}" ref="C360">
      <text>
        <t xml:space="preserve">[Threaded comment]
 Your version of Excel allows you to read this threaded comment; however, any edits to it will get removed if the file is opened in a newer version of Excel. Learn more: https://go.microsoft.com/fwlink/?linkid=870924
Comment:
	https://www.amazon.com/-/es/G835LW-XS97-ASUS/dp/B0DW29H85Z/ref=sr_1_3?__mk_es_US=%C3%85M%C3%85%C5%BD%C3%95%C3%91&amp;crid=1D3MM23DUTDL6&amp;dib=eyJ2IjoiMSJ9.Fgo7OnOuhzVNM6NtzOpQdciSBFe77Gc2009U-a-CPqViFxo5EuB_UKKPm2fRhQDhkrFAnSvnpl9X09RJM5yFDvXkqhN5oNPQ4Eg68fmu1jle-nVHgebDrUwGK_bgQ0ooGndp-8UBWX4l33sjVCJ5NWeuEPVAIkmfuY19DxZ4hiSqktWD8CukYWUnv9y9E6LCKHRQT7omYq2MZlubJvmV6qIJ8jKVU_qwELf4eVgJN-g.rvXOBEKepdqcbn33v9e-QDoIYhUnBaxwz7rXydLbSgU&amp;dib_tag=se&amp;keywords=scar%2B18%2B5080&amp;qid=1761073450&amp;sprefix=scar%2B18%2B5080%2Caps%2C258&amp;sr=8-3&amp;th=1
</t>
      </text>
    </comment>
    <comment authorId="2268" xr:uid="{d1c03a77-5ef7-4b13-9920-5dcbd44b87f7}" ref="C638">
      <text>
        <t xml:space="preserve">[Threaded comment]
 Your version of Excel allows you to read this threaded comment; however, any edits to it will get removed if the file is opened in a newer version of Excel. Learn more: https://go.microsoft.com/fwlink/?linkid=870924
Comment:
	https://www.excaliberpc.com/823565/lenovo-legion-5i-gen-10.html
</t>
      </text>
    </comment>
    <comment authorId="2269" xr:uid="{d1c7dbf9-f1ae-41f8-ad6c-f85199ec93a5}" ref="C636">
      <text>
        <t xml:space="preserve">[Threaded comment]
 Your version of Excel allows you to read this threaded comment; however, any edits to it will get removed if the file is opened in a newer version of Excel. Learn more: https://go.microsoft.com/fwlink/?linkid=870924
Comment:
	https://www.costco.com/p/-/lenovo-legion-5i-16-gaming-laptop-intel-core-ultra-9-275hx-geforce-rtx-5060-wqxga-2560x1600-windows-11-home-32gb-ram-1tb-ssd/4000380973?langId=-1
</t>
      </text>
    </comment>
    <comment authorId="2270" xr:uid="{d1d367aa-b966-4ba1-8fe9-d276f61b0337}" ref="J39">
      <text>
        <t xml:space="preserve">[Threaded comment]
 Your version of Excel allows you to read this threaded comment; however, any edits to it will get removed if the file is opened in a newer version of Excel. Learn more: https://go.microsoft.com/fwlink/?linkid=870924
Comment:
	https://drive.google.com/file/d/1i714Oel5RrfK-fNRHjemSEQiHrUWCg4_/view?usp=drive_link
</t>
      </text>
    </comment>
    <comment authorId="2271" xr:uid="{d1dfed7f-cc4a-4489-86b7-20621d044426}"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https://drive.google.com/file/d/1eO-sYKpBg11UNNG3LLVU8Qixke7MExlH/view?usp=drive_link
</t>
      </text>
    </comment>
    <comment authorId="2272" xr:uid="{d1e4dc22-57d0-44d8-a6fa-8cf93739ab0f}" ref="Q726">
      <text>
        <t xml:space="preserve">[Threaded comment]
 Your version of Excel allows you to read this threaded comment; however, any edits to it will get removed if the file is opened in a newer version of Excel. Learn more: https://go.microsoft.com/fwlink/?linkid=870924
Comment:
	FILA 703
</t>
      </text>
    </comment>
    <comment authorId="2273" xr:uid="{d1e6db93-5d58-4a4a-aa7a-c18108c7fb33}" ref="W492">
      <text>
        <t xml:space="preserve">[Threaded comment]
 Your version of Excel allows you to read this threaded comment; however, any edits to it will get removed if the file is opened in a newer version of Excel. Learn more: https://go.microsoft.com/fwlink/?linkid=870924
Comment:
	https://drive.google.com/open?id=1D42b__tRVjHBA_8LQHPjd2-UoxEIFoZw&amp;usp=drive_copy
</t>
      </text>
    </comment>
    <comment authorId="2274" xr:uid="{d21723db-1ab7-4aed-b43d-90d1c7a19b94}" ref="C46">
      <text>
        <t xml:space="preserve">[Threaded comment]
 Your version of Excel allows you to read this threaded comment; however, any edits to it will get removed if the file is opened in a newer version of Excel. Learn more: https://go.microsoft.com/fwlink/?linkid=870924
Comment:
	https://www.amazon.com/-/es/dp/B0CTMTKCRY/ref=sspa_mw_detail_1?ie=UTF8&amp;sp_csd=d2lkZ2V0TmFtZT1zcF9waG9uZV9kZXRhaWwp13NParams&amp;th=1
</t>
      </text>
    </comment>
    <comment authorId="2275" xr:uid="{d21c0cdf-db01-4e38-8433-ec716467ce41}" ref="J654">
      <text>
        <t xml:space="preserve">[Threaded comment]
 Your version of Excel allows you to read this threaded comment; however, any edits to it will get removed if the file is opened in a newer version of Excel. Learn more: https://go.microsoft.com/fwlink/?linkid=870924
Comment:
	https://drive.google.com/file/d/1Kk3L5q13IhFmEP095k-86jr61F1uOwDF/view?usp=drive_link
</t>
      </text>
    </comment>
    <comment authorId="2276" xr:uid="{d21e5559-7498-4f59-b3f2-1c71f6a98e1d}" ref="K326">
      <text>
        <t xml:space="preserve">[Threaded comment]
 Your version of Excel allows you to read this threaded comment; however, any edits to it will get removed if the file is opened in a newer version of Excel. Learn more: https://go.microsoft.com/fwlink/?linkid=870924
Comment:
	https://drive.google.com/file/d/1ux06gEbPU_Cw8aJr5GzxoDY3BZdXqtBa/view?usp=drive_link
</t>
      </text>
    </comment>
    <comment authorId="2277" xr:uid="{d22bf347-57dd-449a-8ce0-6eb93c996f88}" ref="J368">
      <text>
        <t xml:space="preserve">[Threaded comment]
 Your version of Excel allows you to read this threaded comment; however, any edits to it will get removed if the file is opened in a newer version of Excel. Learn more: https://go.microsoft.com/fwlink/?linkid=870924
Comment:
	https://drive.google.com/file/d/1mGlYKct6hOoM4C7Fb0HoaemM9kbSxcJ8/view?usp=drive_link
</t>
      </text>
    </comment>
    <comment authorId="2278" xr:uid="{d2640a92-aea5-402d-af5a-a771842b5685}" ref="K686">
      <text>
        <t xml:space="preserve">[Threaded comment]
 Your version of Excel allows you to read this threaded comment; however, any edits to it will get removed if the file is opened in a newer version of Excel. Learn more: https://go.microsoft.com/fwlink/?linkid=870924
Comment:
	https://drive.google.com/file/d/1CJcaBwKjwbUMiptlQQHc7RWUoLTfLo3v/view?usp=drive_link
</t>
      </text>
    </comment>
    <comment authorId="2279" xr:uid="{d2822002-7f53-431c-a719-91f14b9ae996}" ref="C57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280" xr:uid="{d288a0ce-d0e8-4874-83d6-8464994b3259}" ref="Q578">
      <text>
        <t xml:space="preserve">[Threaded comment]
 Your version of Excel allows you to read this threaded comment; however, any edits to it will get removed if the file is opened in a newer version of Excel. Learn more: https://go.microsoft.com/fwlink/?linkid=870924
Comment:
	configuracion inicial con formateo + eset nod 32 + apertura
</t>
      </text>
    </comment>
    <comment authorId="2281" xr:uid="{d2905894-84a6-48df-8a8d-f8f84315584a}" ref="C786">
      <text>
        <t xml:space="preserve">[Threaded comment]
 Your version of Excel allows you to read this threaded comment; however, any edits to it will get removed if the file is opened in a newer version of Excel. Learn more: https://go.microsoft.com/fwlink/?linkid=870924
Comment:
	https://www.ebay.com/itm/205565391274?_skw=alienware&amp;epid=21081456107&amp;itmmeta=01KTCTGSGR6VZCD27GVRYMPSNE&amp;hash=item2fdca6f1aa:g:ehsAAeSw5AhqEzGp&amp;itmprp=enc%3AAQALAAAA0GfYFPkwiKCW4ZNSs2u11xAhOzVOZoK1lG%2B%2BaXtIV8WJ%2Be53VW0YazljH3TsHC0OOPEoKPXNSkH3pp0M4X8c4n7JqcNQNZN2QeHLnneA7r7jOtMo%2FcO98SkdKMnfaVJz%2F5w7kDlO7b3FVINac2hrud3QFMN3k1DBQcBT%2BFuGUSzQHfbSuXYLXSXTcqGOwI2rrOg9EORTNG2GKNpl20GNz1KLem%2Fh%2FDbbUlouIbYRLLWySN6CWkoafrj9EDannty1XzUm3M1Ve32%2BsTpSqpfet3Y%3D%7Ctkp%3ABk9SR8CYw5rTZw
</t>
      </text>
    </comment>
    <comment authorId="2282" xr:uid="{d2af370e-6347-4b49-b480-b5c4f6b3c5bb}" ref="J122">
      <text>
        <t xml:space="preserve">[Threaded comment]
 Your version of Excel allows you to read this threaded comment; however, any edits to it will get removed if the file is opened in a newer version of Excel. Learn more: https://go.microsoft.com/fwlink/?linkid=870924
Comment:
	https://drive.google.com/file/d/1HNFgkds2IfZGKRXljB-CYxyo7_sUXbV9/view?usp=drive_link
</t>
      </text>
    </comment>
    <comment authorId="2283" xr:uid="{d2bd03a6-982f-492d-8d2e-02d21b29a93a}" ref="W298">
      <text>
        <t xml:space="preserve">[Threaded comment]
 Your version of Excel allows you to read this threaded comment; however, any edits to it will get removed if the file is opened in a newer version of Excel. Learn more: https://go.microsoft.com/fwlink/?linkid=870924
Comment:
	https://drive.google.com/file/d/1RB55U-8zDUyp6JpBkRL4NiTnBVeHUpCX/view?usp=drive_link
</t>
      </text>
    </comment>
    <comment authorId="2284" xr:uid="{d2e62ab1-5301-4fba-ab9c-8901b55475da}" ref="K601">
      <text>
        <t xml:space="preserve">[Threaded comment]
 Your version of Excel allows you to read this threaded comment; however, any edits to it will get removed if the file is opened in a newer version of Excel. Learn more: https://go.microsoft.com/fwlink/?linkid=870924
Comment:
	https://drive.google.com/file/d/1mRPtWU2DgT9biq6MaOdnJliasshtrkAq/view?usp=drive_link
Reply:
	https://drive.google.com/file/d/1IpgeiWuVrQy7DfDIeq-tyrmMc13w1GhW/view?usp=drive_link
</t>
      </text>
    </comment>
    <comment authorId="2285" xr:uid="{d3277751-9b4a-4771-b362-680ab8a4b076}" ref="L205">
      <text>
        <t xml:space="preserve">[Threaded comment]
 Your version of Excel allows you to read this threaded comment; however, any edits to it will get removed if the file is opened in a newer version of Excel. Learn more: https://go.microsoft.com/fwlink/?linkid=870924
Comment:
	https://drive.google.com/file/d/1vUbZ3x19Ew0d6ZKjsos2AcrS7XJOa-0W/view?usp=drive_link
https://drive.google.com/file/d/1m7EYe_4lRIZTtNmaohh4hJmh4FYQo0Sl/view?usp=drive_link
</t>
      </text>
    </comment>
    <comment authorId="2286" xr:uid="{d3393c1c-deff-4f8a-a6ae-eda37e7eb6fc}" ref="W134">
      <text>
        <t xml:space="preserve">[Threaded comment]
 Your version of Excel allows you to read this threaded comment; however, any edits to it will get removed if the file is opened in a newer version of Excel. Learn more: https://go.microsoft.com/fwlink/?linkid=870924
Comment:
	https://drive.google.com/file/d/1gCEAQpfVe_Gg-hGxquqhbOsN7st82Y7N/view?usp=drive_link
</t>
      </text>
    </comment>
    <comment authorId="2287" xr:uid="{d33b6a60-677b-4ccd-8fde-9a5a470b3066}" ref="J187">
      <text>
        <t xml:space="preserve">[Threaded comment]
 Your version of Excel allows you to read this threaded comment; however, any edits to it will get removed if the file is opened in a newer version of Excel. Learn more: https://go.microsoft.com/fwlink/?linkid=870924
Comment:
	https://drive.google.com/file/d/1F0ZzJ4YoVQ5CDa07_KZeBbINA9AzZwfw/view?usp=drive_link
</t>
      </text>
    </comment>
    <comment authorId="2288" xr:uid="{d381067b-941f-44d9-8b24-300419829d80}" ref="L249">
      <text>
        <t xml:space="preserve">[Threaded comment]
 Your version of Excel allows you to read this threaded comment; however, any edits to it will get removed if the file is opened in a newer version of Excel. Learn more: https://go.microsoft.com/fwlink/?linkid=870924
Comment:
	https://drive.google.com/file/d/1oZoh7g_GBzBcy9X8aWVl0W5zRPZ0SvzB/view?usp=drive_link
</t>
      </text>
    </comment>
    <comment authorId="2289" xr:uid="{d3880eb4-5fe9-4844-86a9-fa265f91fc4a}" ref="J333">
      <text>
        <t xml:space="preserve">[Threaded comment]
 Your version of Excel allows you to read this threaded comment; however, any edits to it will get removed if the file is opened in a newer version of Excel. Learn more: https://go.microsoft.com/fwlink/?linkid=870924
Comment:
	https://drive.google.com/file/d/1sgK68aLQXBqqtkCf8MUbScbdWv5OxPcb/view?usp=drive_link
</t>
      </text>
    </comment>
    <comment authorId="2290" xr:uid="{d38e0fd3-e1ce-4749-b336-40e5a92025eb}" ref="K677">
      <text>
        <t xml:space="preserve">[Threaded comment]
 Your version of Excel allows you to read this threaded comment; however, any edits to it will get removed if the file is opened in a newer version of Excel. Learn more: https://go.microsoft.com/fwlink/?linkid=870924
Comment:
	https://drive.google.com/file/d/1Ikxv76u9-V9sPcBgml9lwToeINmdIbH5/view?usp=drive_link
</t>
      </text>
    </comment>
    <comment authorId="2291" xr:uid="{d3994819-8392-45b5-9e14-20a9c2797b96}" ref="A1">
      <text>
        <t xml:space="preserve">[Threaded comment]
 Your version of Excel allows you to read this threaded comment; however, any edits to it will get removed if the file is opened in a newer version of Excel. Learn more: https://go.microsoft.com/fwlink/?linkid=870924
Comment:
	apertura 716
</t>
      </text>
    </comment>
    <comment authorId="2292" xr:uid="{d3ce5bc2-3f60-44a8-b27b-3cb4f3fe905f}" ref="C525">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https://www.bestbuy.com/product/asus-proart-px13-13-3k-oled-touch-screen-laptop-copilot-pc-amd-ryzen-ai-9-hx-370-32gb-memory-rtx-4050-1tb-ssd-nano-black/JJGGLQYGGT
</t>
      </text>
    </comment>
    <comment authorId="2293" xr:uid="{d3dfb27b-11c0-4c3d-9b6f-00d6e803d229}" ref="J506">
      <text>
        <t xml:space="preserve">[Threaded comment]
 Your version of Excel allows you to read this threaded comment; however, any edits to it will get removed if the file is opened in a newer version of Excel. Learn more: https://go.microsoft.com/fwlink/?linkid=870924
Comment:
	https://drive.google.com/file/d/1OuRsZVrGdalqb9Ho1r0-6B3G40iVD1mA/view?usp=drive_link
</t>
      </text>
    </comment>
    <comment authorId="2294" xr:uid="{d405c10a-ec3e-4126-9840-548db119b72d}" ref="K625">
      <text>
        <t xml:space="preserve">[Threaded comment]
 Your version of Excel allows you to read this threaded comment; however, any edits to it will get removed if the file is opened in a newer version of Excel. Learn more: https://go.microsoft.com/fwlink/?linkid=870924
Comment:
	https://drive.google.com/file/d/1Zc3lzVFcuji8DJn0nTg_W8IRywCHK8vs/view?usp=drive_link
</t>
      </text>
    </comment>
    <comment authorId="2295" xr:uid="{d425cad3-d13f-4cac-bb8b-1933dbd052b9}" ref="AF535">
      <text>
        <t xml:space="preserve">[Threaded comment]
 Your version of Excel allows you to read this threaded comment; however, any edits to it will get removed if the file is opened in a newer version of Excel. Learn more: https://go.microsoft.com/fwlink/?linkid=870924
Comment:
	vental final, fixit, excedentes
</t>
      </text>
    </comment>
    <comment authorId="2296" xr:uid="{d429d17a-9e8d-4ed2-a676-c5b60cefe39c}" ref="J652">
      <text>
        <t xml:space="preserve">[Threaded comment]
 Your version of Excel allows you to read this threaded comment; however, any edits to it will get removed if the file is opened in a newer version of Excel. Learn more: https://go.microsoft.com/fwlink/?linkid=870924
Comment:
	https://drive.google.com/file/d/1gqwMwOpjJHPrRX1RqktW7GXcDmqsB60p/view?usp=drive_link
</t>
      </text>
    </comment>
    <comment authorId="2297" xr:uid="{d43e6528-ffcc-4d3c-9372-83f9bc8fb67c}" ref="J76">
      <text>
        <t xml:space="preserve">[Threaded comment]
 Your version of Excel allows you to read this threaded comment; however, any edits to it will get removed if the file is opened in a newer version of Excel. Learn more: https://go.microsoft.com/fwlink/?linkid=870924
Comment:
	https://drive.google.com/file/d/1smfpgca7tB-KnlR29_uawVjB5xqzFtVw/view?usp=drive_link
https://drive.google.com/file/d/13DkUaksQ4kEMbKbx5pbsvTDz7TXtEoxI/view?usp=drive_link
https://drive.google.com/file/d/15cT_pf9PhGVo0anNCx6eVoY4Ej70Niod/view?usp=drive_link
https://drive.google.com/file/d/1jcuvXzgcNLyN-8YPjNIRydLfARdrqsSR/view?usp=drive_link
</t>
      </text>
    </comment>
    <comment authorId="2298" xr:uid="{d4528825-bd09-407d-abf8-ec5ec60d0cb0}" ref="S240">
      <text>
        <t xml:space="preserve">[Threaded comment]
 Your version of Excel allows you to read this threaded comment; however, any edits to it will get removed if the file is opened in a newer version of Excel. Learn more: https://go.microsoft.com/fwlink/?linkid=870924
Comment:
	https://drive.google.com/file/d/1K6v9EkD1pDqpJAPuknRYvRKYSaDF-_Cd/view?usp=drive_link
</t>
      </text>
    </comment>
    <comment authorId="2299" xr:uid="{d48153a7-fbe5-465c-bf65-a220b005d753}" ref="J675">
      <text>
        <t xml:space="preserve">[Threaded comment]
 Your version of Excel allows you to read this threaded comment; however, any edits to it will get removed if the file is opened in a newer version of Excel. Learn more: https://go.microsoft.com/fwlink/?linkid=870924
Comment:
	https://drive.google.com/file/d/1BE3fMLYvHcWSpKJt59ssBEWaZH65Qs16/view?usp=drive_link
</t>
      </text>
    </comment>
    <comment authorId="2300" xr:uid="{d485570f-a651-4993-a60b-eecef71a103c}" ref="C398">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2301" xr:uid="{d48999e5-2bd0-4a01-ba67-e374461b4710}" ref="AF254">
      <text>
        <t xml:space="preserve">[Threaded comment]
 Your version of Excel allows you to read this threaded comment; however, any edits to it will get removed if the file is opened in a newer version of Excel. Learn more: https://go.microsoft.com/fwlink/?linkid=870924
Comment:
	Venta final, fixit, boleta
</t>
      </text>
    </comment>
    <comment authorId="2302" xr:uid="{d4b0e7d1-b032-4cda-afa6-ef60a6daf934}" ref="AF463">
      <text>
        <t xml:space="preserve">[Threaded comment]
 Your version of Excel allows you to read this threaded comment; however, any edits to it will get removed if the file is opened in a newer version of Excel. Learn more: https://go.microsoft.com/fwlink/?linkid=870924
Comment:
	excdentes, fixit y vental final
</t>
      </text>
    </comment>
    <comment authorId="2303" xr:uid="{d519b8bc-5c46-43d5-8939-a731c828738e}" ref="J12">
      <text>
        <t xml:space="preserve">[Threaded comment]
 Your version of Excel allows you to read this threaded comment; however, any edits to it will get removed if the file is opened in a newer version of Excel. Learn more: https://go.microsoft.com/fwlink/?linkid=870924
Comment:
	https://drive.google.com/file/d/10tM6nDW6xYTKe4xj2GQfqYOdp7diSX3H/view?usp=drive_link
</t>
      </text>
    </comment>
    <comment authorId="2304" xr:uid="{d51c1a3d-1041-47af-9589-c3389bcea77e}" ref="W222">
      <text>
        <t xml:space="preserve">[Threaded comment]
 Your version of Excel allows you to read this threaded comment; however, any edits to it will get removed if the file is opened in a newer version of Excel. Learn more: https://go.microsoft.com/fwlink/?linkid=870924
Comment:
	https://drive.google.com/file/d/1ujFvV8kXNujP73Ju7V9m-dMB2ImUKnJo/view?usp=drive_link
</t>
      </text>
    </comment>
    <comment authorId="2305" xr:uid="{d529a9e7-e44d-4008-8a33-4c2ebba15918}" ref="W186">
      <text>
        <t xml:space="preserve">[Threaded comment]
 Your version of Excel allows you to read this threaded comment; however, any edits to it will get removed if the file is opened in a newer version of Excel. Learn more: https://go.microsoft.com/fwlink/?linkid=870924
Comment:
	https://drive.google.com/file/d/1fhLRCLoLZPrV_ns4OqkQXHZ2kJeBLad1/view?usp=drive_link
</t>
      </text>
    </comment>
    <comment authorId="2306" xr:uid="{d52e2077-7e81-471f-9a1e-bc344312dca1}" ref="J174">
      <text>
        <t xml:space="preserve">[Threaded comment]
 Your version of Excel allows you to read this threaded comment; however, any edits to it will get removed if the file is opened in a newer version of Excel. Learn more: https://go.microsoft.com/fwlink/?linkid=870924
Comment:
	https://drive.google.com/file/d/1KwWGjNSm41jB2PHo7Yel7bCI55tXYV0k/view?usp=drive_link
</t>
      </text>
    </comment>
    <comment authorId="2307" xr:uid="{d5311065-2d4b-42fa-9ddf-5320f4607cd4}" ref="J609">
      <text>
        <t xml:space="preserve">[Threaded comment]
 Your version of Excel allows you to read this threaded comment; however, any edits to it will get removed if the file is opened in a newer version of Excel. Learn more: https://go.microsoft.com/fwlink/?linkid=870924
Comment:
	https://drive.google.com/file/d/1juImkANs-MgsfiINMaJTyuF2-Y4jIs0F/view?usp=drive_link
</t>
      </text>
    </comment>
    <comment authorId="2308" xr:uid="{d53827bb-d194-42c0-84d5-737f61a22d07}" ref="AF564">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309" xr:uid="{d551b3e1-8402-4de1-8130-6ced2731da3e}" ref="D664">
      <text>
        <t xml:space="preserve">[Threaded comment]
 Your version of Excel allows you to read this threaded comment; however, any edits to it will get removed if the file is opened in a newer version of Excel. Learn more: https://go.microsoft.com/fwlink/?linkid=870924
Comment:
	cliente llega a LIMA 17 de MAYO
</t>
      </text>
    </comment>
    <comment authorId="2310" xr:uid="{d5767a1a-a309-4dc7-869d-93d0bf4e56a8}" ref="K627">
      <text>
        <t xml:space="preserve">[Threaded comment]
 Your version of Excel allows you to read this threaded comment; however, any edits to it will get removed if the file is opened in a newer version of Excel. Learn more: https://go.microsoft.com/fwlink/?linkid=870924
Comment:
	https://drive.google.com/file/d/1x7EZF2Yb7I_QImqiXAhBekvT934R4TN3/view?usp=drive_link
Reply:
	https://drive.google.com/file/d/1qWTouQILpgybd58aayc5e7JNVvZuyTOv/view?usp=drive_link
</t>
      </text>
    </comment>
    <comment authorId="2311" xr:uid="{d5807c64-8dde-4985-b452-61df75983378}" ref="L271">
      <text>
        <t xml:space="preserve">[Threaded comment]
 Your version of Excel allows you to read this threaded comment; however, any edits to it will get removed if the file is opened in a newer version of Excel. Learn more: https://go.microsoft.com/fwlink/?linkid=870924
Comment:
	https://drive.google.com/file/d/1EUDCvexKUXfto8zZrgkuW9zIByEqIZVR/view?usp=drive_link
</t>
      </text>
    </comment>
    <comment authorId="2312" xr:uid="{d59d5427-fbc3-42b3-a143-4424b5e4b5b4}" ref="W284">
      <text>
        <t xml:space="preserve">[Threaded comment]
 Your version of Excel allows you to read this threaded comment; however, any edits to it will get removed if the file is opened in a newer version of Excel. Learn more: https://go.microsoft.com/fwlink/?linkid=870924
Comment:
	https://drive.google.com/file/d/1UkCNIlOQmoLXaCc8QRAMfGFSnHxUINvv/view?usp=drive_link
</t>
      </text>
    </comment>
    <comment authorId="2313" xr:uid="{d59df334-6258-40df-865c-1e49c3d79da8}" ref="W374">
      <text>
        <t xml:space="preserve">[Threaded comment]
 Your version of Excel allows you to read this threaded comment; however, any edits to it will get removed if the file is opened in a newer version of Excel. Learn more: https://go.microsoft.com/fwlink/?linkid=870924
Comment:
	https://drive.google.com/file/d/18PYtDiE1VB8oR8pD6ypxmMW4jT3cF0QG/view?usp=drive_link
</t>
      </text>
    </comment>
    <comment authorId="2314" xr:uid="{d5abebc5-3476-461b-8911-e0c657f03c2d}" ref="J403">
      <text>
        <t xml:space="preserve">[Threaded comment]
 Your version of Excel allows you to read this threaded comment; however, any edits to it will get removed if the file is opened in a newer version of Excel. Learn more: https://go.microsoft.com/fwlink/?linkid=870924
Comment:
	https://drive.google.com/file/d/1C7srIemW-I3A6Khy2Cb_jtIrurSfMyvj/view?usp=drive_link
</t>
      </text>
    </comment>
    <comment authorId="2315" xr:uid="{d5b4158d-0852-4f2e-8b0a-82a91c968fb2}" ref="AI728">
      <text>
        <t xml:space="preserve">[Threaded comment]
 Your version of Excel allows you to read this threaded comment; however, any edits to it will get removed if the file is opened in a newer version of Excel. Learn more: https://go.microsoft.com/fwlink/?linkid=870924
Comment:
	https://drive.google.com/file/d/1lLPzHEK2BIlg75HN6jBTsNz-z06gkhLG/view?usp=drive_link
</t>
      </text>
    </comment>
    <comment authorId="2316" xr:uid="{d5decf8e-6261-40c7-927d-a8dbd0648342}" ref="D283">
      <text>
        <t xml:space="preserve">[Threaded comment]
 Your version of Excel allows you to read this threaded comment; however, any edits to it will get removed if the file is opened in a newer version of Excel. Learn more: https://go.microsoft.com/fwlink/?linkid=870924
Comment:
	Servicios MLTG 
20452761808
956926705
mltijero@yahoo.es
</t>
      </text>
    </comment>
    <comment authorId="2317" xr:uid="{d63c4779-ac2d-4512-a5f9-fcef4d16c2ef}" ref="J437">
      <text>
        <t xml:space="preserve">[Threaded comment]
 Your version of Excel allows you to read this threaded comment; however, any edits to it will get removed if the file is opened in a newer version of Excel. Learn more: https://go.microsoft.com/fwlink/?linkid=870924
Comment:
	https://drive.google.com/file/d/1ZyURc7C-C8vKwPbe7BBLTnIpCKIYUFoX/view?usp=drive_link
</t>
      </text>
    </comment>
    <comment authorId="2318" xr:uid="{d63d52c4-f99b-4c54-a93b-8f17f922ce36}" ref="J716">
      <text>
        <t xml:space="preserve">[Threaded comment]
 Your version of Excel allows you to read this threaded comment; however, any edits to it will get removed if the file is opened in a newer version of Excel. Learn more: https://go.microsoft.com/fwlink/?linkid=870924
Comment:
	https://drive.google.com/file/d/1dlP9NEuEevGaAscple82KON-eZnr4mFI/view?usp=drive_link
</t>
      </text>
    </comment>
    <comment authorId="2319" xr:uid="{d63d60ff-1e69-46d0-bfee-fa71afbbc285}" ref="AF198">
      <text>
        <t xml:space="preserve">[Threaded comment]
 Your version of Excel allows you to read this threaded comment; however, any edits to it will get removed if the file is opened in a newer version of Excel. Learn more: https://go.microsoft.com/fwlink/?linkid=870924
Comment:
	FINAL: vental final y fixit
</t>
      </text>
    </comment>
    <comment authorId="2320" xr:uid="{d6639508-efe3-4c40-b63e-2e50220a5d7c}" ref="C52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https://www.microcenter.com/product/698178/lenovo-legion-5-15ahp10-153-gaming-laptop-computer-eclipse-black?storeid=185
</t>
      </text>
    </comment>
    <comment authorId="2321" xr:uid="{d695fddc-e66c-4cbf-ad29-38bbd662d17c}" ref="L185">
      <text>
        <t xml:space="preserve">[Threaded comment]
 Your version of Excel allows you to read this threaded comment; however, any edits to it will get removed if the file is opened in a newer version of Excel. Learn more: https://go.microsoft.com/fwlink/?linkid=870924
Comment:
	https://drive.google.com/file/d/1HlPU8RA1CrMGomxOFmb_B8nBXcmIa6Kl/view?usp=drive_link
</t>
      </text>
    </comment>
    <comment authorId="2322" xr:uid="{d69b4f80-a00a-4363-8fd7-1056be75c357}" ref="C800">
      <text>
        <t xml:space="preserve">[Threaded comment]
 Your version of Excel allows you to read this threaded comment; however, any edits to it will get removed if the file is opened in a newer version of Excel. Learn more: https://go.microsoft.com/fwlink/?linkid=870924
Comment:
	https://www.amazon.com/-/es/ASUS-Strix-Laptop-juegos-Nebula/dp/B0DW1SVMZZ/ref=sr_1_5?__mk_es_US=%C3%85M%C3%85%C5%BD%C3%95%C3%91&amp;crid=6OHK93SB0IL5&amp;dib=eyJ2IjoiMSJ9.qHZ8gLXJJ14WPrLIMlL3UXbo6vhWCp-JjZx5RePEBK2yB5LhG4oGMZkAl8WeKS4hZNdYWPh8IfSUDD8uQ61qh7909z5K_eZudiLuArzc0CS2q14QuJ-ioQ_bJ1KwMXogdrH02UsN2FUJ18_LMVpmKnkkLNDqxCVv54_7vtZILRZTlwGTmOR9AF_MYC4eWrganPvFelQOR3Dmd5CqF1Thxanzz52qOJQX8NnQqB8jNjY.YEfs_VZlh5GXNI23O4gs70ZfOulVQBvGgNCK8TVxNMI&amp;dib_tag=se&amp;keywords=rog%2Bstrix%2Bg16&amp;qid=1782240273&amp;sprefix=rog%2Bstrix%2Bg16%2Caps%2C299&amp;sr=8-5&amp;th=1
</t>
      </text>
    </comment>
    <comment authorId="2323" xr:uid="{d6bfee25-73c8-4c58-90a5-d8f8c325fd09}" ref="P167">
      <text>
        <t xml:space="preserve">[Threaded comment]
 Your version of Excel allows you to read this threaded comment; however, any edits to it will get removed if the file is opened in a newer version of Excel. Learn more: https://go.microsoft.com/fwlink/?linkid=870924
Comment:
	se le dio mouse de 30 soles y soporte de 20 soles
</t>
      </text>
    </comment>
    <comment authorId="2324" xr:uid="{d6ce034f-c759-470d-930c-660ef48bf810}" ref="L284">
      <text>
        <t xml:space="preserve">[Threaded comment]
 Your version of Excel allows you to read this threaded comment; however, any edits to it will get removed if the file is opened in a newer version of Excel. Learn more: https://go.microsoft.com/fwlink/?linkid=870924
Comment:
	https://drive.google.com/file/d/1FVqS3Cp-leRtgTHi7cGTK6IeSvwSvO-y/view?usp=drive_link
</t>
      </text>
    </comment>
    <comment authorId="2325" xr:uid="{d6cfca2e-5597-4670-b916-2e30d2b8e597}" ref="J805">
      <text>
        <t xml:space="preserve">[Threaded comment]
 Your version of Excel allows you to read this threaded comment; however, any edits to it will get removed if the file is opened in a newer version of Excel. Learn more: https://go.microsoft.com/fwlink/?linkid=870924
Comment:
	https://drive.google.com/file/d/1lNp-GuFXSqDpUfsJ_YHkW4WiRmyIH-JZ/view?usp=drive_link
</t>
      </text>
    </comment>
    <comment authorId="2326" xr:uid="{d6d32102-4d34-4187-9fec-dbec176c5ba6}" ref="K785">
      <text>
        <t xml:space="preserve">[Threaded comment]
 Your version of Excel allows you to read this threaded comment; however, any edits to it will get removed if the file is opened in a newer version of Excel. Learn more: https://go.microsoft.com/fwlink/?linkid=870924
Comment:
	https://drive.google.com/file/d/1Dh-g0X0KIP4OfQavOmGv5TYD30McuQxX/view?usp=drive_link
Reply:
	https://drive.google.com/file/d/1KgRdTiWXV2TupTZd_ljX8k3Jo95XUd_n/view?usp=drive_link
Reply:
	https://drive.google.com/file/d/1V-uYuZVos69Q646yfytO-UxWoshj5Ub8/view?usp=drive_link
Reply:
	https://drive.google.com/file/d/1rALZkZ3SYHWyN1OdgndWVN_mb6k3hBNn/view?usp=drive_link
Reply:
	https://drive.google.com/file/d/1VfubxAWP5vb_2jD3jD2Z8rNXI7lFxv4_/view?usp=drive_link
Reply:
	https://drive.google.com/file/d/12UCAcnAUDgr8bmH_yXuO2-CFh3jMmKsv/view?usp=drive_link
Reply:
	https://drive.google.com/file/d/1Q03Dk2ynIFstHbB6SzS0zYwhVe5iGt05/view?usp=drive_link
Reply:
	https://drive.google.com/file/d/14BZq1u-D7AHl9Lh030U6Qyyx58g1uEvn/view?usp=drive_link
</t>
      </text>
    </comment>
    <comment authorId="2327" xr:uid="{d6f273d3-126b-4420-b1fc-5dd366f23f37}" ref="J73">
      <text>
        <t xml:space="preserve">[Threaded comment]
 Your version of Excel allows you to read this threaded comment; however, any edits to it will get removed if the file is opened in a newer version of Excel. Learn more: https://go.microsoft.com/fwlink/?linkid=870924
Comment:
	https://drive.google.com/file/d/1cH9ZRZgxcpADO_LW4sOooylCz6O9oQ-S/view?usp=sharing
</t>
      </text>
    </comment>
    <comment authorId="2328" xr:uid="{d6f53f3e-0456-41cf-ba4c-2313706b95db}" ref="L237">
      <text>
        <t xml:space="preserve">[Threaded comment]
 Your version of Excel allows you to read this threaded comment; however, any edits to it will get removed if the file is opened in a newer version of Excel. Learn more: https://go.microsoft.com/fwlink/?linkid=870924
Comment:
	https://drive.google.com/file/d/18iPQRPuA87rlnbhMxTzbPIcyBhqf97Yy/view?usp=drive_link
</t>
      </text>
    </comment>
    <comment authorId="2329" xr:uid="{d6f743d9-c4cb-40d1-a13c-e1497ff9e05a}" ref="C352">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https://www.bhphotovideo.com/c/product/1875946-REG/lenovo_83f00008us_15_1_legion_5i_gaming.html
</t>
      </text>
    </comment>
    <comment authorId="2330" xr:uid="{d6fa8606-ca99-4460-99cf-bdb8e2b26da9}" ref="C772">
      <text>
        <t xml:space="preserve">[Threaded comment]
 Your version of Excel allows you to read this threaded comment; however, any edits to it will get removed if the file is opened in a newer version of Excel. Learn more: https://go.microsoft.com/fwlink/?linkid=870924
Comment:
	https://www.amazon.com/ASUS-ROG-Strix-Gaming-Laptop/dp/B0DZZWMB2L/?th=1
</t>
      </text>
    </comment>
    <comment authorId="2331" xr:uid="{d71c004f-f388-4237-aaf7-ee27b66c9710}" ref="F197">
      <text>
        <t xml:space="preserve">[Threaded comment]
 Your version of Excel allows you to read this threaded comment; however, any edits to it will get removed if the file is opened in a newer version of Excel. Learn more: https://go.microsoft.com/fwlink/?linkid=870924
Comment:
	COMPROBANTE: https://drive.google.com/file/d/1NfqUd4Fua9GOOeckpS2Dr4EP3f4K-rda/view?usp=drive_link
</t>
      </text>
    </comment>
    <comment authorId="2332" xr:uid="{d7678b7c-7b1d-400f-a611-5e8b5cfeab95}" ref="W381">
      <text>
        <t xml:space="preserve">[Threaded comment]
 Your version of Excel allows you to read this threaded comment; however, any edits to it will get removed if the file is opened in a newer version of Excel. Learn more: https://go.microsoft.com/fwlink/?linkid=870924
Comment:
	https://drive.google.com/file/d/1TAeKG9TYlw7cq4uva8s-Q6A5Mpjhbqzj/view?usp=drive_link
</t>
      </text>
    </comment>
    <comment authorId="2333" xr:uid="{d78c46a7-51d3-4087-8573-4ca91c8b9d34}" ref="K348">
      <text>
        <t xml:space="preserve">[Threaded comment]
 Your version of Excel allows you to read this threaded comment; however, any edits to it will get removed if the file is opened in a newer version of Excel. Learn more: https://go.microsoft.com/fwlink/?linkid=870924
Comment:
	https://drive.google.com/file/d/1yr-56evaqF4VOuZOmKMb_y5kfomm584Y/view?usp=drive_link
</t>
      </text>
    </comment>
    <comment authorId="2334" xr:uid="{d79a02b3-b410-46c9-9cbb-432aae2a0b33}" ref="W362">
      <text>
        <t xml:space="preserve">[Threaded comment]
 Your version of Excel allows you to read this threaded comment; however, any edits to it will get removed if the file is opened in a newer version of Excel. Learn more: https://go.microsoft.com/fwlink/?linkid=870924
Comment:
	https://drive.google.com/file/d/1Wzk5Au7_YRB4mCnyElv-63mFby5c5LO7/view?usp=drive_link
</t>
      </text>
    </comment>
    <comment authorId="2335" xr:uid="{d7a347b9-9a66-4b45-a8a2-566e3669a8eb}" ref="C688">
      <text>
        <t xml:space="preserve">[Threaded comment]
 Your version of Excel allows you to read this threaded comment; however, any edits to it will get removed if the file is opened in a newer version of Excel. Learn more: https://go.microsoft.com/fwlink/?linkid=870924
Comment:
	https://www.ebay.com/itm/297282597330?
</t>
      </text>
    </comment>
    <comment authorId="2336" xr:uid="{d7b31485-3a14-418c-8d5c-30f0dbc35828}" ref="J701">
      <text>
        <t xml:space="preserve">[Threaded comment]
 Your version of Excel allows you to read this threaded comment; however, any edits to it will get removed if the file is opened in a newer version of Excel. Learn more: https://go.microsoft.com/fwlink/?linkid=870924
Comment:
	https://drive.google.com/file/d/1nxNEOmi-5uyUnCwBzg8LmAFzbyzS-b8K/view?usp=drive_link
</t>
      </text>
    </comment>
    <comment authorId="2337" xr:uid="{d7b65337-83a1-46d1-bc0a-0921e6198073}" ref="AF637">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338" xr:uid="{d7c5a8d1-5bb1-4a32-b0af-433ee1b152d7}" ref="K579">
      <text>
        <t xml:space="preserve">[Threaded comment]
 Your version of Excel allows you to read this threaded comment; however, any edits to it will get removed if the file is opened in a newer version of Excel. Learn more: https://go.microsoft.com/fwlink/?linkid=870924
Comment:
	https://drive.google.com/file/d/1OL2-X2jTlL9E_4itgPOk_U11zKoAKsI6/view?usp=drive_link
Reply:
	https://drive.google.com/file/d/1DERo_nvuFLCtsUBmYFr-FoUl6WnQgUo5/view?usp=drive_link
</t>
      </text>
    </comment>
    <comment authorId="2339" xr:uid="{d7d0dc63-6e30-4078-b03a-d3c8ad253447}" ref="AF665">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340" xr:uid="{d7e7aa1c-4e3c-4299-9917-5415be4e73b3}" ref="K383">
      <text>
        <t xml:space="preserve">[Threaded comment]
 Your version of Excel allows you to read this threaded comment; however, any edits to it will get removed if the file is opened in a newer version of Excel. Learn more: https://go.microsoft.com/fwlink/?linkid=870924
Comment:
	https://drive.google.com/file/d/1Bg5VfB3q5VPsA-hyFVRtFRDHPtMXO0uq/view?usp=drive_link
https://drive.google.com/file/d/1o0tzr7GjwWNGElTRFq0s8WRDaGe-3jet/view?usp=drive_link
https://drive.google.com/file/d/1rqzeuImcJP0P1XmSk5G9bx4QlLabJAjn/view?usp=drive_link
</t>
      </text>
    </comment>
    <comment authorId="2341" xr:uid="{d8205843-dab7-4c2e-b7dd-18b692d7f5d4}" ref="K346">
      <text>
        <t xml:space="preserve">[Threaded comment]
 Your version of Excel allows you to read this threaded comment; however, any edits to it will get removed if the file is opened in a newer version of Excel. Learn more: https://go.microsoft.com/fwlink/?linkid=870924
Comment:
	https://drive.google.com/file/d/1MU0hCy9MVzwW5Ax56ti86pHC4sUIYSEJ/view?usp=drive_link
</t>
      </text>
    </comment>
    <comment authorId="2342" xr:uid="{d8331323-0b21-41e7-9b74-e255b0dc482b}" ref="U708">
      <text>
        <t xml:space="preserve">[Threaded comment]
 Your version of Excel allows you to read this threaded comment; however, any edits to it will get removed if the file is opened in a newer version of Excel. Learn more: https://go.microsoft.com/fwlink/?linkid=870924
Comment:
	mouse
</t>
      </text>
    </comment>
    <comment authorId="2343" xr:uid="{d8338e1a-21fd-4af3-ab6a-0acfdd4c0270}" ref="L80">
      <text>
        <t xml:space="preserve">[Threaded comment]
 Your version of Excel allows you to read this threaded comment; however, any edits to it will get removed if the file is opened in a newer version of Excel. Learn more: https://go.microsoft.com/fwlink/?linkid=870924
Comment:
	https://drive.google.com/file/d/1HaECR2OsY6bFEeTNHTGyohGQcefOHNpM/view?usp=drive_link
</t>
      </text>
    </comment>
    <comment authorId="2344" xr:uid="{d83f5b41-f0e0-4710-b196-e628094d5f5c}" ref="J181">
      <text>
        <t xml:space="preserve">[Threaded comment]
 Your version of Excel allows you to read this threaded comment; however, any edits to it will get removed if the file is opened in a newer version of Excel. Learn more: https://go.microsoft.com/fwlink/?linkid=870924
Comment:
	https://drive.google.com/file/d/1p5O4d3i1eIlhyNmum3-ySsvXFiGiFPwI/view?usp=drive_link
</t>
      </text>
    </comment>
    <comment authorId="2345" xr:uid="{d854e2e6-18c0-4f78-946a-73dea8ae101a}" ref="C145">
      <text>
        <t xml:space="preserve">[Threaded comment]
 Your version of Excel allows you to read this threaded comment; however, any edits to it will get removed if the file is opened in a newer version of Excel. Learn more: https://go.microsoft.com/fwlink/?linkid=870924
Comment:
	https://www.ebay.com/itm/127152151087?_skw=scar+18+5090&amp;itmmeta=01K07B74KJTNVVK4EW54SKD9TG&amp;hash=item1d9adbda2f%3Ag%3ASuEAAOSwLf1oSfus&amp;itmprp=enc%3AAQAKAAAA0FkggFvd1GGDu0w3yXCmi1e5MZ8jIdve6y9h31opGAh2f5MQRECCPUThpqxRdH%2F5hIORgkOkM3M%2FAVQkzJ3rsluPTyqXNCU4cve9iPuQZ%2Bk5jJ2huLDWWFYAw8mgv%2F6Q4kvPusizA6xkQLGbxc8HzixWAhd3arVj7y24l%2B2B11I7C4es8VoCwjAHlUBk79DdMeUjST1XyjrdxiqOGcHijowKWOKorIomPAvr7pf1Mz2GLvY75uhF%2FMErPDfTvLjCUPNPjaLZILhfd2Biou1X3Hw%3D%7Ctkp%3ABk9SR-DKnOuBZg&amp;LH_ItemCondition=3
</t>
      </text>
    </comment>
    <comment authorId="2346" xr:uid="{d856570a-1feb-447f-92dd-35f6d09a481b}" ref="Q512">
      <text>
        <t xml:space="preserve">[Threaded comment]
 Your version of Excel allows you to read this threaded comment; however, any edits to it will get removed if the file is opened in a newer version of Excel. Learn more: https://go.microsoft.com/fwlink/?linkid=870924
Comment:
	apertura
</t>
      </text>
    </comment>
    <comment authorId="2347" xr:uid="{d8927a88-58e9-4730-8394-b2e42dfb0607}" ref="C372">
      <text>
        <t xml:space="preserve">[Threaded comment]
 Your version of Excel allows you to read this threaded comment; however, any edits to it will get removed if the file is opened in a newer version of Excel. Learn more: https://go.microsoft.com/fwlink/?linkid=870924
Comment:
	https://www.ebay.com/itm/326677331843?_skw=laptop+gaming&amp;epid=10084476461&amp;itmmeta=01KAWVZJVE0DNFA95K7C0ET432&amp;hash=item4c0f7c7f83:g:9MAAAeSwkYJpIN7f
</t>
      </text>
    </comment>
    <comment authorId="2348" xr:uid="{d8b05c45-4829-406b-af82-6537bfaccb31}" ref="AF268">
      <text>
        <t xml:space="preserve">[Threaded comment]
 Your version of Excel allows you to read this threaded comment; however, any edits to it will get removed if the file is opened in a newer version of Excel. Learn more: https://go.microsoft.com/fwlink/?linkid=870924
Comment:
	boleta, fixit, venta final, nuevo cambio
</t>
      </text>
    </comment>
    <comment authorId="2349" xr:uid="{d8c9c865-cb5a-406d-a2ff-49c2e546f2a8}" ref="AF579">
      <text>
        <t xml:space="preserve">[Threaded comment]
 Your version of Excel allows you to read this threaded comment; however, any edits to it will get removed if the file is opened in a newer version of Excel. Learn more: https://go.microsoft.com/fwlink/?linkid=870924
Comment:
	falta precio final
</t>
      </text>
    </comment>
    <comment authorId="2350" xr:uid="{d8f8d619-2447-4bb1-9eda-6020913ae505}" ref="J344">
      <text>
        <t xml:space="preserve">[Threaded comment]
 Your version of Excel allows you to read this threaded comment; however, any edits to it will get removed if the file is opened in a newer version of Excel. Learn more: https://go.microsoft.com/fwlink/?linkid=870924
Comment:
	https://drive.google.com/file/d/1bf5TnbS2vnsEts_Sb-zhKjl8twWFYiLn/view?usp=drive_link
</t>
      </text>
    </comment>
    <comment authorId="2351" xr:uid="{d8ff4a47-f9ac-4598-b833-af0c39acc258}" ref="J470">
      <text>
        <t xml:space="preserve">[Threaded comment]
 Your version of Excel allows you to read this threaded comment; however, any edits to it will get removed if the file is opened in a newer version of Excel. Learn more: https://go.microsoft.com/fwlink/?linkid=870924
Comment:
	https://drive.google.com/file/d/1cKxMke9k-jELxgYkplzAdLSIuOvY51wa/view?usp=drive_link
</t>
      </text>
    </comment>
    <comment authorId="2352" xr:uid="{d91ef315-b4d7-4ab5-8a90-c8b490c27d6a}" ref="Q503">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2353" xr:uid="{d955f541-4d43-47ba-926a-02ecdc4f2542}" ref="AF447">
      <text>
        <t xml:space="preserve">[Threaded comment]
 Your version of Excel allows you to read this threaded comment; however, any edits to it will get removed if the file is opened in a newer version of Excel. Learn more: https://go.microsoft.com/fwlink/?linkid=870924
Comment:
	fixit, venta final, excdentes
</t>
      </text>
    </comment>
    <comment authorId="2354" xr:uid="{d9749f07-fdfd-492d-bd1a-a0b32a68e4fd}" ref="AF724">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355" xr:uid="{d9a6389c-b22c-4205-9d5c-eee0697ba742}" ref="C142">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https://www.bestbuy.com/site/asus-rog-strix-g16-16-fhd-165hz-gaming-laptop-amd-ryzen-9-hx-16gb-ram-nvidia-geforce-rtx-5070-ti-1tb-ssd-eclipse-grey/6613956.p?skuId=6613956
</t>
      </text>
    </comment>
    <comment authorId="2356" xr:uid="{d9b34530-fd06-43ef-ad04-a9beba6524fa}" ref="AF552">
      <text>
        <t xml:space="preserve">[Threaded comment]
 Your version of Excel allows you to read this threaded comment; however, any edits to it will get removed if the file is opened in a newer version of Excel. Learn more: https://go.microsoft.com/fwlink/?linkid=870924
Comment:
	fixit, excedentes, vental final
</t>
      </text>
    </comment>
    <comment authorId="2357" xr:uid="{d9c0484d-eb70-44ce-8d1f-a64fa1301261}" ref="W403">
      <text>
        <t xml:space="preserve">[Threaded comment]
 Your version of Excel allows you to read this threaded comment; however, any edits to it will get removed if the file is opened in a newer version of Excel. Learn more: https://go.microsoft.com/fwlink/?linkid=870924
Comment:
	https://drive.google.com/file/d/1aVO1XMooYVhTWBGoKu_pDuz3chj4XuIj/view?usp=drive_link
</t>
      </text>
    </comment>
    <comment authorId="2358" xr:uid="{d9cb5006-5a15-421e-9e1f-5c87efe4c6fd}" ref="J607">
      <text>
        <t xml:space="preserve">[Threaded comment]
 Your version of Excel allows you to read this threaded comment; however, any edits to it will get removed if the file is opened in a newer version of Excel. Learn more: https://go.microsoft.com/fwlink/?linkid=870924
Comment:
	https://drive.google.com/file/d/1oj7yZ9p4U3xQa4tKms4G3ALExWw0ZPIN/view?usp=drive_link
</t>
      </text>
    </comment>
    <comment authorId="2359" xr:uid="{d9dfba87-9c9b-4a08-81e9-a4fd5b5f285e}" ref="J458">
      <text>
        <t xml:space="preserve">[Threaded comment]
 Your version of Excel allows you to read this threaded comment; however, any edits to it will get removed if the file is opened in a newer version of Excel. Learn more: https://go.microsoft.com/fwlink/?linkid=870924
Comment:
	https://drive.google.com/file/d/1-ziFm5S9pA-PtdR5k-2Mq51LG32e8-vm/view?usp=drive_link
</t>
      </text>
    </comment>
    <comment authorId="2360" xr:uid="{d9e942c8-1447-4b5f-92e9-52a55009260c}" ref="W239">
      <text>
        <t xml:space="preserve">[Threaded comment]
 Your version of Excel allows you to read this threaded comment; however, any edits to it will get removed if the file is opened in a newer version of Excel. Learn more: https://go.microsoft.com/fwlink/?linkid=870924
Comment:
	https://drive.google.com/file/d/1ckghJO1jcyweD1nReG4x74_iyfv9i4fe/view?usp=drive_link
</t>
      </text>
    </comment>
    <comment authorId="2361" xr:uid="{d9f76075-ebc6-43ef-ba0b-ad617b44fda9}" ref="K552">
      <text>
        <t xml:space="preserve">[Threaded comment]
 Your version of Excel allows you to read this threaded comment; however, any edits to it will get removed if the file is opened in a newer version of Excel. Learn more: https://go.microsoft.com/fwlink/?linkid=870924
Comment:
	https://drive.google.com/file/d/1jNuhseHcXe_AfhPCkWPse5bkXDMfvaHN/view?usp=drive_link
</t>
      </text>
    </comment>
    <comment authorId="2362" xr:uid="{d9faf660-ab19-4d4d-8e8a-170e1344e1b3}" ref="J521">
      <text>
        <t xml:space="preserve">[Threaded comment]
 Your version of Excel allows you to read this threaded comment; however, any edits to it will get removed if the file is opened in a newer version of Excel. Learn more: https://go.microsoft.com/fwlink/?linkid=870924
Comment:
	https://drive.google.com/file/d/1p1ChlK4xoUhcrxpLJFuKYyEHzpp5Eu2D/view?usp=drive_link
</t>
      </text>
    </comment>
    <comment authorId="2363" xr:uid="{da23172a-d3f0-47f6-89b8-f65b9c77b19d}" ref="M264">
      <text>
        <t xml:space="preserve">[Threaded comment]
 Your version of Excel allows you to read this threaded comment; however, any edits to it will get removed if the file is opened in a newer version of Excel. Learn more: https://go.microsoft.com/fwlink/?linkid=870924
Comment:
	incluye garantia
</t>
      </text>
    </comment>
    <comment authorId="2364" xr:uid="{da4cffba-1bca-4c6e-ace6-ad91d428c07b}" ref="N329">
      <text>
        <t xml:space="preserve">[Threaded comment]
 Your version of Excel allows you to read this threaded comment; however, any edits to it will get removed if the file is opened in a newer version of Excel. Learn more: https://go.microsoft.com/fwlink/?linkid=870924
Comment:
	+15 de envio
</t>
      </text>
    </comment>
    <comment authorId="2365" xr:uid="{da5628ed-d713-48f1-a249-9c31949c0106}" ref="D315">
      <text>
        <t xml:space="preserve">[Threaded comment]
 Your version of Excel allows you to read this threaded comment; however, any edits to it will get removed if the file is opened in a newer version of Excel. Learn more: https://go.microsoft.com/fwlink/?linkid=870924
Comment:
	DNI 41597737
Celular 972416896
Correo lavadobarzola82@gmail.com
</t>
      </text>
    </comment>
    <comment authorId="2366" xr:uid="{da59335d-7200-4789-b675-33d045fc650c}" ref="J500">
      <text>
        <t xml:space="preserve">[Threaded comment]
 Your version of Excel allows you to read this threaded comment; however, any edits to it will get removed if the file is opened in a newer version of Excel. Learn more: https://go.microsoft.com/fwlink/?linkid=870924
Comment:
	https://drive.google.com/file/d/1ocVPyLEDEuv8coW3EpKccqWNpROzgLeA/view?usp=drive_link
</t>
      </text>
    </comment>
    <comment authorId="2367" xr:uid="{da6336a8-dfdd-417a-990e-3a5df4b96f80}" ref="L260">
      <text>
        <t xml:space="preserve">[Threaded comment]
 Your version of Excel allows you to read this threaded comment; however, any edits to it will get removed if the file is opened in a newer version of Excel. Learn more: https://go.microsoft.com/fwlink/?linkid=870924
Comment:
	https://drive.google.com/file/d/1jiciutdr4JQ7zM_JuHjAAWmEyR5rFGUu/view?usp=drive_link
</t>
      </text>
    </comment>
    <comment authorId="2368" xr:uid="{da64a7c8-be4a-42ba-84f6-fce8aa0fe7d3}" ref="K300">
      <text>
        <t xml:space="preserve">[Threaded comment]
 Your version of Excel allows you to read this threaded comment; however, any edits to it will get removed if the file is opened in a newer version of Excel. Learn more: https://go.microsoft.com/fwlink/?linkid=870924
Comment:
	https://drive.google.com/file/d/1HufMrsj8c39ux4SsPHjYmIlLUS831sCH/view?usp=drive_link
Reply:
	https://drive.google.com/file/d/1iKey9_qOES5XOFq8WCfdCPZEYQ9l4UlA/view?usp=drive_link
</t>
      </text>
    </comment>
    <comment authorId="2369" xr:uid="{da6722a2-5f82-4423-92a0-1ec8a0599fd6}" ref="J259">
      <text>
        <t xml:space="preserve">[Threaded comment]
 Your version of Excel allows you to read this threaded comment; however, any edits to it will get removed if the file is opened in a newer version of Excel. Learn more: https://go.microsoft.com/fwlink/?linkid=870924
Comment:
	https://drive.google.com/file/d/1YVlRkFyxHEohE5YDzs48lehDkpt-JiMB/view?usp=drive_link
</t>
      </text>
    </comment>
    <comment authorId="2370" xr:uid="{da71041b-ad4b-4ae3-acfe-e6130de00ccb}" ref="J713">
      <text>
        <t xml:space="preserve">[Threaded comment]
 Your version of Excel allows you to read this threaded comment; however, any edits to it will get removed if the file is opened in a newer version of Excel. Learn more: https://go.microsoft.com/fwlink/?linkid=870924
Comment:
	https://drive.google.com/file/d/1Vdpq44auBmYJbMNmdWHW5Odkppw5TXbC/view?usp=drive_link
</t>
      </text>
    </comment>
    <comment authorId="2371" xr:uid="{da86bbf5-f640-444c-aadb-8471941fdd5f}" ref="C519">
      <text>
        <t xml:space="preserve">[Threaded comment]
 Your version of Excel allows you to read this threaded comment; however, any edits to it will get removed if the file is opened in a newer version of Excel. Learn more: https://go.microsoft.com/fwlink/?linkid=870924
Comment:
	https://www.antonline.com/Lenovo/Computers/Computer_Systems/Notebooks/1519137
</t>
      </text>
    </comment>
    <comment authorId="2372" xr:uid="{dab95d76-4fdd-4ada-bed3-75c82403608f}" ref="C218">
      <text>
        <t xml:space="preserve">[Threaded comment]
 Your version of Excel allows you to read this threaded comment; however, any edits to it will get removed if the file is opened in a newer version of Excel. Learn more: https://go.microsoft.com/fwlink/?linkid=870924
Comment:
	https://www.bestbuy.com/product/acer-predator-helios-neo-16s-ai-gaming-laptop-16-oled-240hz-intel-core-ultra-9-nvidia-geforce-rtx-5070ti-32gb-1tb-obsidian-black/JJ8V8H38XT
</t>
      </text>
    </comment>
    <comment authorId="2373" xr:uid="{dabdf7a1-8983-4508-9511-0ffa488f2f0c}" ref="AI772">
      <text>
        <t xml:space="preserve">[Threaded comment]
 Your version of Excel allows you to read this threaded comment; however, any edits to it will get removed if the file is opened in a newer version of Excel. Learn more: https://go.microsoft.com/fwlink/?linkid=870924
Comment:
	https://drive.google.com/file/d/1Z-mMJ27ZO-Uqt7QX5EvIMNui4fbXAXyn/view?usp=drive_link
</t>
      </text>
    </comment>
    <comment authorId="2374" xr:uid="{dace757b-ccd4-4619-a850-173af8a67b11}" ref="AF452">
      <text>
        <t xml:space="preserve">[Threaded comment]
 Your version of Excel allows you to read this threaded comment; however, any edits to it will get removed if the file is opened in a newer version of Excel. Learn more: https://go.microsoft.com/fwlink/?linkid=870924
Comment:
	VENTAL FINAL, EXCEDENTE, FIXIT
</t>
      </text>
    </comment>
    <comment authorId="2375" xr:uid="{dad8fc38-431f-4dc1-91bc-eb37a7e8f24e}" ref="J547">
      <text>
        <t xml:space="preserve">[Threaded comment]
 Your version of Excel allows you to read this threaded comment; however, any edits to it will get removed if the file is opened in a newer version of Excel. Learn more: https://go.microsoft.com/fwlink/?linkid=870924
Comment:
	https://drive.google.com/file/d/1eMadr9HoU7dVQq9phZeBIk52OYgmST1R/view?usp=drive_link
</t>
      </text>
    </comment>
    <comment authorId="2376" xr:uid="{dae6eec6-83a5-44d3-98c4-b414b354295a}" ref="W412">
      <text>
        <t xml:space="preserve">[Threaded comment]
 Your version of Excel allows you to read this threaded comment; however, any edits to it will get removed if the file is opened in a newer version of Excel. Learn more: https://go.microsoft.com/fwlink/?linkid=870924
Comment:
	https://drive.google.com/open?id=1cENyvHpKtYTCoNJLWN6z4CeUVMLWNs1h&amp;usp=drive_copy
</t>
      </text>
    </comment>
    <comment authorId="2377" xr:uid="{dae9c46a-2bc8-4f81-bc23-a0a20e3064e8}" ref="J679">
      <text>
        <t xml:space="preserve">[Threaded comment]
 Your version of Excel allows you to read this threaded comment; however, any edits to it will get removed if the file is opened in a newer version of Excel. Learn more: https://go.microsoft.com/fwlink/?linkid=870924
Comment:
	https://drive.google.com/file/d/13P1JkAzabzkpPTq3arMw7bbd9a00Km5A/view?usp=drive_link
</t>
      </text>
    </comment>
    <comment authorId="2378" xr:uid="{db302fb4-bc24-47ac-a843-a1752d8608a3}" ref="W482">
      <text>
        <t xml:space="preserve">[Threaded comment]
 Your version of Excel allows you to read this threaded comment; however, any edits to it will get removed if the file is opened in a newer version of Excel. Learn more: https://go.microsoft.com/fwlink/?linkid=870924
Comment:
	https://drive.google.com/open?id=1yEUkrsd5OFJafAnKSM4jyzcbwHvffI8g&amp;usp=drive_copy
</t>
      </text>
    </comment>
    <comment authorId="2379" xr:uid="{db6f2b5d-a1b5-4949-9b09-841807f44d41}" ref="AF636">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380" xr:uid="{db99166d-295a-4829-881a-a9bd823c8ad6}" ref="AF205">
      <text>
        <t xml:space="preserve">[Threaded comment]
 Your version of Excel allows you to read this threaded comment; however, any edits to it will get removed if the file is opened in a newer version of Excel. Learn more: https://go.microsoft.com/fwlink/?linkid=870924
Comment:
	solo BOLETA
</t>
      </text>
    </comment>
    <comment authorId="2381" xr:uid="{dbc53474-8dbc-4bb1-bbc5-513b0ad06f4d}" ref="V181">
      <text>
        <t xml:space="preserve">[Threaded comment]
 Your version of Excel allows you to read this threaded comment; however, any edits to it will get removed if the file is opened in a newer version of Excel. Learn more: https://go.microsoft.com/fwlink/?linkid=870924
Comment:
	verificar
</t>
      </text>
    </comment>
    <comment authorId="2382" xr:uid="{dbe25c95-0eef-4b4b-9f35-4f822699f6f2}" ref="J505">
      <text>
        <t xml:space="preserve">[Threaded comment]
 Your version of Excel allows you to read this threaded comment; however, any edits to it will get removed if the file is opened in a newer version of Excel. Learn more: https://go.microsoft.com/fwlink/?linkid=870924
Comment:
	https://drive.google.com/file/d/11lvKF_fjNEY2goKQQs92_Qyo8nFA1Hw5/view?usp=drive_link
</t>
      </text>
    </comment>
    <comment authorId="2383" xr:uid="{dbe89d4b-08b8-479d-bdf3-270ed65d721a}" ref="K570">
      <text>
        <t xml:space="preserve">[Threaded comment]
 Your version of Excel allows you to read this threaded comment; however, any edits to it will get removed if the file is opened in a newer version of Excel. Learn more: https://go.microsoft.com/fwlink/?linkid=870924
Comment:
	https://drive.google.com/file/d/1WZc0m4noRiqmcFDAgw1Ok9B4M4yjUluG/view?usp=drive_link
</t>
      </text>
    </comment>
    <comment authorId="2384" xr:uid="{dbf17e0d-470d-4a3b-beb4-210287145d20}" ref="Q696">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2385" xr:uid="{dbf19675-dc57-48a1-8fcf-e9c487c643ba}" ref="C29">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https://www.microcenter.com/product/687888/asus-rog-strix-g16-g614jir-ms96-16-gaming-laptop-computer-eclipse-gray
</t>
      </text>
    </comment>
    <comment authorId="2386" xr:uid="{dc0a57bd-ba3c-4e6a-b89f-eca40072d932}" ref="J363">
      <text>
        <t xml:space="preserve">[Threaded comment]
 Your version of Excel allows you to read this threaded comment; however, any edits to it will get removed if the file is opened in a newer version of Excel. Learn more: https://go.microsoft.com/fwlink/?linkid=870924
Comment:
	https://drive.google.com/file/d/1sgvHiIQtB7VAXQJNfeHx5r1dQNxIWpUw/view?usp=drive_link
</t>
      </text>
    </comment>
    <comment authorId="2387" xr:uid="{dc0a89f6-8fbc-4f92-bce1-e1c7ca730197}" ref="AF231">
      <text>
        <t xml:space="preserve">[Threaded comment]
 Your version of Excel allows you to read this threaded comment; however, any edits to it will get removed if the file is opened in a newer version of Excel. Learn more: https://go.microsoft.com/fwlink/?linkid=870924
Comment:
	venta final, fixit y boleta
</t>
      </text>
    </comment>
    <comment authorId="2388" xr:uid="{dc0d85a1-8b02-4e85-895b-b14da42d86df}" ref="Q493">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2389" xr:uid="{dc0f6c78-bec7-4458-bf77-cf3e955c49bf}" ref="J340">
      <text>
        <t xml:space="preserve">[Threaded comment]
 Your version of Excel allows you to read this threaded comment; however, any edits to it will get removed if the file is opened in a newer version of Excel. Learn more: https://go.microsoft.com/fwlink/?linkid=870924
Comment:
	https://drive.google.com/open?id=1VNCSfrZoaZG0_RhICeSFKuaXtRQFrvbs&amp;usp=drive_copy
Reply:
	https://drive.google.com/file/d/1Mb31Ce2gJbK0Jn3eG4IIqQ-AnYBu0hbd/view?usp=drive_link
Reply:
	https://drive.google.com/file/d/1p5Lzmgwuz3xQDRpleowZEszjAbgNCp1R/view?usp=drive_link
</t>
      </text>
    </comment>
    <comment authorId="2390" xr:uid="{dc24bce1-5634-44a1-9181-72dd6c52e3ec}" ref="J449">
      <text>
        <t xml:space="preserve">[Threaded comment]
 Your version of Excel allows you to read this threaded comment; however, any edits to it will get removed if the file is opened in a newer version of Excel. Learn more: https://go.microsoft.com/fwlink/?linkid=870924
Comment:
	https://drive.google.com/file/d/1C3I9hoH8Wg-hTnoEIrFxvXbMlet_dINJ/view?usp=drive_link
</t>
      </text>
    </comment>
    <comment authorId="2391" xr:uid="{dc57ca54-e8c3-4d8b-828d-97b306afd195}" ref="J265">
      <text>
        <t xml:space="preserve">[Threaded comment]
 Your version of Excel allows you to read this threaded comment; however, any edits to it will get removed if the file is opened in a newer version of Excel. Learn more: https://go.microsoft.com/fwlink/?linkid=870924
Comment:
	https://drive.google.com/file/d/1IRSBMDTLb0gwtsWk0IJvFIFt-28gKN8B/view?usp=sharing
</t>
      </text>
    </comment>
    <comment authorId="2392" xr:uid="{dc5b62bc-537a-4c8b-8274-0e806c9dadf4}" ref="J209">
      <text>
        <t xml:space="preserve">[Threaded comment]
 Your version of Excel allows you to read this threaded comment; however, any edits to it will get removed if the file is opened in a newer version of Excel. Learn more: https://go.microsoft.com/fwlink/?linkid=870924
Comment:
	https://drive.google.com/file/d/1pw7i4LwCmcxYJYz3zFaXlr298kazwr_B/view?usp=drive_link
</t>
      </text>
    </comment>
    <comment authorId="2393" xr:uid="{dc62faeb-3978-4582-ad19-bc257c48459a}" ref="K376">
      <text>
        <t xml:space="preserve">[Threaded comment]
 Your version of Excel allows you to read this threaded comment; however, any edits to it will get removed if the file is opened in a newer version of Excel. Learn more: https://go.microsoft.com/fwlink/?linkid=870924
Comment:
	https://drive.google.com/file/d/15nGZ4ssqQcoWAIMqwiZnnrxrctfJcocB/view?usp=drive_link
</t>
      </text>
    </comment>
    <comment authorId="2394" xr:uid="{dc7dc146-424b-4fe5-8d33-2652ee868b48}" ref="Z206">
      <text>
        <t xml:space="preserve">[Threaded comment]
 Your version of Excel allows you to read this threaded comment; however, any edits to it will get removed if the file is opened in a newer version of Excel. Learn more: https://go.microsoft.com/fwlink/?linkid=870924
Comment:
	https://drive.google.com/file/d/1AXSiAE4PEmRUVZfg7dL6UHbl2AaNaBtw/view?usp=drive_link
</t>
      </text>
    </comment>
    <comment authorId="2395" xr:uid="{dc8317d3-79af-4bde-8d16-0957fe2de4d6}" ref="T218">
      <text>
        <t xml:space="preserve">[Threaded comment]
 Your version of Excel allows you to read this threaded comment; however, any edits to it will get removed if the file is opened in a newer version of Excel. Learn more: https://go.microsoft.com/fwlink/?linkid=870924
Comment:
	soporte+ mouse
</t>
      </text>
    </comment>
    <comment authorId="2396" xr:uid="{dcb8ed74-2ba9-40ac-b7ec-00832babfa2d}" ref="K608">
      <text>
        <t xml:space="preserve">[Threaded comment]
 Your version of Excel allows you to read this threaded comment; however, any edits to it will get removed if the file is opened in a newer version of Excel. Learn more: https://go.microsoft.com/fwlink/?linkid=870924
Comment:
	https://drive.google.com/file/d/17YrRCJ9wQp41H8k3nbJiCzerxmsYUVUf/view?usp=drive_link
Reply:
	https://drive.google.com/file/d/1YTPoYYtGHFXkcD19DMVhFWasHEpxOzNY/view?usp=drive_link
</t>
      </text>
    </comment>
    <comment authorId="2397" xr:uid="{dcc368ea-dcc9-4f8f-be9d-f5094eeeca24}" ref="K520">
      <text>
        <t xml:space="preserve">[Threaded comment]
 Your version of Excel allows you to read this threaded comment; however, any edits to it will get removed if the file is opened in a newer version of Excel. Learn more: https://go.microsoft.com/fwlink/?linkid=870924
Comment:
	https://drive.google.com/file/d/1nh53pFNAyQQA4Z1NSrRHOHOd6KwIyuzX/view?usp=drive_link
</t>
      </text>
    </comment>
    <comment authorId="2398" xr:uid="{dccca59a-e051-491d-9e16-750261dd8a0d}" ref="J386">
      <text>
        <t xml:space="preserve">[Threaded comment]
 Your version of Excel allows you to read this threaded comment; however, any edits to it will get removed if the file is opened in a newer version of Excel. Learn more: https://go.microsoft.com/fwlink/?linkid=870924
Comment:
	https://drive.google.com/file/d/1MGLCHW3VCs7HaaCL5nM4Dm_PDz3APMoX/view?usp=drive_link
</t>
      </text>
    </comment>
    <comment authorId="2399" xr:uid="{dcee9164-50a9-46e3-ac8d-d8a4f8037917}" ref="W161">
      <text>
        <t xml:space="preserve">[Threaded comment]
 Your version of Excel allows you to read this threaded comment; however, any edits to it will get removed if the file is opened in a newer version of Excel. Learn more: https://go.microsoft.com/fwlink/?linkid=870924
Comment:
	https://drive.google.com/file/d/1D1v4Xq40Wyw2DLM8o98WmgLmvzTdhAnD/view?usp=drive_link
</t>
      </text>
    </comment>
    <comment authorId="2400" xr:uid="{dcf4e459-50d9-4b78-be35-859a3a9fa55b}" ref="AF701">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401" xr:uid="{dd1141d3-6884-4a79-bf66-19445c93450f}" ref="J250">
      <text>
        <t xml:space="preserve">[Threaded comment]
 Your version of Excel allows you to read this threaded comment; however, any edits to it will get removed if the file is opened in a newer version of Excel. Learn more: https://go.microsoft.com/fwlink/?linkid=870924
Comment:
	https://drive.google.com/file/d/13Ip_jQX9O9QjQRyefDCVtwW6MB1YfCVq/view?usp=drive_link
</t>
      </text>
    </comment>
    <comment authorId="2402" xr:uid="{dd1e01af-79b4-401f-988b-952dd09df88a}" ref="K668">
      <text>
        <t xml:space="preserve">[Threaded comment]
 Your version of Excel allows you to read this threaded comment; however, any edits to it will get removed if the file is opened in a newer version of Excel. Learn more: https://go.microsoft.com/fwlink/?linkid=870924
Comment:
	https://drive.google.com/file/d/1U2p4w_3VLSUPbSQG0IwqFrsRH7Rq0WZx/view?usp=drive_link
</t>
      </text>
    </comment>
    <comment authorId="2403" xr:uid="{dd27c04f-620c-4efd-987a-4b9c9a91ebc8}" ref="K333">
      <text>
        <t xml:space="preserve">[Threaded comment]
 Your version of Excel allows you to read this threaded comment; however, any edits to it will get removed if the file is opened in a newer version of Excel. Learn more: https://go.microsoft.com/fwlink/?linkid=870924
Comment:
	https://drive.google.com/file/d/1d6a0_aBGmjFDajUrMluI_rZbvavsidBJ/view?usp=drive_link
</t>
      </text>
    </comment>
    <comment authorId="2404" xr:uid="{dd28c1d2-782f-4647-90c7-fb25a857bb90}" ref="Z207">
      <text>
        <t xml:space="preserve">[Threaded comment]
 Your version of Excel allows you to read this threaded comment; however, any edits to it will get removed if the file is opened in a newer version of Excel. Learn more: https://go.microsoft.com/fwlink/?linkid=870924
Comment:
	https://drive.google.com/file/d/1mrCTknDYrod3FjcLsrkYuVDYfeYHrkxI/view?usp=drive_link
</t>
      </text>
    </comment>
    <comment authorId="2405" xr:uid="{dd3288a1-9086-49b8-82ce-67d5b9058716}" ref="A1">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2406" xr:uid="{dd3878ab-2801-4398-bc30-46eb2e3e7603}" ref="AI793">
      <text>
        <t xml:space="preserve">[Threaded comment]
 Your version of Excel allows you to read this threaded comment; however, any edits to it will get removed if the file is opened in a newer version of Excel. Learn more: https://go.microsoft.com/fwlink/?linkid=870924
Comment:
	https://drive.google.com/file/d/15L65wUvGq_kApir7KORRSYYD0PZ2TIkI/view?usp=drive_link
</t>
      </text>
    </comment>
    <comment authorId="2407" xr:uid="{dd457cd0-43c5-4de5-b68f-1c613e3e69da}" ref="J459">
      <text>
        <t xml:space="preserve">[Threaded comment]
 Your version of Excel allows you to read this threaded comment; however, any edits to it will get removed if the file is opened in a newer version of Excel. Learn more: https://go.microsoft.com/fwlink/?linkid=870924
Comment:
	https://drive.google.com/file/d/1BRMhxyBTXpnISE-24oZBQbJkJ4VOo9CZ/view?usp=drive_link
</t>
      </text>
    </comment>
    <comment authorId="2408" xr:uid="{dd5f0e94-0905-4f0a-90ea-2923aea85b48}" ref="C605">
      <text>
        <t xml:space="preserve">[Threaded comment]
 Your version of Excel allows you to read this threaded comment; however, any edits to it will get removed if the file is opened in a newer version of Excel. Learn more: https://go.microsoft.com/fwlink/?linkid=870924
Comment:
	https://www.ebay.com/itm/297282597330?_skw=laptop+gaming&amp;itmmeta=01KGGK41R2TSCDJH29KB4H2A00&amp;hash=item45376c71d2:g:MpIAAeSw8PNoJCUU
</t>
      </text>
    </comment>
    <comment authorId="2409" xr:uid="{dd646fb8-7255-40c2-bc2b-552a8a434713}" ref="J231">
      <text>
        <t xml:space="preserve">[Threaded comment]
 Your version of Excel allows you to read this threaded comment; however, any edits to it will get removed if the file is opened in a newer version of Excel. Learn more: https://go.microsoft.com/fwlink/?linkid=870924
Comment:
	https://drive.google.com/file/d/1NTaZDoqHadJRSbFM4M7NTnzHUlX9YthT/view?usp=drive_link
</t>
      </text>
    </comment>
    <comment authorId="2410" xr:uid="{dda2c530-66b7-445c-8c3b-983e98f20466}" ref="AF685">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411" xr:uid="{ddb68a8a-38f1-4751-8363-b13d28bd405d}" ref="C600">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https://www.microcenter.com/product/698178/lenovo-legion-5-15ahp10-153-gaming-laptop-computer-eclipse-black
</t>
      </text>
    </comment>
    <comment authorId="2412" xr:uid="{ddbf6cf0-77ab-4025-8d4e-64ed5896645c}" ref="Q710">
      <text>
        <t xml:space="preserve">[Threaded comment]
 Your version of Excel allows you to read this threaded comment; however, any edits to it will get removed if the file is opened in a newer version of Excel. Learn more: https://go.microsoft.com/fwlink/?linkid=870924
Comment:
	fila 695
</t>
      </text>
    </comment>
    <comment authorId="2413" xr:uid="{ddde6c13-db51-49a4-b646-e83a62c8c28d}" ref="K667">
      <text>
        <t xml:space="preserve">[Threaded comment]
 Your version of Excel allows you to read this threaded comment; however, any edits to it will get removed if the file is opened in a newer version of Excel. Learn more: https://go.microsoft.com/fwlink/?linkid=870924
Comment:
	https://drive.google.com/file/d/1JbsUkXouKHiRnfwSi88gUy4JrbB-c_Ru/view?usp=drive_link
</t>
      </text>
    </comment>
    <comment authorId="2414" xr:uid="{dde71b2f-7478-46dd-bc08-d908c3e61d2b}" ref="J573">
      <text>
        <t xml:space="preserve">[Threaded comment]
 Your version of Excel allows you to read this threaded comment; however, any edits to it will get removed if the file is opened in a newer version of Excel. Learn more: https://go.microsoft.com/fwlink/?linkid=870924
Comment:
	https://drive.google.com/file/d/12sCgYdVIBKwRgYtksDyi50-U_1PZ769b/view?usp=drive_link
</t>
      </text>
    </comment>
    <comment authorId="2415" xr:uid="{de1d96cb-41d5-4da5-b15a-f314c70916af}" ref="L483">
      <text>
        <t xml:space="preserve">[Threaded comment]
 Your version of Excel allows you to read this threaded comment; however, any edits to it will get removed if the file is opened in a newer version of Excel. Learn more: https://go.microsoft.com/fwlink/?linkid=870924
Comment:
	https://drive.google.com/file/d/1KRP1JxL_a_b4CNtUot7m7CUz5dnPjVqx/view?usp=drive_link
https://drive.google.com/file/d/1Gk3A7k2cBmR5zPaZsZqhcFbs6hhf_HfP/view?usp=drive_link
https://drive.google.com/file/d/1gvvaUzPnD5RGWVEZ1WuvuhIi9Afaa5o4/view?usp=drive_link
</t>
      </text>
    </comment>
    <comment authorId="2416" xr:uid="{de22c3c8-57ed-4e77-bca7-fa4b000380eb}" ref="K318">
      <text>
        <t xml:space="preserve">[Threaded comment]
 Your version of Excel allows you to read this threaded comment; however, any edits to it will get removed if the file is opened in a newer version of Excel. Learn more: https://go.microsoft.com/fwlink/?linkid=870924
Comment:
	https://drive.google.com/file/d/1SHHK053ziYHGsGNq2dnlGtyPdsWTQZpP/view?usp=drive_link
</t>
      </text>
    </comment>
    <comment authorId="2417" xr:uid="{de405b9e-65e7-4b80-859e-ad00a4a2c718}" ref="K485">
      <text>
        <t xml:space="preserve">[Threaded comment]
 Your version of Excel allows you to read this threaded comment; however, any edits to it will get removed if the file is opened in a newer version of Excel. Learn more: https://go.microsoft.com/fwlink/?linkid=870924
Comment:
	https://drive.google.com/file/d/1-TEI1Uwb-H4SJjCdT4b2t2dBC1q61uU4/view?usp=drive_link
</t>
      </text>
    </comment>
    <comment authorId="2418" xr:uid="{de42a81b-6421-48d2-850e-c673a9c3356d}" ref="AF702">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419" xr:uid="{de5709c3-aa64-4719-b2cd-25f30862cd8c}" ref="J576">
      <text>
        <t xml:space="preserve">[Threaded comment]
 Your version of Excel allows you to read this threaded comment; however, any edits to it will get removed if the file is opened in a newer version of Excel. Learn more: https://go.microsoft.com/fwlink/?linkid=870924
Comment:
	https://drive.google.com/file/d/16dz8TqI8_g2c6Z5cS1pOHEyBbmSusf9I/view?usp=drive_link
</t>
      </text>
    </comment>
    <comment authorId="2420" xr:uid="{de61fa66-f9e2-4153-a431-76a58b3c6850}" ref="L160">
      <text>
        <t xml:space="preserve">[Threaded comment]
 Your version of Excel allows you to read this threaded comment; however, any edits to it will get removed if the file is opened in a newer version of Excel. Learn more: https://go.microsoft.com/fwlink/?linkid=870924
Comment:
	https://drive.google.com/file/d/1bugA2xbP8CVixP0zBnubQ9lF6BKLPqBn/view?usp=drive_link
</t>
      </text>
    </comment>
    <comment authorId="2421" xr:uid="{dec0272e-6ea6-4b42-9e8f-5b6dba33671f}" ref="C477">
      <text>
        <t xml:space="preserve">[Threaded comment]
 Your version of Excel allows you to read this threaded comment; however, any edits to it will get removed if the file is opened in a newer version of Excel. Learn more: https://go.microsoft.com/fwlink/?linkid=870924
Comment:
	https://www.ebay.com/itm/306423604443?_skw=legion&amp;itmmeta=01KEM8DRHWGQ4BGP5QCCK5X5MH&amp;hash=item47584524db:g:IvYAAeSw5YZpJxRn
</t>
      </text>
    </comment>
    <comment authorId="2422" xr:uid="{dec6ddfe-3379-40e2-a54d-1819d2f0c738}" ref="AF69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423" xr:uid="{ded47fc1-669a-4cc5-8fa9-255b910d0022}" ref="C132">
      <text>
        <t xml:space="preserve">[Threaded comment]
 Your version of Excel allows you to read this threaded comment; however, any edits to it will get removed if the file is opened in a newer version of Excel. Learn more: https://go.microsoft.com/fwlink/?linkid=870924
Comment:
	https://www.dell.com/en-us/shop/dell-laptops/alienware-16-aurora-gaming-laptop/spd/alienware-aurora-ac16250-gaming-laptop/useac16250wbtohjzy
</t>
      </text>
    </comment>
    <comment authorId="2424" xr:uid="{dedff3d2-b879-4ab8-b7c9-89b5e4ac9b86}" ref="AF557">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425" xr:uid="{dee7909a-98e0-4c69-b87b-cbd732123417}" ref="W460">
      <text>
        <t xml:space="preserve">[Threaded comment]
 Your version of Excel allows you to read this threaded comment; however, any edits to it will get removed if the file is opened in a newer version of Excel. Learn more: https://go.microsoft.com/fwlink/?linkid=870924
Comment:
	https://drive.google.com/open?id=16xZHUkR7Wlm8QLtU3y3E9jIP6WFTf0X3&amp;usp=drive_copy
</t>
      </text>
    </comment>
    <comment authorId="2426" xr:uid="{df24c4a1-3695-4af0-affe-cd31ea5bb09e}" ref="AF241">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2427" xr:uid="{df4e89f8-b34e-42da-b9e2-2fb574341d6b}" ref="K375">
      <text>
        <t xml:space="preserve">[Threaded comment]
 Your version of Excel allows you to read this threaded comment; however, any edits to it will get removed if the file is opened in a newer version of Excel. Learn more: https://go.microsoft.com/fwlink/?linkid=870924
Comment:
	https://drive.google.com/file/d/1GbJZKmO-BSqVFeaEeNGQen43nmMbJdIr/view?usp=drive_link
Reply:
	https://drive.google.com/file/d/1GSwibE6abq6dIBpq2lIfolp0YVLSLJie/view?usp=drive_link
</t>
      </text>
    </comment>
    <comment authorId="2428" xr:uid="{df638695-793c-4f25-89f5-29f3d04886fc}" ref="J674">
      <text>
        <t xml:space="preserve">[Threaded comment]
 Your version of Excel allows you to read this threaded comment; however, any edits to it will get removed if the file is opened in a newer version of Excel. Learn more: https://go.microsoft.com/fwlink/?linkid=870924
Comment:
	https://drive.google.com/file/d/1JpIed6RE6J8583RdSJiTJRRFGzmh73lq/view?usp=drive_link
Reply:
	https://drive.google.com/file/d/1RI7Q8XXP3L9EIXe8R2YKaGNobJKrF8oI/view?usp=drive_link
Reply:
	PAGO DE MAS 1001 YA SE REALIZO DEVOLUCION
</t>
      </text>
    </comment>
    <comment authorId="2429" xr:uid="{df912f24-378d-4756-a357-8afb4931cd15}" ref="J795">
      <text>
        <t xml:space="preserve">[Threaded comment]
 Your version of Excel allows you to read this threaded comment; however, any edits to it will get removed if the file is opened in a newer version of Excel. Learn more: https://go.microsoft.com/fwlink/?linkid=870924
Comment:
	https://drive.google.com/file/d/1kwwKySK-L9uO_gYSDfwrOVuwF0495Pxx/view?usp=drive_link
</t>
      </text>
    </comment>
    <comment authorId="2430" xr:uid="{df9d4bdb-9ae0-49f8-a83d-4bbc150494c3}" ref="A1">
      <text>
        <t xml:space="preserve">[Threaded comment]
 Your version of Excel allows you to read this threaded comment; however, any edits to it will get removed if the file is opened in a newer version of Excel. Learn more: https://go.microsoft.com/fwlink/?linkid=870924
Comment:
	mi cliente esperara a que vuelva el stock :D
</t>
      </text>
    </comment>
    <comment authorId="2431" xr:uid="{dfa11bea-679b-4fab-8656-7a8bb721df27}" ref="D338">
      <text>
        <t xml:space="preserve">[Threaded comment]
 Your version of Excel allows you to read this threaded comment; however, any edits to it will get removed if the file is opened in a newer version of Excel. Learn more: https://go.microsoft.com/fwlink/?linkid=870924
Comment:
	Cristhian Eduardo Crisanto Coronel 
73662899
940079028
agro.crisanto97@gmail.com
</t>
      </text>
    </comment>
    <comment authorId="2432" xr:uid="{e00d39c5-c0a1-4566-a2c7-a71124675a53}" ref="J747">
      <text>
        <t xml:space="preserve">[Threaded comment]
 Your version of Excel allows you to read this threaded comment; however, any edits to it will get removed if the file is opened in a newer version of Excel. Learn more: https://go.microsoft.com/fwlink/?linkid=870924
Comment:
	https://drive.google.com/file/d/1tFgLpuGYqhVFobHKvVOarz4QtWH_IZPk/view?usp=drive_link
</t>
      </text>
    </comment>
    <comment authorId="2433" xr:uid="{e038adb3-9956-441e-8b4b-bf7598f88926}" ref="U577">
      <text>
        <t xml:space="preserve">[Threaded comment]
 Your version of Excel allows you to read this threaded comment; however, any edits to it will get removed if the file is opened in a newer version of Excel. Learn more: https://go.microsoft.com/fwlink/?linkid=870924
Comment:
	vouches re pago de 5 *7.50=37.50
</t>
      </text>
    </comment>
    <comment authorId="2434" xr:uid="{e064c63d-839f-477e-9f20-fca7195c8c8b}" ref="D252">
      <text>
        <t xml:space="preserve">[Threaded comment]
 Your version of Excel allows you to read this threaded comment; however, any edits to it will get removed if the file is opened in a newer version of Excel. Learn more: https://go.microsoft.com/fwlink/?linkid=870924
Comment:
	mismo cliente de la fila 218
</t>
      </text>
    </comment>
    <comment authorId="2435" xr:uid="{e0799091-b140-429e-af50-ac8a27baece4}" ref="AF523">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2436" xr:uid="{e093b9e0-0536-40e8-979b-ed2d3bc787f7}" ref="O140">
      <text>
        <t xml:space="preserve">[Threaded comment]
 Your version of Excel allows you to read this threaded comment; however, any edits to it will get removed if the file is opened in a newer version of Excel. Learn more: https://go.microsoft.com/fwlink/?linkid=870924
Comment:
	pagó 30 soles extra por instalación de programas
</t>
      </text>
    </comment>
    <comment authorId="2437" xr:uid="{e0d2dd49-f5bb-475b-87c5-46c832944073}" ref="W448">
      <text>
        <t xml:space="preserve">[Threaded comment]
 Your version of Excel allows you to read this threaded comment; however, any edits to it will get removed if the file is opened in a newer version of Excel. Learn more: https://go.microsoft.com/fwlink/?linkid=870924
Comment:
	https://drive.google.com/file/d/1y_HKcAm7wDKj-wlBrfpEwcgVx9_4Gh7-/view?usp=drive_link
</t>
      </text>
    </comment>
    <comment authorId="2438" xr:uid="{e0fc4833-0ac1-4459-a5bb-54b7a4a94bbc}" ref="J784">
      <text>
        <t xml:space="preserve">[Threaded comment]
 Your version of Excel allows you to read this threaded comment; however, any edits to it will get removed if the file is opened in a newer version of Excel. Learn more: https://go.microsoft.com/fwlink/?linkid=870924
Comment:
	https://drive.google.com/file/d/1T00XZxVGspnkzFK-J_Gzptgok32DrB8S/view?usp=drive_link
</t>
      </text>
    </comment>
    <comment authorId="2439" xr:uid="{e11ffc2f-8b01-485c-8574-39f8390e7905}" ref="AF334">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2440" xr:uid="{e1418d93-2b0d-4803-8259-641b5e20601c}" ref="L181">
      <text>
        <t xml:space="preserve">[Threaded comment]
 Your version of Excel allows you to read this threaded comment; however, any edits to it will get removed if the file is opened in a newer version of Excel. Learn more: https://go.microsoft.com/fwlink/?linkid=870924
Comment:
	https://drive.google.com/file/d/1NzxLcvJInd0kC4G0TxnGu1ENR7iAck2c/view?usp=drive_link
</t>
      </text>
    </comment>
    <comment authorId="2441" xr:uid="{e166efad-9c0f-4fea-a032-23c9f86aefd3}" ref="W396">
      <text>
        <t xml:space="preserve">[Threaded comment]
 Your version of Excel allows you to read this threaded comment; however, any edits to it will get removed if the file is opened in a newer version of Excel. Learn more: https://go.microsoft.com/fwlink/?linkid=870924
Comment:
	https://drive.google.com/file/d/1XEnktLT5FYoEe6ZGF3NPHjJQ5Fk3-2ru/view?usp=drive_link
</t>
      </text>
    </comment>
    <comment authorId="2442" xr:uid="{e18e28dc-1523-4fe3-9eae-14d1bebeeece}" ref="F391">
      <text>
        <t xml:space="preserve">[Threaded comment]
 Your version of Excel allows you to read this threaded comment; however, any edits to it will get removed if the file is opened in a newer version of Excel. Learn more: https://go.microsoft.com/fwlink/?linkid=870924
Comment:
	@yolinette152@gmail.com falta agregar comprobante
</t>
      </text>
    </comment>
    <comment authorId="2443" xr:uid="{e1a3325b-074d-453d-943a-c29743549ebd}" ref="AF182">
      <text>
        <t xml:space="preserve">[Threaded comment]
 Your version of Excel allows you to read this threaded comment; however, any edits to it will get removed if the file is opened in a newer version of Excel. Learn more: https://go.microsoft.com/fwlink/?linkid=870924
Comment:
	FINAL: verificar PRECIO FINAL y fixit
</t>
      </text>
    </comment>
    <comment authorId="2444" xr:uid="{e1a39e6f-b38b-41d6-908b-70d2e2a84365}" ref="Q687">
      <text>
        <t xml:space="preserve">[Threaded comment]
 Your version of Excel allows you to read this threaded comment; however, any edits to it will get removed if the file is opened in a newer version of Excel. Learn more: https://go.microsoft.com/fwlink/?linkid=870924
Comment:
	FILA 668
Reply:
	2 programas crackeados se le dara a parte con estos 50
</t>
      </text>
    </comment>
    <comment authorId="2445" xr:uid="{e1eeca1e-f145-40b8-a993-08560dde90fc}" ref="AF687">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446" xr:uid="{e21f144c-11f5-430f-a46f-7f8630a52e61}" ref="J200">
      <text>
        <t xml:space="preserve">[Threaded comment]
 Your version of Excel allows you to read this threaded comment; however, any edits to it will get removed if the file is opened in a newer version of Excel. Learn more: https://go.microsoft.com/fwlink/?linkid=870924
Comment:
	https://drive.google.com/file/d/1U1q2OwNAlsQXPYQq6yyMH-BWxCau1QKS/view?usp=drive_link
</t>
      </text>
    </comment>
    <comment authorId="2447" xr:uid="{e239ddfc-01bf-4f21-8909-37d9a9d65eae}" ref="C310">
      <text>
        <t xml:space="preserve">[Threaded comment]
 Your version of Excel allows you to read this threaded comment; however, any edits to it will get removed if the file is opened in a newer version of Excel. Learn more: https://go.microsoft.com/fwlink/?linkid=870924
Comment:
	https://www.ebay.com/itm/205579362586?_skw=laptop+gaming&amp;itmmeta=01K9RRJGZTKQ63JGPAHEGEWE3A&amp;hash=item2fdd7c211a:g:UGEAAeSw9ktpEQ2-
</t>
      </text>
    </comment>
    <comment authorId="2448" xr:uid="{e23ad44e-3662-46e4-8982-62c318a4c18d}" ref="AF699">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449" xr:uid="{e26f02c1-a535-4117-975d-37748d006a5d}" ref="AF172">
      <text>
        <t xml:space="preserve">[Threaded comment]
 Your version of Excel allows you to read this threaded comment; however, any edits to it will get removed if the file is opened in a newer version of Excel. Learn more: https://go.microsoft.com/fwlink/?linkid=870924
Comment:
	falta voucher final
</t>
      </text>
    </comment>
    <comment authorId="2450" xr:uid="{e281ee05-338b-4e73-9c78-202ffff394b6}" ref="C260">
      <text>
        <t xml:space="preserve">[Threaded comment]
 Your version of Excel allows you to read this threaded comment; however, any edits to it will get removed if the file is opened in a newer version of Excel. Learn more: https://go.microsoft.com/fwlink/?linkid=870924
Comment:
	https://us-store.msi.com/Titan-18-HX-Dragon-Edition-Norse-Myth-A2XWJG?search=TITAN
</t>
      </text>
    </comment>
    <comment authorId="2451" xr:uid="{e2856b36-717b-49bf-8ac9-ce5c273d7ec4}" ref="K278">
      <text>
        <t xml:space="preserve">[Threaded comment]
 Your version of Excel allows you to read this threaded comment; however, any edits to it will get removed if the file is opened in a newer version of Excel. Learn more: https://go.microsoft.com/fwlink/?linkid=870924
Comment:
	https://drive.google.com/file/d/1t87jdoDAAhxMdiMe6dNhxUbcQNVXM32C/view?usp=drive_link
</t>
      </text>
    </comment>
    <comment authorId="2452" xr:uid="{e2db47a6-1d80-4848-80c8-f4847d13b54e}" ref="T738">
      <text>
        <t xml:space="preserve">[Threaded comment]
 Your version of Excel allows you to read this threaded comment; however, any edits to it will get removed if the file is opened in a newer version of Excel. Learn more: https://go.microsoft.com/fwlink/?linkid=870924
Comment:
	para el cliente de proveedores fila
</t>
      </text>
    </comment>
    <comment authorId="2453" xr:uid="{e2dca70b-d324-4c71-9bac-2273a772334d}" ref="AF732">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454" xr:uid="{e30482b5-3682-4f4e-9b57-e620f1bf52c2}" ref="Q633">
      <text>
        <t xml:space="preserve">[Threaded comment]
 Your version of Excel allows you to read this threaded comment; however, any edits to it will get removed if the file is opened in a newer version of Excel. Learn more: https://go.microsoft.com/fwlink/?linkid=870924
Comment:
	SUMADO KARPERSKI  DE CLIENTE CORPAVET POR FALLAS DE ESET NOD 32
</t>
      </text>
    </comment>
    <comment authorId="2455" xr:uid="{e307d20e-24fa-44a3-a60b-321fa9e6ff75}" ref="J731">
      <text>
        <t xml:space="preserve">[Threaded comment]
 Your version of Excel allows you to read this threaded comment; however, any edits to it will get removed if the file is opened in a newer version of Excel. Learn more: https://go.microsoft.com/fwlink/?linkid=870924
Comment:
	https://drive.google.com/file/d/1-2saQhM9WMQlQEWwLjJ31xFw1c6znat7/view?usp=drive_link
</t>
      </text>
    </comment>
    <comment authorId="2456" xr:uid="{e3203cd9-013b-478d-98fd-5d0733f7b849}" ref="Q568">
      <text>
        <t xml:space="preserve">[Threaded comment]
 Your version of Excel allows you to read this threaded comment; however, any edits to it will get removed if the file is opened in a newer version of Excel. Learn more: https://go.microsoft.com/fwlink/?linkid=870924
Comment:
	configuración inicial+antivirus+licencia autocad+licencia navisworks
</t>
      </text>
    </comment>
    <comment authorId="2457" xr:uid="{e331d5ab-96d6-49bf-8951-1341f06a1092}" ref="K534">
      <text>
        <t xml:space="preserve">[Threaded comment]
 Your version of Excel allows you to read this threaded comment; however, any edits to it will get removed if the file is opened in a newer version of Excel. Learn more: https://go.microsoft.com/fwlink/?linkid=870924
Comment:
	https://drive.google.com/file/d/1NB7UVtECL5cX-mt-URaekHRhB2TnQxCo/view?usp=drive_link
</t>
      </text>
    </comment>
    <comment authorId="2458" xr:uid="{e343d22e-bbce-4e86-aa60-d3a24041131d}" ref="AI738">
      <text>
        <t xml:space="preserve">[Threaded comment]
 Your version of Excel allows you to read this threaded comment; however, any edits to it will get removed if the file is opened in a newer version of Excel. Learn more: https://go.microsoft.com/fwlink/?linkid=870924
Comment:
	https://drive.google.com/file/d/1eq8Dq1OZ1aObImcBfv37PVO4aXLE8GBq/view?usp=drive_link
</t>
      </text>
    </comment>
    <comment authorId="2459" xr:uid="{e353a48a-872f-4188-be33-eea448d69cad}" ref="S341">
      <text>
        <t xml:space="preserve">[Threaded comment]
 Your version of Excel allows you to read this threaded comment; however, any edits to it will get removed if the file is opened in a newer version of Excel. Learn more: https://go.microsoft.com/fwlink/?linkid=870924
Comment:
	https://drive.google.com/file/d/1Y-FW8zSH6aCdA0mbMz-DU4o6FWYAZZ6T/view?usp=drive_link
</t>
      </text>
    </comment>
    <comment authorId="2460" xr:uid="{e39449d8-64c6-4ec6-87c1-8ea56dc2d325}" ref="AF376">
      <text>
        <t xml:space="preserve">[Threaded comment]
 Your version of Excel allows you to read this threaded comment; however, any edits to it will get removed if the file is opened in a newer version of Excel. Learn more: https://go.microsoft.com/fwlink/?linkid=870924
Comment:
	Solo verificar para donde va el excedente
Reply:
	Marcado como resuelto
Reply:
	Reabierto
</t>
      </text>
    </comment>
    <comment authorId="2461" xr:uid="{e39852ec-d3bb-4f6a-a533-fbac1e4bcd46}" ref="K525">
      <text>
        <t xml:space="preserve">[Threaded comment]
 Your version of Excel allows you to read this threaded comment; however, any edits to it will get removed if the file is opened in a newer version of Excel. Learn more: https://go.microsoft.com/fwlink/?linkid=870924
Comment:
	https://drive.google.com/file/d/1pJwtbQd-RxiA47CHUP_T29wmZ5nQjREI/view?usp=drive_link
</t>
      </text>
    </comment>
    <comment authorId="2462" xr:uid="{e3aacaa1-a785-4cf5-9909-6a2bfc7bffa3}" ref="V790">
      <text>
        <t xml:space="preserve">[Threaded comment]
 Your version of Excel allows you to read this threaded comment; however, any edits to it will get removed if the file is opened in a newer version of Excel. Learn more: https://go.microsoft.com/fwlink/?linkid=870924
Comment:
	traida por importacion no llena form
</t>
      </text>
    </comment>
    <comment authorId="2463" xr:uid="{e3ab76fa-302f-43ec-b0bb-24ac23e71c5e}" ref="K394">
      <text>
        <t xml:space="preserve">[Threaded comment]
 Your version of Excel allows you to read this threaded comment; however, any edits to it will get removed if the file is opened in a newer version of Excel. Learn more: https://go.microsoft.com/fwlink/?linkid=870924
Comment:
	https://drive.google.com/file/d/1QOCi9H5PUwPgDBVLtyeB0Jm80BfMlgAK/view?usp=drive_link
</t>
      </text>
    </comment>
    <comment authorId="2464" xr:uid="{e3b51649-4faf-4206-9066-f596eda35c5f}" ref="J215">
      <text>
        <t xml:space="preserve">[Threaded comment]
 Your version of Excel allows you to read this threaded comment; however, any edits to it will get removed if the file is opened in a newer version of Excel. Learn more: https://go.microsoft.com/fwlink/?linkid=870924
Comment:
	https://drive.google.com/file/d/14hsuvXG4WHjaTEmYOvkoluidZXQQT6Rt/view?usp=drive_link
</t>
      </text>
    </comment>
    <comment authorId="2465" xr:uid="{e3c1e772-2669-4ec2-a0ae-1e0cb434c75e}" ref="J690">
      <text>
        <t xml:space="preserve">[Threaded comment]
 Your version of Excel allows you to read this threaded comment; however, any edits to it will get removed if the file is opened in a newer version of Excel. Learn more: https://go.microsoft.com/fwlink/?linkid=870924
Comment:
	https://drive.google.com/file/d/17lkaCs5SfyAChURRU6_Irl2SyRn1flkr/view?usp=drive_link
</t>
      </text>
    </comment>
    <comment authorId="2466" xr:uid="{e3cee619-440b-4c9b-90d2-98fce0e381d9}" ref="U554">
      <text>
        <t xml:space="preserve">[Threaded comment]
 Your version of Excel allows you to read this threaded comment; however, any edits to it will get removed if the file is opened in a newer version of Excel. Learn more: https://go.microsoft.com/fwlink/?linkid=870924
Comment:
	descontar de fila 20 y 21 de provedores
</t>
      </text>
    </comment>
    <comment authorId="2467" xr:uid="{e3d0c7c7-9495-44c3-9c0e-ee5a6afafd03}" ref="W216">
      <text>
        <t xml:space="preserve">[Threaded comment]
 Your version of Excel allows you to read this threaded comment; however, any edits to it will get removed if the file is opened in a newer version of Excel. Learn more: https://go.microsoft.com/fwlink/?linkid=870924
Comment:
	https://drive.google.com/file/d/1zfFiPzE30XXTPUvaaEdEwD-Qop4OmGrb/view?usp=drive_link
</t>
      </text>
    </comment>
    <comment authorId="2468" xr:uid="{e3d9f54e-c1f7-461a-b6e0-b4a4f1c75144}" ref="O211">
      <text>
        <t xml:space="preserve">[Threaded comment]
 Your version of Excel allows you to read this threaded comment; however, any edits to it will get removed if the file is opened in a newer version of Excel. Learn more: https://go.microsoft.com/fwlink/?linkid=870924
Comment:
	+349 de garantía
https://drive.google.com/file/d/1if_5KpVZgYJ96w6i7Y1vUA72--7qjMMS/view?usp=drive_link
</t>
      </text>
    </comment>
    <comment authorId="2469" xr:uid="{e3f1b7e1-02b6-4611-9507-4daaeea9675b}" ref="F395">
      <text>
        <t xml:space="preserve">[Threaded comment]
 Your version of Excel allows you to read this threaded comment; however, any edits to it will get removed if the file is opened in a newer version of Excel. Learn more: https://go.microsoft.com/fwlink/?linkid=870924
Comment:
	@yolinette152@gmail.com falta agregar boleta
Asignada a yolinette152@gmail.com
</t>
      </text>
    </comment>
    <comment authorId="2470" xr:uid="{e3fc76c5-0edf-4932-9054-b94febdf4f65}" ref="A1">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2471" xr:uid="{e4171e91-eeb2-4312-939a-e4f6f4b647af}" ref="L306">
      <text>
        <t xml:space="preserve">[Threaded comment]
 Your version of Excel allows you to read this threaded comment; however, any edits to it will get removed if the file is opened in a newer version of Excel. Learn more: https://go.microsoft.com/fwlink/?linkid=870924
Comment:
	https://drive.google.com/file/d/1cXERDfsUGiOMwrCfcWfBcToZr3RrLTHm/view?usp=drive_link
</t>
      </text>
    </comment>
    <comment authorId="2472" xr:uid="{e43c50e2-fbc6-4e70-b327-0550caef632d}" ref="J387">
      <text>
        <t xml:space="preserve">[Threaded comment]
 Your version of Excel allows you to read this threaded comment; however, any edits to it will get removed if the file is opened in a newer version of Excel. Learn more: https://go.microsoft.com/fwlink/?linkid=870924
Comment:
	https://drive.google.com/file/d/1YfsZQSZhZlKn3jSgkA31t80X7RkslgWY/view?usp=drive_link
</t>
      </text>
    </comment>
    <comment authorId="2473" xr:uid="{e46b8b78-ab2a-449e-8afe-635bb523c602}" ref="J11">
      <text>
        <t xml:space="preserve">[Threaded comment]
 Your version of Excel allows you to read this threaded comment; however, any edits to it will get removed if the file is opened in a newer version of Excel. Learn more: https://go.microsoft.com/fwlink/?linkid=870924
Comment:
	https://drive.google.com/file/d/1pxXohjlqJwdeUbtts3MisArT92wKrKSD/view?usp=drive_link
</t>
      </text>
    </comment>
    <comment authorId="2474" xr:uid="{e4717092-2ae1-463f-a2ff-36dd1263d205}" ref="J692">
      <text>
        <t xml:space="preserve">[Threaded comment]
 Your version of Excel allows you to read this threaded comment; however, any edits to it will get removed if the file is opened in a newer version of Excel. Learn more: https://go.microsoft.com/fwlink/?linkid=870924
Comment:
	https://drive.google.com/file/d/1Vkrrhm7RiKQc8e74FdigN9AB-mLZyZdF/view?usp=drive_link
</t>
      </text>
    </comment>
    <comment authorId="2475" xr:uid="{e47523a8-beda-4f08-a0b8-481a915a374c}" ref="W356">
      <text>
        <t xml:space="preserve">[Threaded comment]
 Your version of Excel allows you to read this threaded comment; however, any edits to it will get removed if the file is opened in a newer version of Excel. Learn more: https://go.microsoft.com/fwlink/?linkid=870924
Comment:
	https://drive.google.com/file/d/18bw0SfEQ7d-xNo8sqYuzBHuKXTj5Cp33/view?usp=drive_link
</t>
      </text>
    </comment>
    <comment authorId="2476" xr:uid="{e4841d04-160e-48fb-8887-49572f616771}" ref="AF360">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2477" xr:uid="{e492656b-dcdc-4acf-9c4d-9a0cea6a6e93}" ref="J399">
      <text>
        <t xml:space="preserve">[Threaded comment]
 Your version of Excel allows you to read this threaded comment; however, any edits to it will get removed if the file is opened in a newer version of Excel. Learn more: https://go.microsoft.com/fwlink/?linkid=870924
Comment:
	https://drive.google.com/file/d/1mO18warlP4DSuxdG-7PtXOWug593Il1n/view?usp=drive_link
</t>
      </text>
    </comment>
    <comment authorId="2478" xr:uid="{e49c679b-8e78-49b6-aa5b-471188567545}" ref="C656">
      <text>
        <t xml:space="preserve">[Threaded comment]
 Your version of Excel allows you to read this threaded comment; however, any edits to it will get removed if the file is opened in a newer version of Excel. Learn more: https://go.microsoft.com/fwlink/?linkid=870924
Comment:
	https://www.amazon.com/-/es/Apple-Magic-Mouse-Superficie-multit%C3%A1ctil/dp/B0DL6WHJ1W/ref=sr_1_1?crid=O11LVEQM8XG0&amp;dib=eyJ2IjoiMSJ9.BmNEJ7KIQTTs9BwtQwz_v_wH4fHhSZ8DqnOBRnpFwbCeKL8b-qfbLoktFUxwBJu6e0MS_GUG-6fV4leCju1cExMBQiCe-v4jh6H8JwJVjqdKZdBImpz9aprePojgL1kCsTtn_lRoC0hYgvYZmh-_guyHSEFQwo3Rn7b2-17MKdiKL1w2zFigeHDa3rC2MhyEqeIi4exo5YkB7Dm2oaXQMZLtqM8Fy8CORaKO_KiHlOoowizHoPF4izu_kAl_PC_2_0xzvvEY6WN_s6RYSlCiCNqG_kX0HOezfvtWtbB2phI.uwbCArVPVsiCUflUbde2983XGCH4QBgErGQiO3zcnzI&amp;dib_tag=se&amp;keywords=apple%2Bmagic%2Bmouse&amp;qid=1775316834&amp;s=electronics&amp;sprefix=mouse%2Bapple%2Celectronics%2C326&amp;sr=1-1&amp;th=1
</t>
      </text>
    </comment>
    <comment authorId="2479" xr:uid="{e4acf31e-7688-44ad-b400-5c0733a98d24}" ref="C580">
      <text>
        <t xml:space="preserve">[Threaded comment]
 Your version of Excel allows you to read this threaded comment; however, any edits to it will get removed if the file is opened in a newer version of Excel. Learn more: https://go.microsoft.com/fwlink/?linkid=870924
Comment:
	https://shop.asus.com/us/90nr0lx6-m00970-rog-zephyrus-g16-2025-gu605.html?config=90NR0LX6-M00970
</t>
      </text>
    </comment>
    <comment authorId="2480" xr:uid="{e4cf707c-f7b0-40bf-8d14-c578880d4019}" ref="J763">
      <text>
        <t xml:space="preserve">[Threaded comment]
 Your version of Excel allows you to read this threaded comment; however, any edits to it will get removed if the file is opened in a newer version of Excel. Learn more: https://go.microsoft.com/fwlink/?linkid=870924
Comment:
	https://drive.google.com/file/d/1EAaKg862E4lQPjEAJlAmxKywOSLUDmQJ/view?usp=drive_link
</t>
      </text>
    </comment>
    <comment authorId="2481" xr:uid="{e4e73d01-e359-4823-a691-fc6df6f4df88}" ref="J571">
      <text>
        <t xml:space="preserve">[Threaded comment]
 Your version of Excel allows you to read this threaded comment; however, any edits to it will get removed if the file is opened in a newer version of Excel. Learn more: https://go.microsoft.com/fwlink/?linkid=870924
Comment:
	https://drive.google.com/file/d/1Zhl1ivwsjXDsRC8ELZsxsJ4LImWPiX7N/view?usp=drive_link
</t>
      </text>
    </comment>
    <comment authorId="2482" xr:uid="{e4f2591c-c3ff-420a-889b-fcf0e79aa35f}" ref="C326">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https://www.bhphotovideo.com/c/product/1875949-REG/lenovo_83f50052us_16_legion_pro_7.html
</t>
      </text>
    </comment>
    <comment authorId="2483" xr:uid="{e4f6b9c2-d52c-4690-8450-aafcd990705a}" ref="AF742">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484" xr:uid="{e50c7d05-258c-4482-9ce7-bd569094c4d9}" ref="AI766">
      <text>
        <t xml:space="preserve">[Threaded comment]
 Your version of Excel allows you to read this threaded comment; however, any edits to it will get removed if the file is opened in a newer version of Excel. Learn more: https://go.microsoft.com/fwlink/?linkid=870924
Comment:
	https://drive.google.com/file/d/1Pq-HTxIbzY7TD8p_XeFcj1C3-7PIympb/view?usp=drive_link
</t>
      </text>
    </comment>
    <comment authorId="2485" xr:uid="{e521c56b-218c-485e-8bd6-e41ff9616b51}" ref="C490">
      <text>
        <t xml:space="preserve">[Threaded comment]
 Your version of Excel allows you to read this threaded comment; however, any edits to it will get removed if the file is opened in a newer version of Excel. Learn more: https://go.microsoft.com/fwlink/?linkid=870924
Comment:
	https://www.amazon.com/-/es/GT600-filtro-algod%C3%B3n-piezas-blanco/dp/B0D1TF8T2Y/ref=pd_bxgy_d_sccl_1/144-4487549-9820511?pd_rd_w=ctn8p&amp;content-id=amzn1.sym.9bef5913-5870-4504-8883-3ba89d7f8e39&amp;pf_rd_p=9bef5913-5870-4504-8883-3ba89d7f8e39&amp;pf_rd_r=DZ8HWRX5A0ZXYE3MBGPS&amp;pd_rd_wg=oj7Lf&amp;pd_rd_r=f899c19c-f16e-4683-ac2b-ace766b7cd15&amp;pd_rd_i=B0D1TF8T2Y&amp;psc=1
</t>
      </text>
    </comment>
    <comment authorId="2486" xr:uid="{e58a9801-e7f6-4803-9aae-3f0a5110c74d}" ref="AF60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487" xr:uid="{e58c793e-2174-4d0c-8d58-518aa5b9acae}" ref="AF423">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488" xr:uid="{e5a0a196-5616-4b14-9291-e0ac719ef3a2}" ref="AF708">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489" xr:uid="{e5afbade-35a7-4f16-a010-77319d01123a}" ref="J279">
      <text>
        <t xml:space="preserve">[Threaded comment]
 Your version of Excel allows you to read this threaded comment; however, any edits to it will get removed if the file is opened in a newer version of Excel. Learn more: https://go.microsoft.com/fwlink/?linkid=870924
Comment:
	https://drive.google.com/file/d/1Kc2XJ_3rgtCRQpI8vL5-bMdHOqnUlxfn/view?usp=drive_link
</t>
      </text>
    </comment>
    <comment authorId="2490" xr:uid="{e5b89fbd-701d-486d-92dd-0a9b0b093e4b}" ref="C79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2491" xr:uid="{e5cd2e0a-7030-469e-8a14-512544fab596}" ref="J68">
      <text>
        <t xml:space="preserve">[Threaded comment]
 Your version of Excel allows you to read this threaded comment; however, any edits to it will get removed if the file is opened in a newer version of Excel. Learn more: https://go.microsoft.com/fwlink/?linkid=870924
Comment:
	https://drive.google.com/file/d/1gi6CLafHuy_pV6K9N7q2DqPYfW14vHBe/view?usp=drive_link
</t>
      </text>
    </comment>
    <comment authorId="2492" xr:uid="{e5f3de01-088d-461f-b81b-ef8396e7972f}" ref="AI742">
      <text>
        <t xml:space="preserve">[Threaded comment]
 Your version of Excel allows you to read this threaded comment; however, any edits to it will get removed if the file is opened in a newer version of Excel. Learn more: https://go.microsoft.com/fwlink/?linkid=870924
Comment:
	https://drive.google.com/file/d/1MhCVQAAI7FfPJMgIHga8lrP67jrLJS3f/view?usp=drive_link
</t>
      </text>
    </comment>
    <comment authorId="2493" xr:uid="{e65705cf-37a8-4596-bd34-8d3abcbcaec7}" ref="K395">
      <text>
        <t xml:space="preserve">[Threaded comment]
 Your version of Excel allows you to read this threaded comment; however, any edits to it will get removed if the file is opened in a newer version of Excel. Learn more: https://go.microsoft.com/fwlink/?linkid=870924
Comment:
	https://drive.google.com/file/d/18RWkXFg2T0CeJiMCHSTOGR-ev2Wfeb_N/view?usp=drive_link
https://drive.google.com/file/d/1M2IrNA8aAb2JhCUfh6T0qocDdbCwhcXL/view?usp=drive_link
pago de diferencia de mercado libre por envio https://drive.google.com/file/d/1RnTxAgvFFTmdoQh-IHRJerTtLWLDly5e/view?usp=drive_link
</t>
      </text>
    </comment>
    <comment authorId="2494" xr:uid="{e6576288-b04d-41f5-b8d5-78d3afb9cd1f}" ref="J561">
      <text>
        <t xml:space="preserve">[Threaded comment]
 Your version of Excel allows you to read this threaded comment; however, any edits to it will get removed if the file is opened in a newer version of Excel. Learn more: https://go.microsoft.com/fwlink/?linkid=870924
Comment:
	https://drive.google.com/file/d/1OBzytMbg4qqAk2zxmgfrvDFndKM5nxbM/view?usp=drive_link
</t>
      </text>
    </comment>
    <comment authorId="2495" xr:uid="{e674d388-6d71-478e-a0ef-7224cea1fc20}" ref="J748">
      <text>
        <t xml:space="preserve">[Threaded comment]
 Your version of Excel allows you to read this threaded comment; however, any edits to it will get removed if the file is opened in a newer version of Excel. Learn more: https://go.microsoft.com/fwlink/?linkid=870924
Comment:
	https://drive.google.com/file/d/1z9W54MgT-Oq4Mv5E6sV2tOVzxOI1nMsd/view?usp=drive_link
Reply:
	https://drive.google.com/file/d/1JWvL6jzjfhvCpYLl_Nh-JbKUrmUTgjY3/view?usp=drive_link
Reply:
	https://drive.google.com/file/d/1jk-CebHuyrI5whmsFpHnI-OeGQnW9Fzn/view?usp=drive_link
</t>
      </text>
    </comment>
    <comment authorId="2496" xr:uid="{e6a2de06-0575-4354-a1d7-23ae79c5dce1}" ref="K651">
      <text>
        <t xml:space="preserve">[Threaded comment]
 Your version of Excel allows you to read this threaded comment; however, any edits to it will get removed if the file is opened in a newer version of Excel. Learn more: https://go.microsoft.com/fwlink/?linkid=870924
Comment:
	https://drive.google.com/file/d/1cn_pZkK2KB0oFCj4PHgnKk_xeSocdhks/view?usp=drive_link
</t>
      </text>
    </comment>
    <comment authorId="2497" xr:uid="{e6cdbbae-8097-42ef-812b-8e5160c5eed0}" ref="W376">
      <text>
        <t xml:space="preserve">[Threaded comment]
 Your version of Excel allows you to read this threaded comment; however, any edits to it will get removed if the file is opened in a newer version of Excel. Learn more: https://go.microsoft.com/fwlink/?linkid=870924
Comment:
	https://drive.google.com/file/d/1pj0TpSvWq1bEQgtdCzcBZD98C-WhIazR/view?usp=drive_link
</t>
      </text>
    </comment>
    <comment authorId="2498" xr:uid="{e6d8d2c2-b516-45ec-b503-8ef153ba636e}" ref="W146">
      <text>
        <t xml:space="preserve">[Threaded comment]
 Your version of Excel allows you to read this threaded comment; however, any edits to it will get removed if the file is opened in a newer version of Excel. Learn more: https://go.microsoft.com/fwlink/?linkid=870924
Comment:
	https://drive.google.com/file/d/1iBAvn3it4apZtn_S2wRz-NS9H3efpY2j/view?usp=drive_link
</t>
      </text>
    </comment>
    <comment authorId="2499" xr:uid="{e6e99e42-8375-45cb-acf0-c3391c5b6f5b}" ref="K391">
      <text>
        <t xml:space="preserve">[Threaded comment]
 Your version of Excel allows you to read this threaded comment; however, any edits to it will get removed if the file is opened in a newer version of Excel. Learn more: https://go.microsoft.com/fwlink/?linkid=870924
Comment:
	https://drive.google.com/file/d/1kdWCNKANyk2w_E_LVYZTQokdNqqlZBok/view?usp=drive_link
</t>
      </text>
    </comment>
    <comment authorId="2500" xr:uid="{e7060f05-8886-453d-95b4-be08b97bebcc}" ref="AF774">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2501" xr:uid="{e70cabbf-2ba5-4448-bb6c-f516b50963e0}" ref="T411">
      <text>
        <t xml:space="preserve">[Threaded comment]
 Your version of Excel allows you to read this threaded comment; however, any edits to it will get removed if the file is opened in a newer version of Excel. Learn more: https://go.microsoft.com/fwlink/?linkid=870924
Comment:
	kit de regalo
</t>
      </text>
    </comment>
    <comment authorId="2502" xr:uid="{e741f01e-e2fb-41ca-b7e5-672533fc877f}" ref="K289">
      <text>
        <t xml:space="preserve">[Threaded comment]
 Your version of Excel allows you to read this threaded comment; however, any edits to it will get removed if the file is opened in a newer version of Excel. Learn more: https://go.microsoft.com/fwlink/?linkid=870924
Comment:
	https://drive.google.com/file/d/1zHL1OlOgMFonAWo7HDRSI0tWqXf32Fn8/view?usp=drive_link
</t>
      </text>
    </comment>
    <comment authorId="2503" xr:uid="{e759d83b-1c37-4948-9108-36c50cd675a2}" ref="J102">
      <text>
        <t xml:space="preserve">[Threaded comment]
 Your version of Excel allows you to read this threaded comment; however, any edits to it will get removed if the file is opened in a newer version of Excel. Learn more: https://go.microsoft.com/fwlink/?linkid=870924
Comment:
	https://drive.google.com/file/d/1ZY0hTb9qMzco_8u-D_rMnWqqRFrSa0V2/view?usp=drive_link
</t>
      </text>
    </comment>
    <comment authorId="2504" xr:uid="{e75d58e7-6cb2-46b5-aded-73a3cee9051a}" ref="C586">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505" xr:uid="{e785000b-68c6-4b5e-9d5f-e3a83c1eb2a0}" ref="K550">
      <text>
        <t xml:space="preserve">[Threaded comment]
 Your version of Excel allows you to read this threaded comment; however, any edits to it will get removed if the file is opened in a newer version of Excel. Learn more: https://go.microsoft.com/fwlink/?linkid=870924
Comment:
	https://drive.google.com/file/d/1epYcHTjZwzHguvOChVBrii0lXgEgMrkz/view?usp=drive_link PAGO 1. 5000
https://drive.google.com/file/d/1bPinLtuSlr8FGm3pu0Cqhd2d6FpkiSZo/view?usp=drive_link PAGO 2. FUE CON LINK DE PAGO+5%
</t>
      </text>
    </comment>
    <comment authorId="2506" xr:uid="{e78db958-eaf7-4e72-98ad-9ab22897890f}" ref="K291">
      <text>
        <t xml:space="preserve">[Threaded comment]
 Your version of Excel allows you to read this threaded comment; however, any edits to it will get removed if the file is opened in a newer version of Excel. Learn more: https://go.microsoft.com/fwlink/?linkid=870924
Comment:
	https://drive.google.com/file/d/1pHlyI18B0exquqsVJlwbOI2M3e7xDp0G/view?usp=drive_link
</t>
      </text>
    </comment>
    <comment authorId="2507" xr:uid="{e7c09e0e-6956-4ed1-9e01-8eee5fa732a2}" ref="F570">
      <text>
        <t xml:space="preserve">[Threaded comment]
 Your version of Excel allows you to read this threaded comment; however, any edits to it will get removed if the file is opened in a newer version of Excel. Learn more: https://go.microsoft.com/fwlink/?linkid=870924
Comment:
	@katiuskarodriempresa@gmail.com usar una de las solicitadas
</t>
      </text>
    </comment>
    <comment authorId="2508" xr:uid="{e7c39c32-40d7-4157-8993-31e4f89c94d3}" ref="C19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https://www.microcenter.com/product/695522/dell-alienware-18-area-51-aa18250-18-gaming-laptop-computer-liquid-teal
</t>
      </text>
    </comment>
    <comment authorId="2509" xr:uid="{e7dd2291-dcf3-41df-8ec8-d681d38aedf5}" ref="W351">
      <text>
        <t xml:space="preserve">[Threaded comment]
 Your version of Excel allows you to read this threaded comment; however, any edits to it will get removed if the file is opened in a newer version of Excel. Learn more: https://go.microsoft.com/fwlink/?linkid=870924
Comment:
	https://drive.google.com/file/d/1AlEnbZQH6VuALH-HOEAfF-ikZfXfz7y9/view?usp=drive_link
</t>
      </text>
    </comment>
    <comment authorId="2510" xr:uid="{e7f175b6-5daa-48ce-baab-f9364c77d993}" ref="K373">
      <text>
        <t xml:space="preserve">[Threaded comment]
 Your version of Excel allows you to read this threaded comment; however, any edits to it will get removed if the file is opened in a newer version of Excel. Learn more: https://go.microsoft.com/fwlink/?linkid=870924
Comment:
	https://drive.google.com/file/d/1FRfuXRserAx6PjOz3h-pmvqlGk7GeA0R/view?usp=drive_link
</t>
      </text>
    </comment>
    <comment authorId="2511" xr:uid="{e7ff7402-dd03-47e6-8304-e037b7858201}" ref="J185">
      <text>
        <t xml:space="preserve">[Threaded comment]
 Your version of Excel allows you to read this threaded comment; however, any edits to it will get removed if the file is opened in a newer version of Excel. Learn more: https://go.microsoft.com/fwlink/?linkid=870924
Comment:
	https://drive.google.com/file/d/1nfvKe0NuzMBZAMFNYUsmVvIwQABBzrp-/view?usp=drive_link
</t>
      </text>
    </comment>
    <comment authorId="2512" xr:uid="{e80e2aff-70f0-45ac-a979-42eb083de0f1}" ref="C334">
      <text>
        <t xml:space="preserve">[Threaded comment]
 Your version of Excel allows you to read this threaded comment; however, any edits to it will get removed if the file is opened in a newer version of Excel. Learn more: https://go.microsoft.com/fwlink/?linkid=870924
Comment:
	https://www.ebay.com/itm/197444303642?_skw=zephyrus+g14&amp;itmmeta=01KAQ7S3S89KY6ARH29K7KGRFW&amp;hash=item2df898fb1a:g:T4IAAeSwdlZpHYhG&amp;itmprp=enc%3AAQAKAAAA0FkggFvd1GGDu0w3yXCmi1eCTo86OPs%2BlbO%2FhbpEMVrYTE7jaIdD8PILVInAKjM0G4hjLB38ZYT1Q5oTTOnyDkA4tfavnKMs4vevL%2FfqIkU0BJI0Wmr%2Bxxczq12r1QWTOFZsRkSLBRcLkyJDPVc36Am6KIRBqnQfLdC1aeL1LsaejwC8ewt2S9SK7w5wO%2Fud43rlZoxNSCWNv1SK7rzySHsyZjHMuqbity2691aTDamGpHmrvwJiJL1Ase2HBl8yCr4AlVg7DcX5ahm3XPr3vj0%3D%7Ctkp%3ABk9SR-K85OfVZg
</t>
      </text>
    </comment>
    <comment authorId="2513" xr:uid="{e81162ac-a700-4632-972b-c38700383c0d}" ref="J352">
      <text>
        <t xml:space="preserve">[Threaded comment]
 Your version of Excel allows you to read this threaded comment; however, any edits to it will get removed if the file is opened in a newer version of Excel. Learn more: https://go.microsoft.com/fwlink/?linkid=870924
Comment:
	https://drive.google.com/file/d/1e_qJiraw6h5qD-P9BZFRXcBzG-_6IrnL/view?usp=drive_link
</t>
      </text>
    </comment>
    <comment authorId="2514" xr:uid="{e83d45e5-1c7f-480f-b4a6-26e6ade0e75d}" ref="P407">
      <text>
        <t xml:space="preserve">[Threaded comment]
 Your version of Excel allows you to read this threaded comment; however, any edits to it will get removed if the file is opened in a newer version of Excel. Learn more: https://go.microsoft.com/fwlink/?linkid=870924
Comment:
	descontar de fila 359
Reply:
	351-190= monto actual 161
</t>
      </text>
    </comment>
    <comment authorId="2515" xr:uid="{e850ee81-069b-42da-b1b6-6efdc731ceb5}" ref="L163">
      <text>
        <t xml:space="preserve">[Threaded comment]
 Your version of Excel allows you to read this threaded comment; however, any edits to it will get removed if the file is opened in a newer version of Excel. Learn more: https://go.microsoft.com/fwlink/?linkid=870924
Comment:
	https://drive.google.com/file/d/1MINLksHn5gDvo-GMmAVAYMmurYiZkUbc/view?usp=drive_link
</t>
      </text>
    </comment>
    <comment authorId="2516" xr:uid="{e85f11f4-e35b-4895-9368-3897ba05bc56}" ref="T483">
      <text>
        <t xml:space="preserve">[Threaded comment]
 Your version of Excel allows you to read this threaded comment; however, any edits to it will get removed if the file is opened in a newer version of Excel. Learn more: https://go.microsoft.com/fwlink/?linkid=870924
Comment:
	Viene de las licencias de la fila 499
</t>
      </text>
    </comment>
    <comment authorId="2517" xr:uid="{e86a296f-43ee-481e-bf96-4c004490a9b1}" ref="W169">
      <text>
        <t xml:space="preserve">[Threaded comment]
 Your version of Excel allows you to read this threaded comment; however, any edits to it will get removed if the file is opened in a newer version of Excel. Learn more: https://go.microsoft.com/fwlink/?linkid=870924
Comment:
	https://drive.google.com/file/d/1pz6Oov854X3XYjm_NuX5kAOw5WM6pLt8/view?usp=drive_link
</t>
      </text>
    </comment>
    <comment authorId="2518" xr:uid="{e87653e4-1f57-4acb-9f78-857aa117cf1e}" ref="K699">
      <text>
        <t xml:space="preserve">[Threaded comment]
 Your version of Excel allows you to read this threaded comment; however, any edits to it will get removed if the file is opened in a newer version of Excel. Learn more: https://go.microsoft.com/fwlink/?linkid=870924
Comment:
	https://drive.google.com/file/d/13j30hdNC3tG9kTpVPFjp9VAt2t7Tv_c4/view?usp=drive_link
</t>
      </text>
    </comment>
    <comment authorId="2519" xr:uid="{e878d09d-9db2-49b5-88b4-be55116a316b}" ref="J695">
      <text>
        <t xml:space="preserve">[Threaded comment]
 Your version of Excel allows you to read this threaded comment; however, any edits to it will get removed if the file is opened in a newer version of Excel. Learn more: https://go.microsoft.com/fwlink/?linkid=870924
Comment:
	https://drive.google.com/file/d/1OHnqPnBiyqBzm2fJFDjy5rfnNYKQl3Wb/view?usp=drive_link
</t>
      </text>
    </comment>
    <comment authorId="2520" xr:uid="{e88a2157-043b-441a-874f-07681ee82794}" ref="P672">
      <text>
        <t xml:space="preserve">[Threaded comment]
 Your version of Excel allows you to read this threaded comment; however, any edits to it will get removed if the file is opened in a newer version of Excel. Learn more: https://go.microsoft.com/fwlink/?linkid=870924
Comment:
	faltante para descuento por equivocación 143 descontar fila 666
Reply:
	faltante para configuración 100 descontar fila 658
</t>
      </text>
    </comment>
    <comment authorId="2521" xr:uid="{e897d69d-1b90-453f-bc09-afcf52f60f54}" ref="J292">
      <text>
        <t xml:space="preserve">[Threaded comment]
 Your version of Excel allows you to read this threaded comment; however, any edits to it will get removed if the file is opened in a newer version of Excel. Learn more: https://go.microsoft.com/fwlink/?linkid=870924
Comment:
	https://drive.google.com/file/d/1jUwi2ikfBB0G16HuIPMcR4woryn7g4su/view?usp=drive_link
</t>
      </text>
    </comment>
    <comment authorId="2522" xr:uid="{e89ea01f-dd70-464a-81fb-0987c0df0f6f}" ref="J217">
      <text>
        <t xml:space="preserve">[Threaded comment]
 Your version of Excel allows you to read this threaded comment; however, any edits to it will get removed if the file is opened in a newer version of Excel. Learn more: https://go.microsoft.com/fwlink/?linkid=870924
Comment:
	https://drive.google.com/file/d/1ZnUS1IESBhPQHjbBqhK3odKwvjXNoRyR/view?usp=drive_link
</t>
      </text>
    </comment>
    <comment authorId="2523" xr:uid="{e8b5f659-c6fc-424c-b58b-53d7fcbea39e}" ref="J783">
      <text>
        <t xml:space="preserve">[Threaded comment]
 Your version of Excel allows you to read this threaded comment; however, any edits to it will get removed if the file is opened in a newer version of Excel. Learn more: https://go.microsoft.com/fwlink/?linkid=870924
Comment:
	https://drive.google.com/file/d/11XqN43Lr97GlZvZHD3udSEEoCxrmI9uv/view?usp=drive_link
</t>
      </text>
    </comment>
    <comment authorId="2524" xr:uid="{e8d0a87b-6960-436a-8ea0-3ca770ebf70f}" ref="J579">
      <text>
        <t xml:space="preserve">[Threaded comment]
 Your version of Excel allows you to read this threaded comment; however, any edits to it will get removed if the file is opened in a newer version of Excel. Learn more: https://go.microsoft.com/fwlink/?linkid=870924
Comment:
	https://drive.google.com/file/d/1hqW5y78JbhCeUhj1hq1tDvjEU-Iax3qQ/view?usp=drive_link
</t>
      </text>
    </comment>
    <comment authorId="2525" xr:uid="{e8d56712-c938-4670-984b-cbef8cf72773}" ref="L204">
      <text>
        <t xml:space="preserve">[Threaded comment]
 Your version of Excel allows you to read this threaded comment; however, any edits to it will get removed if the file is opened in a newer version of Excel. Learn more: https://go.microsoft.com/fwlink/?linkid=870924
Comment:
	https://drive.google.com/file/d/1aDvC3Lt9907Lm9M6xc9LI03Weeny0H2U/view?usp=drive_link
hubo devolución de dinero por error en el sheet, la laptop que iba a pagar no estaba
</t>
      </text>
    </comment>
    <comment authorId="2526" xr:uid="{e8df8b48-df6d-4783-8a14-e096c9f10868}" ref="K509">
      <text>
        <t xml:space="preserve">[Threaded comment]
 Your version of Excel allows you to read this threaded comment; however, any edits to it will get removed if the file is opened in a newer version of Excel. Learn more: https://go.microsoft.com/fwlink/?linkid=870924
Comment:
	https://drive.google.com/file/d/17ijzViOWKwV1J9v-J-uwGLXmZ2xjHCvP/view?usp=drive_link
https://drive.google.com/file/d/1CVriAViOM9WXPdmzhMc55x8mR6VF-J53/view?usp=drive_link
</t>
      </text>
    </comment>
    <comment authorId="2527" xr:uid="{e8e175ea-5ab3-4ba7-b9be-8c38f295f6f6}" ref="J585">
      <text>
        <t xml:space="preserve">[Threaded comment]
 Your version of Excel allows you to read this threaded comment; however, any edits to it will get removed if the file is opened in a newer version of Excel. Learn more: https://go.microsoft.com/fwlink/?linkid=870924
Comment:
	https://drive.google.com/file/d/1cY4THUXH9AFcBv4Odp5aM17iAyiVUfBA/view?usp=drive_link
</t>
      </text>
    </comment>
    <comment authorId="2528" xr:uid="{e8f1a5d0-12a3-48f8-bbe4-4c0b13be7a77}" ref="J468">
      <text>
        <t xml:space="preserve">[Threaded comment]
 Your version of Excel allows you to read this threaded comment; however, any edits to it will get removed if the file is opened in a newer version of Excel. Learn more: https://go.microsoft.com/fwlink/?linkid=870924
Comment:
	https://drive.google.com/file/d/1v9orWCQV7f8O0hVDRRehPeR0YK_aYxGn/view?usp=drive_link
</t>
      </text>
    </comment>
    <comment authorId="2529" xr:uid="{e9082d14-4c53-4b61-becd-51e8fb584251}" ref="AI807">
      <text>
        <t xml:space="preserve">[Threaded comment]
 Your version of Excel allows you to read this threaded comment; however, any edits to it will get removed if the file is opened in a newer version of Excel. Learn more: https://go.microsoft.com/fwlink/?linkid=870924
Comment:
	https://drive.google.com/file/d/1wvlCE_pC_F3k-U-VVfA0sEUKSxzvknl3/view?usp=drive_link
</t>
      </text>
    </comment>
    <comment authorId="2530" xr:uid="{e946b09f-d608-41d4-94b3-aed1af3e2621}" ref="AF411">
      <text>
        <t xml:space="preserve">[Threaded comment]
 Your version of Excel allows you to read this threaded comment; however, any edits to it will get removed if the file is opened in a newer version of Excel. Learn more: https://go.microsoft.com/fwlink/?linkid=870924
Comment:
	VENTA FINAL, FIXIT, EXCEDENTES
</t>
      </text>
    </comment>
    <comment authorId="2531" xr:uid="{e9686d70-8cb9-45e7-a57d-ff3d87efd47e}" ref="C149">
      <text>
        <t xml:space="preserve">[Threaded comment]
 Your version of Excel allows you to read this threaded comment; however, any edits to it will get removed if the file is opened in a newer version of Excel. Learn more: https://go.microsoft.com/fwlink/?linkid=870924
Comment:
	https://www.ebay.com/itm/336083372223?_skw=ACER+PREDATOR+NEO+16&amp;itmmeta=01K13YZNBE6Z8Y0C9Y9PS1BHV2&amp;hash=item4e402148bf:g:1ioAAeSwv4Fof5MQ&amp;itmprp=enc%3AAQAKAAAA0FkggFvd1GGDu0w3yXCmi1es2z3eG%2FnaTNXFfZfqStyDhLMSLqf4nJ01AfpxT700cfkuDyxO56Xmz50HE2zvouD5VGHPGggh%2Bhdy2LrHgK2jts0%2B2qOM7K%2BpIj%2FttqQDOqlQOCMSAIeHIlZKulVqKd0Wxpi3yGdxdcAkVOjHSgN9ka4uQY15hVGFRbiis%2FHRm%2FpDqc4dPSaB7TejPsUFcw1NAlIA3rnrkwc1x8%2BPeRCFEEbYoR00XNm0WTh7uY3uA2TI5sRNDc4IKiI5b4kTax4%3D%7Ctkp%3ABk9SR_7V_v6IZg
</t>
      </text>
    </comment>
    <comment authorId="2532" xr:uid="{e97cd7b7-8e85-4eea-886a-9366d9dccfa2}"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https://drive.google.com/file/d/17OWlU4V-xs5YUTFzVB-T2OZ4hc09BlgI/view?usp=drive_link
</t>
      </text>
    </comment>
    <comment authorId="2533" xr:uid="{e9b6f34e-877d-43c5-b3f9-fc4e9af05086}" ref="AF741">
      <text>
        <t xml:space="preserve">[Threaded comment]
 Your version of Excel allows you to read this threaded comment; however, any edits to it will get removed if the file is opened in a newer version of Excel. Learn more: https://go.microsoft.com/fwlink/?linkid=870924
Comment:
	Pago final, Fixit, excedentes
</t>
      </text>
    </comment>
    <comment authorId="2534" xr:uid="{e9d48a9e-b9d4-4c2e-960b-b096bb76e92c}" ref="L211">
      <text>
        <t xml:space="preserve">[Threaded comment]
 Your version of Excel allows you to read this threaded comment; however, any edits to it will get removed if the file is opened in a newer version of Excel. Learn more: https://go.microsoft.com/fwlink/?linkid=870924
Comment:
	https://drive.google.com/file/d/1RQSb3W3BfIVL0QR14Xl5KWtnUFO8eyso/view?usp=drive_link
</t>
      </text>
    </comment>
    <comment authorId="2535" xr:uid="{e9fe1429-5b35-4342-a9f3-0fd6c740aa03}" ref="K576">
      <text>
        <t xml:space="preserve">[Threaded comment]
 Your version of Excel allows you to read this threaded comment; however, any edits to it will get removed if the file is opened in a newer version of Excel. Learn more: https://go.microsoft.com/fwlink/?linkid=870924
Comment:
	https://drive.google.com/file/d/1DXFUMv8-Jmy72T_ZXENbkAvReLWGgxB0/view?usp=drive_link
Reply:
	https://drive.google.com/file/d/1d_wQg-Yr7w4ikLzuXU1wu95BkWxyfHDk/view?usp=drive_link
</t>
      </text>
    </comment>
    <comment authorId="2536" xr:uid="{ea24e5f5-284e-4367-bf3b-a88b288b2da5}" ref="L242">
      <text>
        <t xml:space="preserve">[Threaded comment]
 Your version of Excel allows you to read this threaded comment; however, any edits to it will get removed if the file is opened in a newer version of Excel. Learn more: https://go.microsoft.com/fwlink/?linkid=870924
Comment:
	https://drive.google.com/file/d/1a5kG632gvFgwqHevh4sCdwhI7H7HeUEV/view?usp=drive_link
Reply:
	https://drive.google.com/file/d/1lFqLs0ABayfcy1gb6zyDOZrKMmvFW8dR/view?usp=drive_link
</t>
      </text>
    </comment>
    <comment authorId="2537" xr:uid="{ea91b378-a4a8-4319-9e38-6aa516d1f00f}" ref="K497">
      <text>
        <t xml:space="preserve">[Threaded comment]
 Your version of Excel allows you to read this threaded comment; however, any edits to it will get removed if the file is opened in a newer version of Excel. Learn more: https://go.microsoft.com/fwlink/?linkid=870924
Comment:
	https://drive.google.com/file/d/1a994w8f3f85nAspZFe6U5J0uHrKkEHa1/view?usp=drive_link
</t>
      </text>
    </comment>
    <comment authorId="2538" xr:uid="{ea96bbbd-0146-45da-85fb-0136bf88c85a}" ref="W238">
      <text>
        <t xml:space="preserve">[Threaded comment]
 Your version of Excel allows you to read this threaded comment; however, any edits to it will get removed if the file is opened in a newer version of Excel. Learn more: https://go.microsoft.com/fwlink/?linkid=870924
Comment:
	https://drive.google.com/file/d/17Jg_M3mIuZihn6n_0AU36EcQSn0VM9EH/view?usp=drive_link
</t>
      </text>
    </comment>
    <comment authorId="2539" xr:uid="{ea96c689-6907-44e3-a06d-33bf34638800}" ref="J119">
      <text>
        <t xml:space="preserve">[Threaded comment]
 Your version of Excel allows you to read this threaded comment; however, any edits to it will get removed if the file is opened in a newer version of Excel. Learn more: https://go.microsoft.com/fwlink/?linkid=870924
Comment:
	https://drive.google.com/file/d/1YsaRN1v0pdOX_oxyNn5qLqI4kZR--Xll/view?usp=drive_link
</t>
      </text>
    </comment>
    <comment authorId="2540" xr:uid="{eaacb1e5-9478-481a-97bf-8b5e79d16bf5}" ref="J682">
      <text>
        <t xml:space="preserve">[Threaded comment]
 Your version of Excel allows you to read this threaded comment; however, any edits to it will get removed if the file is opened in a newer version of Excel. Learn more: https://go.microsoft.com/fwlink/?linkid=870924
Comment:
	https://drive.google.com/file/d/1EDeuJ6l2HMLEzxKW5Hus6-eJN0VMP9PH/view?usp=drive_link
</t>
      </text>
    </comment>
    <comment authorId="2541" xr:uid="{eaae9720-07bc-4909-a011-0c7da12a95c7}" ref="C680">
      <text>
        <t xml:space="preserve">[Threaded comment]
 Your version of Excel allows you to read this threaded comment; however, any edits to it will get removed if the file is opened in a newer version of Excel. Learn more: https://go.microsoft.com/fwlink/?linkid=870924
Comment:
	https://www.costco.com/p/-/hp-omen-16-slim-gaming-laptop-intel-core-ultra-9-285h-geforce-rtx-5070-16-1920-x-1200-144hz-32gb-ram-1tb-ssd-windows-11-home/4000373324?langId=-1
</t>
      </text>
    </comment>
    <comment authorId="2542" xr:uid="{eab3ef77-5643-43af-b3a1-b67725b0a8f8}" ref="J381">
      <text>
        <t xml:space="preserve">[Threaded comment]
 Your version of Excel allows you to read this threaded comment; however, any edits to it will get removed if the file is opened in a newer version of Excel. Learn more: https://go.microsoft.com/fwlink/?linkid=870924
Comment:
	https://drive.google.com/file/d/1E3SlS-siIThzN3BKDDe_xoTTb_EAULPL/view?usp=drive_link
</t>
      </text>
    </comment>
    <comment authorId="2543" xr:uid="{eabcaf2c-9f3c-4b51-b0c6-0a6945ca7f04}" ref="W235">
      <text>
        <t xml:space="preserve">[Threaded comment]
 Your version of Excel allows you to read this threaded comment; however, any edits to it will get removed if the file is opened in a newer version of Excel. Learn more: https://go.microsoft.com/fwlink/?linkid=870924
Comment:
	ES MENOR DE EDAD PIPIPI
</t>
      </text>
    </comment>
    <comment authorId="2544" xr:uid="{eabd3303-4bf9-4384-b252-31e996a67ff6}" ref="K367">
      <text>
        <t xml:space="preserve">[Threaded comment]
 Your version of Excel allows you to read this threaded comment; however, any edits to it will get removed if the file is opened in a newer version of Excel. Learn more: https://go.microsoft.com/fwlink/?linkid=870924
Comment:
	https://drive.google.com/file/d/18Ot6UmaT9G6ziEBcCAeqo4iIUPd8nOoS/view?usp=drive_link
</t>
      </text>
    </comment>
    <comment authorId="2545" xr:uid="{eadd7246-4585-486e-9077-094ddfdde17c}" ref="W209">
      <text>
        <t xml:space="preserve">[Threaded comment]
 Your version of Excel allows you to read this threaded comment; however, any edits to it will get removed if the file is opened in a newer version of Excel. Learn more: https://go.microsoft.com/fwlink/?linkid=870924
Comment:
	https://drive.google.com/file/d/1tG71MSXLjsz7Tt_DOAe66fzQMqFB5lQt/view?usp=drive_link
</t>
      </text>
    </comment>
    <comment authorId="2546" xr:uid="{eae30fa6-0be5-4a0f-8da9-1e947c5fb963}" ref="C468">
      <text>
        <t xml:space="preserve">[Threaded comment]
 Your version of Excel allows you to read this threaded comment; however, any edits to it will get removed if the file is opened in a newer version of Excel. Learn more: https://go.microsoft.com/fwlink/?linkid=870924
Comment:
	https://www.ebay.com/itm/197812697947?_skw=laptop+gaming&amp;itmmeta=01KE98AQR4YA8BVEE2HFFGVM1B&amp;hash=item2e0e8e3b5b:g:cs4AAeSw0U9pVrTT
</t>
      </text>
    </comment>
    <comment authorId="2547" xr:uid="{eae7fa16-210e-4c0c-a1cd-725f356258e4}" ref="AF346">
      <text>
        <t xml:space="preserve">[Threaded comment]
 Your version of Excel allows you to read this threaded comment; however, any edits to it will get removed if the file is opened in a newer version of Excel. Learn more: https://go.microsoft.com/fwlink/?linkid=870924
Comment:
	VENTA FINAL Y EXCEDENTES
</t>
      </text>
    </comment>
    <comment authorId="2548" xr:uid="{eb193c9b-3960-4b4a-9485-3e515959ab65}" ref="J656">
      <text>
        <t xml:space="preserve">[Threaded comment]
 Your version of Excel allows you to read this threaded comment; however, any edits to it will get removed if the file is opened in a newer version of Excel. Learn more: https://go.microsoft.com/fwlink/?linkid=870924
Comment:
	https://drive.google.com/file/d/1uiI1j-MNpLMWTfhe-IhlhW7acDYlKJGN/view?usp=drive_link
</t>
      </text>
    </comment>
    <comment authorId="2549" xr:uid="{eb1d11a4-09ca-472f-af0c-67329f82afcf}" ref="J457">
      <text>
        <t xml:space="preserve">[Threaded comment]
 Your version of Excel allows you to read this threaded comment; however, any edits to it will get removed if the file is opened in a newer version of Excel. Learn more: https://go.microsoft.com/fwlink/?linkid=870924
Comment:
	https://drive.google.com/file/d/1oUyCMlozqGw2uxIqnRmh3EiA67HuGi8Z/view?usp=drive_link
https://drive.google.com/file/d/1JqQJOpU7Kg1TGsyyqLVNH8cJce7mJelu/view?usp=drive_link
</t>
      </text>
    </comment>
    <comment authorId="2550" xr:uid="{eb392f77-f168-4b45-b3b0-94beba669e76}" ref="J50">
      <text>
        <t xml:space="preserve">[Threaded comment]
 Your version of Excel allows you to read this threaded comment; however, any edits to it will get removed if the file is opened in a newer version of Excel. Learn more: https://go.microsoft.com/fwlink/?linkid=870924
Comment:
	https://drive.google.com/file/d/1ecze7V4MkURQ655qLUrCQp2mRgj-QeAf/view?usp=drive_link
</t>
      </text>
    </comment>
    <comment authorId="2551" xr:uid="{eb4829f3-cdcc-483f-9c97-e48139cf640e}" ref="AF603">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552" xr:uid="{eb482d47-d344-4ff3-9d64-92db992ec619}" ref="J316">
      <text>
        <t xml:space="preserve">[Threaded comment]
 Your version of Excel allows you to read this threaded comment; however, any edits to it will get removed if the file is opened in a newer version of Excel. Learn more: https://go.microsoft.com/fwlink/?linkid=870924
Comment:
	https://drive.google.com/file/d/1_BNX-6xexpVfxreia2gwEQVyFKESh5lC/view?usp=drive_link
</t>
      </text>
    </comment>
    <comment authorId="2553" xr:uid="{eb59e1ac-7af3-48ca-b1b0-45a9856230bd}" ref="J364">
      <text>
        <t xml:space="preserve">[Threaded comment]
 Your version of Excel allows you to read this threaded comment; however, any edits to it will get removed if the file is opened in a newer version of Excel. Learn more: https://go.microsoft.com/fwlink/?linkid=870924
Comment:
	https://drive.google.com/file/d/1UJ6zgNuyHTz41usVwasY4FieRYdhhA-L/view?usp=drive_link
</t>
      </text>
    </comment>
    <comment authorId="2554" xr:uid="{eb6c1527-0b11-4e85-b25d-52134a6b3552}" ref="L33">
      <text>
        <t xml:space="preserve">[Threaded comment]
 Your version of Excel allows you to read this threaded comment; however, any edits to it will get removed if the file is opened in a newer version of Excel. Learn more: https://go.microsoft.com/fwlink/?linkid=870924
Comment:
	aumenté 280 soles para licencias, etc
Reply:
	https://drive.google.com/file/d/1M90Ek8xeFXjsQzu1p0Glr-O56pR8xc4w/view?usp=drive_link
https://drive.google.com/file/d/1mMBtobop3V3AGRittPWT1cEDOiZ2zCZ3/view?usp=drive_link
</t>
      </text>
    </comment>
    <comment authorId="2555" xr:uid="{eb78fce3-d783-4b5b-b944-db1bbe4c020e}" ref="L18">
      <text>
        <t xml:space="preserve">[Threaded comment]
 Your version of Excel allows you to read this threaded comment; however, any edits to it will get removed if the file is opened in a newer version of Excel. Learn more: https://go.microsoft.com/fwlink/?linkid=870924
Comment:
	https://drive.google.com/file/d/1gjVtnbtSUys223mD9EOw7r2q6LH7FmsX/view?usp=drive_link
</t>
      </text>
    </comment>
    <comment authorId="2556" xr:uid="{eb86a348-5ebb-44f6-9ece-64a9e69ab0e2}" ref="K443">
      <text>
        <t xml:space="preserve">[Threaded comment]
 Your version of Excel allows you to read this threaded comment; however, any edits to it will get removed if the file is opened in a newer version of Excel. Learn more: https://go.microsoft.com/fwlink/?linkid=870924
Comment:
	https://drive.google.com/file/d/1eO-sYKpBg11UNNG3LLVU8Qixke7MExlH/view?usp=drive_link
</t>
      </text>
    </comment>
    <comment authorId="2557" xr:uid="{eb8e5851-436f-4705-9ff4-b03d39267b2f}" ref="C321">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https://www.bhphotovideo.com/c/product/1875948-REG/lenovo_83f5001bus_16_legion_pro_7i.html/specs
</t>
      </text>
    </comment>
    <comment authorId="2558" xr:uid="{eb977d99-b482-46f5-a3a0-ae5bcc4418a9}" ref="W399">
      <text>
        <t xml:space="preserve">[Threaded comment]
 Your version of Excel allows you to read this threaded comment; however, any edits to it will get removed if the file is opened in a newer version of Excel. Learn more: https://go.microsoft.com/fwlink/?linkid=870924
Comment:
	https://drive.google.com/file/d/1T92cW_BfxTF3gEM61pNWQPTRyF3RaSj3/view?usp=drive_link
</t>
      </text>
    </comment>
    <comment authorId="2559" xr:uid="{eb9aa7b8-f217-4d43-aaa0-39ff71496df7}" ref="J389">
      <text>
        <t xml:space="preserve">[Threaded comment]
 Your version of Excel allows you to read this threaded comment; however, any edits to it will get removed if the file is opened in a newer version of Excel. Learn more: https://go.microsoft.com/fwlink/?linkid=870924
Comment:
	https://drive.google.com/file/d/1FA20o_hKf30_JcZqm7jIcHCwee3_HiMh/view?usp=drive_link
</t>
      </text>
    </comment>
    <comment authorId="2560" xr:uid="{eba355d1-3cf2-45d4-828d-8869638f6cde}" ref="C658">
      <text>
        <t xml:space="preserve">[Threaded comment]
 Your version of Excel allows you to read this threaded comment; however, any edits to it will get removed if the file is opened in a newer version of Excel. Learn more: https://go.microsoft.com/fwlink/?linkid=870924
Comment:
	https://www.ebay.com/itm/205579362586?_skw=legion+7&amp;itmmeta=01KPC484TXSYTF7T534CTH3CQT&amp;hash=item2fdd7c211a:g:~hsAAeSwfLxp4LsL&amp;itmprp=enc%3AAQALAAAA4GfYFPkwiKCW4ZNSs2u11xBX6ZIhQxuE%2BuZPKjNZtjZkLwPr%2F3ywXvQriohad6ivGjKnM6bSkSVa%2FLv4VmhXVkBcf1A%2BPgts9KLNSaznMfUlnKsq7yKcZbapD%2FUr4wUUN2GSZtpIVY3pjZ05Oel8%2B5%2FWXtoeWSCJcdc2Inp09mfRnMXwK9PNjgLeOATgMgsKZM63lgfUm6no%2BaV5I3I1rvY5bd9yDX44tnLVLwpGuXTdm%2FwQEiFHdfCSEI0qXio4CbGp%2Bm%2BGFqljMOY9AqEBywFZSDEMF4MKoVpUeVa3hvqh%7Ctkp%3ABk9SR-DNoISzZw
</t>
      </text>
    </comment>
    <comment authorId="2561" xr:uid="{eba85754-22a7-49db-bcd7-da2823d188fd}" ref="N263">
      <text>
        <t xml:space="preserve">[Threaded comment]
 Your version of Excel allows you to read this threaded comment; however, any edits to it will get removed if the file is opened in a newer version of Excel. Learn more: https://go.microsoft.com/fwlink/?linkid=870924
Comment:
	Se está considerando 1349.99 por un acuerdo
</t>
      </text>
    </comment>
    <comment authorId="2562" xr:uid="{ebb77158-013c-4a66-bcfd-43d1028685a4}" ref="C741">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2563" xr:uid="{ebd2bca2-e267-471a-ae44-bf5dd2d55186}" ref="W247">
      <text>
        <t xml:space="preserve">[Threaded comment]
 Your version of Excel allows you to read this threaded comment; however, any edits to it will get removed if the file is opened in a newer version of Excel. Learn more: https://go.microsoft.com/fwlink/?linkid=870924
Comment:
	https://drive.google.com/file/d/1KsqSHFyJImRL9rwfugHuaLekdmQY2OOh/view?usp=drive_link
</t>
      </text>
    </comment>
    <comment authorId="2564" xr:uid="{ebd576f0-5720-4740-a185-1e2d037d605b}" ref="J776">
      <text>
        <t xml:space="preserve">[Threaded comment]
 Your version of Excel allows you to read this threaded comment; however, any edits to it will get removed if the file is opened in a newer version of Excel. Learn more: https://go.microsoft.com/fwlink/?linkid=870924
Comment:
	https://drive.google.com/file/d/1cgKHzE5gaf_WpcsGBAjj_ImyJAlKwjQF/view?usp=drive_link
Reply:
	https://drive.google.com/file/d/1J9-wsmByuifuq5szwHG4iUHjauGJZwSj/view?usp=drive_link
Reply:
	https://drive.google.com/file/d/1dGnAcivWad6nN0D1X59ZzRIyBy6u3awY/view?usp=drive_link
Reply:
	https://drive.google.com/file/d/1dGnAcivWad6nN0D1X59ZzRIyBy6u3awY/view?usp=drive_link
</t>
      </text>
    </comment>
    <comment authorId="2565" xr:uid="{ebe9f269-ce85-4d50-b176-13d195b7567c}" ref="AF493">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2566" xr:uid="{ec28044b-9848-4aa3-a8a0-1ccc5419cb79}" ref="L95">
      <text>
        <t xml:space="preserve">[Threaded comment]
 Your version of Excel allows you to read this threaded comment; however, any edits to it will get removed if the file is opened in a newer version of Excel. Learn more: https://go.microsoft.com/fwlink/?linkid=870924
Comment:
	https://drive.google.com/file/d/1RdqxN-cCUaZ3j1GZuseapqaFoysrCBmK/view?usp=drive_link
</t>
      </text>
    </comment>
    <comment authorId="2567" xr:uid="{ec45d486-b262-432f-be9b-46e1b16d356c}" ref="K355">
      <text>
        <t xml:space="preserve">[Threaded comment]
 Your version of Excel allows you to read this threaded comment; however, any edits to it will get removed if the file is opened in a newer version of Excel. Learn more: https://go.microsoft.com/fwlink/?linkid=870924
Comment:
	https://drive.google.com/file/d/1qfAA2F2q4x-Ut8-40GRrJpsKFn3nCBzD/view?usp=drive_link
</t>
      </text>
    </comment>
    <comment authorId="2568" xr:uid="{ec5c9aca-1135-42b1-a887-8a2380195b2b}" ref="AF249">
      <text>
        <t xml:space="preserve">[Threaded comment]
 Your version of Excel allows you to read this threaded comment; however, any edits to it will get removed if the file is opened in a newer version of Excel. Learn more: https://go.microsoft.com/fwlink/?linkid=870924
Comment:
	Venta final, fixit, boleta
</t>
      </text>
    </comment>
    <comment authorId="2569" xr:uid="{ec6e0d1a-90d7-49ad-956a-2d4f8a352803}" ref="K649">
      <text>
        <t xml:space="preserve">[Threaded comment]
 Your version of Excel allows you to read this threaded comment; however, any edits to it will get removed if the file is opened in a newer version of Excel. Learn more: https://go.microsoft.com/fwlink/?linkid=870924
Comment:
	https://drive.google.com/file/d/1opLZD-Jdni-vQUcGe5AyA5AQVqYE4vqK/view?usp=drive_link
</t>
      </text>
    </comment>
    <comment authorId="2570" xr:uid="{ec84bd9a-67a5-4131-9ca0-bcd3a1da13fc}" ref="W154">
      <text>
        <t xml:space="preserve">[Threaded comment]
 Your version of Excel allows you to read this threaded comment; however, any edits to it will get removed if the file is opened in a newer version of Excel. Learn more: https://go.microsoft.com/fwlink/?linkid=870924
Comment:
	https://drive.google.com/file/d/11q1mbPpfk36Zqz7FJPdML5nBGZeTg872/view?usp=sharing
</t>
      </text>
    </comment>
    <comment authorId="2571" xr:uid="{ec9704ab-19a3-4c00-b9c0-a914e077f715}" ref="J321">
      <text>
        <t xml:space="preserve">[Threaded comment]
 Your version of Excel allows you to read this threaded comment; however, any edits to it will get removed if the file is opened in a newer version of Excel. Learn more: https://go.microsoft.com/fwlink/?linkid=870924
Comment:
	https://drive.google.com/file/d/17sUw0IXMT7yxkQbrSXcU3XFO57AyeJwU/view?usp=drive_link
</t>
      </text>
    </comment>
    <comment authorId="2572" xr:uid="{ecf5a5e5-a848-4542-bc05-6cb73f16460c}" ref="W237">
      <text>
        <t xml:space="preserve">[Threaded comment]
 Your version of Excel allows you to read this threaded comment; however, any edits to it will get removed if the file is opened in a newer version of Excel. Learn more: https://go.microsoft.com/fwlink/?linkid=870924
Comment:
	https://drive.google.com/file/d/1AfuoJ1HAtC-3jNlqZoaYt_6FJuUg9TUZ/view?usp=drive_link
</t>
      </text>
    </comment>
    <comment authorId="2573" xr:uid="{ecfe503b-a806-44ef-bda1-613d3ec66b48}" ref="K778">
      <text>
        <t xml:space="preserve">[Threaded comment]
 Your version of Excel allows you to read this threaded comment; however, any edits to it will get removed if the file is opened in a newer version of Excel. Learn more: https://go.microsoft.com/fwlink/?linkid=870924
Comment:
	https://drive.google.com/file/d/19MUAgc6Jb2spSzW-qIhQ5KU6t1LpH5gt/view?usp=drive_link
Reply:
	https://drive.google.com/file/d/110ppH-o-xZeyVsfZaBvbAVnE6boxbY_p/view?usp=drive_link
</t>
      </text>
    </comment>
    <comment authorId="2574" xr:uid="{ed402ec6-612e-4379-9b39-233718ff6993}" ref="J372">
      <text>
        <t xml:space="preserve">[Threaded comment]
 Your version of Excel allows you to read this threaded comment; however, any edits to it will get removed if the file is opened in a newer version of Excel. Learn more: https://go.microsoft.com/fwlink/?linkid=870924
Comment:
	https://drive.google.com/file/d/17OWlU4V-xs5YUTFzVB-T2OZ4hc09BlgI/view?usp=drive_link
</t>
      </text>
    </comment>
    <comment authorId="2575" xr:uid="{ed57cf8a-a388-4025-bcd3-ecba4145e384}" ref="K462">
      <text>
        <t xml:space="preserve">[Threaded comment]
 Your version of Excel allows you to read this threaded comment; however, any edits to it will get removed if the file is opened in a newer version of Excel. Learn more: https://go.microsoft.com/fwlink/?linkid=870924
Comment:
	https://drive.google.com/file/d/1c7gcM8Ab9_B-bDb7ly60P0VELgFfcfgR/view?usp=drive_link
</t>
      </text>
    </comment>
    <comment authorId="2576" xr:uid="{ed86c921-4c17-4861-8db7-ed304202317f}" ref="C666">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https://www.costco.com/p/-/asus-rog-strix-g18-18-gaming-laptop-intel-core-ultra-9-processor-275hx-geforce-rtx-5070ti-25k-240hz3ms-nebula-display-32gb-ram-2tb-ssd-windows-11-home/4000369199?langId=-1
</t>
      </text>
    </comment>
    <comment authorId="2577" xr:uid="{eddfb354-299e-4622-95b8-febe1c1c4cf0}" ref="L280">
      <text>
        <t xml:space="preserve">[Threaded comment]
 Your version of Excel allows you to read this threaded comment; however, any edits to it will get removed if the file is opened in a newer version of Excel. Learn more: https://go.microsoft.com/fwlink/?linkid=870924
Comment:
	https://drive.google.com/file/d/1dljhOcBOBHwPK4KupukysP_a7dBlloQd/view?usp=drive_link
</t>
      </text>
    </comment>
    <comment authorId="2578" xr:uid="{ede23ecc-b34d-4437-892f-4566c7abfb68}" ref="L108">
      <text>
        <t xml:space="preserve">[Threaded comment]
 Your version of Excel allows you to read this threaded comment; however, any edits to it will get removed if the file is opened in a newer version of Excel. Learn more: https://go.microsoft.com/fwlink/?linkid=870924
Comment:
	https://drive.google.com/file/d/1zod8Z4tkPSs_YTdTw07U0Dy9ZcpxpI9p/view?usp=drive_link
</t>
      </text>
    </comment>
    <comment authorId="2579" xr:uid="{edeacdc9-c65c-4684-a30b-c294169cf9fd}" ref="AF232">
      <text>
        <t xml:space="preserve">[Threaded comment]
 Your version of Excel allows you to read this threaded comment; however, any edits to it will get removed if the file is opened in a newer version of Excel. Learn more: https://go.microsoft.com/fwlink/?linkid=870924
Comment:
	comprobante
</t>
      </text>
    </comment>
    <comment authorId="2580" xr:uid="{ee1591e4-b650-4a4c-b65b-cf4655109604}" ref="C431">
      <text>
        <t xml:space="preserve">[Threaded comment]
 Your version of Excel allows you to read this threaded comment; however, any edits to it will get removed if the file is opened in a newer version of Excel. Learn more: https://go.microsoft.com/fwlink/?linkid=870924
Comment:
	https://us-store.msi.com/msi-Vector-16-HX-AI-A2XWIG-050US?search=5080&amp;page=3
</t>
      </text>
    </comment>
    <comment authorId="2581" xr:uid="{ee221db6-0a0c-49d7-b81f-a6380d681e52}" ref="K425">
      <text>
        <t xml:space="preserve">[Threaded comment]
 Your version of Excel allows you to read this threaded comment; however, any edits to it will get removed if the file is opened in a newer version of Excel. Learn more: https://go.microsoft.com/fwlink/?linkid=870924
Comment:
	https://drive.google.com/file/d/1q297Q3GzBqpR30yKGxMnA98cFVcOqeaS/view?usp=drive_link
Reply:
	https://drive.google.com/file/d/1L_5KEuQSzageoUxbZHFVMFI1-gm9f2Ja/view?usp=drive_link
</t>
      </text>
    </comment>
    <comment authorId="2582" xr:uid="{ee270735-6991-41ed-9763-01d2250117c7}" ref="J342">
      <text>
        <t xml:space="preserve">[Threaded comment]
 Your version of Excel allows you to read this threaded comment; however, any edits to it will get removed if the file is opened in a newer version of Excel. Learn more: https://go.microsoft.com/fwlink/?linkid=870924
Comment:
	https://drive.google.com/file/d/1rjIBRgmSGBiXwglD_-bIEnA5lYaB2IDQ/view?usp=drive_link
</t>
      </text>
    </comment>
    <comment authorId="2583" xr:uid="{ee366c04-73f3-4d43-96d6-f899c0cdee1c}" ref="C192">
      <text>
        <t xml:space="preserve">[Threaded comment]
 Your version of Excel allows you to read this threaded comment; however, any edits to it will get removed if the file is opened in a newer version of Excel. Learn more: https://go.microsoft.com/fwlink/?linkid=870924
Comment:
	https://www.ebay.com/itm/306301779985?_skw=rtx&amp;itmmeta=01K30JEZE6WBVN85RWAPVQNC1E&amp;hash=item4751024011:g:MXkAAOSwhvxoMKtE
</t>
      </text>
    </comment>
    <comment authorId="2584" xr:uid="{ee8fd0a1-1969-4ae9-863f-630ec90c872b}" ref="AF682">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585" xr:uid="{ee9f68af-2358-483a-a2ea-356dcb536bf5}" ref="K402">
      <text>
        <t xml:space="preserve">[Threaded comment]
 Your version of Excel allows you to read this threaded comment; however, any edits to it will get removed if the file is opened in a newer version of Excel. Learn more: https://go.microsoft.com/fwlink/?linkid=870924
Comment:
	100 dolares del express, la srta sofía no me dijo cuánto le cobraron https://drive.google.com/file/d/1M9mgmzfZWG9y1DN-fddl_kROWh6qLXl9/view?usp=drive_link
https://drive.google.com/file/d/1YLtbgwlJqy3jjw-VjsZjpGk0rchoBXHP/view?usp=drive_link
</t>
      </text>
    </comment>
    <comment authorId="2586" xr:uid="{eeb89429-1e90-4ed6-8749-451fc2085c94}" ref="K760">
      <text>
        <t xml:space="preserve">[Threaded comment]
 Your version of Excel allows you to read this threaded comment; however, any edits to it will get removed if the file is opened in a newer version of Excel. Learn more: https://go.microsoft.com/fwlink/?linkid=870924
Comment:
	https://drive.google.com/file/d/10QFYVTmccgbdxtXgaHE5fZam107pQQY4/view?usp=drive_link
</t>
      </text>
    </comment>
    <comment authorId="2587" xr:uid="{eec6dab9-c0c1-4404-842e-5962dd04a96c}" ref="K612">
      <text>
        <t xml:space="preserve">[Threaded comment]
 Your version of Excel allows you to read this threaded comment; however, any edits to it will get removed if the file is opened in a newer version of Excel. Learn more: https://go.microsoft.com/fwlink/?linkid=870924
Comment:
	https://drive.google.com/file/d/17oXyJdBYcYlQbofpuiB2Wiy4Px637A1_/view?usp=drive_link
</t>
      </text>
    </comment>
    <comment authorId="2588" xr:uid="{eed5aed2-d8a2-450a-a7fd-823c25a10d78}" ref="F380">
      <text>
        <t xml:space="preserve">[Threaded comment]
 Your version of Excel allows you to read this threaded comment; however, any edits to it will get removed if the file is opened in a newer version of Excel. Learn more: https://go.microsoft.com/fwlink/?linkid=870924
Comment:
	se cambió por otra laptop a pedido del cliente
</t>
      </text>
    </comment>
    <comment authorId="2589" xr:uid="{eeeda732-4c1d-4a11-8375-a5177fe1547a}" ref="C43">
      <text>
        <t xml:space="preserve">[Threaded comment]
 Your version of Excel allows you to read this threaded comment; however, any edits to it will get removed if the file is opened in a newer version of Excel. Learn more: https://go.microsoft.com/fwlink/?linkid=870924
Comment:
	https://www.ebay.com/itm/177043061277?_skw=4060&amp;itmmeta=01JTJAWCH04K3N2SAB72M2SK8B&amp;hash=item293896ba1d:g:HqEAAeSwfUdoC-BN
</t>
      </text>
    </comment>
    <comment authorId="2590" xr:uid="{ef1295a4-a11f-4833-9425-51d63d8c33a9}" ref="J686">
      <text>
        <t xml:space="preserve">[Threaded comment]
 Your version of Excel allows you to read this threaded comment; however, any edits to it will get removed if the file is opened in a newer version of Excel. Learn more: https://go.microsoft.com/fwlink/?linkid=870924
Comment:
	https://drive.google.com/file/d/1O-5HQ4qlC4tBU2BDr9fh8rvZaYTVY0Xq/view?usp=drive_link
</t>
      </text>
    </comment>
    <comment authorId="2591" xr:uid="{ef2f8134-98ae-4c44-bdaf-1ddc50b6e055}" ref="M211">
      <text>
        <t xml:space="preserve">[Threaded comment]
 Your version of Excel allows you to read this threaded comment; however, any edits to it will get removed if the file is opened in a newer version of Excel. Learn more: https://go.microsoft.com/fwlink/?linkid=870924
Comment:
	+349 de garantía que se considera con la laptop
</t>
      </text>
    </comment>
    <comment authorId="2592" xr:uid="{ef6cd88b-869d-4761-85ee-2c033969a68d}" ref="C736">
      <text>
        <t xml:space="preserve">[Threaded comment]
 Your version of Excel allows you to read this threaded comment; however, any edits to it will get removed if the file is opened in a newer version of Excel. Learn more: https://go.microsoft.com/fwlink/?linkid=870924
Comment:
	https://www.costco.com/p/-/lenovo-legion-5i-16-gaming-laptop-intel-core-ultra-9-275hx-geforce-rtx-5060-wqxga-2560x1600-windows-11-home-32gb-ram-1tb-ssd/4000380973?langId=-1
</t>
      </text>
    </comment>
    <comment authorId="2593" xr:uid="{ef6fb064-3ecf-4ec8-9306-a349cc4a3fc1}" ref="W302">
      <text>
        <t xml:space="preserve">[Threaded comment]
 Your version of Excel allows you to read this threaded comment; however, any edits to it will get removed if the file is opened in a newer version of Excel. Learn more: https://go.microsoft.com/fwlink/?linkid=870924
Comment:
	https://drive.google.com/file/d/12WFBYPIU4R2Q9P5vKDhvyjWlZ4TbvgKk/view?usp=drive_link
</t>
      </text>
    </comment>
    <comment authorId="2594" xr:uid="{ef711f1d-5fc3-413d-b230-a6ab186bde27}" ref="AF239">
      <text>
        <t xml:space="preserve">[Threaded comment]
 Your version of Excel allows you to read this threaded comment; however, any edits to it will get removed if the file is opened in a newer version of Excel. Learn more: https://go.microsoft.com/fwlink/?linkid=870924
Comment:
	fixit
</t>
      </text>
    </comment>
    <comment authorId="2595" xr:uid="{ef80c1e3-5677-4e0a-8a8d-70b596a79edf}" ref="K650">
      <text>
        <t xml:space="preserve">[Threaded comment]
 Your version of Excel allows you to read this threaded comment; however, any edits to it will get removed if the file is opened in a newer version of Excel. Learn more: https://go.microsoft.com/fwlink/?linkid=870924
Comment:
	https://drive.google.com/file/d/1L8LxLy-FQn6HKfLgoxalvkLyvkHyqr9k/view?usp=drive_link
</t>
      </text>
    </comment>
    <comment authorId="2596" xr:uid="{ef96dcbc-c45b-435a-a72a-00fcfcef0549}" ref="Q793">
      <text>
        <t xml:space="preserve">[Threaded comment]
 Your version of Excel allows you to read this threaded comment; however, any edits to it will get removed if the file is opened in a newer version of Excel. Learn more: https://go.microsoft.com/fwlink/?linkid=870924
Comment:
	suite autodesk+ configuracion inicial
</t>
      </text>
    </comment>
    <comment authorId="2597" xr:uid="{ef9b5793-9d4c-4644-94b3-f8b15cec786c}" ref="K728">
      <text>
        <t xml:space="preserve">[Threaded comment]
 Your version of Excel allows you to read this threaded comment; however, any edits to it will get removed if the file is opened in a newer version of Excel. Learn more: https://go.microsoft.com/fwlink/?linkid=870924
Comment:
	https://drive.google.com/file/d/1EY6D4TncXZIKS2G_JW0gqBg5HzpmTJOP/view?usp=drive_link
</t>
      </text>
    </comment>
    <comment authorId="2598" xr:uid="{efe60c92-c573-49f8-a073-78c018065b4d}" ref="C520">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2599" xr:uid="{efeb751b-cff1-42f7-8e2c-b2e5fb2ac9a8}" ref="AI725">
      <text>
        <t xml:space="preserve">[Threaded comment]
 Your version of Excel allows you to read this threaded comment; however, any edits to it will get removed if the file is opened in a newer version of Excel. Learn more: https://go.microsoft.com/fwlink/?linkid=870924
Comment:
	https://drive.google.com/file/d/1Vau0KFEyFlsQrLeYzmA4KgPZABkLt-x9/view?usp=drive_link
</t>
      </text>
    </comment>
    <comment authorId="2600" xr:uid="{eff211b9-e1c0-46af-802c-eb7e33f0b371}" ref="J641">
      <text>
        <t xml:space="preserve">[Threaded comment]
 Your version of Excel allows you to read this threaded comment; however, any edits to it will get removed if the file is opened in a newer version of Excel. Learn more: https://go.microsoft.com/fwlink/?linkid=870924
Comment:
	https://drive.google.com/file/d/1zvuwDja7_rKuAAXP1m0sVoaaj9FfAT2I/view?usp=drive_link
</t>
      </text>
    </comment>
    <comment authorId="2601" xr:uid="{f01a6f52-49b9-4e5e-8e29-ce5b10675c8b}" ref="J655">
      <text>
        <t xml:space="preserve">[Threaded comment]
 Your version of Excel allows you to read this threaded comment; however, any edits to it will get removed if the file is opened in a newer version of Excel. Learn more: https://go.microsoft.com/fwlink/?linkid=870924
Comment:
	https://drive.google.com/file/d/1uiI1j-MNpLMWTfhe-IhlhW7acDYlKJGN/view?usp=drive_link
</t>
      </text>
    </comment>
    <comment authorId="2602" xr:uid="{f040db72-c663-4df4-9f7d-805f365a3dea}" ref="J293">
      <text>
        <t xml:space="preserve">[Threaded comment]
 Your version of Excel allows you to read this threaded comment; however, any edits to it will get removed if the file is opened in a newer version of Excel. Learn more: https://go.microsoft.com/fwlink/?linkid=870924
Comment:
	https://drive.google.com/file/d/12dNUo7nXs8eRF5TJ9XYy4fqJtXpYt7Ne/view?usp=drive_link
</t>
      </text>
    </comment>
    <comment authorId="2603" xr:uid="{f0432392-c1ec-4f56-ae58-d4463e819032}" ref="J610">
      <text>
        <t xml:space="preserve">[Threaded comment]
 Your version of Excel allows you to read this threaded comment; however, any edits to it will get removed if the file is opened in a newer version of Excel. Learn more: https://go.microsoft.com/fwlink/?linkid=870924
Comment:
	https://drive.google.com/file/d/1yhxcBlahj28nP-9NMwmw8TvQt1D3p0_k/view?usp=drive_link
</t>
      </text>
    </comment>
    <comment authorId="2604" xr:uid="{f08e65cc-7116-4205-89f9-0ace0277eb78}" ref="A1">
      <text>
        <t xml:space="preserve">[Threaded comment]
 Your version of Excel allows you to read this threaded comment; however, any edits to it will get removed if the file is opened in a newer version of Excel. Learn more: https://go.microsoft.com/fwlink/?linkid=870924
Comment:
	https://www.excaliberpc.com/818370/factory-refurbished-acer-predator.html
</t>
      </text>
    </comment>
    <comment authorId="2605" xr:uid="{f0aa5de5-487f-486c-903a-1b6d970a6293}" ref="J533">
      <text>
        <t xml:space="preserve">[Threaded comment]
 Your version of Excel allows you to read this threaded comment; however, any edits to it will get removed if the file is opened in a newer version of Excel. Learn more: https://go.microsoft.com/fwlink/?linkid=870924
Comment:
	https://drive.google.com/file/d/1rac2HK0Yi-wSyEwLE8BcDlzMB46i_L5C/view?usp=drive_link
</t>
      </text>
    </comment>
    <comment authorId="2606" xr:uid="{f0aed436-dfb8-4f59-b41a-cc95e2c82075}" ref="L138">
      <text>
        <t xml:space="preserve">[Threaded comment]
 Your version of Excel allows you to read this threaded comment; however, any edits to it will get removed if the file is opened in a newer version of Excel. Learn more: https://go.microsoft.com/fwlink/?linkid=870924
Comment:
	https://drive.google.com/file/d/1VhabxoPgAB6srrS0kpKSdoFShfQYhRuH/view?usp=drive_link
</t>
      </text>
    </comment>
    <comment authorId="2607" xr:uid="{f0af015c-ed23-44cb-9e72-7c7e36415c39}" ref="U599">
      <text>
        <t xml:space="preserve">[Threaded comment]
 Your version of Excel allows you to read this threaded comment; however, any edits to it will get removed if the file is opened in a newer version of Excel. Learn more: https://go.microsoft.com/fwlink/?linkid=870924
Comment:
	soporte laptop
</t>
      </text>
    </comment>
    <comment authorId="2608" xr:uid="{f0dc3de8-5443-49e1-981c-30f9839f7dd3}" ref="W190">
      <text>
        <t xml:space="preserve">[Threaded comment]
 Your version of Excel allows you to read this threaded comment; however, any edits to it will get removed if the file is opened in a newer version of Excel. Learn more: https://go.microsoft.com/fwlink/?linkid=870924
Comment:
	https://drive.google.com/file/d/1W6b3FfxeTsnqLEgFBN7onXfc25COdT5N/view?usp=drive_link
</t>
      </text>
    </comment>
    <comment authorId="2609" xr:uid="{f0e9edcd-92d1-4fb8-a5f0-010f358b73c7}" ref="J807">
      <text>
        <t xml:space="preserve">[Threaded comment]
 Your version of Excel allows you to read this threaded comment; however, any edits to it will get removed if the file is opened in a newer version of Excel. Learn more: https://go.microsoft.com/fwlink/?linkid=870924
Comment:
	https://drive.google.com/file/d/1uYBJ9hgLNpEkKeieLGxpXsT1jSQg5MHv/view?usp=drive_link
</t>
      </text>
    </comment>
    <comment authorId="2610" xr:uid="{f1142398-328d-496d-b471-d4fb3c1ad028}" ref="C721">
      <text>
        <t xml:space="preserve">[Threaded comment]
 Your version of Excel allows you to read this threaded comment; however, any edits to it will get removed if the file is opened in a newer version of Excel. Learn more: https://go.microsoft.com/fwlink/?linkid=870924
Comment:
	https://www.amazon.com/ASUS-ROG-Strix-Gaming-Laptop/dp/B0DZZWMB2L/
</t>
      </text>
    </comment>
    <comment authorId="2611" xr:uid="{f119da51-7207-48b2-bcf3-2b8af26c5d08}" ref="K731">
      <text>
        <t xml:space="preserve">[Threaded comment]
 Your version of Excel allows you to read this threaded comment; however, any edits to it will get removed if the file is opened in a newer version of Excel. Learn more: https://go.microsoft.com/fwlink/?linkid=870924
Comment:
	https://drive.google.com/file/d/1KKvbcjlkMlyswLuPT5eT_17W5mtnmLMD/view?usp=drive_link
Reply:
	https://drive.google.com/file/d/1BRL2obbEPfcGrvOD51QN4O95Yinhhvq9/view?usp=drive_link
</t>
      </text>
    </comment>
    <comment authorId="2612" xr:uid="{f13835a5-4c66-45bd-b706-cc51d7099608}" ref="J791">
      <text>
        <t xml:space="preserve">[Threaded comment]
 Your version of Excel allows you to read this threaded comment; however, any edits to it will get removed if the file is opened in a newer version of Excel. Learn more: https://go.microsoft.com/fwlink/?linkid=870924
Comment:
	https://drive.google.com/file/d/1CBKJM-nirsXGy9N34D9C3XucwkXg-n4U/view?usp=drive_link
Reply:
	https://drive.google.com/file/d/1Z7wh6XF88lQjsnc2uyaF3EjQS_cxWnLq/view?usp=drive_link
</t>
      </text>
    </comment>
    <comment authorId="2613" xr:uid="{f13c3243-f1c5-4a48-8390-1e0ec6658293}" ref="J346">
      <text>
        <t xml:space="preserve">[Threaded comment]
 Your version of Excel allows you to read this threaded comment; however, any edits to it will get removed if the file is opened in a newer version of Excel. Learn more: https://go.microsoft.com/fwlink/?linkid=870924
Comment:
	https://drive.google.com/file/d/1kUgRn9XKVUGR-zLMUou6fzb7-Zb0gZ8o/view?usp=drive_link
</t>
      </text>
    </comment>
    <comment authorId="2614" xr:uid="{f143bea8-c3ad-4a10-8844-2aa81b2cdb66}" ref="J93">
      <text>
        <t xml:space="preserve">[Threaded comment]
 Your version of Excel allows you to read this threaded comment; however, any edits to it will get removed if the file is opened in a newer version of Excel. Learn more: https://go.microsoft.com/fwlink/?linkid=870924
Comment:
	https://drive.google.com/file/d/1BTA6GOQNPDdT5rSfSLXNBl5EkxZ3oh7M/view?usp=drive_link
</t>
      </text>
    </comment>
    <comment authorId="2615" xr:uid="{f14f3c11-91b4-44b8-9075-07a75633334b}" ref="C186">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https://www.bestbuy.com/product/asus-rog-zephyrus-g14-14-oled-3k-120hz-gaming-laptop-amd-ryzen-9-270-16gb-lpddr5x-geforce-rtx-5060-1tb-ssd-platinum-white/JJGGLH72GT
</t>
      </text>
    </comment>
    <comment authorId="2616" xr:uid="{f1594ab3-5d51-44aa-80a8-711343d393fa}" ref="L130">
      <text>
        <t xml:space="preserve">[Threaded comment]
 Your version of Excel allows you to read this threaded comment; however, any edits to it will get removed if the file is opened in a newer version of Excel. Learn more: https://go.microsoft.com/fwlink/?linkid=870924
Comment:
	https://drive.google.com/file/d/1YoXWUbaqCtiB5rh2_8TMq56_Nc4iTksn/view?usp=drive_link
Reply:
	https://drive.google.com/file/d/1d12j6rp7A87-zbiOtHIE1TUj2_DtlhS8/view?usp=drive_link
</t>
      </text>
    </comment>
    <comment authorId="2617" xr:uid="{f19d80a8-5a5c-4928-bc5b-82ef47f105cb}" ref="C71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2618" xr:uid="{f1a0aa7d-1e85-4a6f-9260-0565f8c87024}" ref="W334">
      <text>
        <t xml:space="preserve">[Threaded comment]
 Your version of Excel allows you to read this threaded comment; however, any edits to it will get removed if the file is opened in a newer version of Excel. Learn more: https://go.microsoft.com/fwlink/?linkid=870924
Comment:
	https://drive.google.com/file/d/1LGFJwfsWdkuIII0qAi_603esJyAFrNd3/view?usp=drive_link
</t>
      </text>
    </comment>
    <comment authorId="2619" xr:uid="{f1b0bc48-1e6d-4b19-8906-94e9dc6a6e88}" ref="AF595">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620" xr:uid="{f21d2b7f-12e8-4c44-9c16-08f0888ae9c7}" ref="J702">
      <text>
        <t xml:space="preserve">[Threaded comment]
 Your version of Excel allows you to read this threaded comment; however, any edits to it will get removed if the file is opened in a newer version of Excel. Learn more: https://go.microsoft.com/fwlink/?linkid=870924
Comment:
	https://drive.google.com/file/d/1s-sA6TEMU_xQlF4QA4eu5M9segzDbDzN/view?usp=drive_link
</t>
      </text>
    </comment>
    <comment authorId="2621" xr:uid="{f224d739-8563-4144-89be-9885c3a5190f}" ref="AF414">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622" xr:uid="{f263b31c-42dd-4666-8ffe-2c80c0b8136f}" ref="AF178">
      <text>
        <t xml:space="preserve">[Threaded comment]
 Your version of Excel allows you to read this threaded comment; however, any edits to it will get removed if the file is opened in a newer version of Excel. Learn more: https://go.microsoft.com/fwlink/?linkid=870924
Comment:
	FINAL: verfica venta final y fixit
</t>
      </text>
    </comment>
    <comment authorId="2623" xr:uid="{f273f515-fe37-4755-8c18-3dfc2eaf8404}" ref="J307">
      <text>
        <t xml:space="preserve">[Threaded comment]
 Your version of Excel allows you to read this threaded comment; however, any edits to it will get removed if the file is opened in a newer version of Excel. Learn more: https://go.microsoft.com/fwlink/?linkid=870924
Comment:
	https://drive.google.com/file/d/1xFb8CFdM4zFP1KyOKJh0rgCqh-HzoKp6/view?usp=drive_link
</t>
      </text>
    </comment>
    <comment authorId="2624" xr:uid="{f27cde05-1023-4bee-aedb-68c423405c4d}" ref="T694">
      <text>
        <t xml:space="preserve">[Threaded comment]
 Your version of Excel allows you to read this threaded comment; however, any edits to it will get removed if the file is opened in a newer version of Excel. Learn more: https://go.microsoft.com/fwlink/?linkid=870924
Comment:
	mouse
</t>
      </text>
    </comment>
    <comment authorId="2625" xr:uid="{f2909e8f-09a9-448c-a043-9f40c8cb4cd8}" ref="Q694">
      <text>
        <t xml:space="preserve">[Threaded comment]
 Your version of Excel allows you to read this threaded comment; however, any edits to it will get removed if the file is opened in a newer version of Excel. Learn more: https://go.microsoft.com/fwlink/?linkid=870924
Comment:
	pago por la lincencia y mouse extra 85 soles
</t>
      </text>
    </comment>
    <comment authorId="2626" xr:uid="{f2b55a92-0080-4ed2-8003-730af27660f5}" ref="J314">
      <text>
        <t xml:space="preserve">[Threaded comment]
 Your version of Excel allows you to read this threaded comment; however, any edits to it will get removed if the file is opened in a newer version of Excel. Learn more: https://go.microsoft.com/fwlink/?linkid=870924
Comment:
	https://drive.google.com/file/d/1jOny2iY_2geeBRlVPyTlJlPW-i5opE18/view?usp=drive_link
Reply:
	https://drive.google.com/file/d/1rulo0zb9U5egEC4IBgzX-MAV0Pe1p2av/view?usp=drive_link
</t>
      </text>
    </comment>
    <comment authorId="2627" xr:uid="{f2cb42d4-deef-42db-b23b-a7e68ad6a918}" ref="M545">
      <text>
        <t xml:space="preserve">[Threaded comment]
 Your version of Excel allows you to read this threaded comment; however, any edits to it will get removed if the file is opened in a newer version of Excel. Learn more: https://go.microsoft.com/fwlink/?linkid=870924
Comment:
	@katiuskarodriempresa@gmail.com
Falta agregar el costo de envío ($21.55), usar la calculadora para obtener el nuevo precio de la laptop
Asignada a katiuskarodriempresa@gmail.com
</t>
      </text>
    </comment>
    <comment authorId="2628" xr:uid="{f2d23a05-1c10-4714-b214-19f1061b2e94}" ref="AI724">
      <text>
        <t xml:space="preserve">[Threaded comment]
 Your version of Excel allows you to read this threaded comment; however, any edits to it will get removed if the file is opened in a newer version of Excel. Learn more: https://go.microsoft.com/fwlink/?linkid=870924
Comment:
	https://drive.google.com/file/d/1TMawmtqqjv87x-pSga3yo6IEQikxvuwQ/view?usp=drive_link
</t>
      </text>
    </comment>
    <comment authorId="2629" xr:uid="{f2d3b2e5-158f-49d3-addc-10d4ef55db77}" ref="C713">
      <text>
        <t xml:space="preserve">[Threaded comment]
 Your version of Excel allows you to read this threaded comment; however, any edits to it will get removed if the file is opened in a newer version of Excel. Learn more: https://go.microsoft.com/fwlink/?linkid=870924
Comment:
	https://www.bhphotovideo.com/c/product/1875946-REG/lenovo_83f00008us_15_1_legion_5i_gaming.html
</t>
      </text>
    </comment>
    <comment authorId="2630" xr:uid="{f2e2c31d-4233-4a03-9018-eb005e5b78ba}" ref="L272">
      <text>
        <t xml:space="preserve">[Threaded comment]
 Your version of Excel allows you to read this threaded comment; however, any edits to it will get removed if the file is opened in a newer version of Excel. Learn more: https://go.microsoft.com/fwlink/?linkid=870924
Comment:
	el pago restante me lo descontaron de mi salario
</t>
      </text>
    </comment>
    <comment authorId="2631" xr:uid="{f31f3c55-e11d-43a7-9ea0-304241aa4364}" ref="J273">
      <text>
        <t xml:space="preserve">[Threaded comment]
 Your version of Excel allows you to read this threaded comment; however, any edits to it will get removed if the file is opened in a newer version of Excel. Learn more: https://go.microsoft.com/fwlink/?linkid=870924
Comment:
	https://drive.google.com/file/d/1DNN2CK1qRO9DoiFdwsqbng_RbXP29NCo/view?usp=drive_link
</t>
      </text>
    </comment>
    <comment authorId="2632" xr:uid="{f32c5b85-a2d3-41a1-b3e0-ffe6039c8638}" ref="C53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633" xr:uid="{f344a0a6-4e87-4193-99ac-2a8459808843}" ref="J240">
      <text>
        <t xml:space="preserve">[Threaded comment]
 Your version of Excel allows you to read this threaded comment; however, any edits to it will get removed if the file is opened in a newer version of Excel. Learn more: https://go.microsoft.com/fwlink/?linkid=870924
Comment:
	https://drive.google.com/file/d/1-TiSPcaPCbeQFSTVXdiwo5b3ZY9juSp3/view?usp=drive_link
</t>
      </text>
    </comment>
    <comment authorId="2634" xr:uid="{f35ea625-18d6-404c-9306-866718ec13ae}" ref="Q478">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2635" xr:uid="{f36736dc-803a-429a-8d7e-aaf531c7a70d}" ref="AF509">
      <text>
        <t xml:space="preserve">[Threaded comment]
 Your version of Excel allows you to read this threaded comment; however, any edits to it will get removed if the file is opened in a newer version of Excel. Learn more: https://go.microsoft.com/fwlink/?linkid=870924
Comment:
	Fixit, excedentes
</t>
      </text>
    </comment>
    <comment authorId="2636" xr:uid="{f379e0eb-ac64-4913-a40f-7a8ef0a9a2c2}" ref="L144">
      <text>
        <t xml:space="preserve">[Threaded comment]
 Your version of Excel allows you to read this threaded comment; however, any edits to it will get removed if the file is opened in a newer version of Excel. Learn more: https://go.microsoft.com/fwlink/?linkid=870924
Comment:
	https://drive.google.com/file/d/1IFDVikgw26U44i_qokQmPXClXIUNISYe/view?usp=drive_link
Reply:
	https://drive.google.com/file/d/1ejIswSzndVxd8qCTC72MAbP0g9bJg_Fs/view?usp=drive_link
Reply:
	https://drive.google.com/file/d/1TMleusvJSYbN4FICb6kDYcr2E-z6InXw/view?usp=drive_link
</t>
      </text>
    </comment>
    <comment authorId="2637" xr:uid="{f39c4d7b-9e90-4147-94f1-c6a93c5b4fb1}" ref="C66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638" xr:uid="{f39c6e7b-6933-40fe-b354-7fcf11b7a358}" ref="J714">
      <text>
        <t xml:space="preserve">[Threaded comment]
 Your version of Excel allows you to read this threaded comment; however, any edits to it will get removed if the file is opened in a newer version of Excel. Learn more: https://go.microsoft.com/fwlink/?linkid=870924
Comment:
	https://drive.google.com/file/d/19LnDZWXX0_DvOEiEHOxNM0TBZgM-3gea/view?usp=drive_link
Reply:
	https://drive.google.com/file/d/1TStQhBzT0V3AqBTF9fLsrpM3FmHQhc1g/view?usp=drive_link
</t>
      </text>
    </comment>
    <comment authorId="2639" xr:uid="{f39ce49f-5a28-4209-b8a6-9eb5fc3b7911}" ref="U775">
      <text>
        <t xml:space="preserve">[Threaded comment]
 Your version of Excel allows you to read this threaded comment; however, any edits to it will get removed if the file is opened in a newer version of Excel. Learn more: https://go.microsoft.com/fwlink/?linkid=870924
Comment:
	SOPORTE
</t>
      </text>
    </comment>
    <comment authorId="2640" xr:uid="{f3ab82e6-353b-43e3-b6e4-11a4d06143a5}" ref="J523">
      <text>
        <t xml:space="preserve">[Threaded comment]
 Your version of Excel allows you to read this threaded comment; however, any edits to it will get removed if the file is opened in a newer version of Excel. Learn more: https://go.microsoft.com/fwlink/?linkid=870924
Comment:
	https://drive.google.com/file/d/1C9CjZIulVyaElqAbAex6kPBzsfnPOCMG/view?usp=drive_link
</t>
      </text>
    </comment>
    <comment authorId="2641" xr:uid="{f3d4cdff-8481-4481-ad9f-75f856040168}" ref="W410">
      <text>
        <t xml:space="preserve">[Threaded comment]
 Your version of Excel allows you to read this threaded comment; however, any edits to it will get removed if the file is opened in a newer version of Excel. Learn more: https://go.microsoft.com/fwlink/?linkid=870924
Comment:
	https://drive.google.com/file/d/1yuLZVULgVhgY9Q1FP4N8L50S5XgzcLXT/view?usp=drive_link
</t>
      </text>
    </comment>
    <comment authorId="2642" xr:uid="{f3eb83e6-df35-431c-b062-88f0115d982c}" ref="R689">
      <text>
        <t xml:space="preserve">[Threaded comment]
 Your version of Excel allows you to read this threaded comment; however, any edits to it will get removed if the file is opened in a newer version of Excel. Learn more: https://go.microsoft.com/fwlink/?linkid=870924
Comment:
	https://drive.google.com/file/d/1Q9it4IVyar53znszV1aAaixb39uCDMdl/view?usp=drive_link
</t>
      </text>
    </comment>
    <comment authorId="2643" xr:uid="{f3f5c637-82aa-445a-a801-64305e68406b}" ref="AI741">
      <text>
        <t xml:space="preserve">[Threaded comment]
 Your version of Excel allows you to read this threaded comment; however, any edits to it will get removed if the file is opened in a newer version of Excel. Learn more: https://go.microsoft.com/fwlink/?linkid=870924
Comment:
	https://drive.google.com/file/d/1I-gB40noNTAwQhAUNTyGhg1OYuoIjszx/view?usp=drive_link
</t>
      </text>
    </comment>
    <comment authorId="2644" xr:uid="{f4021574-33da-43e5-abd4-03f8f6395759}" ref="J538">
      <text>
        <t xml:space="preserve">[Threaded comment]
 Your version of Excel allows you to read this threaded comment; however, any edits to it will get removed if the file is opened in a newer version of Excel. Learn more: https://go.microsoft.com/fwlink/?linkid=870924
Comment:
	https://drive.google.com/file/d/1_felTh4tp9Ek8xjP1DGP0dE_bjdEKuyH/view?usp=drive_link
https://drive.google.com/file/d/1CV7BmbHDUWrqz4pb84gOUYnGCPxQftb-/view?usp=drive_link
</t>
      </text>
    </comment>
    <comment authorId="2645" xr:uid="{f40fcf21-5944-4c3b-af69-02bedbd57503}" ref="K428">
      <text>
        <t xml:space="preserve">[Threaded comment]
 Your version of Excel allows you to read this threaded comment; however, any edits to it will get removed if the file is opened in a newer version of Excel. Learn more: https://go.microsoft.com/fwlink/?linkid=870924
Comment:
	https://drive.google.com/file/d/1usm-rc_5cdo6SQZVMnjVHJ817UK79yKO/view?usp=drive_link
</t>
      </text>
    </comment>
    <comment authorId="2646" xr:uid="{f41d7253-5f00-4ea9-b7b5-53f71ada8738}" ref="C512">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https://www.microcenter.com/product/691211/asus-rog-strix-g16-g615lp-ms96-16-gaming-laptop-computer-platinum-collection-eclipse-gray
</t>
      </text>
    </comment>
    <comment authorId="2647" xr:uid="{f421d8c2-4729-4ac7-99ec-e042c6cee4b9}" ref="O131">
      <text>
        <t xml:space="preserve">[Threaded comment]
 Your version of Excel allows you to read this threaded comment; however, any edits to it will get removed if the file is opened in a newer version of Excel. Learn more: https://go.microsoft.com/fwlink/?linkid=870924
Comment:
	813 se queda en PORLLES 
124 para FIXIT
</t>
      </text>
    </comment>
    <comment authorId="2648" xr:uid="{f43951c6-9394-461c-8b34-ac92a55f1922}" ref="C101">
      <text>
        <t xml:space="preserve">[Threaded comment]
 Your version of Excel allows you to read this threaded comment; however, any edits to it will get removed if the file is opened in a newer version of Excel. Learn more: https://go.microsoft.com/fwlink/?linkid=870924
Comment:
	https://www.bestbuy.com/site/asus-rog-strix-g18-18-2-5k-240hz-gaming-laptop-intel-core-ultra-9-hx-32gb-ram-nvidia-geforce-rtx-5080-2tb-ssd-eclipse-grey/6613958.p?loc=Hatch&amp;ref=198&amp;cmp=RMX&amp;refdomain=asus.com&amp;acampID=0
</t>
      </text>
    </comment>
    <comment authorId="2649" xr:uid="{f454f6d2-2d4a-4c9d-bd9c-c7a1881e96f9}" ref="J396">
      <text>
        <t xml:space="preserve">[Threaded comment]
 Your version of Excel allows you to read this threaded comment; however, any edits to it will get removed if the file is opened in a newer version of Excel. Learn more: https://go.microsoft.com/fwlink/?linkid=870924
Comment:
	https://drive.google.com/file/d/1kvh_u_kQqWAEknZrM5rF9QZ0FeOQ3Ysi/view?usp=drive_link
Reply:
	https://drive.google.com/file/d/1c94TOtIt37aDmvVRjHAet4qhVGvUSBpu/view?usp=drive_link
Reply:
	https://drive.google.com/file/d/1SDenXHFLKpOs-a6BOVfjQKoVSUbzdZEX/view?usp=drive_link
</t>
      </text>
    </comment>
    <comment authorId="2650" xr:uid="{f4851687-75a9-420c-afbe-02135283b0f8}" ref="C305">
      <text>
        <t xml:space="preserve">[Threaded comment]
 Your version of Excel allows you to read this threaded comment; however, any edits to it will get removed if the file is opened in a newer version of Excel. Learn more: https://go.microsoft.com/fwlink/?linkid=870924
Comment:
	https://www.ebay.com/itm/127210724599?_skw=legion+5&amp;itmmeta=01K9ZKDE1EQ0BG54BDCT51XREC&amp;hash=item1d9e599cf7:g:RrQAAeSwnqBo7U7h
</t>
      </text>
    </comment>
    <comment authorId="2651" xr:uid="{f4853a7b-01a7-4b6f-804e-eaef29be9a97}" ref="C484">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https://www.bestbuy.com/product/asus-rog-strix-g18-18-fhd-144hz-gaming-laptop-amd-ryzen-9-8940hx-16gb-memory-nvidia-geforce-rtx-5050-1tb-ssd-eclipse-gray/JJGGLH8W4G
</t>
      </text>
    </comment>
    <comment authorId="2652" xr:uid="{f4a109a1-2b63-471e-a39e-9aaaec2b0192}" ref="W418">
      <text>
        <t xml:space="preserve">[Threaded comment]
 Your version of Excel allows you to read this threaded comment; however, any edits to it will get removed if the file is opened in a newer version of Excel. Learn more: https://go.microsoft.com/fwlink/?linkid=870924
Comment:
	https://drive.google.com/file/d/1FS56qqaySD5C7UT0nBmxXgpcEfy_rwPC/view?usp=drive_link
</t>
      </text>
    </comment>
    <comment authorId="2653" xr:uid="{f4cb187a-ea87-4bd1-a3ff-42d9b66c58d1}" ref="J534">
      <text>
        <t xml:space="preserve">[Threaded comment]
 Your version of Excel allows you to read this threaded comment; however, any edits to it will get removed if the file is opened in a newer version of Excel. Learn more: https://go.microsoft.com/fwlink/?linkid=870924
Comment:
	https://drive.google.com/file/d/1frLXAsXLh2PurAaE_i5L2a8SenzRTEjz/view?usp=drive_link
</t>
      </text>
    </comment>
    <comment authorId="2654" xr:uid="{f4d25d4d-1ead-4e0e-8099-19006f978c64}" ref="C284">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https://www.microcenter.com/product/691610/lenovo-legion-pro-7-16iax10h-oled-16-gaming-laptop-computer-eclipse-black?storeid=171
</t>
      </text>
    </comment>
    <comment authorId="2655" xr:uid="{f4e04bd2-a8d9-47c8-bee9-18e2be44e007}" ref="K454">
      <text>
        <t xml:space="preserve">[Threaded comment]
 Your version of Excel allows you to read this threaded comment; however, any edits to it will get removed if the file is opened in a newer version of Excel. Learn more: https://go.microsoft.com/fwlink/?linkid=870924
Comment:
	https://drive.google.com/file/d/1Ted_zyzlCjb6dgyJdKUiBZf243SXZqxO/view?usp=drive_link
Reply:
	https://drive.google.com/file/d/1wB3iCzLYQ8L98Vym-oCjDdCGZHKf3QqJ/view?usp=drive_link
</t>
      </text>
    </comment>
    <comment authorId="2656" xr:uid="{f5018dae-f0cd-4f3d-a86a-8156095d56e1}" ref="J727">
      <text>
        <t xml:space="preserve">[Threaded comment]
 Your version of Excel allows you to read this threaded comment; however, any edits to it will get removed if the file is opened in a newer version of Excel. Learn more: https://go.microsoft.com/fwlink/?linkid=870924
Comment:
	https://drive.google.com/file/d/12oellZS3XcqKHjQE35CJ9EH8iBZCC1OY/view?usp=drive_link
</t>
      </text>
    </comment>
    <comment authorId="2657" xr:uid="{f5187391-fdf0-4fd2-bd59-31b60b99db9d}" ref="J672">
      <text>
        <t xml:space="preserve">[Threaded comment]
 Your version of Excel allows you to read this threaded comment; however, any edits to it will get removed if the file is opened in a newer version of Excel. Learn more: https://go.microsoft.com/fwlink/?linkid=870924
Comment:
	https://drive.google.com/file/d/12f-xC0q7v7HgQPGbuIOgseyeH_fQh34C/view?usp=drive_link
</t>
      </text>
    </comment>
    <comment authorId="2658" xr:uid="{f518c7a1-feff-414b-9b2f-91c7a1f25f46}" ref="K653">
      <text>
        <t xml:space="preserve">[Threaded comment]
 Your version of Excel allows you to read this threaded comment; however, any edits to it will get removed if the file is opened in a newer version of Excel. Learn more: https://go.microsoft.com/fwlink/?linkid=870924
Comment:
	https://drive.google.com/file/d/1T8vwY9LcmnJ3lTsWkdu4Bkd13hjh-vx9/view?usp=drive_link
</t>
      </text>
    </comment>
    <comment authorId="2659" xr:uid="{f51a0114-983f-4557-8bf8-fa775ca7d7f9}" ref="C106">
      <text>
        <t xml:space="preserve">[Threaded comment]
 Your version of Excel allows you to read this threaded comment; however, any edits to it will get removed if the file is opened in a newer version of Excel. Learn more: https://go.microsoft.com/fwlink/?linkid=870924
Comment:
	https://www.dell.com/en-us/shop/dell-laptops/alienware-18-area-51-gaming-laptop/spd/alienware-area-51-aa18250-gaming-laptop/useaa18250hbtshpxs
</t>
      </text>
    </comment>
    <comment authorId="2660" xr:uid="{f544594f-fe00-44d4-aa39-c3d796d75bde}" ref="K332">
      <text>
        <t xml:space="preserve">[Threaded comment]
 Your version of Excel allows you to read this threaded comment; however, any edits to it will get removed if the file is opened in a newer version of Excel. Learn more: https://go.microsoft.com/fwlink/?linkid=870924
Comment:
	https://drive.google.com/file/d/1J8zhnFQdjDc3qr1EZh-XQAy3y4Q_Hm4H/view?usp=drive_link
Reply:
	https://drive.google.com/file/d/19WU4AtfXfBTypTt4j6CL6ngEOmOTxoYL/view?usp=drive_link
</t>
      </text>
    </comment>
    <comment authorId="2661" xr:uid="{f54897b1-53f0-48ee-9468-4ccda7bdab02}" ref="AF373">
      <text>
        <t xml:space="preserve">[Threaded comment]
 Your version of Excel allows you to read this threaded comment; however, any edits to it will get removed if the file is opened in a newer version of Excel. Learn more: https://go.microsoft.com/fwlink/?linkid=870924
Comment:
	Solo verificar para donde va el excedente
Reply:
	Marcado como resuelto
Reply:
	Reabierto
</t>
      </text>
    </comment>
    <comment authorId="2662" xr:uid="{f55115be-6721-4f06-b21a-4d94e4497703}" ref="Z351">
      <text>
        <t xml:space="preserve">[Threaded comment]
 Your version of Excel allows you to read this threaded comment; however, any edits to it will get removed if the file is opened in a newer version of Excel. Learn more: https://go.microsoft.com/fwlink/?linkid=870924
Comment:
	Nombre: JOSE ENRIQUE CORONADO INOÑAN
RUC: 20606284668
CORONADO INGENIERIA &amp; CONSTRUCCIÓN SAC
CELULAR:952828753
CORREO: coronado_topo@hotmail.com
</t>
      </text>
    </comment>
    <comment authorId="2663" xr:uid="{f55468fa-c815-4517-b913-93e0ccb50e90}" ref="K741">
      <text>
        <t xml:space="preserve">[Threaded comment]
 Your version of Excel allows you to read this threaded comment; however, any edits to it will get removed if the file is opened in a newer version of Excel. Learn more: https://go.microsoft.com/fwlink/?linkid=870924
Comment:
	https://drive.google.com/file/d/1nok2qRhfChgLS4d6P7nH9iZzU7g-7Iy-/view?usp=drive_link
Reply:
	se le devolvio 1k
</t>
      </text>
    </comment>
    <comment authorId="2664" xr:uid="{f56267aa-6569-4c10-834b-df60bf481e67}" ref="J545">
      <text>
        <t xml:space="preserve">[Threaded comment]
 Your version of Excel allows you to read this threaded comment; however, any edits to it will get removed if the file is opened in a newer version of Excel. Learn more: https://go.microsoft.com/fwlink/?linkid=870924
Comment:
	https://drive.google.com/file/d/1mZdOjmVqG8t8llxBxXjEEML2ufllFe6c/view?usp=drive_link
https://drive.google.com/file/d/1EOzO33ZUf0_qvU1W2yPyElQm7hMhgmoi/view?usp=drive_link
</t>
      </text>
    </comment>
    <comment authorId="2665" xr:uid="{f5742b6b-220a-4240-a9fe-2fde77ab010a}" ref="C739">
      <text>
        <t xml:space="preserve">[Threaded comment]
 Your version of Excel allows you to read this threaded comment; however, any edits to it will get removed if the file is opened in a newer version of Excel. Learn more: https://go.microsoft.com/fwlink/?linkid=870924
Comment:
	https://www.ebay.com/itm/197468116655
</t>
      </text>
    </comment>
    <comment authorId="2666" xr:uid="{f585e650-856a-4887-95fb-b890aea6329a}" ref="L127">
      <text>
        <t xml:space="preserve">[Threaded comment]
 Your version of Excel allows you to read this threaded comment; however, any edits to it will get removed if the file is opened in a newer version of Excel. Learn more: https://go.microsoft.com/fwlink/?linkid=870924
Comment:
	https://drive.google.com/file/d/1Z8kXs67AQSZzKgZrYkJzf2EN3hs5mNLG/view?usp=drive_link
Reply:
	https://drive.google.com/file/d/1Fg_d95pfy0Ggul-NX662OvD3sdzzt4iU/view?usp=drive_link
</t>
      </text>
    </comment>
    <comment authorId="2667" xr:uid="{f5893d89-f7e1-48b6-bbe4-8580cc9b61f8}" ref="J330">
      <text>
        <t xml:space="preserve">[Threaded comment]
 Your version of Excel allows you to read this threaded comment; however, any edits to it will get removed if the file is opened in a newer version of Excel. Learn more: https://go.microsoft.com/fwlink/?linkid=870924
Comment:
	https://drive.google.com/file/d/1yH3fSi0MBSm9XQMHWpF9oqcf-HX1nbuX/view?usp=drive_link
</t>
      </text>
    </comment>
    <comment authorId="2668" xr:uid="{f5952053-2fd4-4141-b400-5c05a9c9ec00}" ref="K423">
      <text>
        <t xml:space="preserve">[Threaded comment]
 Your version of Excel allows you to read this threaded comment; however, any edits to it will get removed if the file is opened in a newer version of Excel. Learn more: https://go.microsoft.com/fwlink/?linkid=870924
Comment:
	https://drive.google.com/file/d/1otEEpxVpS_YQ0XR2xWTGS_qO7hGLctSF/view?usp=drive_link
</t>
      </text>
    </comment>
    <comment authorId="2669" xr:uid="{f5ba3f56-6315-4412-932c-98025f590eff}" ref="C566">
      <text>
        <t xml:space="preserve">[Threaded comment]
 Your version of Excel allows you to read this threaded comment; however, any edits to it will get removed if the file is opened in a newer version of Excel. Learn more: https://go.microsoft.com/fwlink/?linkid=870924
Comment:
	https://www.costco.com/p/-/asus-rog-strix-g18-18-gaming-laptop-intel-core-ultra-9-processor-275hx-geforce-rtx-5060-25k-240hz3ms-nebula-display-32gb-ram-1tb-ssd-windows-11/4000373098?langId=-1
</t>
      </text>
    </comment>
    <comment authorId="2670" xr:uid="{f5dfba1c-3cd8-4a3a-a364-49402e5cca03}" ref="C538">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https://www.microcenter.com/product/691610/lenovo-legion-pro-7-16iax10h-oled-16-gaming-laptop-computer-eclipse-black#photogroup-4
</t>
      </text>
    </comment>
    <comment authorId="2671" xr:uid="{f5e89956-9dd8-4e5c-9ff3-856a7e90237a}" ref="C637">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2672" xr:uid="{f643b733-5c9f-4982-b839-e9322a270fe6}" ref="Q650">
      <text>
        <t xml:space="preserve">[Threaded comment]
 Your version of Excel allows you to read this threaded comment; however, any edits to it will get removed if the file is opened in a newer version of Excel. Learn more: https://go.microsoft.com/fwlink/?linkid=870924
Comment:
	se completo con 64 soles del cliente Carlos durand
Reply:
	FILA 628
</t>
      </text>
    </comment>
    <comment authorId="2673" xr:uid="{f6856b07-5b9c-45a4-8a4b-efff7a5744f6}" ref="C672">
      <text>
        <t xml:space="preserve">[Threaded comment]
 Your version of Excel allows you to read this threaded comment; however, any edits to it will get removed if the file is opened in a newer version of Excel. Learn more: https://go.microsoft.com/fwlink/?linkid=870924
Comment:
	https://www.amazon.com/EXCaliberPC-Legion-Gaming-GeForce-Windows/dp/B0G43MXJN5/ref=sr_1_4?dib=eyJ2IjoiMSJ9.F7hxQAb0NxwQeJAdJJy1-tesbSgsTSFulXzIxVr7psTK7-LA2NRZjmk4X5b3n2jGCTnEPYm_SO7Q6UVju766DMzum4B4vYKwaCFJ5uQbInYnYG9J1k2PY9u3uPvwbRS8P-xg6yRakIRjQjqvWR76Ub6tOWZw0YiFf4GTeheQ3lQCvsAiEdkTe6z9NjBGeJayfzHzUoy225GjShBK7YszQlbhsUzbIsGzFBQYyyt_kcQ.yl9lJGA0H1pZh7f0DOB239EwQsFVkluxDaVj8BnQ1Y0&amp;dib_tag=se&amp;keywords=legion%2B7i&amp;qid=1775850870&amp;sr=8-4&amp;th=1
</t>
      </text>
    </comment>
    <comment authorId="2674" xr:uid="{f6b45021-8d79-48e8-b495-ea8e744ae3e8}" ref="J508">
      <text>
        <t xml:space="preserve">[Threaded comment]
 Your version of Excel allows you to read this threaded comment; however, any edits to it will get removed if the file is opened in a newer version of Excel. Learn more: https://go.microsoft.com/fwlink/?linkid=870924
Comment:
	https://drive.google.com/file/d/1CbZ4d7r00XsdbYpnwTCsEM9z73XhabfL/view?usp=drive_link
</t>
      </text>
    </comment>
    <comment authorId="2675" xr:uid="{f6c27261-87c7-46ad-812a-05df14f01b50}" ref="J116">
      <text>
        <t xml:space="preserve">[Threaded comment]
 Your version of Excel allows you to read this threaded comment; however, any edits to it will get removed if the file is opened in a newer version of Excel. Learn more: https://go.microsoft.com/fwlink/?linkid=870924
Comment:
	https://drive.google.com/file/d/17qOFJ1ybIY2XsjH3loogCCLfuEWixiqx/view?usp=drive_link
</t>
      </text>
    </comment>
    <comment authorId="2676" xr:uid="{f6dbe440-6715-4c85-b081-d7ee95188533}" ref="L165">
      <text>
        <t xml:space="preserve">[Threaded comment]
 Your version of Excel allows you to read this threaded comment; however, any edits to it will get removed if the file is opened in a newer version of Excel. Learn more: https://go.microsoft.com/fwlink/?linkid=870924
Comment:
	https://drive.google.com/file/d/11t_I4xQzvfGl_rP6bzEvmmcOIKclBsft/view?usp=drive_link
</t>
      </text>
    </comment>
    <comment authorId="2677" xr:uid="{f6ee7b6c-577f-4b31-ba72-0952fb31b5d8}" ref="L66">
      <text>
        <t xml:space="preserve">[Threaded comment]
 Your version of Excel allows you to read this threaded comment; however, any edits to it will get removed if the file is opened in a newer version of Excel. Learn more: https://go.microsoft.com/fwlink/?linkid=870924
Comment:
	se agregó 37 soles por el código
https://drive.google.com/file/d/1RfQrq12z_jR8_vAPY09glXQocn1_DyAs/view?usp=drive_link
</t>
      </text>
    </comment>
    <comment authorId="2678" xr:uid="{f72ae3de-7335-4aa2-a510-737898ee99d9}" ref="C42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https://www.microcenter.com/product/691610/lenovo-legion-pro-7-16iax10h-oled-16-gaming-laptop-computer-eclipse-black
</t>
      </text>
    </comment>
    <comment authorId="2679" xr:uid="{f72af4db-ca4a-4926-a4c4-da30335b140a}" ref="J473">
      <text>
        <t xml:space="preserve">[Threaded comment]
 Your version of Excel allows you to read this threaded comment; however, any edits to it will get removed if the file is opened in a newer version of Excel. Learn more: https://go.microsoft.com/fwlink/?linkid=870924
Comment:
	https://drive.google.com/file/d/1oI-e0YgbC3yAvSV_-EEyZQxtpNSqrpWR/view?usp=drive_link
</t>
      </text>
    </comment>
    <comment authorId="2680" xr:uid="{f750945f-7385-4027-b7f0-894b47cb62fd}" ref="L224">
      <text>
        <t xml:space="preserve">[Threaded comment]
 Your version of Excel allows you to read this threaded comment; however, any edits to it will get removed if the file is opened in a newer version of Excel. Learn more: https://go.microsoft.com/fwlink/?linkid=870924
Comment:
	https://drive.google.com/file/d/121BCKlYiadSaZ94WOUlIlE58MHjJXiEC/view?usp=drive_link
Reply:
	https://drive.google.com/file/d/1xCCQ488thQ1imx-VLIQ9wlhABkovsHzf/view?usp=drive_link
</t>
      </text>
    </comment>
    <comment authorId="2681" xr:uid="{f7588713-5675-4187-bf70-985eb367c50c}" ref="Q528">
      <text>
        <t xml:space="preserve">[Threaded comment]
 Your version of Excel allows you to read this threaded comment; however, any edits to it will get removed if the file is opened in a newer version of Excel. Learn more: https://go.microsoft.com/fwlink/?linkid=870924
Comment:
	office 2024 + eset nod 32 + windows 11 pro + apertura con configuración inicial con formateo
</t>
      </text>
    </comment>
    <comment authorId="2682" xr:uid="{f78ba00a-02b4-40ec-b2f4-13a222dd69a6}" ref="Q567">
      <text>
        <t xml:space="preserve">[Threaded comment]
 Your version of Excel allows you to read this threaded comment; however, any edits to it will get removed if the file is opened in a newer version of Excel. Learn more: https://go.microsoft.com/fwlink/?linkid=870924
Comment:
	Eset nod 32+ apertura+config inicial+licencia autocad+licencia civil 3d+ licencia revit
</t>
      </text>
    </comment>
    <comment authorId="2683" xr:uid="{f799683e-f6b9-4260-931e-72193e99d059}" ref="K603">
      <text>
        <t xml:space="preserve">[Threaded comment]
 Your version of Excel allows you to read this threaded comment; however, any edits to it will get removed if the file is opened in a newer version of Excel. Learn more: https://go.microsoft.com/fwlink/?linkid=870924
Comment:
	https://drive.google.com/file/d/1QU51UtPwql-L41qhF4OHMq0riAXj-DVT/view?usp=drive_link
</t>
      </text>
    </comment>
    <comment authorId="2684" xr:uid="{f7a55878-ccd8-4156-8f4d-ff29f4975a43}" ref="J371">
      <text>
        <t xml:space="preserve">[Threaded comment]
 Your version of Excel allows you to read this threaded comment; however, any edits to it will get removed if the file is opened in a newer version of Excel. Learn more: https://go.microsoft.com/fwlink/?linkid=870924
Comment:
	https://drive.google.com/file/d/1N8pIJSlFKvYX55vmfiXOzC6vuM-rY-wL/view?usp=drive_link
</t>
      </text>
    </comment>
    <comment authorId="2685" xr:uid="{f7e115e4-e389-4150-89af-8a96cbee3bcc}" ref="J138">
      <text>
        <t xml:space="preserve">[Threaded comment]
 Your version of Excel allows you to read this threaded comment; however, any edits to it will get removed if the file is opened in a newer version of Excel. Learn more: https://go.microsoft.com/fwlink/?linkid=870924
Comment:
	https://drive.google.com/file/d/1ns6jsa_Rum0VTj5zKAavKILKSCkwhp0h/view?usp=drive_link
</t>
      </text>
    </comment>
    <comment authorId="2686" xr:uid="{f8108304-c498-48a1-a8ee-1c275b17c86d}" ref="K479">
      <text>
        <t xml:space="preserve">[Threaded comment]
 Your version of Excel allows you to read this threaded comment; however, any edits to it will get removed if the file is opened in a newer version of Excel. Learn more: https://go.microsoft.com/fwlink/?linkid=870924
Comment:
	https://drive.google.com/file/d/1eyn8wmjct6GR5L_L99lrD2P5D_S5mMk4/view?usp=drive_link
https://drive.google.com/file/d/19-oRrnh-mdmg4kcydxWbOhMD9_pX1y3a/view?usp=drive_link
https://drive.google.com/file/d/1pbNnx6wHkcCMoAwy_dYBwrKOS1z6fILX/view?usp=drive_link
</t>
      </text>
    </comment>
    <comment authorId="2687" xr:uid="{f8538548-8191-4580-b3b2-82a148933127}" ref="C801">
      <text>
        <t xml:space="preserve">[Threaded comment]
 Your version of Excel allows you to read this threaded comment; however, any edits to it will get removed if the file is opened in a newer version of Excel. Learn more: https://go.microsoft.com/fwlink/?linkid=870924
Comment:
	https://www.amazon.com/ASUS-Gaming-Laptop-Nebula-Display/dp/B0F1C665XL/?th=1
</t>
      </text>
    </comment>
    <comment authorId="2688" xr:uid="{f875b18e-7d7b-4ee6-b462-c23d25444c5e}" ref="R474">
      <text>
        <t xml:space="preserve">[Threaded comment]
 Your version of Excel allows you to read this threaded comment; however, any edits to it will get removed if the file is opened in a newer version of Excel. Learn more: https://go.microsoft.com/fwlink/?linkid=870924
Comment:
	lo saqué, porque no se le aperturó la laptop en oficina
</t>
      </text>
    </comment>
    <comment authorId="2689" xr:uid="{f889371e-048e-4859-81e4-5ee6e23024b0}" ref="D663">
      <text>
        <t xml:space="preserve">[Threaded comment]
 Your version of Excel allows you to read this threaded comment; however, any edits to it will get removed if the file is opened in a newer version of Excel. Learn more: https://go.microsoft.com/fwlink/?linkid=870924
Comment:
	usuario -Jack Harvey Izquierdo Rebaza
</t>
      </text>
    </comment>
    <comment authorId="2690" xr:uid="{f88fe7b2-28f8-411d-aadc-db83b9b74481}" ref="K446">
      <text>
        <t xml:space="preserve">[Threaded comment]
 Your version of Excel allows you to read this threaded comment; however, any edits to it will get removed if the file is opened in a newer version of Excel. Learn more: https://go.microsoft.com/fwlink/?linkid=870924
Comment:
	https://drive.google.com/file/d/1_8GyXedcj4opY7X8n_sCztZXti2GuGho/view?usp=drive_link
</t>
      </text>
    </comment>
    <comment authorId="2691" xr:uid="{f8dca8ce-5e14-4576-934b-4a8c44366489}" ref="T628">
      <text>
        <t xml:space="preserve">[Threaded comment]
 Your version of Excel allows you to read this threaded comment; however, any edits to it will get removed if the file is opened in a newer version of Excel. Learn more: https://go.microsoft.com/fwlink/?linkid=870924
Comment:
	DE LA FILA 650 ANGEL APARICIO
</t>
      </text>
    </comment>
    <comment authorId="2692" xr:uid="{f8efcdd7-cc44-47b1-a780-276d2596b6d3}" ref="W254">
      <text>
        <t xml:space="preserve">[Threaded comment]
 Your version of Excel allows you to read this threaded comment; however, any edits to it will get removed if the file is opened in a newer version of Excel. Learn more: https://go.microsoft.com/fwlink/?linkid=870924
Comment:
	https://drive.google.com/file/d/1-ICYIxiIYbiahUFVgYp7nukAyyb-IEib/view?usp=drive_link
</t>
      </text>
    </comment>
    <comment authorId="2693" xr:uid="{f8efd7a3-ea82-4502-b2d1-3aef0054a47f}" ref="J36">
      <text>
        <t xml:space="preserve">[Threaded comment]
 Your version of Excel allows you to read this threaded comment; however, any edits to it will get removed if the file is opened in a newer version of Excel. Learn more: https://go.microsoft.com/fwlink/?linkid=870924
Comment:
	https://drive.google.com/file/d/1Ah-1Twj9fLWN89-NS3faWL1E15iyqAv9/view?usp=drive_link
</t>
      </text>
    </comment>
    <comment authorId="2694" xr:uid="{f8f51684-2aa7-44d1-a258-2c18afc035f9}" ref="C26">
      <text>
        <t xml:space="preserve">[Threaded comment]
 Your version of Excel allows you to read this threaded comment; however, any edits to it will get removed if the file is opened in a newer version of Excel. Learn more: https://go.microsoft.com/fwlink/?linkid=870924
Comment:
	https://shop.asus.com/us/rog/90nr0lf1-m00720-rog-strix-scar-18-2025.html
</t>
      </text>
    </comment>
    <comment authorId="2695" xr:uid="{f913e78f-3ab3-4071-886a-89dbb05fcd89}" ref="J691">
      <text>
        <t xml:space="preserve">[Threaded comment]
 Your version of Excel allows you to read this threaded comment; however, any edits to it will get removed if the file is opened in a newer version of Excel. Learn more: https://go.microsoft.com/fwlink/?linkid=870924
Comment:
	https://drive.google.com/file/d/1VmgOkz3WR7rVw8MBGYNfQdfGw65-woy5/view?usp=drive_link
</t>
      </text>
    </comment>
    <comment authorId="2696" xr:uid="{f927373b-7f56-49c3-bbc9-395d6ea1ef9d}" ref="J718">
      <text>
        <t xml:space="preserve">[Threaded comment]
 Your version of Excel allows you to read this threaded comment; however, any edits to it will get removed if the file is opened in a newer version of Excel. Learn more: https://go.microsoft.com/fwlink/?linkid=870924
Comment:
	https://drive.google.com/file/d/11mlhySzwNcOu-qJ79exGXTASPSS3RYRd/view?usp=drive_link
</t>
      </text>
    </comment>
    <comment authorId="2697" xr:uid="{f94c5112-2530-44e5-949a-2bc2be7c18de}" ref="J422">
      <text>
        <t xml:space="preserve">[Threaded comment]
 Your version of Excel allows you to read this threaded comment; however, any edits to it will get removed if the file is opened in a newer version of Excel. Learn more: https://go.microsoft.com/fwlink/?linkid=870924
Comment:
	https://drive.google.com/file/d/1hrNVMtFuaVwCqYYL9TzJkxE2zF9OsTK7/view?usp=drive_link
</t>
      </text>
    </comment>
    <comment authorId="2698" xr:uid="{f975fe6b-ea13-4196-abc9-e0938a895e8b}" ref="J781">
      <text>
        <t xml:space="preserve">[Threaded comment]
 Your version of Excel allows you to read this threaded comment; however, any edits to it will get removed if the file is opened in a newer version of Excel. Learn more: https://go.microsoft.com/fwlink/?linkid=870924
Comment:
	https://drive.google.com/file/d/1gB7HmHRT6pbqca4SYg6Vx6qm2XLlTR3g/view?usp=drive_link
Reply:
	https://drive.google.com/file/d/1SHDlWzmSs_DdlH-NiZrCemkrRjTVv6Ks/view?usp=drive_link
</t>
      </text>
    </comment>
    <comment authorId="2699" xr:uid="{f97c5427-1417-41bd-99f5-d83de8e27552}" ref="AF788">
      <text>
        <t xml:space="preserve">[Threaded comment]
 Your version of Excel allows you to read this threaded comment; however, any edits to it will get removed if the file is opened in a newer version of Excel. Learn more: https://go.microsoft.com/fwlink/?linkid=870924
Comment:
	excedente, fixit , venta final
</t>
      </text>
    </comment>
    <comment authorId="2700" xr:uid="{f995f089-2c98-4e27-bf9d-3020e19a3fb4}" ref="AF323">
      <text>
        <t xml:space="preserve">[Threaded comment]
 Your version of Excel allows you to read this threaded comment; however, any edits to it will get removed if the file is opened in a newer version of Excel. Learn more: https://go.microsoft.com/fwlink/?linkid=870924
Comment:
	Venta final y excedentes
Reply:
	Marcado como resuelto
Reply:
	Reabierto
</t>
      </text>
    </comment>
    <comment authorId="2701" xr:uid="{f9b1f9cf-0ef9-4a27-91b3-1f1187eb2050}" ref="C813">
      <text>
        <t xml:space="preserve">[Threaded comment]
 Your version of Excel allows you to read this threaded comment; however, any edits to it will get removed if the file is opened in a newer version of Excel. Learn more: https://go.microsoft.com/fwlink/?linkid=870924
Comment:
	https://eshop.asus.com/us/90nr0m53-m00910-rog-zephyrus-g14-2025.html?config=90NR0M53-M00910
</t>
      </text>
    </comment>
    <comment authorId="2702" xr:uid="{f9c3e6a4-41f3-4b86-bafd-e276bccd1139}" ref="J555">
      <text>
        <t xml:space="preserve">[Threaded comment]
 Your version of Excel allows you to read this threaded comment; however, any edits to it will get removed if the file is opened in a newer version of Excel. Learn more: https://go.microsoft.com/fwlink/?linkid=870924
Comment:
	https://drive.google.com/file/d/1Sg56KCBCc6R3v7kw_Bn1bnBVwQjp_2iH/view?usp=drive_link
</t>
      </text>
    </comment>
    <comment authorId="2703" xr:uid="{f9e36d02-ddd9-455a-8e87-bdf58ea419f5}" ref="C295">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https://www.microcenter.com/product/692120/msi-raider-18-hx-ai-a2xwig-418us-18-gaming-laptop-computer-core-black?storeid=185
</t>
      </text>
    </comment>
    <comment authorId="2704" xr:uid="{f9fd0a45-c206-4506-8574-ca9766303b58}" ref="AF776">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2705" xr:uid="{fa1d2821-34ad-4d6d-975e-d8a544c2e6f4}" ref="L682">
      <text>
        <t xml:space="preserve">[Threaded comment]
 Your version of Excel allows you to read this threaded comment; however, any edits to it will get removed if the file is opened in a newer version of Excel. Learn more: https://go.microsoft.com/fwlink/?linkid=870924
Comment:
	https://drive.google.com/file/d/1EDeuJ6l2HMLEzxKW5Hus6-eJN0VMP9PH/view?usp=drive_link
</t>
      </text>
    </comment>
    <comment authorId="2706" xr:uid="{fa4769c3-1aea-42ce-bf6a-0650dafb46b2}" ref="L167">
      <text>
        <t xml:space="preserve">[Threaded comment]
 Your version of Excel allows you to read this threaded comment; however, any edits to it will get removed if the file is opened in a newer version of Excel. Learn more: https://go.microsoft.com/fwlink/?linkid=870924
Comment:
	https://drive.google.com/file/d/1rCS49EPRI-WDX7ig4GMZRm7FR0IGRtzd/view?usp=drive_link
</t>
      </text>
    </comment>
    <comment authorId="2707" xr:uid="{fa4d6787-083f-472a-81c8-daed2d0e3a81}" ref="J325">
      <text>
        <t xml:space="preserve">[Threaded comment]
 Your version of Excel allows you to read this threaded comment; however, any edits to it will get removed if the file is opened in a newer version of Excel. Learn more: https://go.microsoft.com/fwlink/?linkid=870924
Comment:
	https://drive.google.com/file/d/1_8tdAFtZw8CfXiK8QFlRP6regAmiCtUZ/view?usp=drive_link
</t>
      </text>
    </comment>
    <comment authorId="2708" xr:uid="{fa4e0a98-16fa-4b4e-9e34-3af7b7577340}" ref="C650">
      <text>
        <t xml:space="preserve">[Threaded comment]
 Your version of Excel allows you to read this threaded comment; however, any edits to it will get removed if the file is opened in a newer version of Excel. Learn more: https://go.microsoft.com/fwlink/?linkid=870924
Comment:
	https://www.ebay.com/itm/197468116655
</t>
      </text>
    </comment>
    <comment authorId="2709" xr:uid="{fa5fa3dc-32fe-456f-be02-c74ffa727f24}" ref="S585">
      <text>
        <t xml:space="preserve">[Threaded comment]
 Your version of Excel allows you to read this threaded comment; however, any edits to it will get removed if the file is opened in a newer version of Excel. Learn more: https://go.microsoft.com/fwlink/?linkid=870924
Comment:
	https://drive.google.com/file/d/1aAFzFAsryMkTMzClmyeI56tLAt6aVQIP/view?usp=drive_link
</t>
      </text>
    </comment>
    <comment authorId="2710" xr:uid="{fa881277-cf2c-4bed-b432-ac7fd14c0527}" ref="W179">
      <text>
        <t xml:space="preserve">[Threaded comment]
 Your version of Excel allows you to read this threaded comment; however, any edits to it will get removed if the file is opened in a newer version of Excel. Learn more: https://go.microsoft.com/fwlink/?linkid=870924
Comment:
	https://drive.google.com/file/d/1m86dVd9S05tQXfVX6Lwdp3kzxVAC8exJ/view?usp=drive_link
</t>
      </text>
    </comment>
    <comment authorId="2711" xr:uid="{faaf2de4-1697-4977-86eb-cf99a4ae9f28}" ref="J705">
      <text>
        <t xml:space="preserve">[Threaded comment]
 Your version of Excel allows you to read this threaded comment; however, any edits to it will get removed if the file is opened in a newer version of Excel. Learn more: https://go.microsoft.com/fwlink/?linkid=870924
Comment:
	https://drive.google.com/file/d/1BRs44uchTTdhdmCFCpMB7yvFv-DjJqAO/view?usp=drive_link
</t>
      </text>
    </comment>
    <comment authorId="2712" xr:uid="{fab6e829-84be-401e-86ad-c5a5042a03bd}" ref="AF458">
      <text>
        <t xml:space="preserve">[Threaded comment]
 Your version of Excel allows you to read this threaded comment; however, any edits to it will get removed if the file is opened in a newer version of Excel. Learn more: https://go.microsoft.com/fwlink/?linkid=870924
Comment:
	VENTA FINAL, EXCEDENTES, FIXIT
</t>
      </text>
    </comment>
    <comment authorId="2713" xr:uid="{fae7d26e-1e57-45d7-bb72-e3059e81f7d1}" ref="F765">
      <text>
        <t xml:space="preserve">[Threaded comment]
 Your version of Excel allows you to read this threaded comment; however, any edits to it will get removed if the file is opened in a newer version of Excel. Learn more: https://go.microsoft.com/fwlink/?linkid=870924
Comment:
	Procesando compra
</t>
      </text>
    </comment>
    <comment authorId="2714" xr:uid="{faebd9b9-8632-4368-acab-d40c0171dace}" ref="W227">
      <text>
        <t xml:space="preserve">[Threaded comment]
 Your version of Excel allows you to read this threaded comment; however, any edits to it will get removed if the file is opened in a newer version of Excel. Learn more: https://go.microsoft.com/fwlink/?linkid=870924
Comment:
	https://drive.google.com/file/d/1r4W9szD1sWvUoFztazMggUlkOxgm9woI/view?usp=drive_link
</t>
      </text>
    </comment>
    <comment authorId="2715" xr:uid="{fafa6df3-e098-4f73-b5c6-5c0c5b81a5ae}" ref="W325">
      <text>
        <t xml:space="preserve">[Threaded comment]
 Your version of Excel allows you to read this threaded comment; however, any edits to it will get removed if the file is opened in a newer version of Excel. Learn more: https://go.microsoft.com/fwlink/?linkid=870924
Comment:
	https://drive.google.com/file/d/1_M1XTRrLnON_hq5HjVsQaIjqRe2_h7Ez/view?usp=drive_link
</t>
      </text>
    </comment>
    <comment authorId="2716" xr:uid="{fb06b37b-3ff6-4a3c-b5e3-a5a7fd78ceb8}" ref="L244">
      <text>
        <t xml:space="preserve">[Threaded comment]
 Your version of Excel allows you to read this threaded comment; however, any edits to it will get removed if the file is opened in a newer version of Excel. Learn more: https://go.microsoft.com/fwlink/?linkid=870924
Comment:
	https://drive.google.com/file/d/1CU6uyabaZfPObOAew3IgHNuTVCStC41c/view?usp=drive_link
</t>
      </text>
    </comment>
    <comment authorId="2717" xr:uid="{fb482b73-b50d-4f4f-8803-e4c63aa4f70d}" ref="C199">
      <text>
        <t xml:space="preserve">[Threaded comment]
 Your version of Excel allows you to read this threaded comment; however, any edits to it will get removed if the file is opened in a newer version of Excel. Learn more: https://go.microsoft.com/fwlink/?linkid=870924
Comment:
	https://www.ebay.com/itm/326677331843?_skw=laptop&amp;itmmeta=01K3JTZ8VCEZXG1EPEKE3WRQWZ&amp;hash=item4c0f7c7f83%3Ag%3A274AAeSwxeVorIrb&amp;LH_ItemCondition=3
</t>
      </text>
    </comment>
    <comment authorId="2718" xr:uid="{fb48bd94-507b-4660-a1fd-3d979343fd1f}" ref="C543">
      <text>
        <t xml:space="preserve">[Threaded comment]
 Your version of Excel allows you to read this threaded comment; however, any edits to it will get removed if the file is opened in a newer version of Excel. Learn more: https://go.microsoft.com/fwlink/?linkid=870924
Comment:
	https://www.ebay.com/itm/297282597330?_skw=laptop+gaming&amp;itmmeta=01KGGK41R2TSCDJH29KB4H2A00&amp;hash=item45376c71d2:g:MpIAAeSw8PNoJCUU
</t>
      </text>
    </comment>
    <comment authorId="2719" xr:uid="{fb4d3d72-b261-4e03-8823-d363041fcd8d}" ref="J429">
      <text>
        <t xml:space="preserve">[Threaded comment]
 Your version of Excel allows you to read this threaded comment; however, any edits to it will get removed if the file is opened in a newer version of Excel. Learn more: https://go.microsoft.com/fwlink/?linkid=870924
Comment:
	https://drive.google.com/file/d/1qCej_Art9_rA_Ji1IBZhyR1J9T_gPQyG/view?usp=drive_link
</t>
      </text>
    </comment>
    <comment authorId="2720" xr:uid="{fb66ba90-3abf-412d-ae11-abd9f7460a37}" ref="T666">
      <text>
        <t xml:space="preserve">[Threaded comment]
 Your version of Excel allows you to read this threaded comment; however, any edits to it will get removed if the file is opened in a newer version of Excel. Learn more: https://go.microsoft.com/fwlink/?linkid=870924
Comment:
	de la fila 672
</t>
      </text>
    </comment>
    <comment authorId="2721" xr:uid="{fb6fd4a1-450e-4270-9d27-f00565cf2885}" ref="J512">
      <text>
        <t xml:space="preserve">[Threaded comment]
 Your version of Excel allows you to read this threaded comment; however, any edits to it will get removed if the file is opened in a newer version of Excel. Learn more: https://go.microsoft.com/fwlink/?linkid=870924
Comment:
	https://drive.google.com/file/d/1fbXnJ2a8MSJsV_Z_Z81cLtMqsYwdfuHL/view?usp=drive_link
</t>
      </text>
    </comment>
    <comment authorId="2722" xr:uid="{fb7348df-b688-4737-827e-f41a71713691}" ref="K512">
      <text>
        <t xml:space="preserve">[Threaded comment]
 Your version of Excel allows you to read this threaded comment; however, any edits to it will get removed if the file is opened in a newer version of Excel. Learn more: https://go.microsoft.com/fwlink/?linkid=870924
Comment:
	se le devolvió a la clienta 90 soles, porque pago demás
Reply:
	https://drive.google.com/file/d/1Ky-ZgQ5AjszqaA1WH6mU1NjV-Qc8xiji/view?usp=drive_link
Reply:
	https://drive.google.com/file/d/1AjMDjN9bqUOe7o6yZoIVAVrrtL4d8TMI/view?usp=drive_link devolucion
</t>
      </text>
    </comment>
    <comment authorId="2723" xr:uid="{fb7982d6-3531-44be-8d0e-bbda540583c0}" ref="AI753">
      <text>
        <t xml:space="preserve">[Threaded comment]
 Your version of Excel allows you to read this threaded comment; however, any edits to it will get removed if the file is opened in a newer version of Excel. Learn more: https://go.microsoft.com/fwlink/?linkid=870924
Comment:
	https://drive.google.com/file/d/1jPGQse_8rQ1WI0hmHuBuZcwGbmT9hlYK/view?usp=drive_link
</t>
      </text>
    </comment>
    <comment authorId="2724" xr:uid="{fb86e751-201c-412b-bf02-8174e18f2ab2}" ref="A1">
      <text>
        <t xml:space="preserve">[Threaded comment]
 Your version of Excel allows you to read this threaded comment; however, any edits to it will get removed if the file is opened in a newer version of Excel. Learn more: https://go.microsoft.com/fwlink/?linkid=870924
Comment:
	https://drive.google.com/file/d/1smfpgca7tB-KnlR29_uawVjB5xqzFtVw/view?usp=drive_link
https://drive.google.com/file/d/13DkUaksQ4kEMbKbx5pbsvTDz7TXtEoxI/view?usp=drive_link
https://drive.google.com/file/d/15cT_pf9PhGVo0anNCx6eVoY4Ej70Niod/view?usp=drive_link
https://drive.google.com/file/d/1jcuvXzgcNLyN-8YPjNIRydLfARdrqsSR/view?usp=drive_link
Show less
Turn on screen reader support
To enable screen reader support, press Ctrl+Alt+Z To learn about keyboard shortcuts, press Ctrl+slash
</t>
      </text>
    </comment>
    <comment authorId="2725" xr:uid="{fb9ef2ed-8f38-46b3-9aaf-0a8ebe833bcf}" ref="W230">
      <text>
        <t xml:space="preserve">[Threaded comment]
 Your version of Excel allows you to read this threaded comment; however, any edits to it will get removed if the file is opened in a newer version of Excel. Learn more: https://go.microsoft.com/fwlink/?linkid=870924
Comment:
	https://drive.google.com/file/d/1-B07j7ToeGYBuNjKRRbe8Jr8frmcPsyU/view?usp=drive_link
</t>
      </text>
    </comment>
    <comment authorId="2726" xr:uid="{fbaa20a9-7eb0-4c5b-b4d5-152712382663}" ref="Q551">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iniical con formateo + eset nod 32 + windows 11 pro + office 2024
</t>
      </text>
    </comment>
    <comment authorId="2727" xr:uid="{fbbcd179-a9cc-446b-9e0c-495eee15bef2}" ref="O396">
      <text>
        <t xml:space="preserve">[Threaded comment]
 Your version of Excel allows you to read this threaded comment; however, any edits to it will get removed if the file is opened in a newer version of Excel. Learn more: https://go.microsoft.com/fwlink/?linkid=870924
Comment:
	laptop sin excedente
Reply:
	descontar de fila 427
</t>
      </text>
    </comment>
    <comment authorId="2728" xr:uid="{fbbd4eba-83e9-4ade-b1a6-9e6bbd0e6f68}" ref="AI734">
      <text>
        <t xml:space="preserve">[Threaded comment]
 Your version of Excel allows you to read this threaded comment; however, any edits to it will get removed if the file is opened in a newer version of Excel. Learn more: https://go.microsoft.com/fwlink/?linkid=870924
Comment:
	https://drive.google.com/file/d/1Kwp53XblHrvw_WKhW51WBejE88ti_68G/view?usp=drive_link
</t>
      </text>
    </comment>
    <comment authorId="2729" xr:uid="{fbdd9368-87c5-4b58-88cb-9633d71e6eaf}" ref="Q700">
      <text>
        <t xml:space="preserve">[Threaded comment]
 Your version of Excel allows you to read this threaded comment; however, any edits to it will get removed if the file is opened in a newer version of Excel. Learn more: https://go.microsoft.com/fwlink/?linkid=870924
Comment:
	Configuración inicial con formateo + eset nod + office 2024
</t>
      </text>
    </comment>
    <comment authorId="2730" xr:uid="{fbec217e-70c0-401d-bb76-15b74f89a266}" ref="J668">
      <text>
        <t xml:space="preserve">[Threaded comment]
 Your version of Excel allows you to read this threaded comment; however, any edits to it will get removed if the file is opened in a newer version of Excel. Learn more: https://go.microsoft.com/fwlink/?linkid=870924
Comment:
	https://drive.google.com/file/d/1WcKa27qMKAqNCeEVUow_yqc7HMichJ2V/view?usp=drive_link
Reply:
	SE COBRO UNA COMISION 14.24
</t>
      </text>
    </comment>
    <comment authorId="2731" xr:uid="{fbf0cc61-8f06-4f83-ba44-9205ba30be4e}" ref="C591">
      <text>
        <t xml:space="preserve">[Threaded comment]
 Your version of Excel allows you to read this threaded comment; however, any edits to it will get removed if the file is opened in a newer version of Excel. Learn more: https://go.microsoft.com/fwlink/?linkid=870924
Comment:
	https://www.microcenter.com/product/693716/asus-rog-strix-g16-g615lr-ms97-16-gaming-laptop-computer-platinum-collection-eclipse-gray
</t>
      </text>
    </comment>
    <comment authorId="2732" xr:uid="{fc0d49c0-9d39-4919-ae14-9fe2d6148804}" ref="C39">
      <text>
        <t xml:space="preserve">[Threaded comment]
 Your version of Excel allows you to read this threaded comment; however, any edits to it will get removed if the file is opened in a newer version of Excel. Learn more: https://go.microsoft.com/fwlink/?linkid=870924
Comment:
	https://www.ebay.com/itm/335764064606?_skw=4060&amp;itmmeta=01JTJD8Y7A3T9FK3Q0BABBVJB0&amp;hash=item4e2d19095e%3Ag%3Ak7MAAOSwLbVngCc3&amp;itmprp=enc%3AAQAKAAAAwFkggFvd1GGDu0w3yXCmi1eIV70S47BoiMKFIbCcyCAUSvNfjKTdqaeK0TrRewUSVaqjW9EHDyHb0x66D2piduKLQDhOup7tKLZyUB5d5Qf6Oe5AFo1OyUlkU2K5%2Bush%2FGGYIEvs3Yu83z07w6J5M3Pv89RT8hakCLXZXe0EDserrrDM10KyCcjyei7q%2FgJN4d%2BCprXbZNSu%2BNG31T7AgR9Ej7snRXIsU5W1Lf0DIyorNd6PBhYsoiK96nq54zCnbw%3D%3D%7Ctkp%3ABk9SR4bko83UZQ&amp;LH_ItemCondition=1000
</t>
      </text>
    </comment>
    <comment authorId="2733" xr:uid="{fc0ebbd3-b847-468c-afa7-481e4d4066d4}" ref="C478">
      <text>
        <t xml:space="preserve">[Threaded comment]
 Your version of Excel allows you to read this threaded comment; however, any edits to it will get removed if the file is opened in a newer version of Excel. Learn more: https://go.microsoft.com/fwlink/?linkid=870924
Comment:
	https://us-store.msi.com/Laptops/Gaming-Series/Vector-16-HX-AI-A2XWIG-420US
</t>
      </text>
    </comment>
    <comment authorId="2734" xr:uid="{fc1d0560-20d5-409f-984e-fdf7cb2309ce}" ref="M458">
      <text>
        <t xml:space="preserve">[Threaded comment]
 Your version of Excel allows you to read this threaded comment; however, any edits to it will get removed if the file is opened in a newer version of Excel. Learn more: https://go.microsoft.com/fwlink/?linkid=870924
Comment:
	la puse como estaba en el sheet de Ventas seguimiento
</t>
      </text>
    </comment>
    <comment authorId="2735" xr:uid="{fc34c477-45d8-4964-bbda-53adfd8255f6}" ref="V176">
      <text>
        <t xml:space="preserve">[Threaded comment]
 Your version of Excel allows you to read this threaded comment; however, any edits to it will get removed if the file is opened in a newer version of Excel. Learn more: https://go.microsoft.com/fwlink/?linkid=870924
Comment:
	No es necesario
</t>
      </text>
    </comment>
    <comment authorId="2736" xr:uid="{fc428b95-957e-4595-996d-7995cff23212}" ref="J743">
      <text>
        <t xml:space="preserve">[Threaded comment]
 Your version of Excel allows you to read this threaded comment; however, any edits to it will get removed if the file is opened in a newer version of Excel. Learn more: https://go.microsoft.com/fwlink/?linkid=870924
Comment:
	https://drive.google.com/file/d/1JqA2Rw228Ep--8buBlz-yoILNSOepFi_/view?usp=drive_link
</t>
      </text>
    </comment>
    <comment authorId="2737" xr:uid="{fc442b5c-f977-4480-bb8d-dc0b0f7faf2c}" ref="J135">
      <text>
        <t xml:space="preserve">[Threaded comment]
 Your version of Excel allows you to read this threaded comment; however, any edits to it will get removed if the file is opened in a newer version of Excel. Learn more: https://go.microsoft.com/fwlink/?linkid=870924
Comment:
	https://drive.google.com/file/d/10OMXr1JWTH6eme8jbeFCqhshoAFdkK4K/view?usp=drive_link
https://drive.google.com/file/d/1NJpbnaRdn-aOYa98AO2XGNE4GhQyNYFk/view?usp=drive_link
https://drive.google.com/file/d/1Mu4xSKnyJumPoxs7-StA3OBBP8EUVw5F/view?usp=drive_link
https://drive.google.com/file/d/13we7o_O_Ejb8EsKtIZJolEBqHIuZlqsy/view?usp=drive_link
https://drive.google.com/file/d/1fEeX6CgBUNkdBhZReOaZ4W8-mUUWpGdV/view?usp=drive_link
https://drive.google.com/file/d/1ShD3oKqI35Dl4cijOBfCYsDNEtDzsqZC/view?usp=drive_link
</t>
      </text>
    </comment>
    <comment authorId="2738" xr:uid="{fc47d166-9415-4c2b-b23c-1431481d1288}" ref="C760">
      <text>
        <t xml:space="preserve">[Threaded comment]
 Your version of Excel allows you to read this threaded comment; however, any edits to it will get removed if the file is opened in a newer version of Excel. Learn more: https://go.microsoft.com/fwlink/?linkid=870924
Comment:
	https://www.amazon.com/-/es/Laptop-gamer-Strix-pulgadas-Nebula/dp/B0DW29H85Z/ref=sr_1_1?__mk_es_US=%C3%85M%C3%85%C5%BD%C3%95%C3%91&amp;crid=32EZ6JKZTD9ZW&amp;dib=eyJ2IjoiMSJ9.p8wIC8g93SILiBs__UVjOQG48U8_7YftU5_51mi2fwO68EuKW6n09T6D9yCafFwTfFwOBx0MUJvOlVxKfybCYzSElxi9NK7sWoOnTNqECadNb1gCkLf2Ru8QV4EaQbHWKc0yWvfHk9J48-TtHIuh5oe-i0j73rw3ZwPYZWBej9S1GZ0TO_PDa-LmreIVAXce91gVLjO-RvW-AVz5ZJGXlGKbp2RSnLD6N5N05iXStp0.yJhNeYjwYSoHgxybj6lMm8nfGf93koiQvD-_gv2TiZc&amp;dib_tag=se&amp;keywords=rog%2Bstrix%2Bscar%2B18&amp;qid=1779471002&amp;sprefix=rog%2Bstrix%2Bscar%2B18%2B%2Caps%2C268&amp;sr=8-1&amp;th=1
</t>
      </text>
    </comment>
    <comment authorId="2739" xr:uid="{fc62a783-5c17-446d-9b6c-86b8c1c0aebf}" ref="Q297">
      <text>
        <t xml:space="preserve">[Threaded comment]
 Your version of Excel allows you to read this threaded comment; however, any edits to it will get removed if the file is opened in a newer version of Excel. Learn more: https://go.microsoft.com/fwlink/?linkid=870924
Comment:
	en su pago final , dio 120 soles mas por dos licencias
</t>
      </text>
    </comment>
    <comment authorId="2740" xr:uid="{fc94081e-acc0-419e-a53f-e4691bdeb7a0}" ref="J765">
      <text>
        <t xml:space="preserve">[Threaded comment]
 Your version of Excel allows you to read this threaded comment; however, any edits to it will get removed if the file is opened in a newer version of Excel. Learn more: https://go.microsoft.com/fwlink/?linkid=870924
Comment:
	https://drive.google.com/file/d/1Dy28tMlmZAYU-7Vbb7CyizW-uD0arzqW/view?usp=drive_link
</t>
      </text>
    </comment>
    <comment authorId="2741" xr:uid="{fc9c66b5-6f33-4eac-9896-df750efa64ea}" ref="K565">
      <text>
        <t xml:space="preserve">[Threaded comment]
 Your version of Excel allows you to read this threaded comment; however, any edits to it will get removed if the file is opened in a newer version of Excel. Learn more: https://go.microsoft.com/fwlink/?linkid=870924
Comment:
	https://drive.google.com/file/d/1wKWi3FMZuPpyoTZghcf0M7daixXNKsUu/view?usp=drive_link
https://drive.google.com/file/d/1JrEsv-hQYWAdZfm2cRvPuCuSNjmK8hVm/view?usp=drive_link
https://drive.google.com/file/d/15rXIGz1y-2c2WX2xJ2Prtp9Wesl_Z8jY/view?usp=drive_link
</t>
      </text>
    </comment>
    <comment authorId="2742" xr:uid="{fcaac5a1-f33a-47ac-b8c9-f89d9483ccde}" ref="J732">
      <text>
        <t xml:space="preserve">[Threaded comment]
 Your version of Excel allows you to read this threaded comment; however, any edits to it will get removed if the file is opened in a newer version of Excel. Learn more: https://go.microsoft.com/fwlink/?linkid=870924
Comment:
	https://drive.google.com/file/d/1dSJBJ9yF8gw_wueqovJ6AeUG5PXQfwoI/view?usp=drive_link
</t>
      </text>
    </comment>
    <comment authorId="2743" xr:uid="{fcb03a84-21b0-49b0-8462-1a0e2b0bd66f}" ref="J336">
      <text>
        <t xml:space="preserve">[Threaded comment]
 Your version of Excel allows you to read this threaded comment; however, any edits to it will get removed if the file is opened in a newer version of Excel. Learn more: https://go.microsoft.com/fwlink/?linkid=870924
Comment:
	https://drive.google.com/file/d/14jA0EO5hPj7J1eFRpLeGEVkFuOc5H1hn/view?usp=drive_link
</t>
      </text>
    </comment>
    <comment authorId="2744" xr:uid="{fcb24218-7cfc-4657-8e7d-2834c3279086}" ref="J407">
      <text>
        <t xml:space="preserve">[Threaded comment]
 Your version of Excel allows you to read this threaded comment; however, any edits to it will get removed if the file is opened in a newer version of Excel. Learn more: https://go.microsoft.com/fwlink/?linkid=870924
Comment:
	https://drive.google.com/file/d/1ddc6BrO_Y7eeS3ue5zFEal3y4-LNrimT/view?usp=drive_link
</t>
      </text>
    </comment>
    <comment authorId="2745" xr:uid="{fcd76a12-3152-4803-9573-987654951f1e}" ref="W282">
      <text>
        <t xml:space="preserve">[Threaded comment]
 Your version of Excel allows you to read this threaded comment; however, any edits to it will get removed if the file is opened in a newer version of Excel. Learn more: https://go.microsoft.com/fwlink/?linkid=870924
Comment:
	https://drive.google.com/file/d/1bWYzRaBnzmxvIBisNPdOA4zlzmiUNPC5/view?usp=drive_link
</t>
      </text>
    </comment>
    <comment authorId="2746" xr:uid="{fceb0dd9-0113-4cd4-9d7e-10772706962f}" ref="J574">
      <text>
        <t xml:space="preserve">[Threaded comment]
 Your version of Excel allows you to read this threaded comment; however, any edits to it will get removed if the file is opened in a newer version of Excel. Learn more: https://go.microsoft.com/fwlink/?linkid=870924
Comment:
	https://drive.google.com/file/d/1ANbxy3mNF9DF2ZeRXFt_-8W6wRM6LSl4/view?usp=drive_link
</t>
      </text>
    </comment>
    <comment authorId="2747" xr:uid="{fcf47243-457b-42d3-bca9-837bc707fcc8}" ref="L59">
      <text>
        <t xml:space="preserve">[Threaded comment]
 Your version of Excel allows you to read this threaded comment; however, any edits to it will get removed if the file is opened in a newer version of Excel. Learn more: https://go.microsoft.com/fwlink/?linkid=870924
Comment:
	https://drive.google.com/file/d/1Poed_80Mc_Sc7eiQ3igeYkB1P7SvNpdD/view?usp=drive_link
</t>
      </text>
    </comment>
    <comment authorId="2748" xr:uid="{fd171448-71cf-4ae8-b74e-19c969b73317}" ref="AI785">
      <text>
        <t xml:space="preserve">[Threaded comment]
 Your version of Excel allows you to read this threaded comment; however, any edits to it will get removed if the file is opened in a newer version of Excel. Learn more: https://go.microsoft.com/fwlink/?linkid=870924
Comment:
	https://drive.google.com/file/d/1Rj9vJI66XsIxS8Pe7UXaJm31555nuO-M/view?usp=drive_link
</t>
      </text>
    </comment>
    <comment authorId="2749" xr:uid="{fd17579c-9495-433f-9432-ca28fbfe3e33}" ref="J382">
      <text>
        <t xml:space="preserve">[Threaded comment]
 Your version of Excel allows you to read this threaded comment; however, any edits to it will get removed if the file is opened in a newer version of Excel. Learn more: https://go.microsoft.com/fwlink/?linkid=870924
Comment:
	https://drive.google.com/file/d/1zTaE0N3Vqls-WfSWGbIizfmH6Y9rBgde/view?usp=drive_link
</t>
      </text>
    </comment>
    <comment authorId="2750" xr:uid="{fd207cc7-d501-4ffe-b8a1-43db9649c1c4}" ref="AF661">
      <text>
        <t xml:space="preserve">[Threaded comment]
 Your version of Excel allows you to read this threaded comment; however, any edits to it will get removed if the file is opened in a newer version of Excel. Learn more: https://go.microsoft.com/fwlink/?linkid=870924
Comment:
	fixit, venta final, excedentes
</t>
      </text>
    </comment>
    <comment authorId="2751" xr:uid="{fd24587c-23b0-4ebc-a778-e560530eb70a}" ref="K327">
      <text>
        <t xml:space="preserve">[Threaded comment]
 Your version of Excel allows you to read this threaded comment; however, any edits to it will get removed if the file is opened in a newer version of Excel. Learn more: https://go.microsoft.com/fwlink/?linkid=870924
Comment:
	https://drive.google.com/file/d/1woDg80juN3vmj2vGOd9NEdIPmorhj6Bn/view?usp=drive_link
</t>
      </text>
    </comment>
    <comment authorId="2752" xr:uid="{fd2dbff1-2643-44b9-a1bf-3c0a67dbbbf7}" ref="AF475">
      <text>
        <t xml:space="preserve">[Threaded comment]
 Your version of Excel allows you to read this threaded comment; however, any edits to it will get removed if the file is opened in a newer version of Excel. Learn more: https://go.microsoft.com/fwlink/?linkid=870924
Comment:
	excedentes, fixit, venta final
</t>
      </text>
    </comment>
    <comment authorId="2753" xr:uid="{fd64d51b-66b5-46dc-861c-b88e2e46c40e}" ref="K553">
      <text>
        <t xml:space="preserve">[Threaded comment]
 Your version of Excel allows you to read this threaded comment; however, any edits to it will get removed if the file is opened in a newer version of Excel. Learn more: https://go.microsoft.com/fwlink/?linkid=870924
Comment:
	https://drive.google.com/file/d/1PlEP2AN5BNVPTfvrQ4yLaRCy7ntu-MSM/view?usp=drive_link
</t>
      </text>
    </comment>
    <comment authorId="2754" xr:uid="{fd79ad14-ec55-49ca-85e9-d20531eeb595}" ref="W324">
      <text>
        <t xml:space="preserve">[Threaded comment]
 Your version of Excel allows you to read this threaded comment; however, any edits to it will get removed if the file is opened in a newer version of Excel. Learn more: https://go.microsoft.com/fwlink/?linkid=870924
Comment:
	https://drive.google.com/file/d/1oT_UR0iE_JFNmodjq1svXjuTHJBkLmaQ/view?usp=drive_link
</t>
      </text>
    </comment>
    <comment authorId="2755" xr:uid="{fd7bba06-1564-4e23-aee1-acecf3f0b981}" ref="W279">
      <text>
        <t xml:space="preserve">[Threaded comment]
 Your version of Excel allows you to read this threaded comment; however, any edits to it will get removed if the file is opened in a newer version of Excel. Learn more: https://go.microsoft.com/fwlink/?linkid=870924
Comment:
	https://drive.google.com/file/d/1z7qdNY0B2yf-_02u0o8Q2OEElTaIWL6G/view?usp=drive_link
Reply:
	20601708311
Con esa razón social porfavor que salga la factura
Reenviado
Razon social: Constructora y Consultora QMED Eirl
Reenviado
Ruc: 20601708311
Reenviado
Direccion: Av Tupac Amaru 905 Andahuaylas
Reenviado
Correo: constructora.qmed@gmail.com
</t>
      </text>
    </comment>
    <comment authorId="2756" xr:uid="{fd843bf7-06d1-4d72-85cb-6910d4865574}" ref="J182">
      <text>
        <t xml:space="preserve">[Threaded comment]
 Your version of Excel allows you to read this threaded comment; however, any edits to it will get removed if the file is opened in a newer version of Excel. Learn more: https://go.microsoft.com/fwlink/?linkid=870924
Comment:
	https://drive.google.com/file/d/1nV5RCovnQR5JsH4yhcBEsmN6sdpnb4E0/view?usp=drive_link
Reply:
	https://drive.google.com/file/d/14NK3C-v1lGh7gtE0kmjJaMXRukWQvudo/view?usp=drive_link
</t>
      </text>
    </comment>
    <comment authorId="2757" xr:uid="{fdaf0c81-0242-4690-b1fd-5351bbec1050}" ref="AF783">
      <text>
        <t xml:space="preserve">[Threaded comment]
 Your version of Excel allows you to read this threaded comment; however, any edits to it will get removed if the file is opened in a newer version of Excel. Learn more: https://go.microsoft.com/fwlink/?linkid=870924
Comment:
	excedente, fixit , venta final
</t>
      </text>
    </comment>
    <comment authorId="2758" xr:uid="{fdbb6697-0121-4cb2-8f49-d4d90e6d0d04}" ref="AF573">
      <text>
        <t xml:space="preserve">[Threaded comment]
 Your version of Excel allows you to read this threaded comment; however, any edits to it will get removed if the file is opened in a newer version of Excel. Learn more: https://go.microsoft.com/fwlink/?linkid=870924
Comment:
	Fixit, excedentes
</t>
      </text>
    </comment>
    <comment authorId="2759" xr:uid="{fddaf68c-e25a-4cf4-a0ad-3883efc6f749}" ref="L47">
      <text>
        <t xml:space="preserve">[Threaded comment]
 Your version of Excel allows you to read this threaded comment; however, any edits to it will get removed if the file is opened in a newer version of Excel. Learn more: https://go.microsoft.com/fwlink/?linkid=870924
Comment:
	https://drive.google.com/file/d/1HwzxtRxYZLd3YxTfKtG0XiB2wy84LjwT/view?usp=drive_link
</t>
      </text>
    </comment>
    <comment authorId="2760" xr:uid="{fde4540f-9461-4993-8498-b36151a3d3dc}" ref="AF748">
      <text>
        <t xml:space="preserve">[Threaded comment]
 Your version of Excel allows you to read this threaded comment; however, any edits to it will get removed if the file is opened in a newer version of Excel. Learn more: https://go.microsoft.com/fwlink/?linkid=870924
Comment:
	Excedentes, vental final, fixit
</t>
      </text>
    </comment>
    <comment authorId="2761" xr:uid="{fe3a8a7d-1c13-4bcb-80ae-335d5648fae6}" ref="W227">
      <text>
        <t xml:space="preserve">[Threaded comment]
 Your version of Excel allows you to read this threaded comment; however, any edits to it will get removed if the file is opened in a newer version of Excel. Learn more: https://go.microsoft.com/fwlink/?linkid=870924
Comment:
	https://drive.google.com/file/d/1yhcqaeu2lfWrztuzWWj-h6a550uN2nQo/view?usp=drive_link
</t>
      </text>
    </comment>
    <comment authorId="2762" xr:uid="{fe5c4434-1e8f-49a7-91fd-5f8d9fe68e0c}" ref="K568">
      <text>
        <t xml:space="preserve">[Threaded comment]
 Your version of Excel allows you to read this threaded comment; however, any edits to it will get removed if the file is opened in a newer version of Excel. Learn more: https://go.microsoft.com/fwlink/?linkid=870924
Comment:
	https://drive.google.com/file/d/15aDJUXL9sgBsv7qnFIQRy6E5KeqMslvo/view?usp=drive_link
</t>
      </text>
    </comment>
    <comment authorId="2763" xr:uid="{fe621f54-0774-4c7c-bb12-b2b9fbb392bc}" ref="AF675">
      <text>
        <t xml:space="preserve">[Threaded comment]
 Your version of Excel allows you to read this threaded comment; however, any edits to it will get removed if the file is opened in a newer version of Excel. Learn more: https://go.microsoft.com/fwlink/?linkid=870924
Comment:
	fixit, excedentes, venta final
</t>
      </text>
    </comment>
    <comment authorId="2764" xr:uid="{fe9c6280-9288-49ed-8d8e-729ccf98cb72}" ref="Q496">
      <text>
        <t xml:space="preserve">[Threaded comment]
 Your version of Excel allows you to read this threaded comment; however, any edits to it will get removed if the file is opened in a newer version of Excel. Learn more: https://go.microsoft.com/fwlink/?linkid=870924
Comment:
	apertura + configuración inicial con formateo + eset nod 32 + windows 11 pro + office profesional plus 2024
</t>
      </text>
    </comment>
    <comment authorId="2765" xr:uid="{fea369a8-9e8a-4e9b-937f-c082fd33e401}" ref="J383">
      <text>
        <t xml:space="preserve">[Threaded comment]
 Your version of Excel allows you to read this threaded comment; however, any edits to it will get removed if the file is opened in a newer version of Excel. Learn more: https://go.microsoft.com/fwlink/?linkid=870924
Comment:
	https://drive.google.com/file/d/1ucIv1rscd3k5LRjtnoda9nMv8xm9PHJl/view?usp=drive_link
</t>
      </text>
    </comment>
    <comment authorId="2766" xr:uid="{feb86826-4115-4d70-aa32-9a9e1bd6fbe5}" ref="L146">
      <text>
        <t xml:space="preserve">[Threaded comment]
 Your version of Excel allows you to read this threaded comment; however, any edits to it will get removed if the file is opened in a newer version of Excel. Learn more: https://go.microsoft.com/fwlink/?linkid=870924
Comment:
	https://drive.google.com/file/d/1XZP0tudXY7GJJNj3pSHk9pt5zU1dfFku/view?usp=drive_link
</t>
      </text>
    </comment>
    <comment authorId="2767" xr:uid="{fed57fa6-30e6-4be3-a659-30305e939c69}" ref="W266">
      <text>
        <t xml:space="preserve">[Threaded comment]
 Your version of Excel allows you to read this threaded comment; however, any edits to it will get removed if the file is opened in a newer version of Excel. Learn more: https://go.microsoft.com/fwlink/?linkid=870924
Comment:
	https://drive.google.com/file/d/1zuLeXbBFWqnssIfdZdTVj44yQ0AIaH3h/view?usp=drive_link
</t>
      </text>
    </comment>
    <comment authorId="2768" xr:uid="{feeb417c-e88d-47e9-937d-3e8728efea4c}" ref="AF151">
      <text>
        <t xml:space="preserve">[Threaded comment]
 Your version of Excel allows you to read this threaded comment; however, any edits to it will get removed if the file is opened in a newer version of Excel. Learn more: https://go.microsoft.com/fwlink/?linkid=870924
Comment:
	falta fixit
</t>
      </text>
    </comment>
    <comment authorId="2769" xr:uid="{ff180c5e-dda2-4a51-af93-5eef6f6d7102}" ref="J149">
      <text>
        <t xml:space="preserve">[Threaded comment]
 Your version of Excel allows you to read this threaded comment; however, any edits to it will get removed if the file is opened in a newer version of Excel. Learn more: https://go.microsoft.com/fwlink/?linkid=870924
Comment:
	https://drive.google.com/file/d/1giMZZ4GAkrFU_WM1OKAyLy5g24bg1t6q/view?usp=drive_link
</t>
      </text>
    </comment>
    <comment authorId="2770" xr:uid="{ff365e98-6fb2-4b06-98bc-abfac4c84e18}" ref="AF428">
      <text>
        <t xml:space="preserve">[Threaded comment]
 Your version of Excel allows you to read this threaded comment; however, any edits to it will get removed if the file is opened in a newer version of Excel. Learn more: https://go.microsoft.com/fwlink/?linkid=870924
Comment:
	FIXIT, EXCEDENTE, VOUCHER FINAL
</t>
      </text>
    </comment>
    <comment authorId="2771" xr:uid="{ff4418bb-6b12-4b63-bd39-e6d015db9677}" ref="D235">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https://www.bestbuy.com/product/asus-zenbook-duo-dual-14-3k-oled-touch-laptop-evo-intel-core-ultra-9-285h-with-32gb-ram-intel-arc-graphics-1tb-ssd-inkwell-gray/JJGGLQWVQV
</t>
      </text>
    </comment>
    <comment authorId="2772" xr:uid="{ff466c50-ec25-4507-8ba4-08774f9a9219}" ref="J261">
      <text>
        <t xml:space="preserve">[Threaded comment]
 Your version of Excel allows you to read this threaded comment; however, any edits to it will get removed if the file is opened in a newer version of Excel. Learn more: https://go.microsoft.com/fwlink/?linkid=870924
Comment:
	https://drive.google.com/file/d/1JKbFE9BdR_26-gWbfUGvcxJjWVyA8_Hl/view?usp=drive_link
</t>
      </text>
    </comment>
    <comment authorId="2773" xr:uid="{ff5c87cb-8774-41c4-8e07-952a628cdd0d}" ref="J392">
      <text>
        <t xml:space="preserve">[Threaded comment]
 Your version of Excel allows you to read this threaded comment; however, any edits to it will get removed if the file is opened in a newer version of Excel. Learn more: https://go.microsoft.com/fwlink/?linkid=870924
Comment:
	https://drive.google.com/file/d/1kpeUu9ME-0ISOPzPGo-yUY0pDes278hN/view?usp=drive_link
Reply:
	https://drive.google.com/file/d/1-bBcPIfe_8ZDP5yVXjx9rGLZmqPJctDb/view?usp=drive_link
Reply:
	https://drive.google.com/file/d/1V5jHEZOnCgHS--dzNv79ztsR3OxHi0-g/view?usp=drive_link
</t>
      </text>
    </comment>
    <comment authorId="2774" xr:uid="{ff72d8a7-5c49-43d6-b405-ab03f16d5cb7}" ref="C21">
      <text>
        <t xml:space="preserve">[Threaded comment]
 Your version of Excel allows you to read this threaded comment; however, any edits to it will get removed if the file is opened in a newer version of Excel. Learn more: https://go.microsoft.com/fwlink/?linkid=870924
Comment:
	https://www.walmart.com/ip/ASUS-TUF-F15-15-6-inch-FHD-144Hz-Gaming-Laptop-Intel-Core-i7-13620H-NVIDIA-GeForce-RTX-4060-16GB-DDR5-1TB-SSD-Mecha-Gray-2024/5109928275?filters=%5B%7B%22intent%22%3A%22retailer%22%2C%22values%22%3A%5B%22Walmart%22%5D%7D%5D&amp;classType=REGULAR&amp;athbdg=L1103&amp;adsRedirect=true
</t>
      </text>
    </comment>
    <comment authorId="2775" xr:uid="{ff8e7a90-dfec-4e2c-ac72-b4572950421b}" ref="W292">
      <text>
        <t xml:space="preserve">[Threaded comment]
 Your version of Excel allows you to read this threaded comment; however, any edits to it will get removed if the file is opened in a newer version of Excel. Learn more: https://go.microsoft.com/fwlink/?linkid=870924
Comment:
	https://drive.google.com/file/d/1ExHljSLDsMFtNZZ9McWXS7Qiz7pjkm1z/view?usp=drive_link
</t>
      </text>
    </comment>
    <comment authorId="2776" xr:uid="{ff9a2879-f9b5-426d-9e19-cb5a10f59eca}" ref="J514">
      <text>
        <t xml:space="preserve">[Threaded comment]
 Your version of Excel allows you to read this threaded comment; however, any edits to it will get removed if the file is opened in a newer version of Excel. Learn more: https://go.microsoft.com/fwlink/?linkid=870924
Comment:
	https://drive.google.com/file/d/1rJSfGZigqoI_-19zzpHqhtKTD5TJ-5sv/view?usp=drive_link
</t>
      </text>
    </comment>
    <comment authorId="2777" xr:uid="{ffdb2b66-2d70-4552-b724-c4696e2ba099}" ref="J499">
      <text>
        <t xml:space="preserve">[Threaded comment]
 Your version of Excel allows you to read this threaded comment; however, any edits to it will get removed if the file is opened in a newer version of Excel. Learn more: https://go.microsoft.com/fwlink/?linkid=870924
Comment:
	https://drive.google.com/file/d/1mZdtV-7AckoZyzJjxXOdLbnVjNkDW7Lb/view?usp=drive_link
</t>
      </text>
    </comment>
    <comment authorId="2778" xr:uid="{ffe7c499-5161-499b-90f0-87953f837eab}" ref="C718">
      <text>
        <t xml:space="preserve">[Threaded comment]
 Your version of Excel allows you to read this threaded comment; however, any edits to it will get removed if the file is opened in a newer version of Excel. Learn more: https://go.microsoft.com/fwlink/?linkid=870924
Comment:
	https://www.bestbuy.com/product/asus-proart-p16-16-3k-120hz-oled-touch-screen-laptop-copilot-pc-amd-ryzen-ai-9-hx-370-32gb-ram-rtx-5070-2tb-ssd-nano-black/JJGHGPS3ZS/sku/6642936
</t>
      </text>
    </comment>
    <comment authorId="2779" xr:uid="{ffe9d3f7-3156-4125-8b9c-5279b3a24e7a}" ref="J335">
      <text>
        <t xml:space="preserve">[Threaded comment]
 Your version of Excel allows you to read this threaded comment; however, any edits to it will get removed if the file is opened in a newer version of Excel. Learn more: https://go.microsoft.com/fwlink/?linkid=870924
Comment:
	https://drive.google.com/file/d/1xp0r9_ZyzE9USqoGRhr4kYVkvXozM9dY/view?usp=drive_link
</t>
      </text>
    </comment>
    <comment authorId="2780" xr:uid="{ffec8d56-ce1c-4470-8cd9-b1999cfa2912}" ref="W531">
      <text>
        <t xml:space="preserve">[Threaded comment]
 Your version of Excel allows you to read this threaded comment; however, any edits to it will get removed if the file is opened in a newer version of Excel. Learn more: https://go.microsoft.com/fwlink/?linkid=870924
Comment:
	SE LE ENVIO EL 20% AL FINALIZAR EMITIRLE LA FACTURA COMPLETA restando el importe
Reply:
	se envio otra factura con el saldo restante
</t>
      </text>
    </comment>
    <comment authorId="2781" xr:uid="{fff1517b-60eb-4e66-9a1a-45f85f484296}" ref="K293">
      <text>
        <t xml:space="preserve">[Threaded comment]
 Your version of Excel allows you to read this threaded comment; however, any edits to it will get removed if the file is opened in a newer version of Excel. Learn more: https://go.microsoft.com/fwlink/?linkid=870924
Comment:
	https://drive.google.com/file/d/1U33Y4z-fPejhXT-m3f7N4uT3uft-AJyB/view?usp=drive_link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tc={02eaeb54-fb84-41b0-80a6-6bd5743d213a}</author>
    <author>tc={02f2c91a-088e-42a3-a22a-380bc1a23ff7}</author>
    <author>tc={04c43e0f-05d3-40a0-a23b-3530b214a227}</author>
    <author>tc={0559d33a-9a21-47d8-be2b-b87af70efc7d}</author>
    <author>tc={05d8615b-4274-4c6b-af45-a40fe3bc096f}</author>
    <author>tc={072518ab-e6fa-48ec-96d4-a60ebc79765a}</author>
    <author>tc={080733f0-e5f6-460c-8435-41e694fa2600}</author>
    <author>tc={08166ae5-248b-498d-87e9-df4419253fbc}</author>
    <author>tc={0bb3531e-5f7d-4e15-b90e-6bdb3050a25b}</author>
    <author>tc={10733811-8112-4497-a974-e8e656386b45}</author>
    <author>tc={1af677da-6ea1-40b6-a8fe-ec51035506d5}</author>
    <author>tc={1d1fd1d0-5ead-40b0-bb11-919fc5be6302}</author>
    <author>tc={21514100-8e5b-4b07-b375-18f244b2ed81}</author>
    <author>tc={21b11d53-9366-4602-8b25-d5435edca835}</author>
    <author>tc={2465d167-af04-4541-8756-8ca2574fc1c0}</author>
    <author>tc={2533aa28-67e0-4bee-86a9-95ef6721ea83}</author>
    <author>tc={30c5b246-c15b-43d5-96bd-63dab7cf685f}</author>
    <author>tc={3605e597-d649-48b1-adca-0b0683882255}</author>
    <author>tc={3d060589-e7f9-42cf-b918-9207547946ab}</author>
    <author>tc={3f572d7a-7c74-44f5-9364-fffe0e118757}</author>
    <author>tc={45d5413f-c51b-4437-b5a4-717ae7568787}</author>
    <author>tc={485550d2-fd8d-4414-a61f-f225b7ff4407}</author>
    <author>tc={4f503182-a12f-4a3e-9898-9931b6639e9f}</author>
    <author>tc={5378d420-6198-4f50-957a-438f9802272b}</author>
    <author>tc={5503410d-7aea-4ead-b3f5-32210ef5808d}</author>
    <author>tc={56af1302-1f5d-469a-9052-ae97422b7e68}</author>
    <author>tc={575d9e3e-7029-4eec-b8f9-9b62c1fdc137}</author>
    <author>tc={5985c093-49bb-4a7e-b1a4-1ea069012654}</author>
    <author>tc={6353cff5-7f0e-45a2-ab2e-c109735f7813}</author>
    <author>tc={6a7f97b8-60c4-4dd9-84ef-78027f0b3463}</author>
    <author>tc={6ac41bb2-0606-4326-8218-30e0ef84ccb8}</author>
    <author>tc={6ebd458d-ea65-4649-a3e7-17b8eee9fcee}</author>
    <author>tc={72cc83c6-72c6-4764-b0b2-220b24f7268d}</author>
    <author>tc={751cab14-0042-4ad0-9b39-36a1348457d2}</author>
    <author>tc={78005006-d40e-4670-930f-d977a8d715cb}</author>
    <author>tc={781e9d1c-3de6-4cec-952d-9b0240b375ab}</author>
    <author>tc={7a265cdb-b9a5-424b-ae18-71bbdb50c9c3}</author>
    <author>tc={80ef7aa8-23c9-4c3c-879c-b0a993e5a15d}</author>
    <author>tc={82a66c3a-46eb-43c5-9b42-27c6cf2ea2f4}</author>
    <author>tc={879a0c6f-4013-4a6f-876e-ffffdaf07c14}</author>
    <author>tc={8882d0e8-1073-4d4a-b6f6-a2e2a586c0fb}</author>
    <author>tc={8c317a3b-7364-4502-a653-8b108067f80c}</author>
    <author>tc={8cf21061-db5c-4bbd-a875-ad2c0538791d}</author>
    <author>tc={962dc63c-cde6-4539-bb0d-d86745f013a3}</author>
    <author>tc={96c9306a-8ba3-49e8-b2a6-af854441c6e3}</author>
    <author>tc={97b5c1ec-76e0-4202-ae73-22f5ea43c59e}</author>
    <author>tc={97e14b3d-431e-413c-aba9-4620f1b0a225}</author>
    <author>tc={9de82547-fc43-41e9-aec8-6f01c05fd6d9}</author>
    <author>tc={9df181e7-bc82-40fe-835a-be22af415f32}</author>
    <author>tc={9eae933e-196a-438c-ab23-6ac3e79d9cb0}</author>
    <author>tc={9f963a03-c2f1-4350-a41d-88426219e7de}</author>
    <author>tc={a135c1f4-2dfe-4b8d-b96a-0a38437813fb}</author>
    <author>tc={a283defa-fb72-40ab-8f0e-0a9bffad210f}</author>
    <author>tc={a301671f-aa20-44bb-a9ab-679c4131c0db}</author>
    <author>tc={a8260df2-af83-43c5-ba52-5c95bed59079}</author>
    <author>tc={aa0fd512-9edf-4679-869a-d904b6b55124}</author>
    <author>tc={ab164490-534a-484f-8d8d-bd8975d8944b}</author>
    <author>tc={abc57ee0-7aa3-4c6d-b8fe-182b86ea8d1c}</author>
    <author>tc={ae5c923a-e937-4eaa-8771-aaeb943c5686}</author>
    <author>tc={b4dafa31-7649-4174-a9ea-0510085ac5c5}</author>
    <author>tc={bbcd292e-a6a5-4523-9717-bc71be3e51c0}</author>
    <author>tc={bdaf521c-bac7-4bb0-af7b-1e8df06611fe}</author>
    <author>tc={c0fccf59-63a8-4fe9-a6ac-4dcbd94d2865}</author>
    <author>tc={c23e9a47-6e64-427c-95bc-477d091aaf67}</author>
    <author>tc={c30bad5b-8152-46f2-9f1e-3f58c9ca0996}</author>
    <author>tc={c426bda3-40fa-4047-b124-3f6aa6c1eb06}</author>
    <author>tc={cac3415c-9201-4503-b91f-311c3be84243}</author>
    <author>tc={cb40b689-bd21-40e1-915c-ed4ac2a40ed9}</author>
    <author>tc={cd704236-ca16-43c1-8fae-8604e8943c18}</author>
    <author>tc={d53b5417-ef01-45c4-850f-7069f530c510}</author>
    <author>tc={d6712599-541c-45ff-a4e4-6f98619126b7}</author>
    <author>tc={d6f6f782-c824-444a-8987-3ec64bcabc6d}</author>
    <author>tc={d9f113e7-17a9-4edf-8c82-81969841ba9b}</author>
    <author>tc={e6b36f6d-1d97-4490-a6df-049a625c47f1}</author>
    <author>tc={e7cbae4a-83c1-4d02-87fc-87d2337210b1}</author>
    <author>tc={eb5a0568-6a52-4812-bbee-4e1cc85abcaf}</author>
    <author>tc={ec78a6d5-ba55-4470-8222-2f28f19fde04}</author>
    <author>tc={ed76fe8a-e402-4b47-843a-c4da47571be0}</author>
    <author>tc={f15111d6-57d1-4815-be45-fabecfc64a2e}</author>
    <author>tc={f1ccc9e1-2181-4ead-92ba-f63a9e4cd75b}</author>
    <author>tc={f4307e5e-d8e8-4689-ac7b-2c8cd2bb4b26}</author>
    <author>tc={f6350ffd-aed8-4476-b2e3-ecc6f8c218d3}</author>
    <author>tc={f74722f7-5265-4d50-bcb3-9b0b2bf0e515}</author>
    <author>tc={f8ba0c3e-b3eb-42a7-b29b-161c1d3c9de4}</author>
    <author>tc={f98c3e8f-8d90-45b5-bd13-ea7ef7d9cd59}</author>
    <author>tc={fdc3144a-8e5b-41c9-81a9-dbcd2750227d}</author>
  </authors>
  <commentList>
    <comment authorId="0" ref="O1">
      <text>
        <t xml:space="preserve">puede ser con igv o sin igv, dependiendo de cómo te lo da la tienda, ejm: deltron es sin igv, alcosto es con igv</t>
      </text>
    </comment>
    <comment authorId="1" xr:uid="{02eaeb54-fb84-41b0-80a6-6bd5743d213a}" ref="H6">
      <text>
        <t xml:space="preserve">[Threaded comment]
 Your version of Excel allows you to read this threaded comment; however, any edits to it will get removed if the file is opened in a newer version of Excel. Learn more: https://go.microsoft.com/fwlink/?linkid=870924
Comment:
	solo lo de verde resaltado
</t>
      </text>
    </comment>
    <comment authorId="2" xr:uid="{02f2c91a-088e-42a3-a22a-380bc1a23ff7}" ref="L9">
      <text>
        <t xml:space="preserve">[Threaded comment]
 Your version of Excel allows you to read this threaded comment; however, any edits to it will get removed if the file is opened in a newer version of Excel. Learn more: https://go.microsoft.com/fwlink/?linkid=870924
Comment:
	https://drive.google.com/file/d/1_9qeVBYQfZT4WQZ5z2XAYrCufYihJm-D/view?usp=drive_link
Reply:
	https://drive.google.com/file/d/1fDm7jvyyyTY77SSbtjNfMZ8SaI4oVXmp/view?usp=drive_link
</t>
      </text>
    </comment>
    <comment authorId="3" xr:uid="{04c43e0f-05d3-40a0-a23b-3530b214a227}" ref="M41">
      <text>
        <t xml:space="preserve">[Threaded comment]
 Your version of Excel allows you to read this threaded comment; however, any edits to it will get removed if the file is opened in a newer version of Excel. Learn more: https://go.microsoft.com/fwlink/?linkid=870924
Comment:
	https://drive.google.com/file/d/13GcozWZFhF2QS8t3JW6p9FiwJtdllY-Y/view?usp=drive_link
</t>
      </text>
    </comment>
    <comment authorId="4" xr:uid="{0559d33a-9a21-47d8-be2b-b87af70efc7d}" ref="L14">
      <text>
        <t xml:space="preserve">[Threaded comment]
 Your version of Excel allows you to read this threaded comment; however, any edits to it will get removed if the file is opened in a newer version of Excel. Learn more: https://go.microsoft.com/fwlink/?linkid=870924
Comment:
	https://drive.google.com/file/d/1cyeO-82zHC9BRfGQXihkAxiIqw79HZ5r/view?usp=drive_link
</t>
      </text>
    </comment>
    <comment authorId="5" xr:uid="{05d8615b-4274-4c6b-af45-a40fe3bc096f}" ref="N16">
      <text>
        <t xml:space="preserve">[Threaded comment]
 Your version of Excel allows you to read this threaded comment; however, any edits to it will get removed if the file is opened in a newer version of Excel. Learn more: https://go.microsoft.com/fwlink/?linkid=870924
Comment:
	https://drive.google.com/file/d/1HiJEy3VONQ498cFfNqLPZvIBt6KPakYF/view?usp=drive_link
</t>
      </text>
    </comment>
    <comment authorId="6" xr:uid="{072518ab-e6fa-48ec-96d4-a60ebc79765a}" ref="I25">
      <text>
        <t xml:space="preserve">[Threaded comment]
 Your version of Excel allows you to read this threaded comment; however, any edits to it will get removed if the file is opened in a newer version of Excel. Learn more: https://go.microsoft.com/fwlink/?linkid=870924
Comment:
	Factura 
RUC: 20533847901
Entidad de perforación y obras Cadillo
</t>
      </text>
    </comment>
    <comment authorId="7" xr:uid="{080733f0-e5f6-460c-8435-41e694fa2600}" ref="L39">
      <text>
        <t xml:space="preserve">[Threaded comment]
 Your version of Excel allows you to read this threaded comment; however, any edits to it will get removed if the file is opened in a newer version of Excel. Learn more: https://go.microsoft.com/fwlink/?linkid=870924
Comment:
	https://drive.google.com/file/d/1Q2wWlO9PKIylTiyhwo12Mk5UEAAC72oK/view?usp=drive_link
</t>
      </text>
    </comment>
    <comment authorId="8" xr:uid="{08166ae5-248b-498d-87e9-df4419253fbc}" ref="I2">
      <text>
        <t xml:space="preserve">[Threaded comment]
 Your version of Excel allows you to read this threaded comment; however, any edits to it will get removed if the file is opened in a newer version of Excel. Learn more: https://go.microsoft.com/fwlink/?linkid=870924
Comment:
	https://drive.google.com/file/d/1F-gPKYdi70zIO-OIQEiQRXXGEUGsa8Mg/view?usp=drive_link
</t>
      </text>
    </comment>
    <comment authorId="9" xr:uid="{0bb3531e-5f7d-4e15-b90e-6bdb3050a25b}" ref="I7">
      <text>
        <t xml:space="preserve">[Threaded comment]
 Your version of Excel allows you to read this threaded comment; however, any edits to it will get removed if the file is opened in a newer version of Excel. Learn more: https://go.microsoft.com/fwlink/?linkid=870924
Comment:
	https://drive.google.com/file/d/1_SBMKZzzTTv3FVRHcZvTFPefRd-ENoZN/view?usp=drive_link
</t>
      </text>
    </comment>
    <comment authorId="10" xr:uid="{10733811-8112-4497-a974-e8e656386b45}" ref="L27">
      <text>
        <t xml:space="preserve">[Threaded comment]
 Your version of Excel allows you to read this threaded comment; however, any edits to it will get removed if the file is opened in a newer version of Excel. Learn more: https://go.microsoft.com/fwlink/?linkid=870924
Comment:
	https://drive.google.com/file/d/1yKrz_0o2oFJwpQyFz1GHhmaVecxPAI3v/view?usp=drive_link
Reply:
	https://drive.google.com/file/d/1KwXHP8uM-SVAtpGE-RoNYARqYKqx6r68/view?usp=drive_link
</t>
      </text>
    </comment>
    <comment authorId="11" xr:uid="{1af677da-6ea1-40b6-a8fe-ec51035506d5}" ref="M40">
      <text>
        <t xml:space="preserve">[Threaded comment]
 Your version of Excel allows you to read this threaded comment; however, any edits to it will get removed if the file is opened in a newer version of Excel. Learn more: https://go.microsoft.com/fwlink/?linkid=870924
Comment:
	https://drive.google.com/file/d/1cEkqjoDLu04yW-bRz8GV9juNPmRINo7d/view?usp=drive_link
Reply:
	https://drive.google.com/file/d/15euywro3twg_YxXwiGTR59XvESmjfrpc/view?usp=drive_link
</t>
      </text>
    </comment>
    <comment authorId="12" xr:uid="{1d1fd1d0-5ead-40b0-bb11-919fc5be6302}" ref="M2">
      <text>
        <t xml:space="preserve">[Threaded comment]
 Your version of Excel allows you to read this threaded comment; however, any edits to it will get removed if the file is opened in a newer version of Excel. Learn more: https://go.microsoft.com/fwlink/?linkid=870924
Comment:
	https://drive.google.com/file/d/19-ESG9-_uRgO7DZRb1L1SivP2Zu0qxAQ/view?usp=drive_link
Reply:
	https://drive.google.com/file/d/1im2abrrse_oIbR_cyUA1-smJNkE2pz52/view?usp=drive_link
</t>
      </text>
    </comment>
    <comment authorId="13" xr:uid="{21514100-8e5b-4b07-b375-18f244b2ed81}" ref="T37">
      <text>
        <t xml:space="preserve">[Threaded comment]
 Your version of Excel allows you to read this threaded comment; however, any edits to it will get removed if the file is opened in a newer version of Excel. Learn more: https://go.microsoft.com/fwlink/?linkid=870924
Comment:
	para apertura y configuracion de fila 39
</t>
      </text>
    </comment>
    <comment authorId="14" xr:uid="{21b11d53-9366-4602-8b25-d5435edca835}" ref="L31">
      <text>
        <t xml:space="preserve">[Threaded comment]
 Your version of Excel allows you to read this threaded comment; however, any edits to it will get removed if the file is opened in a newer version of Excel. Learn more: https://go.microsoft.com/fwlink/?linkid=870924
Comment:
	https://drive.google.com/file/d/1iXyOElSlr55BlYpvIbguobPW_jVuwAio/view?usp=drive_link
Reply:
	https://drive.google.com/file/d/1aa59H2f5vinJhRPs1GzFzLytLs0YwyFv/view?usp=drive_link
Reply:
	https://drive.google.com/file/d/1e9Q1lDqNtx4ypFQ4vN4CJjLuodaEgOXu/view?usp=drive_link
</t>
      </text>
    </comment>
    <comment authorId="15" xr:uid="{2465d167-af04-4541-8756-8ca2574fc1c0}" ref="L29">
      <text>
        <t xml:space="preserve">[Threaded comment]
 Your version of Excel allows you to read this threaded comment; however, any edits to it will get removed if the file is opened in a newer version of Excel. Learn more: https://go.microsoft.com/fwlink/?linkid=870924
Comment:
	https://drive.google.com/file/d/19CtvtRav9kDywZXsb5EpGK5cZhhHavuS/view?usp=drive_link
Reply:
	https://drive.google.com/file/d/1VqaRS5aqkf7M3Jr_mjE7wRz_ED6-4GTv/view?usp=drive_link
</t>
      </text>
    </comment>
    <comment authorId="16" xr:uid="{2533aa28-67e0-4bee-86a9-95ef6721ea83}" ref="L12">
      <text>
        <t xml:space="preserve">[Threaded comment]
 Your version of Excel allows you to read this threaded comment; however, any edits to it will get removed if the file is opened in a newer version of Excel. Learn more: https://go.microsoft.com/fwlink/?linkid=870924
Comment:
	https://drive.google.com/file/d/1XMmW9vAkjeVEIlMMuSmCVucQqReTKSwH/view?usp=drive_link
</t>
      </text>
    </comment>
    <comment authorId="17" xr:uid="{30c5b246-c15b-43d5-96bd-63dab7cf685f}" ref="M20">
      <text>
        <t xml:space="preserve">[Threaded comment]
 Your version of Excel allows you to read this threaded comment; however, any edits to it will get removed if the file is opened in a newer version of Excel. Learn more: https://go.microsoft.com/fwlink/?linkid=870924
Comment:
	https://drive.google.com/file/d/1dUOKGTl4ayXxcFz8Umb2Nj6kcqlmzrfF/view?usp=drive_link
</t>
      </text>
    </comment>
    <comment authorId="18" xr:uid="{3605e597-d649-48b1-adca-0b0683882255}" ref="L25">
      <text>
        <t xml:space="preserve">[Threaded comment]
 Your version of Excel allows you to read this threaded comment; however, any edits to it will get removed if the file is opened in a newer version of Excel. Learn more: https://go.microsoft.com/fwlink/?linkid=870924
Comment:
	https://drive.google.com/file/d/1S8USy66grWNXX7zhi6SyOo0mIGaga_lZ/view?usp=drive_link
</t>
      </text>
    </comment>
    <comment authorId="19" xr:uid="{3d060589-e7f9-42cf-b918-9207547946ab}" ref="L20">
      <text>
        <t xml:space="preserve">[Threaded comment]
 Your version of Excel allows you to read this threaded comment; however, any edits to it will get removed if the file is opened in a newer version of Excel. Learn more: https://go.microsoft.com/fwlink/?linkid=870924
Comment:
	https://drive.google.com/file/d/15bdGmWB-l1nTEpfZFNB_ybGVYWUHPJek/view?usp=drive_link
</t>
      </text>
    </comment>
    <comment authorId="20" xr:uid="{3f572d7a-7c74-44f5-9364-fffe0e118757}" ref="L42">
      <text>
        <t xml:space="preserve">[Threaded comment]
 Your version of Excel allows you to read this threaded comment; however, any edits to it will get removed if the file is opened in a newer version of Excel. Learn more: https://go.microsoft.com/fwlink/?linkid=870924
Comment:
	https://drive.google.com/file/d/15m0sQs0u6m0BFjbC2UBaNfvbBzoJQmot/view?usp=drive_link
Reply:
	https://drive.google.com/file/d/1oOx9cYqFgBgxIUuyoVx0LYsvVrzErU9Y/view?usp=drive_link
</t>
      </text>
    </comment>
    <comment authorId="21" xr:uid="{45d5413f-c51b-4437-b5a4-717ae7568787}" ref="L36">
      <text>
        <t xml:space="preserve">[Threaded comment]
 Your version of Excel allows you to read this threaded comment; however, any edits to it will get removed if the file is opened in a newer version of Excel. Learn more: https://go.microsoft.com/fwlink/?linkid=870924
Comment:
	https://drive.google.com/file/d/1BaoGa_DlzG_LrHIvXfwbFo7pzBe6nyBs/view?usp=drive_link
</t>
      </text>
    </comment>
    <comment authorId="22" xr:uid="{485550d2-fd8d-4414-a61f-f225b7ff4407}" ref="M36">
      <text>
        <t xml:space="preserve">[Threaded comment]
 Your version of Excel allows you to read this threaded comment; however, any edits to it will get removed if the file is opened in a newer version of Excel. Learn more: https://go.microsoft.com/fwlink/?linkid=870924
Comment:
	https://drive.google.com/file/d/1j163WrnjxNIYwLDjFv4_PWQwkX_ySZAd/view?usp=drive_link
Reply:
	https://drive.google.com/file/d/1W3VerfSTD9Qw6SLUIrz1S9BJ4ItuUSTn/view?usp=drive_link
Reply:
	https://drive.google.com/file/d/1J-a_8wd-OFRiTBM6gB0kn4dKHjZeu_Yr/view?usp=drive_link
Reply:
	https://drive.google.com/file/d/10K5s5Ghi5XRY_GhgCbPW3RiCdxAdBbXo/view?usp=drive_link
Reply:
	https://drive.google.com/file/d/1KWoUljI3LgNlW3zhPoOIFi27E69RhiDd/view?usp=drive_link
Reply:
	https://drive.google.com/file/d/1rB4-7n9t1uaZ99xaBtWiQnSaqPPMlfUH/view?usp=drive_link
</t>
      </text>
    </comment>
    <comment authorId="23" xr:uid="{4f503182-a12f-4a3e-9898-9931b6639e9f}" ref="I11">
      <text>
        <t xml:space="preserve">[Threaded comment]
 Your version of Excel allows you to read this threaded comment; however, any edits to it will get removed if the file is opened in a newer version of Excel. Learn more: https://go.microsoft.com/fwlink/?linkid=870924
Comment:
	https://drive.google.com/file/d/13hDkYcZi_8huEUg-d2Ej8hS__ULLiypd/view?usp=drive_link
</t>
      </text>
    </comment>
    <comment authorId="24" xr:uid="{5378d420-6198-4f50-957a-438f9802272b}" ref="I4">
      <text>
        <t xml:space="preserve">[Threaded comment]
 Your version of Excel allows you to read this threaded comment; however, any edits to it will get removed if the file is opened in a newer version of Excel. Learn more: https://go.microsoft.com/fwlink/?linkid=870924
Comment:
	https://drive.google.com/file/d/1iCAHbl0UjEi3SOncv-d_8t8zgqDFj30V/view?usp=drive_link
</t>
      </text>
    </comment>
    <comment authorId="25" xr:uid="{5503410d-7aea-4ead-b3f5-32210ef5808d}" ref="M17">
      <text>
        <t xml:space="preserve">[Threaded comment]
 Your version of Excel allows you to read this threaded comment; however, any edits to it will get removed if the file is opened in a newer version of Excel. Learn more: https://go.microsoft.com/fwlink/?linkid=870924
Comment:
	https://drive.google.com/file/d/1FMSnpn621GmBjB0-n-Pac4CyNwxiT-vm/view?usp=drive_link
</t>
      </text>
    </comment>
    <comment authorId="26" xr:uid="{56af1302-1f5d-469a-9052-ae97422b7e68}" ref="T13">
      <text>
        <t xml:space="preserve">[Threaded comment]
 Your version of Excel allows you to read this threaded comment; however, any edits to it will get removed if the file is opened in a newer version of Excel. Learn more: https://go.microsoft.com/fwlink/?linkid=870924
Comment:
	se puso en la columna T de accesorios adicionales de la fila 437
</t>
      </text>
    </comment>
    <comment authorId="27" xr:uid="{575d9e3e-7029-4eec-b8f9-9b62c1fdc137}" ref="L21">
      <text>
        <t xml:space="preserve">[Threaded comment]
 Your version of Excel allows you to read this threaded comment; however, any edits to it will get removed if the file is opened in a newer version of Excel. Learn more: https://go.microsoft.com/fwlink/?linkid=870924
Comment:
	https://drive.google.com/file/d/1Ti-4GrRE0njAKhBWxNpqJrXgu48uotQ0/view?usp=drive_link
</t>
      </text>
    </comment>
    <comment authorId="28" xr:uid="{5985c093-49bb-4a7e-b1a4-1ea069012654}" ref="L6">
      <text>
        <t xml:space="preserve">[Threaded comment]
 Your version of Excel allows you to read this threaded comment; however, any edits to it will get removed if the file is opened in a newer version of Excel. Learn more: https://go.microsoft.com/fwlink/?linkid=870924
Comment:
	https://drive.google.com/file/d/1b5013DpjMGJGblNPnwo7lgTg1cF-eGv2/view?usp=drive_link
</t>
      </text>
    </comment>
    <comment authorId="29" xr:uid="{6353cff5-7f0e-45a2-ab2e-c109735f7813}" ref="S21">
      <text>
        <t xml:space="preserve">[Threaded comment]
 Your version of Excel allows you to read this threaded comment; however, any edits to it will get removed if the file is opened in a newer version of Excel. Learn more: https://go.microsoft.com/fwlink/?linkid=870924
Comment:
	faltante de 49 soles descontarle de fila 554
</t>
      </text>
    </comment>
    <comment authorId="30" xr:uid="{6a7f97b8-60c4-4dd9-84ef-78027f0b3463}" ref="I3">
      <text>
        <t xml:space="preserve">[Threaded comment]
 Your version of Excel allows you to read this threaded comment; however, any edits to it will get removed if the file is opened in a newer version of Excel. Learn more: https://go.microsoft.com/fwlink/?linkid=870924
Comment:
	https://drive.google.com/file/d/1vgU5p5TAb445AQBEa53KrjPYH8j5oDEz/view?usp=drive_link
</t>
      </text>
    </comment>
    <comment authorId="31" xr:uid="{6ac41bb2-0606-4326-8218-30e0ef84ccb8}" ref="N5">
      <text>
        <t xml:space="preserve">[Threaded comment]
 Your version of Excel allows you to read this threaded comment; however, any edits to it will get removed if the file is opened in a newer version of Excel. Learn more: https://go.microsoft.com/fwlink/?linkid=870924
Comment:
	tenía descuento
</t>
      </text>
    </comment>
    <comment authorId="32" xr:uid="{6ebd458d-ea65-4649-a3e7-17b8eee9fcee}" ref="I5">
      <text>
        <t xml:space="preserve">[Threaded comment]
 Your version of Excel allows you to read this threaded comment; however, any edits to it will get removed if the file is opened in a newer version of Excel. Learn more: https://go.microsoft.com/fwlink/?linkid=870924
Comment:
	https://drive.google.com/file/d/1WNhR49cXmiZl2o9Yn_yYfeCL2iT2taVr/view?usp=drive_link
</t>
      </text>
    </comment>
    <comment authorId="33" xr:uid="{72cc83c6-72c6-4764-b0b2-220b24f7268d}" ref="M18">
      <text>
        <t xml:space="preserve">[Threaded comment]
 Your version of Excel allows you to read this threaded comment; however, any edits to it will get removed if the file is opened in a newer version of Excel. Learn more: https://go.microsoft.com/fwlink/?linkid=870924
Comment:
	https://drive.google.com/file/d/14AnPtEQ8pXRR558r44A7n1ESxPI3bs6f/view?usp=drive_link
</t>
      </text>
    </comment>
    <comment authorId="34" xr:uid="{751cab14-0042-4ad0-9b39-36a1348457d2}" ref="L30">
      <text>
        <t xml:space="preserve">[Threaded comment]
 Your version of Excel allows you to read this threaded comment; however, any edits to it will get removed if the file is opened in a newer version of Excel. Learn more: https://go.microsoft.com/fwlink/?linkid=870924
Comment:
	https://drive.google.com/file/d/1PuMYwiBo5j-pxR-CnwWST-TfsQIKsy2N/view?usp=drive_link
</t>
      </text>
    </comment>
    <comment authorId="35" xr:uid="{78005006-d40e-4670-930f-d977a8d715cb}" ref="M43">
      <text>
        <t xml:space="preserve">[Threaded comment]
 Your version of Excel allows you to read this threaded comment; however, any edits to it will get removed if the file is opened in a newer version of Excel. Learn more: https://go.microsoft.com/fwlink/?linkid=870924
Comment:
	https://drive.google.com/file/d/1ss6L817KkD_Sz2B7c-MlX9n41oTRgdsa/view?usp=drive_link
</t>
      </text>
    </comment>
    <comment authorId="36" xr:uid="{781e9d1c-3de6-4cec-952d-9b0240b375ab}" ref="L22">
      <text>
        <t xml:space="preserve">[Threaded comment]
 Your version of Excel allows you to read this threaded comment; however, any edits to it will get removed if the file is opened in a newer version of Excel. Learn more: https://go.microsoft.com/fwlink/?linkid=870924
Comment:
	https://drive.google.com/file/d/1Ti-4GrRE0njAKhBWxNpqJrXgu48uotQ0/view?usp=drive_link
</t>
      </text>
    </comment>
    <comment authorId="37" xr:uid="{7a265cdb-b9a5-424b-ae18-71bbdb50c9c3}" ref="L44">
      <text>
        <t xml:space="preserve">[Threaded comment]
 Your version of Excel allows you to read this threaded comment; however, any edits to it will get removed if the file is opened in a newer version of Excel. Learn more: https://go.microsoft.com/fwlink/?linkid=870924
Comment:
	https://drive.google.com/file/d/1ZKIsrNiQuOTJ20rbYrP76SfOVk9nSqUU/view?usp=drive_link
Reply:
	https://drive.google.com/file/d/1bj0rYp6noXd4B_jWd6dNgSO1M6HWIZGF/view?usp=drive_link
</t>
      </text>
    </comment>
    <comment authorId="38" xr:uid="{80ef7aa8-23c9-4c3c-879c-b0a993e5a15d}" ref="L34">
      <text>
        <t xml:space="preserve">[Threaded comment]
 Your version of Excel allows you to read this threaded comment; however, any edits to it will get removed if the file is opened in a newer version of Excel. Learn more: https://go.microsoft.com/fwlink/?linkid=870924
Comment:
	https://drive.google.com/file/d/1ivUVQADuWe-dK9MTov1Ve2PYmVT7X3dt/view?usp=drive_link
</t>
      </text>
    </comment>
    <comment authorId="39" xr:uid="{82a66c3a-46eb-43c5-9b42-27c6cf2ea2f4}" ref="I16">
      <text>
        <t xml:space="preserve">[Threaded comment]
 Your version of Excel allows you to read this threaded comment; however, any edits to it will get removed if the file is opened in a newer version of Excel. Learn more: https://go.microsoft.com/fwlink/?linkid=870924
Comment:
	https://drive.google.com/file/d/1B_qA7gbeQeKX7BfbWbv8k-gysUf0M5SX/view?usp=drive_link
</t>
      </text>
    </comment>
    <comment authorId="40" xr:uid="{879a0c6f-4013-4a6f-876e-ffffdaf07c14}" ref="M4">
      <text>
        <t xml:space="preserve">[Threaded comment]
 Your version of Excel allows you to read this threaded comment; however, any edits to it will get removed if the file is opened in a newer version of Excel. Learn more: https://go.microsoft.com/fwlink/?linkid=870924
Comment:
	https://drive.google.com/file/d/1wGxHwwINP7JCtNRMHJlaF5rnPS7WNdwH/view?usp=drive_link
Reply:
	https://drive.google.com/file/d/16y12KuH14tqcGiZ67LLNQEpiLVXOavJm/view?usp=drive_link
</t>
      </text>
    </comment>
    <comment authorId="41" xr:uid="{8882d0e8-1073-4d4a-b6f6-a2e2a586c0fb}" ref="L15">
      <text>
        <t xml:space="preserve">[Threaded comment]
 Your version of Excel allows you to read this threaded comment; however, any edits to it will get removed if the file is opened in a newer version of Excel. Learn more: https://go.microsoft.com/fwlink/?linkid=870924
Comment:
	https://drive.google.com/file/d/1cyeO-82zHC9BRfGQXihkAxiIqw79HZ5r/view?usp=drive_link
</t>
      </text>
    </comment>
    <comment authorId="42" xr:uid="{8c317a3b-7364-4502-a653-8b108067f80c}" ref="I21">
      <text>
        <t xml:space="preserve">[Threaded comment]
 Your version of Excel allows you to read this threaded comment; however, any edits to it will get removed if the file is opened in a newer version of Excel. Learn more: https://go.microsoft.com/fwlink/?linkid=870924
Comment:
	factura -ROMAX CONTRATISTAS S.A.C.
RUC: 20604268843
</t>
      </text>
    </comment>
    <comment authorId="43" xr:uid="{8cf21061-db5c-4bbd-a875-ad2c0538791d}" ref="I10">
      <text>
        <t xml:space="preserve">[Threaded comment]
 Your version of Excel allows you to read this threaded comment; however, any edits to it will get removed if the file is opened in a newer version of Excel. Learn more: https://go.microsoft.com/fwlink/?linkid=870924
Comment:
	Vander Keith Collao Maza
73224117
Reply:
	https://drive.google.com/file/d/1az1dptWb3T57zBecRvg-XzdBD469sepC/view?usp=drive_link
</t>
      </text>
    </comment>
    <comment authorId="44" xr:uid="{962dc63c-cde6-4539-bb0d-d86745f013a3}" ref="L37">
      <text>
        <t xml:space="preserve">[Threaded comment]
 Your version of Excel allows you to read this threaded comment; however, any edits to it will get removed if the file is opened in a newer version of Excel. Learn more: https://go.microsoft.com/fwlink/?linkid=870924
Comment:
	https://drive.google.com/file/d/1BfKieFDePcGASjKptiqxLcYVO-tCbpGa/view?usp=drive_link
</t>
      </text>
    </comment>
    <comment authorId="45" xr:uid="{96c9306a-8ba3-49e8-b2a6-af854441c6e3}" ref="L17">
      <text>
        <t xml:space="preserve">[Threaded comment]
 Your version of Excel allows you to read this threaded comment; however, any edits to it will get removed if the file is opened in a newer version of Excel. Learn more: https://go.microsoft.com/fwlink/?linkid=870924
Comment:
	https://drive.google.com/file/d/19buKfyexhQId_ctNSsrd2CV4ffXmBg7W/view?usp=drive_link
</t>
      </text>
    </comment>
    <comment authorId="46" xr:uid="{97b5c1ec-76e0-4202-ae73-22f5ea43c59e}" ref="M32">
      <text>
        <t xml:space="preserve">[Threaded comment]
 Your version of Excel allows you to read this threaded comment; however, any edits to it will get removed if the file is opened in a newer version of Excel. Learn more: https://go.microsoft.com/fwlink/?linkid=870924
Comment:
	https://drive.google.com/file/d/1pp5CTwi9sEu06Dq0cY8582BfIrjWO7SO/view?usp=drive_link
</t>
      </text>
    </comment>
    <comment authorId="47" xr:uid="{97e14b3d-431e-413c-aba9-4620f1b0a225}" ref="R25">
      <text>
        <t xml:space="preserve">[Threaded comment]
 Your version of Excel allows you to read this threaded comment; however, any edits to it will get removed if the file is opened in a newer version of Excel. Learn more: https://go.microsoft.com/fwlink/?linkid=870924
Comment:
	apertura+ config inicial+licencia autocad+antivirus
</t>
      </text>
    </comment>
    <comment authorId="48" xr:uid="{9de82547-fc43-41e9-aec8-6f01c05fd6d9}" ref="M28">
      <text>
        <t xml:space="preserve">[Threaded comment]
 Your version of Excel allows you to read this threaded comment; however, any edits to it will get removed if the file is opened in a newer version of Excel. Learn more: https://go.microsoft.com/fwlink/?linkid=870924
Comment:
	https://drive.google.com/file/d/1cYvJWiYkYWbPUociXUbphxLFyuuiIpsm/view?usp=drive_link
</t>
      </text>
    </comment>
    <comment authorId="49" xr:uid="{9df181e7-bc82-40fe-835a-be22af415f32}" ref="M3">
      <text>
        <t xml:space="preserve">[Threaded comment]
 Your version of Excel allows you to read this threaded comment; however, any edits to it will get removed if the file is opened in a newer version of Excel. Learn more: https://go.microsoft.com/fwlink/?linkid=870924
Comment:
	https://drive.google.com/file/d/1FADkeIktSVUIzpaWUclWchMooCOdbZ6_/view?usp=drive_link
Reply:
	https://drive.google.com/file/d/1BSNLmel88YgFuLqK3QdaJVecPlTm6dti/view?usp=drive_link
</t>
      </text>
    </comment>
    <comment authorId="50" xr:uid="{9eae933e-196a-438c-ab23-6ac3e79d9cb0}" ref="L24">
      <text>
        <t xml:space="preserve">[Threaded comment]
 Your version of Excel allows you to read this threaded comment; however, any edits to it will get removed if the file is opened in a newer version of Excel. Learn more: https://go.microsoft.com/fwlink/?linkid=870924
Comment:
	https://drive.google.com/file/d/18IN4SdEZC4cx-TbKXxkVO1u8szlG0CAU/view?usp=drive_link
</t>
      </text>
    </comment>
    <comment authorId="51" xr:uid="{9f963a03-c2f1-4350-a41d-88426219e7de}" ref="L35">
      <text>
        <t xml:space="preserve">[Threaded comment]
 Your version of Excel allows you to read this threaded comment; however, any edits to it will get removed if the file is opened in a newer version of Excel. Learn more: https://go.microsoft.com/fwlink/?linkid=870924
Comment:
	https://drive.google.com/file/d/18_cqhJxU-ii1HIReaHRO26r_pkAZ_B_Q/view?usp=drive_link
</t>
      </text>
    </comment>
    <comment authorId="52" xr:uid="{a135c1f4-2dfe-4b8d-b96a-0a38437813fb}" ref="L10">
      <text>
        <t xml:space="preserve">[Threaded comment]
 Your version of Excel allows you to read this threaded comment; however, any edits to it will get removed if the file is opened in a newer version of Excel. Learn more: https://go.microsoft.com/fwlink/?linkid=870924
Comment:
	https://drive.google.com/file/d/1TKtzs6RBwR2-GDhYveeWimYMkyoEw-PQ/view?usp=drive_link
</t>
      </text>
    </comment>
    <comment authorId="53" xr:uid="{a283defa-fb72-40ab-8f0e-0a9bffad210f}" ref="M5">
      <text>
        <t xml:space="preserve">[Threaded comment]
 Your version of Excel allows you to read this threaded comment; however, any edits to it will get removed if the file is opened in a newer version of Excel. Learn more: https://go.microsoft.com/fwlink/?linkid=870924
Comment:
	https://drive.google.com/file/d/1h3pSODkEYYQxcUaAEpTqb55toN_vkoNU/view?usp=drive_link
</t>
      </text>
    </comment>
    <comment authorId="54" xr:uid="{a301671f-aa20-44bb-a9ab-679c4131c0db}" ref="M8">
      <text>
        <t xml:space="preserve">[Threaded comment]
 Your version of Excel allows you to read this threaded comment; however, any edits to it will get removed if the file is opened in a newer version of Excel. Learn more: https://go.microsoft.com/fwlink/?linkid=870924
Comment:
	https://drive.google.com/file/d/1tWTGtUPqRs-aQkwIgu6eVLK3nb9VpEPh/view?usp=drive_link
</t>
      </text>
    </comment>
    <comment authorId="55" xr:uid="{a8260df2-af83-43c5-ba52-5c95bed59079}" ref="M44">
      <text>
        <t xml:space="preserve">[Threaded comment]
 Your version of Excel allows you to read this threaded comment; however, any edits to it will get removed if the file is opened in a newer version of Excel. Learn more: https://go.microsoft.com/fwlink/?linkid=870924
Comment:
	https://drive.google.com/file/d/1s02BBPFsD3WdfYOjvdOQH83eq2KZiTuB/view?usp=drive_link
Reply:
	https://drive.google.com/file/d/1xftEZOqcpRX3QIixZGla-Od1cNRblqho/view?usp=drive_link
Reply:
	https://drive.google.com/file/d/14f83Kh54vAgZS2zqMOMoJRXY9DC91VDJ/view?usp=drive_link
</t>
      </text>
    </comment>
    <comment authorId="56" xr:uid="{aa0fd512-9edf-4679-869a-d904b6b55124}" ref="L32">
      <text>
        <t xml:space="preserve">[Threaded comment]
 Your version of Excel allows you to read this threaded comment; however, any edits to it will get removed if the file is opened in a newer version of Excel. Learn more: https://go.microsoft.com/fwlink/?linkid=870924
Comment:
	https://drive.google.com/file/d/139enGNXIqYZM7wS00gkOvAdBHbSV-gea/view?usp=drive_link
</t>
      </text>
    </comment>
    <comment authorId="57" xr:uid="{ab164490-534a-484f-8d8d-bd8975d8944b}" ref="L7">
      <text>
        <t xml:space="preserve">[Threaded comment]
 Your version of Excel allows you to read this threaded comment; however, any edits to it will get removed if the file is opened in a newer version of Excel. Learn more: https://go.microsoft.com/fwlink/?linkid=870924
Comment:
	https://drive.google.com/file/d/1wr5EhvUVXuUbJ68iepV_wNZ7ahVq1VCC/view?usp=drive_link
</t>
      </text>
    </comment>
    <comment authorId="58" xr:uid="{abc57ee0-7aa3-4c6d-b8fe-182b86ea8d1c}" ref="I7">
      <text>
        <t xml:space="preserve">[Threaded comment]
 Your version of Excel allows you to read this threaded comment; however, any edits to it will get removed if the file is opened in a newer version of Excel. Learn more: https://go.microsoft.com/fwlink/?linkid=870924
Comment:
	https://drive.google.com/file/d/1XfELjRi-YD7Bm7OShYTyMcaGj2vkGSa6/view?usp=drive_link
</t>
      </text>
    </comment>
    <comment authorId="59" xr:uid="{ae5c923a-e937-4eaa-8771-aaeb943c5686}" ref="L23">
      <text>
        <t xml:space="preserve">[Threaded comment]
 Your version of Excel allows you to read this threaded comment; however, any edits to it will get removed if the file is opened in a newer version of Excel. Learn more: https://go.microsoft.com/fwlink/?linkid=870924
Comment:
	https://drive.google.com/file/d/1QByOnGftxemJRKD8fPb19y4tlg5_hqsc/view?usp=drive_link
</t>
      </text>
    </comment>
    <comment authorId="60" xr:uid="{b4dafa31-7649-4174-a9ea-0510085ac5c5}" ref="I12">
      <text>
        <t xml:space="preserve">[Threaded comment]
 Your version of Excel allows you to read this threaded comment; however, any edits to it will get removed if the file is opened in a newer version of Excel. Learn more: https://go.microsoft.com/fwlink/?linkid=870924
Comment:
	10784604816 factura
Reply:
	https://drive.google.com/file/d/10V9jl9nNDIgqIi7hnACwL7LlctUrVOW-/view?usp=drive_link
</t>
      </text>
    </comment>
    <comment authorId="61" xr:uid="{bbcd292e-a6a5-4523-9717-bc71be3e51c0}" ref="M6">
      <text>
        <t xml:space="preserve">[Threaded comment]
 Your version of Excel allows you to read this threaded comment; however, any edits to it will get removed if the file is opened in a newer version of Excel. Learn more: https://go.microsoft.com/fwlink/?linkid=870924
Comment:
	https://drive.google.com/file/d/1zXvu8E3cPgqD9h5Xu-Gx8HOFFmUmDFFd/view?usp=drive_link
</t>
      </text>
    </comment>
    <comment authorId="62" xr:uid="{bdaf521c-bac7-4bb0-af7b-1e8df06611fe}" ref="M23">
      <text>
        <t xml:space="preserve">[Threaded comment]
 Your version of Excel allows you to read this threaded comment; however, any edits to it will get removed if the file is opened in a newer version of Excel. Learn more: https://go.microsoft.com/fwlink/?linkid=870924
Comment:
	https://drive.google.com/file/d/1IADuMxLt5hzPpH0WAji8UoUjUp_Di7zS/view?usp=drive_link
</t>
      </text>
    </comment>
    <comment authorId="63" xr:uid="{c0fccf59-63a8-4fe9-a6ac-4dcbd94d2865}" ref="I13">
      <text>
        <t xml:space="preserve">[Threaded comment]
 Your version of Excel allows you to read this threaded comment; however, any edits to it will get removed if the file is opened in a newer version of Excel. Learn more: https://go.microsoft.com/fwlink/?linkid=870924
Comment:
	Ruc 10418285392
Reply:
	https://drive.google.com/file/d/1TFbgSWYXgcg2xVtsVrje9kCyRUD7EjE_/view?usp=drive_link
</t>
      </text>
    </comment>
    <comment authorId="64" xr:uid="{c23e9a47-6e64-427c-95bc-477d091aaf67}" ref="M7">
      <text>
        <t xml:space="preserve">[Threaded comment]
 Your version of Excel allows you to read this threaded comment; however, any edits to it will get removed if the file is opened in a newer version of Excel. Learn more: https://go.microsoft.com/fwlink/?linkid=870924
Comment:
	https://drive.google.com/file/d/1yq4YHaDMVg5bk-CtZNRbMDKzn8ynllU7/view?usp=drive_link
</t>
      </text>
    </comment>
    <comment authorId="65" xr:uid="{c30bad5b-8152-46f2-9f1e-3f58c9ca0996}" ref="L26">
      <text>
        <t xml:space="preserve">[Threaded comment]
 Your version of Excel allows you to read this threaded comment; however, any edits to it will get removed if the file is opened in a newer version of Excel. Learn more: https://go.microsoft.com/fwlink/?linkid=870924
Comment:
	https://drive.google.com/file/d/1w7WhLslGdsL2lO02sSz0bgAgLmAMY8Ea/view?usp=drive_link
Reply:
	https://drive.google.com/file/d/1uBsIuCYzX8hPTkXIli125KUWuTxYs1P8/view?usp=drive_link
</t>
      </text>
    </comment>
    <comment authorId="66" xr:uid="{c426bda3-40fa-4047-b124-3f6aa6c1eb06}" ref="H28">
      <text>
        <t xml:space="preserve">[Threaded comment]
 Your version of Excel allows you to read this threaded comment; however, any edits to it will get removed if the file is opened in a newer version of Excel. Learn more: https://go.microsoft.com/fwlink/?linkid=870924
Comment:
	VOUCHERS
</t>
      </text>
    </comment>
    <comment authorId="67" xr:uid="{cac3415c-9201-4503-b91f-311c3be84243}" ref="M35">
      <text>
        <t xml:space="preserve">[Threaded comment]
 Your version of Excel allows you to read this threaded comment; however, any edits to it will get removed if the file is opened in a newer version of Excel. Learn more: https://go.microsoft.com/fwlink/?linkid=870924
Comment:
	https://drive.google.com/file/d/16S6FZNXuwsd6onH3SDp9_7vcT1QC-74L/view?usp=drive_link
</t>
      </text>
    </comment>
    <comment authorId="68" xr:uid="{cb40b689-bd21-40e1-915c-ed4ac2a40ed9}" ref="I9">
      <text>
        <t xml:space="preserve">[Threaded comment]
 Your version of Excel allows you to read this threaded comment; however, any edits to it will get removed if the file is opened in a newer version of Excel. Learn more: https://go.microsoft.com/fwlink/?linkid=870924
Comment:
	Nombre : Diego Enrique Figueroa mamani 
DNI: 73310286
Reply:
	https://drive.google.com/file/d/1wwItDHu-il3uE4WyC7s9alS9nZ9z7AzY/view?usp=drive_link
</t>
      </text>
    </comment>
    <comment authorId="69" xr:uid="{cd704236-ca16-43c1-8fae-8604e8943c18}" ref="L28">
      <text>
        <t xml:space="preserve">[Threaded comment]
 Your version of Excel allows you to read this threaded comment; however, any edits to it will get removed if the file is opened in a newer version of Excel. Learn more: https://go.microsoft.com/fwlink/?linkid=870924
Comment:
	https://drive.google.com/file/d/1e-QU2yNiUbi9lV9NJWKCb_G-IKEaBldH/view?usp=drive_link
</t>
      </text>
    </comment>
    <comment authorId="70" xr:uid="{d53b5417-ef01-45c4-850f-7069f530c510}" ref="I24">
      <text>
        <t xml:space="preserve">[Threaded comment]
 Your version of Excel allows you to read this threaded comment; however, any edits to it will get removed if the file is opened in a newer version of Excel. Learn more: https://go.microsoft.com/fwlink/?linkid=870924
Comment:
	Factura
990 965 190
EIT INGENIERÍA CORPORATIVA SAC
20603428791
carlos.laura.callupe@gmail.com 
HP OMEN 16-AM0073DX GAMING Core™ Ultra 7 255H 1TB SSD 16GB 16 (1920x1200) 144Hz WIN11 NVIDIA® RTX 5060 8192MB SHADOW BLACK RGB Backlit Keyboard
MONTO 5719 SOLES
</t>
      </text>
    </comment>
    <comment authorId="71" xr:uid="{d6712599-541c-45ff-a4e4-6f98619126b7}" ref="I14">
      <text>
        <t xml:space="preserve">[Threaded comment]
 Your version of Excel allows you to read this threaded comment; however, any edits to it will get removed if the file is opened in a newer version of Excel. Learn more: https://go.microsoft.com/fwlink/?linkid=870924
Comment:
	factura -ROMAX CONTRATISTAS S.A.C.
RUC: 206042688433
Reply:
	Todavia falta agregarles los terminos y condiciones a la factura emitida
Reply:
	https://drive.google.com/file/d/1HezjH1Puwj2ol8UUK-orE1vYd8hJY7qd/view?usp=drive_link
</t>
      </text>
    </comment>
    <comment authorId="72" xr:uid="{d6f6f782-c824-444a-8987-3ec64bcabc6d}" ref="M19">
      <text>
        <t xml:space="preserve">[Threaded comment]
 Your version of Excel allows you to read this threaded comment; however, any edits to it will get removed if the file is opened in a newer version of Excel. Learn more: https://go.microsoft.com/fwlink/?linkid=870924
Comment:
	https://drive.google.com/file/d/1EC4VABP0t8Rcq-_8Bq8y9rJQhECtGmX8/view?usp=drive_link
</t>
      </text>
    </comment>
    <comment authorId="73" xr:uid="{d9f113e7-17a9-4edf-8c82-81969841ba9b}" ref="Q5">
      <text>
        <t xml:space="preserve">[Threaded comment]
 Your version of Excel allows you to read this threaded comment; however, any edits to it will get removed if the file is opened in a newer version of Excel. Learn more: https://go.microsoft.com/fwlink/?linkid=870924
Comment:
	Me parece que solo es S/ 40 = 399.23-169-23-190
Reply:
	esy
Marcado como resuelto
</t>
      </text>
    </comment>
    <comment authorId="74" xr:uid="{e6b36f6d-1d97-4490-a6df-049a625c47f1}" ref="M37">
      <text>
        <t xml:space="preserve">[Threaded comment]
 Your version of Excel allows you to read this threaded comment; however, any edits to it will get removed if the file is opened in a newer version of Excel. Learn more: https://go.microsoft.com/fwlink/?linkid=870924
Comment:
	https://drive.google.com/file/d/1YBeQskJ97tV5P-4nUF6hSnaGvlLPSuzl/view?usp=drive_link
</t>
      </text>
    </comment>
    <comment authorId="75" xr:uid="{e7cbae4a-83c1-4d02-87fc-87d2337210b1}" ref="L13">
      <text>
        <t xml:space="preserve">[Threaded comment]
 Your version of Excel allows you to read this threaded comment; however, any edits to it will get removed if the file is opened in a newer version of Excel. Learn more: https://go.microsoft.com/fwlink/?linkid=870924
Comment:
	https://drive.google.com/file/d/1zh_YI89_Wvi8IUn_BhKFKVSlazQi5jzv/view?usp=drive_link
</t>
      </text>
    </comment>
    <comment authorId="76" xr:uid="{eb5a0568-6a52-4812-bbee-4e1cc85abcaf}" ref="I6">
      <text>
        <t xml:space="preserve">[Threaded comment]
 Your version of Excel allows you to read this threaded comment; however, any edits to it will get removed if the file is opened in a newer version of Excel. Learn more: https://go.microsoft.com/fwlink/?linkid=870924
Comment:
	https://drive.google.com/file/d/1rVYhGbd69t5ji-l90m8UqVjg_851Jn0w/view?usp=drive_link
</t>
      </text>
    </comment>
    <comment authorId="77" xr:uid="{ec78a6d5-ba55-4470-8222-2f28f19fde04}" ref="L33">
      <text>
        <t xml:space="preserve">[Threaded comment]
 Your version of Excel allows you to read this threaded comment; however, any edits to it will get removed if the file is opened in a newer version of Excel. Learn more: https://go.microsoft.com/fwlink/?linkid=870924
Comment:
	https://drive.google.com/file/d/1iAXK5YqjYHcpAcBb5RlfiDCrSkcYmzeb/view?usp=drive_link
</t>
      </text>
    </comment>
    <comment authorId="78" xr:uid="{ed76fe8a-e402-4b47-843a-c4da47571be0}" ref="M39">
      <text>
        <t xml:space="preserve">[Threaded comment]
 Your version of Excel allows you to read this threaded comment; however, any edits to it will get removed if the file is opened in a newer version of Excel. Learn more: https://go.microsoft.com/fwlink/?linkid=870924
Comment:
	https://drive.google.com/file/d/1Z4ozzVOn1qwv5A_mZn8R0UL5YP-R2HM4/view?usp=drive_link
https://drive.google.com/file/d/1IKRSw2KRiIxuzuY395wgFrKtbsvDs1qa/view?usp=drive_link
</t>
      </text>
    </comment>
    <comment authorId="79" xr:uid="{f15111d6-57d1-4815-be45-fabecfc64a2e}" ref="M24">
      <text>
        <t xml:space="preserve">[Threaded comment]
 Your version of Excel allows you to read this threaded comment; however, any edits to it will get removed if the file is opened in a newer version of Excel. Learn more: https://go.microsoft.com/fwlink/?linkid=870924
Comment:
	https://drive.google.com/file/d/1vvDOkGr7ESooLTI2jOIqV071FEhqZidA/view?usp=drive_link
</t>
      </text>
    </comment>
    <comment authorId="80" xr:uid="{f1ccc9e1-2181-4ead-92ba-f63a9e4cd75b}" ref="L11">
      <text>
        <t xml:space="preserve">[Threaded comment]
 Your version of Excel allows you to read this threaded comment; however, any edits to it will get removed if the file is opened in a newer version of Excel. Learn more: https://go.microsoft.com/fwlink/?linkid=870924
Comment:
	https://drive.google.com/file/d/1F3TV15kBGABsQKh7hW5N3kpKg7QLUl4q/view?usp=drive_link
Reply:
	https://drive.google.com/file/d/1HUzhxrluxXdLs8vjtE5ppx3l_2q5xEgI/view?usp=drive_link
</t>
      </text>
    </comment>
    <comment authorId="81" xr:uid="{f4307e5e-d8e8-4689-ac7b-2c8cd2bb4b26}" ref="I15">
      <text>
        <t xml:space="preserve">[Threaded comment]
 Your version of Excel allows you to read this threaded comment; however, any edits to it will get removed if the file is opened in a newer version of Excel. Learn more: https://go.microsoft.com/fwlink/?linkid=870924
Comment:
	https://drive.google.com/file/d/1Q5ro5ykBff5Yp5RFc6DXpLOJDf-ZGZ6C/view?usp=drive_link
</t>
      </text>
    </comment>
    <comment authorId="82" xr:uid="{f6350ffd-aed8-4476-b2e3-ecc6f8c218d3}" ref="L16">
      <text>
        <t xml:space="preserve">[Threaded comment]
 Your version of Excel allows you to read this threaded comment; however, any edits to it will get removed if the file is opened in a newer version of Excel. Learn more: https://go.microsoft.com/fwlink/?linkid=870924
Comment:
	https://drive.google.com/file/d/1Gpx_lb4ypCSKzIz0Jexeb382_qojEmED/view?usp=drive_link
</t>
      </text>
    </comment>
    <comment authorId="83" xr:uid="{f74722f7-5265-4d50-bcb3-9b0b2bf0e515}" ref="S20">
      <text>
        <t xml:space="preserve">[Threaded comment]
 Your version of Excel allows you to read this threaded comment; however, any edits to it will get removed if the file is opened in a newer version of Excel. Learn more: https://go.microsoft.com/fwlink/?linkid=870924
Comment:
	faltante de 44 soles descontarle de fila 554
</t>
      </text>
    </comment>
    <comment authorId="84" xr:uid="{f8ba0c3e-b3eb-42a7-b29b-161c1d3c9de4}" ref="N5">
      <text>
        <t xml:space="preserve">[Threaded comment]
 Your version of Excel allows you to read this threaded comment; however, any edits to it will get removed if the file is opened in a newer version of Excel. Learn more: https://go.microsoft.com/fwlink/?linkid=870924
Comment:
	Lo corregí porque así me salio en la calculadora
</t>
      </text>
    </comment>
    <comment authorId="85" xr:uid="{f98c3e8f-8d90-45b5-bd13-ea7ef7d9cd59}" ref="L41">
      <text>
        <t xml:space="preserve">[Threaded comment]
 Your version of Excel allows you to read this threaded comment; however, any edits to it will get removed if the file is opened in a newer version of Excel. Learn more: https://go.microsoft.com/fwlink/?linkid=870924
Comment:
	https://drive.google.com/file/d/1R3XaVTSrODRkKTboy_h9S0xCvzjKqA0J/view?usp=drive_link
</t>
      </text>
    </comment>
    <comment authorId="86" xr:uid="{fdc3144a-8e5b-41c9-81a9-dbcd2750227d}" ref="M38">
      <text>
        <t xml:space="preserve">[Threaded comment]
 Your version of Excel allows you to read this threaded comment; however, any edits to it will get removed if the file is opened in a newer version of Excel. Learn more: https://go.microsoft.com/fwlink/?linkid=870924
Comment:
	https://drive.google.com/file/d/1FSIkOnTWebgFJkyI7ONXWr22kIE6wiXs/view?usp=drive_link
Reply:
	https://drive.google.com/file/d/12EX_st7vWxmL5VgFCh23WIyUZXavNpOU/view?usp=drive_link
Reply:
	https://drive.google.com/file/d/1TUO4jiC1_R3T8l50EJHLLx78Hczyri2J/view?usp=drive_link
Reply:
	https://drive.google.com/file/d/1n6R623XC_ij_F8yXS0ztA2b2d98KcL-q/view?usp=drive_link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SE EXPORTA A:
https://docs.google.com/spreadsheets/d/1mj_bw7t5WhG0VsFqU_i23kaO1yQu4KLan1rrrl3HAkY/edit?gid=13410561#gid=13410561</t>
      </text>
    </comment>
    <comment authorId="0" ref="J1">
      <text>
        <t xml:space="preserve">proveedores locales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8">
      <text>
        <t xml:space="preserve">revisar después
</t>
      </text>
    </comment>
    <comment authorId="0" ref="K132">
      <text>
        <t xml:space="preserve">Venta final, fixit, boleta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SE EXPORTA A:
https://docs.google.com/spreadsheets/d/1mj_bw7t5WhG0VsFqU_i23kaO1yQu4KLan1rrrl3HAkY/edit?gid=13410561#gid=13410561</t>
      </text>
    </comment>
    <comment authorId="0" ref="M1">
      <text>
        <t xml:space="preserve">proveedores locales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SE EXPORTA A:
https://docs.google.com/spreadsheets/d/1mj_bw7t5WhG0VsFqU_i23kaO1yQu4KLan1rrrl3HAkY/edit?gid=13410561#gid=13410561</t>
      </text>
    </comment>
    <comment authorId="0" ref="M1">
      <text>
        <t xml:space="preserve">proveedores locales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SE EXPORTA A:
https://docs.google.com/spreadsheets/d/1mj_bw7t5WhG0VsFqU_i23kaO1yQu4KLan1rrrl3HAkY/edit?gid=13410561#gid=13410561</t>
      </text>
    </comment>
    <comment authorId="0" ref="M1">
      <text>
        <t xml:space="preserve">proveedores locales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SE EXPORTA A:
https://docs.google.com/spreadsheets/d/1mj_bw7t5WhG0VsFqU_i23kaO1yQu4KLan1rrrl3HAkY/edit?gid=13410561#gid=13410561</t>
      </text>
    </comment>
    <comment authorId="0" ref="M1">
      <text>
        <t xml:space="preserve">proveedores locales</t>
      </text>
    </comment>
  </commentList>
</comments>
</file>

<file path=xl/sharedStrings.xml><?xml version="1.0" encoding="utf-8"?>
<sst xmlns="http://schemas.openxmlformats.org/spreadsheetml/2006/main" count="10225" uniqueCount="2840">
  <si>
    <t>ASESORA</t>
  </si>
  <si>
    <t>FECHA DE PEDIDO</t>
  </si>
  <si>
    <t>Column 3</t>
  </si>
  <si>
    <t xml:space="preserve">NOMBRE DEL CLIENTE </t>
  </si>
  <si>
    <t>NUMERO DE CELULAR</t>
  </si>
  <si>
    <t>TIPO DE PAGO</t>
  </si>
  <si>
    <t>adelanto</t>
  </si>
  <si>
    <t>Precio de Venta</t>
  </si>
  <si>
    <t xml:space="preserve">Precio en dolares </t>
  </si>
  <si>
    <t>ORDEN DE COMPRA/ código interno</t>
  </si>
  <si>
    <t>FECHA DE LLEGADA</t>
  </si>
  <si>
    <t>LLEGARON/NO LLEGARON</t>
  </si>
  <si>
    <t>OBSERVACION</t>
  </si>
  <si>
    <t>ESTADO DEL PAQUETE</t>
  </si>
  <si>
    <t>ENVIO</t>
  </si>
  <si>
    <t>DEPARTAMENTO</t>
  </si>
  <si>
    <t>Column 1</t>
  </si>
  <si>
    <t xml:space="preserve">MARYORY </t>
  </si>
  <si>
    <t>ASUS ROG STRIX SCAR G18 18" QHD 240HZ GEFORNCE RTX 4090 INTERL CORE TH I9-14900HX 32 gb ddr5, 2tb pcle ssd</t>
  </si>
  <si>
    <t>ABDEL FLORES</t>
  </si>
  <si>
    <t>927 099 725</t>
  </si>
  <si>
    <t>cancelada</t>
  </si>
  <si>
    <t>DAMARIS</t>
  </si>
  <si>
    <t>ASUS ROG STRIX G18 18" QHD 240HZ GEFORNCE RTX 4080 INTERL CORE TH I9-14900HX 32 gb ddr5, 2tb pcle ssd</t>
  </si>
  <si>
    <t>FABIO</t>
  </si>
  <si>
    <t>964 175 413</t>
  </si>
  <si>
    <t>BBY01-806989096064</t>
  </si>
  <si>
    <t>MARTES 10 O VIERNES 13 DE DICIEMBRE</t>
  </si>
  <si>
    <t>ENTREGADA AL CLIENTE</t>
  </si>
  <si>
    <t xml:space="preserve">Asus Rog StrixG16  I9-14900HX - RTX 4060 16gb ddr5 1tb pcle SSD </t>
  </si>
  <si>
    <t>RENZO</t>
  </si>
  <si>
    <t>967 812 734</t>
  </si>
  <si>
    <t>111-4048184-4873008</t>
  </si>
  <si>
    <t>LUNES 09</t>
  </si>
  <si>
    <t>JOSELYN</t>
  </si>
  <si>
    <t xml:space="preserve">Alienware M18 R2, i9-14900HX NVIDIA GEFORCE RTX 4090 16 GB 2TB </t>
  </si>
  <si>
    <t>JHONny</t>
  </si>
  <si>
    <t>916 805 865</t>
  </si>
  <si>
    <t>11-12373-74037</t>
  </si>
  <si>
    <t>Acer Predator Helios Neo 18,
Intel Core i7-14700HX, NVIDIA GeForce RTX 4070 (8gb),
18 pulgadas, pantalla WQXGA 2560x1600 165 Hz
G-SYNC, DDR5 16 GB, SSD Gen 4 1 TB</t>
  </si>
  <si>
    <t>DANIEL</t>
  </si>
  <si>
    <t>988 220 947</t>
  </si>
  <si>
    <t xml:space="preserve">113-9969654-0407466
</t>
  </si>
  <si>
    <t>Se le realizo el embarque 05/12/2024</t>
  </si>
  <si>
    <t>ASUS ROG STRIX  G18 18" QHD 240HZ GEFORNCE RTX 4080 INTERL CORE TH I9-14900HX 32 gb ddr5, 2tb pcle ssd</t>
  </si>
  <si>
    <t>ANGEL</t>
  </si>
  <si>
    <t>949 120 416</t>
  </si>
  <si>
    <t>07-12361-84704</t>
  </si>
  <si>
    <t>llego el equipo</t>
  </si>
  <si>
    <t xml:space="preserve">ASUS ROG STRIX G16 RTX 4070 I9 14900 32GB RAM 1TB DE SSD 240HZ QHD </t>
  </si>
  <si>
    <t xml:space="preserve">Marco </t>
  </si>
  <si>
    <t>949 780 056</t>
  </si>
  <si>
    <t>BH - 1113135710</t>
  </si>
  <si>
    <t>Llego a miami, se le realizo el embarque hoy 04/12/2024</t>
  </si>
  <si>
    <t>rember</t>
  </si>
  <si>
    <t>948 862 250</t>
  </si>
  <si>
    <t>111-4199049-0771414</t>
  </si>
  <si>
    <t xml:space="preserve"> SE REALIZA EL EMBARQUE 07/12/2024</t>
  </si>
  <si>
    <t xml:space="preserve">ES URGENTE QUE ESTE EQUIPO LLEGUE LO MÁS ANTES POSIBLE, SI ES POSIBE PARA ESTE FIN DE SEMANA  </t>
  </si>
  <si>
    <t>FRAY</t>
  </si>
  <si>
    <t>927 705 319</t>
  </si>
  <si>
    <t>OTRO</t>
  </si>
  <si>
    <t>05-12238-52359</t>
  </si>
  <si>
    <t>ASUS Zenbook Pro 14 Duo OLED, con las
siguientes características 14.5'' 120 Hz Touch, GeForce RTX 4060, Intel® Core™ Intel
i9-13900H, 32GB DDR5, 1TB PCIe SSD</t>
  </si>
  <si>
    <t>987 776 403</t>
  </si>
  <si>
    <t>111-9447800-3076268</t>
  </si>
  <si>
    <t xml:space="preserve">Lenovo legion 7i RTX 4070 32GB RAM I9 14 1TB SSD </t>
  </si>
  <si>
    <t>Marcos</t>
  </si>
  <si>
    <t>918 333 742</t>
  </si>
  <si>
    <t>ASUS TUF Gaming A16 (2024) Laptop para juegos, pantalla FHD+ 16:10 165Hz, AMD Ryzen™ 9 7940HX, NVIDIA® GeForce RTX™ 4060, 16 GB DDR5, SSD PCIe Gen4 de 512 GB, Wi-Fi 6, Windows 11, FA607PV-AS93</t>
  </si>
  <si>
    <t>Samuel</t>
  </si>
  <si>
    <t>961 445 659</t>
  </si>
  <si>
    <t>111-2251472-0208235</t>
  </si>
  <si>
    <t>Waldir jordan cristobal chachi</t>
  </si>
  <si>
    <t>VIERNES 23 DE DICIEMBRE</t>
  </si>
  <si>
    <t>Anthony</t>
  </si>
  <si>
    <t>936 623 422</t>
  </si>
  <si>
    <t>R-13-12369-53821</t>
  </si>
  <si>
    <t>JUAN MARCOS BAUTISTA</t>
  </si>
  <si>
    <t>914 028 077</t>
  </si>
  <si>
    <t>k-BBY01-806996101546</t>
  </si>
  <si>
    <t>19 DICIEMBRE</t>
  </si>
  <si>
    <t>IMPORTACIÓN GRUPAL</t>
  </si>
  <si>
    <t>JULISSA</t>
  </si>
  <si>
    <t>984 091 552</t>
  </si>
  <si>
    <t>04-12359-10002</t>
  </si>
  <si>
    <t>LLEGO LA LAPTOP</t>
  </si>
  <si>
    <t>BENJAMIN ISRAEL</t>
  </si>
  <si>
    <t>981 375 645</t>
  </si>
  <si>
    <t>k-27-12341-94588</t>
  </si>
  <si>
    <t>llego la laptop</t>
  </si>
  <si>
    <t xml:space="preserve">David arias </t>
  </si>
  <si>
    <t>$2 949.95</t>
  </si>
  <si>
    <t>S - e -10-12447-41486</t>
  </si>
  <si>
    <t xml:space="preserve">ASUS - ROG Zephyrus G14 14" OLED 3K 120Hz - AMD Ryzen 9 8945HS - 32GB LPDDR5X - NVIDIA GeForce RTX 4070 - SSD 1TB - Platinum White
</t>
  </si>
  <si>
    <t>Ivan Sebastian Cordova Rivero</t>
  </si>
  <si>
    <t>$1 649.99</t>
  </si>
  <si>
    <t>K - BBY01-807002550939</t>
  </si>
  <si>
    <t>Alienware - Portátil Gaming m16 R2 16" 240Hz QHD - Intel Core Series 1 Ultra 9 con 32GB RAM - NVIDIA GeForce RTX 4070 - SSD 1TB - Dark Metallic Moon</t>
  </si>
  <si>
    <t>DANNY</t>
  </si>
  <si>
    <t>K - e - 03-12467-77563</t>
  </si>
  <si>
    <t>Alienware Ratón para juegos con cable/inalámbrico AW610M: sensor óptico de 16000 DPI - Batería recargable de 350 horas, 7 botones, iluminación AlienFX RGB de 3 zonas de 55.1 ft, diseño sin bordes,</t>
  </si>
  <si>
    <t>K - a - 113-3473052-5825810</t>
  </si>
  <si>
    <t>Alienware - m18 R2 18" 165Hz Gaming Laptop QHD - Intel Core 14th Gen i9 with 32GB RAM - NVIDIA GeForce RTX 4070 - 1TB SSD</t>
  </si>
  <si>
    <t>Arturo</t>
  </si>
  <si>
    <t>948 520 516</t>
  </si>
  <si>
    <t>$2 099.99</t>
  </si>
  <si>
    <t>S - e - 09-12488-02665</t>
  </si>
  <si>
    <t>ADUANAS</t>
  </si>
  <si>
    <t>MOCHILA DE VIAJE DELL ALIENWARE HORIZON 18 AW724P Resistente a los Golpes</t>
  </si>
  <si>
    <t>949 520 516</t>
  </si>
  <si>
    <t>K - e - 21-12474-30434</t>
  </si>
  <si>
    <t>stock</t>
  </si>
  <si>
    <t>Alienware Ratón para juegos con cable/inalámbrico AW610M: sensor óptico de 16000 DPI</t>
  </si>
  <si>
    <t>950 520 516</t>
  </si>
  <si>
    <t>US$52.70</t>
  </si>
  <si>
    <t>K - a - 113-7998220-4468226</t>
  </si>
  <si>
    <t>ROMINA</t>
  </si>
  <si>
    <t>ASUS Portátil para juegos ROG Strix Scar 18 (2024), Nebula HDR 16:10 QHD 240Hz/3ms, GeForce RTX™ 4090, Intel® Core™ i9-14900HX, 32GB DDR5-5600, 2TB PCIe SSD, Wi-Fi 6E, Windows 11 Pro, G834J. YR-XS97</t>
  </si>
  <si>
    <t>Mario</t>
  </si>
  <si>
    <t xml:space="preserve"> 941 932 282</t>
  </si>
  <si>
    <t>K - e - 22-12473-45224</t>
  </si>
  <si>
    <t>EN OFICINA 14 DE ENERO</t>
  </si>
  <si>
    <t>ASUS - ROG Zephyrus G14 14" OLED 3K 120Hz - AMD Ryzen 9 8945HS - 32GB LPDDR5X - NVIDIA GeForce RTX 4070 - SSD 1TB - Platinum White</t>
  </si>
  <si>
    <t>Alonso</t>
  </si>
  <si>
    <t>K - e - 14-12494-62552</t>
  </si>
  <si>
    <t>DELL ALIENWARE m18 R2 18 pulgadas 165hz QHD+ INTEL i9-14900HX 32GB DDR51TBSSDNVIDIA RTX 4080 (12 gb vram)</t>
  </si>
  <si>
    <t>Erick</t>
  </si>
  <si>
    <t>K - e - 03-12512-71705</t>
  </si>
  <si>
    <t>ASUS- ROG Zephyrus G14 14" OLED 3K120Hz- AMDRyzen 98945HS 16GB LPDDR5X- NVIDIA GeForce RTX 4060- SSD 1TB- Platinum White</t>
  </si>
  <si>
    <t>Cesar</t>
  </si>
  <si>
    <t>K - e- 20-12501-53482</t>
  </si>
  <si>
    <t>MSI Vector 16" FHD+ 144Hz Intel Core i7-13700H 16GB RAM 1TB SSD NVIDIA GeForce RTX 4080 12GB Cosmo Gray</t>
  </si>
  <si>
    <t>Angie</t>
  </si>
  <si>
    <t>K - e - 14-12559-17695</t>
  </si>
  <si>
    <t>EN OFICINA</t>
  </si>
  <si>
    <t xml:space="preserve">Portátil para juegos ASUS - ROG Strix 18" QHD 240Hz - Intel 14ª generación Core i9 con 32. GB de RAM y 2TB de SSD </t>
  </si>
  <si>
    <t xml:space="preserve">Carlos </t>
  </si>
  <si>
    <t xml:space="preserve"> 955 360 786</t>
  </si>
  <si>
    <t>R - e - 27-12573-26585</t>
  </si>
  <si>
    <t>Alienware M18 R2, con las siguientes características 18" QHD+ 165Hz, GeForce RTX 4090 (16 GB GDDR6), Intel® Core™ i9-14900 HX, 32GB DDR5, 2TB RAID0</t>
  </si>
  <si>
    <t>José</t>
  </si>
  <si>
    <t>K - e - 26-12587-85654</t>
  </si>
  <si>
    <t>Cancelada</t>
  </si>
  <si>
    <t>ASUS - ROG Strix 18" QHD 240Hz Gaming Laptop - Intel 14th Gen Core i9 with 32GB Memory - NVIDIA GeForce RTX 4080 - 2TB SSD - Eclipse Gray</t>
  </si>
  <si>
    <t xml:space="preserve">Juan </t>
  </si>
  <si>
    <t xml:space="preserve"> 959 154 127</t>
  </si>
  <si>
    <t>K-B-BBY01-807025615280</t>
  </si>
  <si>
    <t xml:space="preserve">comprada </t>
  </si>
  <si>
    <t xml:space="preserve">LLego el 05 de febrero al almacén de miami - aproximadamente estara en Lima entre el 20 -23 de Febrero </t>
  </si>
  <si>
    <t>Lenovo 16" Legion 5i Gaming Laptop 2.2 GHz Intel Core i9 24-Core (14th Gen)
32GB of DDR5 RAM | 1TB M.2 SSD
16" 2560 x 1600 IPS Display
Dedicated NVIDIA GeForce RTX 4070</t>
  </si>
  <si>
    <t>Brayhan</t>
  </si>
  <si>
    <t>S-BH-1117118143</t>
  </si>
  <si>
    <r>
      <rPr>
        <color rgb="FF434343"/>
        <u/>
      </rPr>
      <t xml:space="preserve">Llego el 08 de Febrero al almacén de Miami, </t>
    </r>
    <r>
      <rPr>
        <color rgb="FF000000"/>
      </rPr>
      <t>estara en Lima aproximadamente  el 27 de Febrero</t>
    </r>
  </si>
  <si>
    <t>https://www.ebay.com/itm/326138511415?_skw=4060&amp;itmmeta=01JGZR9Q1EQJYBJNW647YYSC4P&amp;hash=item4bef5ec037:g:AocAAOSwVC1m9CZ-</t>
  </si>
  <si>
    <t>Reynaldo</t>
  </si>
  <si>
    <t>K-e-16-12643-97131</t>
  </si>
  <si>
    <t>El equipo debe estar en Lima el 24 de Febrero aproximadamente</t>
  </si>
  <si>
    <t xml:space="preserve">MSI Vector HX, i9-14900HX, RTX 4080, 32GB RAM, 1TB SSD, 16" QHD 240 Hz </t>
  </si>
  <si>
    <t>Maricela</t>
  </si>
  <si>
    <t>S-BH-1117269197</t>
  </si>
  <si>
    <t xml:space="preserve">La laptop llego el 12 de febrero, estara en Lima el día 23 de Febrero </t>
  </si>
  <si>
    <t>KARINA</t>
  </si>
  <si>
    <t>https://www.ebay.com/itm/205115913137?_skw=4070&amp;itmmeta=01JJPGJ9734QRJXGRDV1NAG56H&amp;hash=item2fc1dc73b1:g:jJEAAOSwcZtnkf4I</t>
  </si>
  <si>
    <t>Angel Yoel</t>
  </si>
  <si>
    <t>K-e-16-12695-05393</t>
  </si>
  <si>
    <r>
      <rPr/>
      <t xml:space="preserve">La laptop aún no llega al almacén se deja el link para que el cliente le de seguimiento cuando el producto llegue a Miami: </t>
    </r>
    <r>
      <rPr>
        <color rgb="FF1155CC"/>
        <u/>
      </rPr>
      <t>https://www.ups.com/track?track=yes&amp;trackNums=1ZW494600388224505&amp;loc=en_US&amp;requester=ST/trackdetails</t>
    </r>
    <r>
      <rPr/>
      <t xml:space="preserve">  //</t>
    </r>
  </si>
  <si>
    <t>ASUS ROG Strix G16 G614JIR-MS96 16" Gaming Laptop Computer - Eclipse GrayIntel Core i9 14th Gen 14900HX 1.6GHz Processor; NVIDIA GeForce RTX 4070 8GB GDDR6; 32GB DDR5-5600 RAM; 1TB Solid State Drive</t>
  </si>
  <si>
    <t>EFRAIN VIZCARRA CHOQUE</t>
  </si>
  <si>
    <t>ASUS Portátil para juegos ROG Strix G16, pantalla FHD 16:10 de 16 pulgadas, 165 Hz, NVIDIA® GeForce RTX™ 4060, Intel Core i7-13650HX, DDR5 de 16 GB, SSD PCIe Gen4 de 1 TB, Wi-Fi 6E, Windows 11</t>
  </si>
  <si>
    <t>Jorge Luis Gutiérrez Calsina</t>
  </si>
  <si>
    <t>K- 114-4320666-0017811</t>
  </si>
  <si>
    <t>JULIO</t>
  </si>
  <si>
    <t>MSI Thin A15 15.6" 144Hz Gaming Laptop Ryzen 9 8945HS RTX 4060 16GB DDR5 1TB SSD</t>
  </si>
  <si>
    <t>Angelo Moises Salazar Muñoz</t>
  </si>
  <si>
    <t>S/.500.00</t>
  </si>
  <si>
    <t>K-N-577397713</t>
  </si>
  <si>
    <t>Acer Predator Helios 16 32 gb ram 480 2 tb</t>
  </si>
  <si>
    <t>Imasumac Fiorella Huahuasoncco Palomino</t>
  </si>
  <si>
    <t>BH - 1118534694</t>
  </si>
  <si>
    <t>Lenovo Legion 14th Gen Intel Core i9, RTX 4060, 32GB RAM, 1TB SSD &amp; 240 Hz WQXGA</t>
  </si>
  <si>
    <t>Luis Gabriel Gonzales Silva</t>
  </si>
  <si>
    <t>S/.6.512,72</t>
  </si>
  <si>
    <t>BH - 1118573834</t>
  </si>
  <si>
    <t>Portátil para juegos ASUS ROG Strix G16 G614JVR-ES96 de 16, Procesador Intel Core i9 14900HX (1,6 GHz)
32 GB de RAM DDR5-5600
Tarjeta gráfica NVIDIA GeForce RTX 4060
SSD PCIe Gen4 NVMe M.2 de 1 TB
Pantalla antirreflejo IPS QHD+ de 16</t>
  </si>
  <si>
    <t>Erik Linford Poclín Mas</t>
  </si>
  <si>
    <t>51 992 798 564</t>
  </si>
  <si>
    <t>K-250403-01</t>
  </si>
  <si>
    <t>ASUS ROG Strix - Portátil GeForce RTX 4050 de 16" con GPU - Intel Core i7-13650HX - 16 GB de memoria - SSD de 512 GB - Windows 11 Home de 64 bits - Portátil para juegos - 165 Hz (G614JU-NS73)</t>
  </si>
  <si>
    <t>Luis Ángel Chicoma Raico</t>
  </si>
  <si>
    <t xml:space="preserve">Maryori Lisbeth Mamani Quispe </t>
  </si>
  <si>
    <t>ACER - NITRO 15.6\" FHD IPS 144HZ GAMING LAPTOP -13TH GEN INTEL CORE I7- NVIDIA GEFORCE RTX 4060-16GB DDR5-512GB SSD - OBSIDIAN BLACK</t>
  </si>
  <si>
    <t>CRISTHIAN ARTURO SOTO NAVARRO</t>
  </si>
  <si>
    <t>e - 10-12919-94045</t>
  </si>
  <si>
    <t>tránsito</t>
  </si>
  <si>
    <t>Luisiño Inocente Rosas Herrera</t>
  </si>
  <si>
    <t>962 660 296</t>
  </si>
  <si>
    <t>J-250405-01</t>
  </si>
  <si>
    <t xml:space="preserve">Lenovo legion 7i RTX 4060 16GB RAM I9 14 1TB SSD 3.2k </t>
  </si>
  <si>
    <t>L - 4648438162</t>
  </si>
  <si>
    <t>Aún no llega al almacén</t>
  </si>
  <si>
    <t>MSI KATANA 15.6" 144Hz, AMD Ryzen 7 8845HS, 32GB DDR5, 1 TB SSD, RTX 4070</t>
  </si>
  <si>
    <t>Juan Dionisio Allpas Cerrón</t>
  </si>
  <si>
    <t>e - 14-12931-75743</t>
  </si>
  <si>
    <t>ASUS ROG STRIX G18  Procesador Intel Core i9 de 14.ª generación 14900HX a 1,6 GHz; NVIDIA GeForce RTX 4070 de 8 GB GDDR6; 32 GB de RAM DDR5-5600; Unidad de estado sólido de 1 TB</t>
  </si>
  <si>
    <t>Martínez Quispe, Raúl Lenin</t>
  </si>
  <si>
    <t>J-251004-1</t>
  </si>
  <si>
    <t>ASUS - ROG Zephyrus G14 - Portátil para juegos OLED 3K de 14" y 120 Hz - AMD Ryzen 9 8945HS - 16 GB LPDDR5X - NVIDIA GeForce RTX 4060 - SSD de 1 TB - Blanco platino</t>
  </si>
  <si>
    <t xml:space="preserve">Jose Guido Urquizo Aguilar </t>
  </si>
  <si>
    <t>989 680 248</t>
  </si>
  <si>
    <t>e - 18-12931-78654</t>
  </si>
  <si>
    <t>SOFIA</t>
  </si>
  <si>
    <t>Acer nitro 5 RTX 4060, I913, 512 SSD, 16GB RAM</t>
  </si>
  <si>
    <t>reynaldo</t>
  </si>
  <si>
    <t>51 943 549 75</t>
  </si>
  <si>
    <t>K - N - 578220653</t>
  </si>
  <si>
    <t xml:space="preserve">HOy 21 llega </t>
  </si>
  <si>
    <t>Portátil para juegos ASUS Republic of Gamers Strix G17 de 17,3"</t>
  </si>
  <si>
    <t>Erik Franko Rodriguez Coleto</t>
  </si>
  <si>
    <t>S-BH-1118723376</t>
  </si>
  <si>
    <t>ASUS Zenbook de 14" con pantalla táctil OLED - Intel EVO Core i9-13900H - 2880 x 1800 - 14" OLED - 16 GB de RAM - SSD de 1 TB - Plateado</t>
  </si>
  <si>
    <t>jorge Jesús Ávalos salguero</t>
  </si>
  <si>
    <t>Lenovo - Legion 7i 16" Gaming Laptop WQXGA - Intel 14th Gen Core i7 with 16GB Memory - NVIDIA GeForce RTX 4060 8GB - 1TB SSD - Glacier White - Open Box - Excellent</t>
  </si>
  <si>
    <t>Edgar Jhordani Gutierrez Solorzano</t>
  </si>
  <si>
    <t>LENOVO LEGION 5i 14th Gen Intel Core i9, RTX 4060, 32GB RAM, 1TB SSD</t>
  </si>
  <si>
    <t xml:space="preserve"> P&amp;L SAC CONTRATISTAS GENERALES</t>
  </si>
  <si>
    <t xml:space="preserve">Jhonatan Ponciano Marcellini </t>
  </si>
  <si>
    <t>ASUS - ROG Zephyrus G16 16" OLED QHD 240Hz - Intel Core Ultra 9 - 16GB LPDDR5X - NVIDIA RTX 4070 - SSD 1TB - Eclipse Gray</t>
  </si>
  <si>
    <t>Jesus Michael Genaro Hume Chipana</t>
  </si>
  <si>
    <t>Asesora</t>
  </si>
  <si>
    <t>FECHA DE PEDIDO / VENTA</t>
  </si>
  <si>
    <t>Nombre Laptop</t>
  </si>
  <si>
    <t>NOMBRE DEL CLIENTE</t>
  </si>
  <si>
    <t>LLEGARON / NO LLEGARON</t>
  </si>
  <si>
    <t>Tipo de producto</t>
  </si>
  <si>
    <t>ADELANTO</t>
  </si>
  <si>
    <t>POR COBRAR</t>
  </si>
  <si>
    <t>TOTAL COBRADO</t>
  </si>
  <si>
    <t>PRECIO DE SOLO LAPTOP</t>
  </si>
  <si>
    <t>PPRECIO EN DOLARES (EEUU)</t>
  </si>
  <si>
    <t>(FÓRMULA) TOTAL EXCEDENTE</t>
  </si>
  <si>
    <t>(FÓRMULA)
TOTAL EXCEDENTE NETO</t>
  </si>
  <si>
    <t>LICENCIAS / SERVICIOS</t>
  </si>
  <si>
    <t>GARANTIA EXPRESS</t>
  </si>
  <si>
    <t>GARANTIA 
FIXIT</t>
  </si>
  <si>
    <t>Accesorios adicionales</t>
  </si>
  <si>
    <t>Accesorios regalo</t>
  </si>
  <si>
    <t>LLENÓ EL FORM</t>
  </si>
  <si>
    <t>¿Comprobante emitido?</t>
  </si>
  <si>
    <t xml:space="preserve">CORREO ELECTRONICO </t>
  </si>
  <si>
    <t>ADJUNTO DNI</t>
  </si>
  <si>
    <t>MES PEDIDO</t>
  </si>
  <si>
    <t>COMISIÓN PARA LAPTOP</t>
  </si>
  <si>
    <t>COMISIÓN VALIDADA</t>
  </si>
  <si>
    <t>COMISIÓN PARA EXCEDENTES</t>
  </si>
  <si>
    <t>LEAD ORGÁNICO</t>
  </si>
  <si>
    <t>T&amp;C</t>
  </si>
  <si>
    <t>Laptop</t>
  </si>
  <si>
    <t>k-BH-1118594826</t>
  </si>
  <si>
    <t>MARYORY</t>
  </si>
  <si>
    <t>ASUS ROG Strix G16 G614JVR-ES96 de 16, Procesador Intel Core i9 14900HX (1,6 GHz)
32 GB de RAM DDR5-5600, Tarjeta gráfica NVIDIA GeForce RTX 4060, SSD PCIe Gen4 NVMe M.2 de 1 TB
Pantalla antirreflejo IPS QHD+ de 16</t>
  </si>
  <si>
    <t>s-e-14-12744-32605</t>
  </si>
  <si>
    <t>junio</t>
  </si>
  <si>
    <t>K L - 4648438162</t>
  </si>
  <si>
    <t>ASUS ROG Strix G16 G614JIR-MS96 16" Gaming Laptop Computer - Eclipse GrayIntel Core i9 14th Gen 14900HX 1.6GHz Processor; NVIDIA GeForce RTX 4060 8GB GDDR6; 32GB DDR5-5600 RAM; 1TB Solid State Drive</t>
  </si>
  <si>
    <t>VANESSA ASA</t>
  </si>
  <si>
    <t xml:space="preserve"> 940 142 891</t>
  </si>
  <si>
    <t>Thunderobot Radiant 16 i9 4060 2.5K - Laptop para juegos, pantalla WQXGA de 16 pulgadas de 240 Hz, Intel Core i9-13900HX, GeForce RTX 4060, 64GB DDR5 RAM, SSD PCIe de 2 TB, teclado retroiluminado RGB</t>
  </si>
  <si>
    <t>K-A-113-8281122-5677001</t>
  </si>
  <si>
    <t>S-BH-1118964558</t>
  </si>
  <si>
    <t>"ASUS - ROG Zephyrus G14 - Portátil para juegos OLED 3K de 14" y 120 Hz - AMD Ryzen 9 8945HS - 16 GB LPDDR5X - NVIDIA GeForce RTX 4060 - SSD de 1 TB - Blanco platino"</t>
  </si>
  <si>
    <t>K-C-250412-01</t>
  </si>
  <si>
    <t>K-BBY01-807051036818</t>
  </si>
  <si>
    <t>A-BH-1118755989</t>
  </si>
  <si>
    <t>S-BH-1118757112</t>
  </si>
  <si>
    <t>Acer Nitro V Laptop para juegos | Procesador Intel Core i9-13900H | GPU NVIDIA GeForce RTX 4060 para portátil | Pantalla FHD IPS de 15.6 pulgadas de 144 Hz | DDR5 de 16 GB | SSD de 512 GB Gen 4 | WiFi</t>
  </si>
  <si>
    <t>Milton Kenethe Ortiz Tapara</t>
  </si>
  <si>
    <t>K-a-114-1053416-3369011</t>
  </si>
  <si>
    <t>ASUS Portátil para Juegos TUF Gaming F15 de 15,6", Intel Core i7, 16GB, RTX 4060, SSD de 1TB, FX507VV-WS74</t>
  </si>
  <si>
    <t xml:space="preserve">José María Chávez Noa
</t>
  </si>
  <si>
    <t>K-w-2000130-99157159</t>
  </si>
  <si>
    <t>ASUS 17.3" Republic of Gamers Strix G17 AMD Ryzen 9 processor and an NVIDIA GeForce RTX 4070 laptop graphics card, the ROG Strix 17 delivers optimal performance and high-res graphics. The 17.3" IPS display has a 2560 x 1440 resolution, a 240 Hz</t>
  </si>
  <si>
    <t>Royer Mondalgo Cabrera</t>
  </si>
  <si>
    <t>A-BH-1118843209</t>
  </si>
  <si>
    <t>Portátil para juegos ASUS - ROG Zephyrus G16 16" OLED QHD 240Hz - Intel Core Ultra 9</t>
  </si>
  <si>
    <t>Renzo Mendez Masgo</t>
  </si>
  <si>
    <t>K-e-07-12993-30137</t>
  </si>
  <si>
    <t xml:space="preserve">LLEGA EL DÍA JUEVES 15 DE MAYO </t>
  </si>
  <si>
    <t>ASUS ROG STRIX G16 (i7 13650HX/16 GB/RTX 4060/1 TB/FHD/165 Hz)</t>
  </si>
  <si>
    <t>Jhordy Daniel Segura Perez</t>
  </si>
  <si>
    <t>K-e-06-12995-62849</t>
  </si>
  <si>
    <t>907 953 963</t>
  </si>
  <si>
    <t>Boris Bryan, Cabanillas Cerquin</t>
  </si>
  <si>
    <t>k-a-114-0538469-6593828</t>
  </si>
  <si>
    <t>Lima</t>
  </si>
  <si>
    <t xml:space="preserve">ASUS ROG STRIX SCAR 18 ULTRA 9 275HX RTX 5090 18¨ SSD 2TB 32GB RAM </t>
  </si>
  <si>
    <t>Carlos Alberto Bardales Carlos</t>
  </si>
  <si>
    <t>K-AS-13000280639</t>
  </si>
  <si>
    <t>Lelgada 27 de Mayo</t>
  </si>
  <si>
    <t>mayo</t>
  </si>
  <si>
    <t>ASUS ROG Strix G16 G614JIR-MS96 16" Gaming Laptop Computer - Eclipse GrayIntel Core i9 14th Gen 14900HX 1.6GHz Processor; NVIDIA GeForce RTX 4070 8GB GDDR6; 32GB DDR5-5600 RAM; 1TB Solid State Driv</t>
  </si>
  <si>
    <t>MIRELLA LIPA CACERES</t>
  </si>
  <si>
    <t>J- M-250425-1</t>
  </si>
  <si>
    <t>MSI Thin 15.6 inch FHD 144Hz Gaming Laptop Intel Core i5-13420H NVIDIA GeForce RTX 4060 - 16GB DDR4 512GB SSD Gray (2025)</t>
  </si>
  <si>
    <t>Joneikers antonio Sucre Rodriguez</t>
  </si>
  <si>
    <t>K-W-200013145861017</t>
  </si>
  <si>
    <t>Procesador Intel Core i9 de 14.ª generación 14900HX a 1,6 GHz; NVIDIA GeForce RTX 4070 de 8 GB GDDR6; 32 GB de RAM DDR5-5600; Unidad de estado sólido de 1 TB</t>
  </si>
  <si>
    <t>Merly Enma Alaya Perez d Barbadillo</t>
  </si>
  <si>
    <t>L-M-250425</t>
  </si>
  <si>
    <t xml:space="preserve">      K- e  02-13019-28630</t>
  </si>
  <si>
    <t>Acer Nitro V Laptop para juegos | Procesador Intel Core i9-13900H | GPU NVIDIA GeForce RTX 4060 para portátil | Pantalla FHD IPS de 15.6 pulgadas de 144 Hz | DDR5 de 16 GB | SSD de 512 GB</t>
  </si>
  <si>
    <t>Josue Quispe Rivera</t>
  </si>
  <si>
    <t>K-a- 113-0768897-4029021</t>
  </si>
  <si>
    <t>ASUS ROG Zephyrus G14, Ryzen 9 8945HS, RTX 4060, 16GB LPDDR5X, 1TB SSD, 14" OLED 3K 120Hz</t>
  </si>
  <si>
    <t>ANDRE CARRASCO</t>
  </si>
  <si>
    <t>k-e-15-12947-33453</t>
  </si>
  <si>
    <t>MSI Pulse 16 AI C1VGKG-065US 16" 240Hz QHD+ (100% DCI-P3) Gaming Laptop w / NVIDIA GeForce RTX 4070 (Core Ultra 9 185H &amp; Windows 11 Pro)</t>
  </si>
  <si>
    <t>André David Canal Borda</t>
  </si>
  <si>
    <t>k-ex-31493174</t>
  </si>
  <si>
    <t xml:space="preserve">Entrega Martes 27 de mayo </t>
  </si>
  <si>
    <t>Acer Nitro V Laptop para juegos | Procesador Intel Core i7-13620H | GPU NVIDIA GeForce RTX 4050 para portátil | Pantalla FHD IPS de 15.6 pulgadas de 144 Hz | DDR5 de 16 GB | SSD de 512 GB</t>
  </si>
  <si>
    <t>Luis Fabián Zorrilla Melchor</t>
  </si>
  <si>
    <t>K-a-113-6920257-9788214</t>
  </si>
  <si>
    <r>
      <rPr>
        <rFont val="Arial"/>
        <color rgb="FF434343"/>
        <sz val="10.0"/>
        <u/>
      </rPr>
      <t>https://tools.usps.com/go/TrackConfirmAction?qtc_tLabels1=9339589741047960312943#</t>
    </r>
    <r>
      <rPr>
        <rFont val="Arial"/>
        <color rgb="FF000000"/>
        <sz val="10.0"/>
        <u/>
      </rPr>
      <t xml:space="preserve"> // Actualización: entregan en Lima  antes del Miercole 21</t>
    </r>
  </si>
  <si>
    <t>Lenovo Legion 5, i9-14900HX, RTX 4060, 32 GB, 1TB, 16" WQXGA 240 Hz</t>
  </si>
  <si>
    <t>Bryan Junior GARCIA ROQUE</t>
  </si>
  <si>
    <t>K-BH-1118963762</t>
  </si>
  <si>
    <r>
      <rPr>
        <rFont val="Arial"/>
        <color rgb="FF434343"/>
        <sz val="10.0"/>
        <u/>
      </rPr>
      <t>https://www.fedex.com/fedextrack/?trknbr=453871836995&amp;trkqual=12029~453871836995~FDEG</t>
    </r>
    <r>
      <rPr>
        <rFont val="Arial"/>
        <color rgb="FF000000"/>
        <sz val="10.0"/>
      </rPr>
      <t xml:space="preserve"> , La laptop llegó el 30 de abril y estará en Lima aproximadamente antes del 16.
</t>
    </r>
  </si>
  <si>
    <t>ASUS ROG Strix G16, RTX 4060, i9-14900HX, 16GB DDR5-5600, 1TB PCIe SSD, 16'' QHD 240Hz</t>
  </si>
  <si>
    <t>Rony lopez</t>
  </si>
  <si>
    <t>K-a-113-4661082-2968244</t>
  </si>
  <si>
    <t>Dell G5 15 5530 Gaming 15.6" i9-13900HX 32GB RAM 1TB SSD RTX 4060 8GB</t>
  </si>
  <si>
    <t xml:space="preserve">FRANCIS LUIS ROSALES MORALES </t>
  </si>
  <si>
    <t>S-e-19-12958-42295</t>
  </si>
  <si>
    <t>GIGABYTE - Laptop para juegos G6 (2024) - 165Hz 1920x1200 WUXGA - NVIDIA GeForce RTX 4060 - Intel i7-13620H - SSD de 1 TB con RAM DDR5 de 16 GB - Windows 11 Home (G6 KF-H3US854KH)</t>
  </si>
  <si>
    <t>Raúl Arturo Tristan Arriaga</t>
  </si>
  <si>
    <t>K-e-17-13091-88531</t>
  </si>
  <si>
    <r>
      <rPr>
        <rFont val="Arial"/>
        <color rgb="FF707070"/>
        <sz val="10.0"/>
      </rPr>
      <t xml:space="preserve">FedEx: </t>
    </r>
    <r>
      <rPr>
        <rFont val="Arial"/>
        <color rgb="FF1155CC"/>
        <sz val="10.0"/>
        <u/>
      </rPr>
      <t>461147342351</t>
    </r>
  </si>
  <si>
    <t>MSI Katana A15 de 15.6'' FHD 144Hz con Ryzen 7 8845HS, 16GB, 1TB SSD, RTX 4060</t>
  </si>
  <si>
    <t>Jamil Pozo Ramírez</t>
  </si>
  <si>
    <t>S- e 01-13058-18669</t>
  </si>
  <si>
    <t xml:space="preserve"> UPS: 1ZE57F014298444253</t>
  </si>
  <si>
    <t>Acer Nitro V de 15.6'' FHD 144Hz i9-13900H 2.6GHz 16GB 512GB RTX 4060</t>
  </si>
  <si>
    <t>Carlos Yinmel</t>
  </si>
  <si>
    <t>K-e-09-13055-99114</t>
  </si>
  <si>
    <r>
      <rPr>
        <rFont val="Arial"/>
        <b/>
        <color rgb="FF000000"/>
        <sz val="10.0"/>
      </rPr>
      <t xml:space="preserve">NECESITO DNI </t>
    </r>
    <r>
      <rPr>
        <rFont val="Arial"/>
        <color rgb="FF000000"/>
        <sz val="10.0"/>
      </rPr>
      <t>// UPS: 1ZE57F014297013434</t>
    </r>
  </si>
  <si>
    <t>ASUS ROG Strix G16, i7-13650HX, RTX 4060, 16GB , 1TB SSD, 16'' WUXGA 165Hz</t>
  </si>
  <si>
    <t>PETER BRUCE DOMINGUEZ VASQUEZ</t>
  </si>
  <si>
    <t>K-a-113-6199406-4498619</t>
  </si>
  <si>
    <t>981 535 471</t>
  </si>
  <si>
    <t xml:space="preserve">Entregado el sábado (enviado por AMAZON LOGISTIC). Contar de 10 a 15 días hábiles.
</t>
  </si>
  <si>
    <t>Dell G16 7630 Gaming 16" i9-13900HX 16GB 1TB 4070 8GB GDDR6 Win 11H Metallic</t>
  </si>
  <si>
    <t>Royer Rivaldo Ventura Ramos</t>
  </si>
  <si>
    <t>s-e-08-12991-90844</t>
  </si>
  <si>
    <t>Antes del martes 20</t>
  </si>
  <si>
    <t>Lenovo Legion Pro 5 Laptop, 16" IPS, i9-13900HX</t>
  </si>
  <si>
    <t>MANUEL SANCHEZ</t>
  </si>
  <si>
    <t>K-e-13-13057-89033</t>
  </si>
  <si>
    <t>959 868 367</t>
  </si>
  <si>
    <r>
      <rPr>
        <rFont val="Arial"/>
        <color rgb="FF707070"/>
        <sz val="10.0"/>
      </rPr>
      <t xml:space="preserve"> UPS: </t>
    </r>
    <r>
      <rPr>
        <rFont val="Arial"/>
        <color rgb="FF1155CC"/>
        <sz val="10.0"/>
        <u/>
      </rPr>
      <t>1ZGH09603902704728</t>
    </r>
  </si>
  <si>
    <t>K-a-113-2172889-4377858</t>
  </si>
  <si>
    <t>Entrega por Amazon
ID de rastreo: TBA321152329478</t>
  </si>
  <si>
    <t>ASUS - Portátil para juegos ROG Strix G16 de 16" FHD 165 Hz - AMD Ryzen 9 HX - 16 GB de RAM - NVIDIA GeForce RTX 5070 Ti - SSD de 1 TB</t>
  </si>
  <si>
    <t xml:space="preserve">JHON CONDORI CALSINA </t>
  </si>
  <si>
    <t>K - BBY01-807058124757</t>
  </si>
  <si>
    <t xml:space="preserve">Tracking Number:
UPS: 1ZRY78774296543680 </t>
  </si>
  <si>
    <t>GravaStar Ratones inalámbricos para juegos Mercury M1 Pro, mouse ligero de aleación de magnesio, 26,000 DPI, sensor PAW3395DM, conexión de tres modos, soporte 4K, hasta 200 horas de duración. COLOR GRIS</t>
  </si>
  <si>
    <t>Brandon Staly peña Arévalo</t>
  </si>
  <si>
    <t>K a 113-0184539-6133063</t>
  </si>
  <si>
    <t>Se trae por courier, el color que desea es en gris</t>
  </si>
  <si>
    <t xml:space="preserve">Según Amazón entrega el 15 </t>
  </si>
  <si>
    <t>Smatree Funda protectora rígida de EVA compatible con laptop de juegos DELL Alienware 16 Area-51 de 16 pulgadas, para portátiles DELL Alienware X16 R2 (X8323)</t>
  </si>
  <si>
    <t>Alexis Ronald choquepata huayta</t>
  </si>
  <si>
    <t>K -a 113-8261722-2682611</t>
  </si>
  <si>
    <t>La funda es de16 pulgadas, x8323 (alienware x16 r2)</t>
  </si>
  <si>
    <t xml:space="preserve">ASUS - ROG Zephyrus G14, AMD Ryzen 9 8945HS, 16GB LPDDR5X, RTX 4060, 1TB SSD, 14" OLED 3K 120Hz </t>
  </si>
  <si>
    <t>Rafael Gutierrez</t>
  </si>
  <si>
    <t>k-e-15-12947-33453-1</t>
  </si>
  <si>
    <t>ASUS Portátil para Juegos TUF Gaming F15 de 15,6", Intel Core i7, 16GB, RTX 4060, SSD de 1TB</t>
  </si>
  <si>
    <t>Moises Israel Manrique Asencios</t>
  </si>
  <si>
    <t>K- W -200013103306779</t>
  </si>
  <si>
    <t>960 312 312</t>
  </si>
  <si>
    <t>S3NRKD01845812A</t>
  </si>
  <si>
    <t>Javier Ignacio credo paucar</t>
  </si>
  <si>
    <t>K-e-15-13067-99558</t>
  </si>
  <si>
    <t xml:space="preserve">
Llega al almacén entre: May 15, 2025 - May 19, 2025</t>
  </si>
  <si>
    <t>Ketin hussein chura tagle</t>
  </si>
  <si>
    <t>K - e11-13076-74191</t>
  </si>
  <si>
    <t>Aún no me dan tracking, pero los estimados de ebay es que llega las siguientes fechas: Arrives May 17, 2025 - May 22, 2025</t>
  </si>
  <si>
    <t>CLINTON RONALDO CONDORI PAUCCAR</t>
  </si>
  <si>
    <t>K-e- 113-2117447-5814652</t>
  </si>
  <si>
    <t>Microsoft Surface Pro 11th con paquete de teclado - X Plus 16 GB 1 TB</t>
  </si>
  <si>
    <t>Gianfranco Custodio Vegas</t>
  </si>
  <si>
    <t xml:space="preserve"> K e 22-13066-78910</t>
  </si>
  <si>
    <t>TRACKING: FedEx: 288747654361</t>
  </si>
  <si>
    <t>Funda para teclado compatible con Alienware X16 R2 2024 de 16 pulgadas, protector de piel para teclado Dell Alienware X16 R1 de 16 pulgadas</t>
  </si>
  <si>
    <t>113-6683228-0983419</t>
  </si>
  <si>
    <t>pedido agregado a la funda, para x16 r2</t>
  </si>
  <si>
    <t>Puccy - Paquete de 2 protectores de película, compatible con Del Alienware x16 R2 de 16 pulgadas para laptop de 16 pulgadas (poliuretano termoplástico)</t>
  </si>
  <si>
    <t>CANCELADA</t>
  </si>
  <si>
    <t>113-7477479-0677024</t>
  </si>
  <si>
    <t>pedido agregado a la funda para x16 r2</t>
  </si>
  <si>
    <t xml:space="preserve">llega el 12 de junio </t>
  </si>
  <si>
    <t>Portátil Lenovo Legion Pro 5</t>
  </si>
  <si>
    <t xml:space="preserve">Jose Luis Saldaña Colchado
</t>
  </si>
  <si>
    <t>K e 01-13086-32815</t>
  </si>
  <si>
    <r>
      <t xml:space="preserve">UPS: </t>
    </r>
    <r>
      <rPr>
        <rFont val="Arial"/>
        <color rgb="FF1155CC"/>
        <sz val="10.0"/>
        <u/>
      </rPr>
      <t>1ZGH09603902718544</t>
    </r>
  </si>
  <si>
    <t>ASUS - ROG Strix G18 - Portátil para juegos de 18" (240 Hz, 2,5 K) - Intel Core Ultra 9 HX - 32 GB de RAM - NVIDIA GeForce RTX 5080 - SSD de 2 TB - Gris Eclipse</t>
  </si>
  <si>
    <t>Raúl Antonio Grau Sánchez</t>
  </si>
  <si>
    <t>L-17052025</t>
  </si>
  <si>
    <t xml:space="preserve">Antes del sábado 24 en oficina </t>
  </si>
  <si>
    <t>Samantha Chávez Rossi</t>
  </si>
  <si>
    <t>L-2- M-250425</t>
  </si>
  <si>
    <t>DAEL DIAZ DIAZ</t>
  </si>
  <si>
    <t>K-e-01-13093-78445</t>
  </si>
  <si>
    <t>971 752 970</t>
  </si>
  <si>
    <r>
      <t xml:space="preserve">UPS: </t>
    </r>
    <r>
      <rPr>
        <rFont val="Arial"/>
        <color rgb="FF1155CC"/>
        <sz val="10.0"/>
        <u/>
      </rPr>
      <t>1ZK7J6794232288069</t>
    </r>
  </si>
  <si>
    <t xml:space="preserve">AZUMI TANTA </t>
  </si>
  <si>
    <t>K e - 13-13084-73357</t>
  </si>
  <si>
    <t>J- M-250425-2</t>
  </si>
  <si>
    <t>se pagó junto con el mouse</t>
  </si>
  <si>
    <t>ASUS ROG Strix G16 de 16" FHD+ i9-13980HX, 16 GB, 1 TB SSD, RTX 4060</t>
  </si>
  <si>
    <t>SANDOVAL RIOS MARIA LUISSIANA</t>
  </si>
  <si>
    <t>K-e-25-13083-10532</t>
  </si>
  <si>
    <t xml:space="preserve">
Arrives May 22, 2025 - May 24, 2025</t>
  </si>
  <si>
    <t>Lenovo Legion Pro 7i 16" WQXGA OLED 240Hz Gaming Notebook Intel Core Ultra 9 275HX 32GB RAM 1TB SSD NVIDIA GeForce RTX 5070Ti Eclipse Negro</t>
  </si>
  <si>
    <t>Henry Fernando Vilca Vilca</t>
  </si>
  <si>
    <t>K-a-113-1482075-1916267</t>
  </si>
  <si>
    <t>Dell G16 7630, i9-13900HX, RTX 4070, 16GB RAM, 1TB SSD, 16'' QHD 240Hz</t>
  </si>
  <si>
    <t>Williams Daniel Carranza Aquino</t>
  </si>
  <si>
    <t>S-e-02-13000-71837</t>
  </si>
  <si>
    <t>reemplazo de la anterior asus rog strix que se canceló</t>
  </si>
  <si>
    <t>Sergio Junior Anderson Osorio Alarcon</t>
  </si>
  <si>
    <t xml:space="preserve">
k-e-11-12747-88467</t>
  </si>
  <si>
    <t>ASUS ROG Strix G16 G615LR-MS97 16" Gaming Laptop Computer Platinum Collection - Eclipse GrayIntel Core Ultra 9 275HX 2.1GHz Processor; NVIDIA GeForce RTX 5070 Ti 12GB GDDR7; 32GB DDR5-5600 RAM; 2TB Solid State Drive</t>
  </si>
  <si>
    <t>Fabio Steven Roca Lozano</t>
  </si>
  <si>
    <t>k-e-11-12747-88467-1</t>
  </si>
  <si>
    <t xml:space="preserve">Santiago Uribe </t>
  </si>
  <si>
    <t>L M 220525</t>
  </si>
  <si>
    <t xml:space="preserve"> Renson Relmer  Vaca  Lopez</t>
  </si>
  <si>
    <t>J- w- 2000131-53828073</t>
  </si>
  <si>
    <t>978 315 283</t>
  </si>
  <si>
    <t>Víctor alexander vivas moran</t>
  </si>
  <si>
    <t>K-e-11-13059-83097</t>
  </si>
  <si>
    <t xml:space="preserve">ASUS ROG Strix G16, i9-13980HX, RTX 4060, 16GB DDR5, 1TB SSD, 16 WUXGA 165Hz </t>
  </si>
  <si>
    <t>María Carmen Cusi Chipana</t>
  </si>
  <si>
    <t>k-e-19-13102-55585</t>
  </si>
  <si>
    <t xml:space="preserve">Llego el 29 de Mayo </t>
  </si>
  <si>
    <t>Roberto Pablo Nolasco Luyo</t>
  </si>
  <si>
    <t>K-e-04-13095-83906</t>
  </si>
  <si>
    <r>
      <rPr>
        <rFont val="Arial"/>
        <color rgb="FF707070"/>
        <sz val="9.0"/>
      </rPr>
      <t xml:space="preserve">FedEx: </t>
    </r>
    <r>
      <rPr>
        <rFont val="Arial"/>
        <color rgb="FF1155CC"/>
        <sz val="9.0"/>
        <u/>
      </rPr>
      <t>881501004619</t>
    </r>
    <r>
      <rPr>
        <rFont val="Arial"/>
        <color rgb="FF707070"/>
        <sz val="9.0"/>
      </rPr>
      <t xml:space="preserve"> // 29 de mayo llego</t>
    </r>
  </si>
  <si>
    <t xml:space="preserve">Lenovo Legion Pro 5 Laptop, 16" IPS, i9-13900HX, RTX 4060, </t>
  </si>
  <si>
    <t>Anabel Nicole Bello Paytán</t>
  </si>
  <si>
    <t>k-e-25-13083-13208</t>
  </si>
  <si>
    <t>Lenovo LEGION 5i de 16" - Intel Core i9-14900HX de 14.ª generación - GeForce RTX 4060 - 165 Hz - 2560 x 1600</t>
  </si>
  <si>
    <t>Jazmine Alejandra Frías Ordinola</t>
  </si>
  <si>
    <t>L  C 280525</t>
  </si>
  <si>
    <t>LLEGO al almacén el 31 de Mayo</t>
  </si>
  <si>
    <t xml:space="preserve">Acer Nitro V, i9-13900H, RTX 4060, 16GB RAM, 512GB SSD, 15.6  FHD 144 Hz </t>
  </si>
  <si>
    <t>Ruth Melissa Mendoza pachas</t>
  </si>
  <si>
    <t>K-a-113-9903877-6837018</t>
  </si>
  <si>
    <t>955 264 184</t>
  </si>
  <si>
    <t xml:space="preserve">Llego al almacén </t>
  </si>
  <si>
    <t>MSI Vector 16 HX  Intel Core Ultra 7 255HX de 1,8 GHz; NVIDIA GeForce RTX 5070 Ti de 12 GB GDDR7; 16 GB de RAM DDR5-5600</t>
  </si>
  <si>
    <t>NESTOR ALONSO DE LA CRUZ GOMEZ</t>
  </si>
  <si>
    <t>M-RA-180525</t>
  </si>
  <si>
    <t>924 006 840</t>
  </si>
  <si>
    <t>Almacén</t>
  </si>
  <si>
    <t>David Oswaldo García Leveaú</t>
  </si>
  <si>
    <t>k-e-15-13131-26086</t>
  </si>
  <si>
    <r>
      <rPr>
        <rFont val="Arial"/>
        <color rgb="FF707070"/>
        <sz val="9.0"/>
      </rPr>
      <t xml:space="preserve">FedEx: </t>
    </r>
    <r>
      <rPr>
        <rFont val="Arial"/>
        <color rgb="FF1155CC"/>
        <sz val="9.0"/>
        <u/>
      </rPr>
      <t>410169533139</t>
    </r>
    <r>
      <rPr>
        <rFont val="Arial"/>
        <color rgb="FF707070"/>
        <sz val="9.0"/>
      </rPr>
      <t xml:space="preserve"> 02 de junio </t>
    </r>
  </si>
  <si>
    <t>JUNIO</t>
  </si>
  <si>
    <t>Michael Perez</t>
  </si>
  <si>
    <t>k-e-24-13110-76635</t>
  </si>
  <si>
    <t>901 293 728</t>
  </si>
  <si>
    <t>compartido con Maryory</t>
  </si>
  <si>
    <r>
      <rPr>
        <rFont val="Arial"/>
        <color rgb="FF707070"/>
        <sz val="9.0"/>
      </rPr>
      <t xml:space="preserve">FedEx: </t>
    </r>
    <r>
      <rPr>
        <rFont val="Arial"/>
        <color rgb="FF1155CC"/>
        <sz val="9.0"/>
        <u/>
      </rPr>
      <t>881501005188</t>
    </r>
    <r>
      <rPr>
        <rFont val="Arial"/>
        <color rgb="FF707070"/>
        <sz val="9.0"/>
      </rPr>
      <t xml:space="preserve"> 29 de mayo</t>
    </r>
  </si>
  <si>
    <t>Victor Ustua</t>
  </si>
  <si>
    <t>k-e-17-13105-04478</t>
  </si>
  <si>
    <t>918 478 257</t>
  </si>
  <si>
    <t>LLEGO 22 DE MAYO</t>
  </si>
  <si>
    <t>ASUS ROG Strix SCAR 18" 2.5K 240Hz i9-275HX 32GB 2TB RTX 5080 Gaming Laptop</t>
  </si>
  <si>
    <t>Kelvin Demetrio Parado Pareja</t>
  </si>
  <si>
    <t>K-e-15-13138-72782</t>
  </si>
  <si>
    <r>
      <rPr>
        <rFont val="Arial"/>
        <color rgb="FF707070"/>
        <sz val="9.0"/>
      </rPr>
      <t xml:space="preserve">FedEx: </t>
    </r>
    <r>
      <rPr>
        <rFont val="Arial"/>
        <color rgb="FF1155CC"/>
        <sz val="9.0"/>
        <u/>
      </rPr>
      <t>881678246121</t>
    </r>
    <r>
      <rPr>
        <rFont val="Arial"/>
        <color rgb="FF707070"/>
        <sz val="9.0"/>
      </rPr>
      <t xml:space="preserve"> // llego 04 de junio</t>
    </r>
  </si>
  <si>
    <t xml:space="preserve">Junio </t>
  </si>
  <si>
    <t>ASUS ROG Strix G16 G614JIR-MS96 16" Gaming Laptop Computer - Eclipse GrayIntel Core i9 14th Gen 14900HX 1.6GHz Processor; NVIDIA GeForce RTX 4070 8GB GDDR6; 32GB DDR5-5600 RAM; 1TB Solid State Drive (MICROCENTER )</t>
  </si>
  <si>
    <t>Miguel Morales Gonzales</t>
  </si>
  <si>
    <t>J M 220525</t>
  </si>
  <si>
    <t>941 420 199</t>
  </si>
  <si>
    <t>DIEGO CORDERO SUING</t>
  </si>
  <si>
    <t>JM 310525</t>
  </si>
  <si>
    <t>pick up 31 de Mayo</t>
  </si>
  <si>
    <t>ASUS - ROG Zephyrus G16 16" OLED 2.5K 240Hz Gaming Laptop - Intel Core Ultra 9 - 32GB RAM - NVIDIA RTX 5070 Ti - 1TB SSD - Eclipse Gray</t>
  </si>
  <si>
    <t>Henry BAUTISTA LLALLAHUI</t>
  </si>
  <si>
    <t>K-BBY01-807062499768</t>
  </si>
  <si>
    <t xml:space="preserve">
FedEx Logo
FedEx Tracking Number:
462444813207</t>
  </si>
  <si>
    <t>MSI Raider 18 HX AI A2XWIG-418US 18" Gaming Laptop Computer - Core BlackIntel Core Ultra 9 285HX 2.1GHz Processor; NVIDIA GeForce RTX 5080 16GB GDDR7; 64GB DDR5-5600 RAM; 2TB Solid State Drive</t>
  </si>
  <si>
    <t>Juan Lanfranco Sanchez</t>
  </si>
  <si>
    <t>L M 050625</t>
  </si>
  <si>
    <t>989 216 368</t>
  </si>
  <si>
    <t xml:space="preserve">JESUS IBARRA ROMAN </t>
  </si>
  <si>
    <t>K-a-113-5081816-7731437</t>
  </si>
  <si>
    <t>962 333 898</t>
  </si>
  <si>
    <t>CESAR GALLO</t>
  </si>
  <si>
    <t>K-a-113-8788688-4943403</t>
  </si>
  <si>
    <t>912 092 312</t>
  </si>
  <si>
    <t>Maximo Flavio Gutierrez Sarmiento</t>
  </si>
  <si>
    <t>L M-2 230535</t>
  </si>
  <si>
    <t>988 852 839</t>
  </si>
  <si>
    <t>VICTOR FLORES HURTADO</t>
  </si>
  <si>
    <t>L M - 070625</t>
  </si>
  <si>
    <t>ASUS ROG Strix G16 ROG Nebula 2.5K 240Hz 3ms 16" AMD Ryzen 9 9955HX 32GB RAM 1TB SSD NVIDIA GeForce RTX 5070Ti Eclipse Gray</t>
  </si>
  <si>
    <t>Felix Nando Mamani Villazante</t>
  </si>
  <si>
    <t>k-e-18-13160-80998</t>
  </si>
  <si>
    <r>
      <t xml:space="preserve">FedEx: </t>
    </r>
    <r>
      <rPr>
        <rFont val="&quot;Market Sans&quot;, Arial, sans-serif"/>
        <color rgb="FF1155CC"/>
        <sz val="9.0"/>
        <u/>
      </rPr>
      <t>881845565633</t>
    </r>
  </si>
  <si>
    <t>ASUS ROG Strix SCAR 18 ROG Nebula 2.5K 240Hz 3ms 18" Intel Core Ultra 9 275HX 32GB RAM 2TB SSD NVIDIA GeForce RTX 5090 Off Black</t>
  </si>
  <si>
    <t>JHONATAN QUISPE ALARCON</t>
  </si>
  <si>
    <t>k-e-10-13172-17762</t>
  </si>
  <si>
    <r>
      <rPr>
        <rFont val="Arial"/>
        <color rgb="FF707070"/>
        <sz val="9.0"/>
      </rPr>
      <t xml:space="preserve">FedEx: </t>
    </r>
    <r>
      <rPr>
        <rFont val="Arial"/>
        <color rgb="FF1155CC"/>
        <sz val="9.0"/>
        <u/>
      </rPr>
      <t>881850065124</t>
    </r>
  </si>
  <si>
    <t>Samsung T9 SSD portátil de 2 TB, unidad de estado sólido externa USB 3.2 Gen 2x2, velocidades de lectura de hasta 2,000 MB/s para juegos, estudiantes y profesionales, MU-PG2T0B/AM, negro</t>
  </si>
  <si>
    <t>k-a-113-1502187-9517000</t>
  </si>
  <si>
    <t>Llega el 9 de Junio a miami</t>
  </si>
  <si>
    <t>Apple Cable magnético de carga rápida a USB-C</t>
  </si>
  <si>
    <t>UGREEN Nexode Pro - Cargador USB C de 100 W, 3 puertos GaN compacto y rápido PPS cargador de pared para MacBook Pro/Air, Pixelbook, iPad, iPhone 16/15/14, Galaxy S24/S23, Pixel 9/8, Steam Deck</t>
  </si>
  <si>
    <t>NUEVO Lenovo Legion Pro 5 16IRX8 16" WQXGA i9-13900HX 32GB 1TB RTX 4060</t>
  </si>
  <si>
    <t>Fran Calle Ladera</t>
  </si>
  <si>
    <t>k-e-13-13180-91100</t>
  </si>
  <si>
    <r>
      <t xml:space="preserve">UPS: </t>
    </r>
    <r>
      <rPr>
        <rFont val="&quot;Market Sans&quot;, Arial, sans-serif"/>
        <color rgb="FF1155CC"/>
        <sz val="9.0"/>
        <u/>
      </rPr>
      <t>1ZE57F014297060553</t>
    </r>
  </si>
  <si>
    <t xml:space="preserve">ASUS ROG Strix G18, Ryzen 9 7940HX, RTX 5060, 32GB RAM, 1TB SSD, 18" WQXGA 240Hz </t>
  </si>
  <si>
    <t>Daigoro Montoya Romero</t>
  </si>
  <si>
    <t>k-e-12-13193-51374</t>
  </si>
  <si>
    <r>
      <t xml:space="preserve">FedEx: </t>
    </r>
    <r>
      <rPr>
        <rFont val="&quot;Market Sans&quot;, Arial, sans-serif"/>
        <color rgb="FF1155CC"/>
        <sz val="9.0"/>
        <u/>
      </rPr>
      <t>881994421871</t>
    </r>
  </si>
  <si>
    <t>ANDRE VISURRAGA</t>
  </si>
  <si>
    <t>S- e 07-13146-37554</t>
  </si>
  <si>
    <t>ASUS ROG Swift 27" 4K QD-OLED Monitor para juegos (PG27UCDM) - 240Hz, 0.03ms, disipador de calor personalizado, sensor de proximidad neo, compatible con G-SYNC, 99% DCI-P3, color verdadero de 10 bits</t>
  </si>
  <si>
    <t>Rodrigo Emilio Hesse Martínez</t>
  </si>
  <si>
    <t>k-a-113-5835758-0311433</t>
  </si>
  <si>
    <t xml:space="preserve">LLEGO 26 DE JUNIO </t>
  </si>
  <si>
    <t>Lenovo Legion 5 Pro, i9-13900HX, RTX 4060, 32GB RAM, 1TB SSD, 16" WQXGA 165Hz</t>
  </si>
  <si>
    <t>K-e-09-13193-74759</t>
  </si>
  <si>
    <t xml:space="preserve"> Acer Nitro V, i9-13900H, RTX 4060, 16GB, 512GB, 15.6'' FHD 144Hz </t>
  </si>
  <si>
    <t>KEILY BRISET LINO INOCENCIO</t>
  </si>
  <si>
    <t>K-e-04-13161-42102</t>
  </si>
  <si>
    <t>Joseph Ramirez</t>
  </si>
  <si>
    <t>k-a-113-3092851-7511404</t>
  </si>
  <si>
    <t>954 092 902</t>
  </si>
  <si>
    <t xml:space="preserve">Gustavo Bolaños </t>
  </si>
  <si>
    <t>k-a-113-6684011-0509811</t>
  </si>
  <si>
    <t>ROG Strix G18 - Portátil para juegos de 18" (240 Hz, 2,5 K) - Intel Core Ultra 9 HX - 32 GB de RAM - NVIDIA GeForce RTX 5080 - SSD de 2 TB</t>
  </si>
  <si>
    <t>Kenyo Galarza Flores</t>
  </si>
  <si>
    <t>k-BBY01-807067674975</t>
  </si>
  <si>
    <t>llego el 01 de Julio</t>
  </si>
  <si>
    <t>Procesador Apple M4 de 10 núcleos; memoria unificada de 16 GB; unidad de estado sólido de 256 GB; GPU de 10 núcleos/motor neuronal de 16 núcleos</t>
  </si>
  <si>
    <t>Alex Sandro cconchoy delgado</t>
  </si>
  <si>
    <t>L-M-010725-01</t>
  </si>
  <si>
    <t xml:space="preserve">En oficina </t>
  </si>
  <si>
    <t xml:space="preserve">Franco Negron </t>
  </si>
  <si>
    <t>K - e 19-13130-77446</t>
  </si>
  <si>
    <t>956 915 858</t>
  </si>
  <si>
    <t xml:space="preserve">Çesar Cutipa </t>
  </si>
  <si>
    <t>K BBY01-807058680967</t>
  </si>
  <si>
    <t>993 300 031</t>
  </si>
  <si>
    <t>K-e- 20-13386-23150</t>
  </si>
  <si>
    <t>z</t>
  </si>
  <si>
    <t>Alienware 18 Area-51 ntel® Core Ultra 9 processor 275HX  RTX™ 5090 24 GB GDDR7 Memory 
64GB, 2x32GB, DDR5, 6400MT/s 2TB NVMe M.2 PCIe Gen4 SSD</t>
  </si>
  <si>
    <t xml:space="preserve">Amilcar soto </t>
  </si>
  <si>
    <t>k-d-1021183811</t>
  </si>
  <si>
    <r>
      <rPr>
        <rFont val="Arial"/>
        <sz val="10.0"/>
      </rPr>
      <t xml:space="preserve">llega aprox el 7 al almacén
</t>
    </r>
    <r>
      <rPr>
        <rFont val="Arial"/>
        <color rgb="FF1155CC"/>
        <sz val="10.0"/>
        <u/>
      </rPr>
      <t>tracking</t>
    </r>
    <r>
      <rPr>
        <rFont val="Arial"/>
        <sz val="10.0"/>
      </rPr>
      <t xml:space="preserve"> / llega el 17 a Lima </t>
    </r>
  </si>
  <si>
    <t>Alienware - 16X Aurora 16" 240Hz Gaming Laptop WQXGA - Intel Core Ultra 9 275HX con 32GB de Memoria - NVIDIA GeForce RTX 5070 - 2TB SDD - Azul</t>
  </si>
  <si>
    <t>Fabian Fabricio Gonzales Amaringo</t>
  </si>
  <si>
    <t>k-d-1021321016</t>
  </si>
  <si>
    <t>968 249 273</t>
  </si>
  <si>
    <t>si se agota también se puede comprar por aquí https://www.dell.com/en-us/shop/dell-laptops/alienware-16x-aurora-gaming-laptop/spd/alienware-aurora-ac16251-gaming-laptop/useac16251wbtohkqf</t>
  </si>
  <si>
    <r>
      <rPr>
        <rFont val="Arial"/>
        <color theme="1"/>
        <sz val="10.0"/>
      </rPr>
      <t>Tracking ID:
461295314459
Shipped with:
FEDEX EXPRESS  //</t>
    </r>
    <r>
      <rPr>
        <rFont val="Arial"/>
        <b/>
        <color theme="1"/>
        <sz val="10.0"/>
      </rPr>
      <t xml:space="preserve"> LLEGÓ EL 14 DE JULIO</t>
    </r>
  </si>
  <si>
    <t>JORGE JOEL ARANDA VARILLAS</t>
  </si>
  <si>
    <t>s-e-22-13265-76380</t>
  </si>
  <si>
    <t xml:space="preserve">
FEDEX: 461295314459</t>
  </si>
  <si>
    <t>Christian Miguel Ávalos levano</t>
  </si>
  <si>
    <t>k-113-9915467-1181843</t>
  </si>
  <si>
    <t>Entregado el 7 de julio</t>
  </si>
  <si>
    <t>ALIENWARE 16X AURORA</t>
  </si>
  <si>
    <t>RICHARD MENESES HUAMANCUSI</t>
  </si>
  <si>
    <t>Kd-2009630591567</t>
  </si>
  <si>
    <t>SI</t>
  </si>
  <si>
    <r>
      <rPr>
        <rFont val="Arial"/>
        <color theme="1"/>
        <sz val="10.0"/>
      </rPr>
      <t xml:space="preserve">LLEGÓ EL 29 DE JULIO// </t>
    </r>
    <r>
      <rPr>
        <rFont val="Arial"/>
        <b/>
        <color theme="1"/>
        <sz val="10.0"/>
      </rPr>
      <t>LLEGA A LIMA EL DÍA 09 DE AGOSTO</t>
    </r>
  </si>
  <si>
    <t>Hurtado Guevara Tobias Moises</t>
  </si>
  <si>
    <t>k-d-1021335782</t>
  </si>
  <si>
    <r>
      <rPr>
        <rFont val="Arial"/>
        <color theme="1"/>
        <sz val="10.0"/>
      </rPr>
      <t xml:space="preserve">LLEGÓ EL 16 DE JULIO // </t>
    </r>
    <r>
      <rPr>
        <rFont val="Arial"/>
        <b/>
        <color theme="1"/>
        <sz val="10.0"/>
      </rPr>
      <t>EN LIMA ANTES DEL 8 DE AGOSTO</t>
    </r>
  </si>
  <si>
    <t>Hurtado Guevara Ever Jhonatan Jesus</t>
  </si>
  <si>
    <t>k-d-1021336088</t>
  </si>
  <si>
    <t>939 998 230</t>
  </si>
  <si>
    <r>
      <rPr>
        <rFont val="Arial"/>
        <color theme="1"/>
        <sz val="10.0"/>
      </rPr>
      <t xml:space="preserve">LLEGÓ EL 16 DE JULIO // </t>
    </r>
    <r>
      <rPr>
        <rFont val="Arial"/>
        <b/>
        <color theme="1"/>
        <sz val="10.0"/>
      </rPr>
      <t xml:space="preserve">EN LIMA ANTES DEL DÍA 8 DE AGOSTO </t>
    </r>
  </si>
  <si>
    <t>ASUS - TUF Gaming F16 16" FHD+ 165Hz Gaming Laptop - Intel Core i7-14650HX - 32GB RAM - NVIDIA GeForce RTX 5060 - 1TB SSD - Jaeger Gray</t>
  </si>
  <si>
    <t>Henry Alain Flores Vargas</t>
  </si>
  <si>
    <t>k-21-13282-76894</t>
  </si>
  <si>
    <t>ALMACÉN: 12 DE JULIO</t>
  </si>
  <si>
    <t>Serie Aorus 16X - Portátil de 16" con GeForce RTX 4060, GPU, Intel Core i7-13650HX, 16 GB de memoria, SSD PCIe de 1 TB</t>
  </si>
  <si>
    <t xml:space="preserve">Oscar Santander Mamani
</t>
  </si>
  <si>
    <t>k-n-552371014</t>
  </si>
  <si>
    <t>ROG Strix G16 (2025), pantalla FHD+ 16:10 165Hz/3ms, GPU NVIDIA® GeForce RTX™ 5060, procesador Intel® Core™ i7 14650HX, DDR5 de 16 GB, SSD de 1 TB</t>
  </si>
  <si>
    <t>Michael Marcial Amaro Peña</t>
  </si>
  <si>
    <t>k-a-113-2444535-1861821</t>
  </si>
  <si>
    <t>ENTREGADO EL 24 DE JULIO ALMACÉN</t>
  </si>
  <si>
    <t xml:space="preserve">Jerson Jose Infantes Aguilar </t>
  </si>
  <si>
    <t>k-a-113-9886513-1205829</t>
  </si>
  <si>
    <t>Entregado el 13 de julio en almacén</t>
  </si>
  <si>
    <t>esly lisvet Cordova Saavedra</t>
  </si>
  <si>
    <t>k-e-20-13230-18931</t>
  </si>
  <si>
    <t>51983969263 es el cliente con el que hice el trato</t>
  </si>
  <si>
    <t xml:space="preserve">Sergio Araujo Chavez </t>
  </si>
  <si>
    <t>K - e- 12-13139-89511</t>
  </si>
  <si>
    <t>Entregado en el almacén el 04 de Junio</t>
  </si>
  <si>
    <t>ROG Strix G16 de 16" FHD 165 Hz - AMD Ryzen 9 HX - 16 GB de RAM - NVIDIA GeForce RTX 5070 Ti - SSD de 1 TB - Gris Eclipse</t>
  </si>
  <si>
    <t>Anguelo Beltrán Ambrocio</t>
  </si>
  <si>
    <t>K-BBY01-807071587735</t>
  </si>
  <si>
    <t>ALMACÉN: 16 DE JULIO</t>
  </si>
  <si>
    <t>ASUS Portátil para juegos ROG Strix G16 (2025), pantalla ROG Nebula de 16 pulgadas 16:10 2.5K 240Hz/3ms, NVIDIA® GeForce RTX™ 5070 Ti GPU, procesador Intel® Core™ Ultra 9 275HX, memoria DDR5 de 32 GB</t>
  </si>
  <si>
    <t>Edwin Pedro Ruiz Alva</t>
  </si>
  <si>
    <t>k-113-6598344-1552227</t>
  </si>
  <si>
    <t>Entregado el 9 de julio</t>
  </si>
  <si>
    <t>ASUS ROG Strix SCAR 18 (2025) Portátil para juegos, 18" ROG Nebula HDR 16:10 2.5K 240Hz/3ms, NVIDIA GeForce RTX 5090, Intel Core Ultra 9 275HX, 32GB DDR5, 2TB PCIe Gen 4 SSD</t>
  </si>
  <si>
    <t>Fernando Felices Vallejos</t>
  </si>
  <si>
    <t>k-a-113-2287222-5807404</t>
  </si>
  <si>
    <t>ALMACÉN: 18 DE JULIO</t>
  </si>
  <si>
    <t>ASUS ROG Strix G16 G615LP-MS96 de 16" Colección Platino - Gris EclipseProcesador Intel Core Ultra 9 275HX de 2,7 GHz; NVIDIA GeForce RTX 5070 de 8 GB GDDR7; 32 GB de RAM DDR5-5600; Unidad de estado sólido de 1 TB</t>
  </si>
  <si>
    <t>Rodmes jhuber mercado cerron</t>
  </si>
  <si>
    <t>Ka-m-19731050</t>
  </si>
  <si>
    <t>Recogida en Microcenter</t>
  </si>
  <si>
    <t xml:space="preserve"> Viviana Saavedra</t>
  </si>
  <si>
    <t>L-17072025</t>
  </si>
  <si>
    <t>viajera cobro 70 dolares (70x 3.57=250 soles ) debe</t>
  </si>
  <si>
    <t>COMPRADA EN MICROCENTER POR LA VIAJERA</t>
  </si>
  <si>
    <t>ROG Strix SCAR 18 (2025)  Core™ Ultra 9 275HX  RTX™ 5070 Ti</t>
  </si>
  <si>
    <t>Cluber Jaime Chavez Reyna</t>
  </si>
  <si>
    <t>k-as-10001100875</t>
  </si>
  <si>
    <t>MARTES 05 EN LIMA</t>
  </si>
  <si>
    <t xml:space="preserve">Aris Leonel Vasquez Saavedra </t>
  </si>
  <si>
    <t>k-as-10001100356</t>
  </si>
  <si>
    <t>ASUS ROG Strix G16 G615LP-MS96 16" Gaming Laptop Computer Platinum Collection - Eclipse GrayIntel Core Ultra 9 275HX 2.7GHz Processor; NVIDIA GeForce RTX 5070 8GB GDDR7; 32GB DDR5-5600 RAM; 1TB Solid State Drive</t>
  </si>
  <si>
    <t>Eddy Frank Coronado Choquecahua</t>
  </si>
  <si>
    <t>Ka-.19741153</t>
  </si>
  <si>
    <t>Nilo Marcial Parí Cruz</t>
  </si>
  <si>
    <t>r-m-19749020</t>
  </si>
  <si>
    <t>NO ME PASAN EL COMPROBANTE</t>
  </si>
  <si>
    <t>ASUS ROG Strix G16 (2024), i7-13650HX, RTX 4060, 16GB DDR5, 1TB SSD PCIe 4.0, 16'' WUXGA 165Hz</t>
  </si>
  <si>
    <t>kimber Oblitas</t>
  </si>
  <si>
    <t>K-a-113-3882344-1363456</t>
  </si>
  <si>
    <t>Manolo Ushiñahua Mendoza</t>
  </si>
  <si>
    <t>k-e-13-13134-32744</t>
  </si>
  <si>
    <t>912 869 231</t>
  </si>
  <si>
    <t>Jefferson Guerrero Luján</t>
  </si>
  <si>
    <t>k-e-26-13190-72003</t>
  </si>
  <si>
    <t>Paola Cajigas Aguilar</t>
  </si>
  <si>
    <t>k-a-113-1459869-9670617</t>
  </si>
  <si>
    <t>929 978 473</t>
  </si>
  <si>
    <t>Alienware 16 Aurora 5060 16", WQXGA, 120Hz, Processor
Intel® Core™ 7 Processor (Series 2) 240H (, 32GB, 2x16GB, DDR5, 5600 MT/s, 1TB M.2 PCIe NVMe SSD</t>
  </si>
  <si>
    <t>Hans Antony Ríos Tapullima</t>
  </si>
  <si>
    <t>HP OMEN - 16" 2K 144Hz Gaming Laptop - AMD Ryzen 9 8940HX - 32GB DDR5 Memory - NVIDIA GeForce RTX 5060 - 1TB SSD - Shadow Black</t>
  </si>
  <si>
    <t>JUAN ANTONY PORTELLA SAENZ</t>
  </si>
  <si>
    <t>S-e-06-13347-30507</t>
  </si>
  <si>
    <t>Shipment history
UPS: 1Z2V07890312376151 // ALMACÉN: 25 DE JULIO</t>
  </si>
  <si>
    <t>ROG Zephyrus G16 16" OLED 2.5K 240Hz - Intel Core Ultra 9 - 16GB RAM - NVIDIA GeForce RTX 5070 - SSD 1TB - Eclipse Gray</t>
  </si>
  <si>
    <t>Yefferson Perez Palma Ramos</t>
  </si>
  <si>
    <t>K-e-23-13325-14579</t>
  </si>
  <si>
    <t>Shipment history
FedEx: 456907738392 // ALMACÉN: 22 DE JULIO</t>
  </si>
  <si>
    <t>ASUS - ROG Strix G18 18" 2.5K 240Hz Gaming Laptop - Intel Core Ultra 9 HX - 32GB RAM - NVIDIA GeForce RTX 5080 - 2TB SSD - Eclipse Grey</t>
  </si>
  <si>
    <t>Johnny Manrique Cardenas</t>
  </si>
  <si>
    <t>BBY01-807080766275</t>
  </si>
  <si>
    <t>hay excedente que se saca de otras laptops con permisot de la srta. Sofía</t>
  </si>
  <si>
    <t>Alienware - 16X Aurora 16" 240Hz Gaming Laptop WQXGA - Intel Core Ultra 9 275HX con 32GB de Memoria - NVIDIA GeForce RTX 5060 - 1TB SDD - Azul</t>
  </si>
  <si>
    <t>Hans Antony Rios Tapullima</t>
  </si>
  <si>
    <t>k-e-14-13344-21890</t>
  </si>
  <si>
    <r>
      <rPr>
        <rFont val="Arial"/>
        <color theme="1"/>
        <sz val="10.0"/>
      </rPr>
      <t xml:space="preserve">Shipment history
FedEx: 456388386276 ALMACÉN: 28 DE JULIO - </t>
    </r>
    <r>
      <rPr>
        <rFont val="Arial"/>
        <b/>
        <color theme="1"/>
        <sz val="10.0"/>
      </rPr>
      <t>EN LIMA EL 16 DE AGOSTO</t>
    </r>
  </si>
  <si>
    <t>ASUS ROG Strix G16, i9-14900HX, RTX 4070, 32GB, 1TB SSD, 16" WUXGA 165Hz</t>
  </si>
  <si>
    <t>Jose Torres Velasquez</t>
  </si>
  <si>
    <t>L-M-110625-02</t>
  </si>
  <si>
    <t>MSI Crosshair 18 HX AI 18" Gaming Laptop - Intel Core Ultra 9 275HX - NVIDIA RTX 5070 - 2560x1600 - 32GB RAM - 1TB SSD - Windows 11 Home</t>
  </si>
  <si>
    <t>Walter Ivan Alayo Montenegro</t>
  </si>
  <si>
    <t>La laptop se encuentra en el almacén 31 de Julio</t>
  </si>
  <si>
    <t>Leniz José Neciosup Becerra.</t>
  </si>
  <si>
    <r>
      <rPr>
        <rFont val="Arial"/>
        <color rgb="FF000000"/>
        <sz val="10.0"/>
      </rPr>
      <t>L</t>
    </r>
    <r>
      <rPr>
        <rFont val="Arial"/>
        <color theme="1"/>
        <sz val="10.0"/>
        <u/>
      </rPr>
      <t>-c-1212389657</t>
    </r>
  </si>
  <si>
    <t>EN LIMA 19 DE AGOSTO</t>
  </si>
  <si>
    <t>Mayler Joel Chistama Santos</t>
  </si>
  <si>
    <t>k-a-113-0872533-3166637</t>
  </si>
  <si>
    <t>Alienware - 16X Aurora 16" 240Hz Gaming Laptop WQXGA - Intel Core Ultra 9 275HX con 32GB de Memoria - NVIDIA GeForce RTX 5060 - 1TB SDD</t>
  </si>
  <si>
    <t>Victor Alfredo Vilca Lopez</t>
  </si>
  <si>
    <t>S-e-11-13347-98071</t>
  </si>
  <si>
    <t xml:space="preserve">se trajo con factura </t>
  </si>
  <si>
    <t>equipo traer por courier // ALMACÉN: 28 DE JULIO</t>
  </si>
  <si>
    <t xml:space="preserve">Anderson Imanol Reyes Martinez
</t>
  </si>
  <si>
    <t>k-BBY01-807074540903</t>
  </si>
  <si>
    <t xml:space="preserve">se pago los 250 que se debia de courier de Viviana </t>
  </si>
  <si>
    <r>
      <rPr>
        <rFont val="Arial"/>
        <color theme="1"/>
        <sz val="10.0"/>
      </rPr>
      <t xml:space="preserve">FedEx Tracking Number:
456908509217 </t>
    </r>
    <r>
      <rPr>
        <rFont val="Arial"/>
        <b/>
        <color theme="1"/>
        <sz val="10.0"/>
      </rPr>
      <t>// ALMACÉN: 28 DE JULIO // EN LIMA VAN A ESTAR EL DÍA SÁBADO 09 APROX.</t>
    </r>
  </si>
  <si>
    <t>26/07/2025</t>
  </si>
  <si>
    <t>Marlon Xavier gaitán olivas</t>
  </si>
  <si>
    <t>S-e-10-13349-38168</t>
  </si>
  <si>
    <t xml:space="preserve">923521076 Whaticket: 51901017087 </t>
  </si>
  <si>
    <r>
      <rPr>
        <rFont val="Arial"/>
        <color theme="1"/>
        <sz val="10.0"/>
      </rPr>
      <t xml:space="preserve">Shipment history
FedEx: 456388386302 // </t>
    </r>
    <r>
      <rPr>
        <rFont val="Arial"/>
        <b/>
        <color theme="1"/>
        <sz val="10.0"/>
      </rPr>
      <t>ALMACÉN: 28 DE JULIO EN LIMA EL 19 DE AGOSTO</t>
    </r>
  </si>
  <si>
    <t>ASUS ROG Strix SCAR 18 ROG Nebula 2.5K 240Hz 3ms 18" Intel Core Ultra 9 275HX 32GB RAM 2TB SSD NVIDIA GeForce RTX 5090</t>
  </si>
  <si>
    <t>FARIT MANUEL HERRERA PENADILLO</t>
  </si>
  <si>
    <t>s-e-08-13372-04448</t>
  </si>
  <si>
    <r>
      <rPr>
        <rFont val="Arial"/>
        <color theme="1"/>
        <sz val="10.0"/>
      </rPr>
      <t xml:space="preserve">FedEx: 883085193100 </t>
    </r>
    <r>
      <rPr>
        <rFont val="Arial"/>
        <b/>
        <color theme="1"/>
        <sz val="10.0"/>
      </rPr>
      <t xml:space="preserve">// ALMACÉN: 30 DE JULIO // EN LIMA EL DÍA 15 APROX </t>
    </r>
  </si>
  <si>
    <t>s-e-07-13373-73067</t>
  </si>
  <si>
    <r>
      <rPr>
        <rFont val="Arial"/>
        <color theme="1"/>
        <sz val="10.0"/>
      </rPr>
      <t xml:space="preserve">FedEx: 883085193008 </t>
    </r>
    <r>
      <rPr>
        <rFont val="Arial"/>
        <b/>
        <color theme="1"/>
        <sz val="10.0"/>
      </rPr>
      <t>// ALMACÉN: 30 DE JULIO // EN LIMA EL DÍA 23 APROX</t>
    </r>
    <r>
      <rPr>
        <rFont val="Arial"/>
        <color theme="1"/>
        <sz val="10.0"/>
      </rPr>
      <t xml:space="preserve"> </t>
    </r>
  </si>
  <si>
    <t>Brayan Pedro Ordoño Quilca</t>
  </si>
  <si>
    <t>k-BBY01-807074545250</t>
  </si>
  <si>
    <t>mouse + soporte regalo</t>
  </si>
  <si>
    <r>
      <rPr>
        <rFont val="Arial"/>
        <color theme="1"/>
        <sz val="10.0"/>
      </rPr>
      <t xml:space="preserve">FedEx Tracking Number:
456908524250 </t>
    </r>
    <r>
      <rPr>
        <rFont val="Arial"/>
        <b/>
        <color theme="1"/>
        <sz val="10.0"/>
      </rPr>
      <t>// ALMACÉN: 29 DE JULIO</t>
    </r>
  </si>
  <si>
    <t>Bryan Alexander Alvarez Huaman</t>
  </si>
  <si>
    <t>K-BBY01-807074538874</t>
  </si>
  <si>
    <r>
      <rPr>
        <rFont val="Arial"/>
        <color theme="1"/>
        <sz val="10.0"/>
      </rPr>
      <t xml:space="preserve">FedEx Tracking Number:
456908545660  </t>
    </r>
    <r>
      <rPr>
        <rFont val="Arial"/>
        <b/>
        <color theme="1"/>
        <sz val="10.0"/>
      </rPr>
      <t>// ALMACÉN: 29 DE JULIO</t>
    </r>
  </si>
  <si>
    <t>Sánchez Carrion José Alberto</t>
  </si>
  <si>
    <t>k-e-04-13145-70539</t>
  </si>
  <si>
    <t>970 004 483</t>
  </si>
  <si>
    <t>Acer Predator Helios Neo 16" 1 TB i9-14900HX 16 GB</t>
  </si>
  <si>
    <t>Luis Miguel García Inocente</t>
  </si>
  <si>
    <t>no se puede comprar, era subasta</t>
  </si>
  <si>
    <t>MSI - Vector 16 HX AI 16" 144Hz FHD+ Gaming Laptop - Intel Ultra 7-255HX - GeForce RTX 5070Ti - 16GB Memory - 1TBSSD - Cosmo Gray</t>
  </si>
  <si>
    <t>Trujillo Castañeda Albert</t>
  </si>
  <si>
    <t>K-08-13312-93036</t>
  </si>
  <si>
    <r>
      <rPr>
        <rFont val="Arial"/>
        <color theme="1"/>
        <sz val="10.0"/>
      </rPr>
      <t>Shipment history
UPS: 1ZA407020333500511</t>
    </r>
    <r>
      <rPr>
        <rFont val="Arial"/>
        <b/>
        <color theme="1"/>
        <sz val="10.0"/>
      </rPr>
      <t xml:space="preserve"> // ALMACÉN 18 DE JULIO</t>
    </r>
  </si>
  <si>
    <t>MARCO MIULER MEJIA ANGELE</t>
  </si>
  <si>
    <t>k-e-12-13240-86911</t>
  </si>
  <si>
    <t>AGOSTO</t>
  </si>
  <si>
    <t xml:space="preserve">MSI Titan 18 HX Intel Core Ultra 9 285HX RTX 5090 </t>
  </si>
  <si>
    <t>Isaac Gabriel Cruz Chura</t>
  </si>
  <si>
    <t>J-M-19790340</t>
  </si>
  <si>
    <t>-100 viajera = 356</t>
  </si>
  <si>
    <t xml:space="preserve">03 de Agosto en ALMACÉN </t>
  </si>
  <si>
    <t>Daniel Tarapaqui Marcelo</t>
  </si>
  <si>
    <t xml:space="preserve">K-R-BBY01-807074684387 </t>
  </si>
  <si>
    <t>928 705 258</t>
  </si>
  <si>
    <t xml:space="preserve">mouse regalo </t>
  </si>
  <si>
    <t>LLEGÓ EN JULIO ANTES DEL 15 de Agosto</t>
  </si>
  <si>
    <t>MOSH RAMOS RIOS</t>
  </si>
  <si>
    <t>k-BBY01-807070599645</t>
  </si>
  <si>
    <t>999 688 669</t>
  </si>
  <si>
    <r>
      <rPr>
        <rFont val="Arial"/>
        <color rgb="FF434343"/>
        <u/>
      </rPr>
      <t xml:space="preserve">
UPS Tracking Number:
1Z81Y8100303471980</t>
    </r>
    <r>
      <rPr>
        <rFont val="Arial"/>
        <b/>
        <color rgb="FF434343"/>
        <u/>
      </rPr>
      <t xml:space="preserve"> // ALMACÉN 12 DE JULIO</t>
    </r>
  </si>
  <si>
    <t>Giancarlo Santillán Baños</t>
  </si>
  <si>
    <t>K-S-BBY01-807074630847</t>
  </si>
  <si>
    <t>mouse REGALO + PAGO CLIENTE GARANTIA  449 FIXIT</t>
  </si>
  <si>
    <t>Lenin Stalin Vasquez lamilla</t>
  </si>
  <si>
    <t xml:space="preserve">K-BBY01-807073466576-2
</t>
  </si>
  <si>
    <t>compro 2 memorias RAM DE 16GB y se le devolvio 310 soles =560 recibio PORLLES</t>
  </si>
  <si>
    <t xml:space="preserve">ASUS - TUF Gaming F16 16" FHD+ 165Hz  Intel Core i7-14650HX - 32GB RAM - NVIDIA GeForce RTX 5060 - SSD 1TB </t>
  </si>
  <si>
    <t>Luis Angel Medrano Reyes</t>
  </si>
  <si>
    <r>
      <rPr>
        <rFont val="Arial"/>
        <color rgb="FF000000"/>
        <sz val="11.0"/>
        <u/>
      </rPr>
      <t>K-s</t>
    </r>
    <r>
      <rPr>
        <rFont val="Arial"/>
        <color rgb="FF434343"/>
        <sz val="11.0"/>
        <u/>
      </rPr>
      <t>-18-13376-88666</t>
    </r>
  </si>
  <si>
    <t>Jesus Montenegro Zuñiga</t>
  </si>
  <si>
    <t>K-BBY01-807073477876</t>
  </si>
  <si>
    <t>NO ES NECESARIO,  LAPTOP EN STOCK</t>
  </si>
  <si>
    <t>Jorge Washington Carbajal Velásquez</t>
  </si>
  <si>
    <t>Y-e-08-13402-21848</t>
  </si>
  <si>
    <r>
      <rPr>
        <rFont val="Arial"/>
        <b/>
        <color theme="1"/>
      </rPr>
      <t xml:space="preserve">Delivery info
</t>
    </r>
    <r>
      <rPr>
        <rFont val="Arial"/>
        <color theme="1"/>
      </rPr>
      <t xml:space="preserve">Arrives Aug 6, 2025 - Aug 11, 2025 // FedEx: 456909411655 </t>
    </r>
  </si>
  <si>
    <t>LEANDRA VALDIVIA</t>
  </si>
  <si>
    <t>k-e-12-13240-81691</t>
  </si>
  <si>
    <t>MSI RAIDER, i9-14900HX, RTX4070, 32GB RAM, 1TB SSD, 16" FHD+ 144Hz</t>
  </si>
  <si>
    <t>Fermin palomino gregorio</t>
  </si>
  <si>
    <t>k-e-24-13242-67604</t>
  </si>
  <si>
    <t>Portátil Lenovo Legion Pro 5i Gen 10 Intel, 16", Ultra 7 255HX</t>
  </si>
  <si>
    <t>Franky Adriel Fernandez Aroni</t>
  </si>
  <si>
    <t>k-e-21-13407-54806</t>
  </si>
  <si>
    <t>llega al almacén aprox el 12 de Julio</t>
  </si>
  <si>
    <t>Portátil para juegos Alienware 18 Area-51</t>
  </si>
  <si>
    <t>DAVID LOAYZA LLAUCA</t>
  </si>
  <si>
    <t>J-M-198409012</t>
  </si>
  <si>
    <t>995 754 655</t>
  </si>
  <si>
    <t>MSI - Portátil Gaming Vector 16 HX AI 16" 144Hz FHD+ - Intel Ultra 7-255HX - GeForce RTX 5070Ti - Memoria 16GB - 1TBSSD - Gris Cosmo</t>
  </si>
  <si>
    <t>Yalmar Manuel Carrera Huaracha</t>
  </si>
  <si>
    <t>k-e-09-13394-24285</t>
  </si>
  <si>
    <t>ea</t>
  </si>
  <si>
    <t>ASUS ROG Strix G18 18" Gaming Laptop - Intel Core Ultra 9 Processor 275HX - GeForce RTX 5060, 2.5K 240Hz/3ms Nebula Display - 32GB RAM, 1TB SSD, Windows 11</t>
  </si>
  <si>
    <t>Kevin Arnold Quispe Rivera</t>
  </si>
  <si>
    <t>Benjamin Rodríguez Jiménez</t>
  </si>
  <si>
    <t>L-M-110625-01</t>
  </si>
  <si>
    <t>993 155 767</t>
  </si>
  <si>
    <t xml:space="preserve">MSI Pulse 15, i7-13700H, RTX 4060, 16GB RAM, 1TB SSD, 15.6" FHD 144Hz </t>
  </si>
  <si>
    <t>FREDY ROBERTO QUISPE PACOMPIA</t>
  </si>
  <si>
    <t>k-msi-429966</t>
  </si>
  <si>
    <t>Mario Fidel Ñiquen Ramirez</t>
  </si>
  <si>
    <t>K-b-BBY01-807076602952</t>
  </si>
  <si>
    <t>944 338 446</t>
  </si>
  <si>
    <t>ROG Strix SCAR 18 (2025) RTX 5070TI</t>
  </si>
  <si>
    <t>Franklin Allcca Atoccsa</t>
  </si>
  <si>
    <t>A.J-13000305101</t>
  </si>
  <si>
    <t>PAGO CLIENTE GARANTIA  449 FIXIT</t>
  </si>
  <si>
    <t>PABLO ENRIQUE HUILLCA YUCRA</t>
  </si>
  <si>
    <t>K-e-08-13402-19342</t>
  </si>
  <si>
    <t>Milagritos Deyanire Aldave Salazar</t>
  </si>
  <si>
    <t>k-a-113-7196269-5645044</t>
  </si>
  <si>
    <t>975 195 452</t>
  </si>
  <si>
    <t>Juan José Miranda Narro</t>
  </si>
  <si>
    <t>K- BBY01-807076547420</t>
  </si>
  <si>
    <t>975 550 565</t>
  </si>
  <si>
    <t>ASUS - ROG Strix G16 16" FHD+ 165Hz Gaming Laptop - Intel Core i9 HX - 16GB RAM - NVIDIA GeForce RTX 5060- 1TB SSD - Eclipse Gray</t>
  </si>
  <si>
    <t>Jhon P. Valverde paredes</t>
  </si>
  <si>
    <t>k-BBY01-807078895134</t>
  </si>
  <si>
    <t>926 330 642</t>
  </si>
  <si>
    <t>ASUS Zenbook Duo Dual 14" OLED WQXGA+ 120Hz Notebook Intel Core Ultra 9 185H 32GB RAM 1TB SSD Intel Arc Graphics Inkwell Gris</t>
  </si>
  <si>
    <t>Jhosep Lionel Bustillos Sovero</t>
  </si>
  <si>
    <t>k-a-113-0229234-1522664</t>
  </si>
  <si>
    <t>llega al almacén 15 de setiembre</t>
  </si>
  <si>
    <t>Portátil para juegos MSI Vector de 16" con RTX 5080 - Intel Ultra 9 275HX - 16 GB de RAM - SSD de 1 TB</t>
  </si>
  <si>
    <t>EMIL REY FABIÁN BERNARDO</t>
  </si>
  <si>
    <t>K-n-574660831</t>
  </si>
  <si>
    <t>928 447 769</t>
  </si>
  <si>
    <t>[UPS) -1ZE569864201859914</t>
  </si>
  <si>
    <t>CIEZA MONTENEGRO DEYSI ROXANA</t>
  </si>
  <si>
    <t>K-BBY01-807078879828</t>
  </si>
  <si>
    <t>51970683554 cliente de whatticket 
959 986 856 de la que se está gestionando su compra por courier</t>
  </si>
  <si>
    <t>SE TRAE POR COURIER</t>
  </si>
  <si>
    <t>se trae por courier</t>
  </si>
  <si>
    <t xml:space="preserve"> TUF Gaming A16 16" FHD+ 165Hz - AMD Ryzen 9 - 32GB RAM - NVIDIA GeForce RTX 5070 - 1TB SSD</t>
  </si>
  <si>
    <t>JULIO LIZARRAGA TITO</t>
  </si>
  <si>
    <t>k-e-25-13460-72941</t>
  </si>
  <si>
    <t>llegará el 2 de setiembre al almacén</t>
  </si>
  <si>
    <t>ASUS - Zenbook S 16 Laptop con pantalla táctil OLED 3K de 16" - Copilot+ PC - AMD Ryzen AI 9 365 - Memoria de 24 GB - SSD de 1 TB - Blanco escandinavo</t>
  </si>
  <si>
    <t xml:space="preserve"> Priscila Guiselle Damora Del Pino Enríquez</t>
  </si>
  <si>
    <t>k-b-BBY01-807080526880</t>
  </si>
  <si>
    <t>ny</t>
  </si>
  <si>
    <t>Robert Ramos Hinostroza</t>
  </si>
  <si>
    <t>S-BBY01-807078026096</t>
  </si>
  <si>
    <t xml:space="preserve">mouse + soporte </t>
  </si>
  <si>
    <t>Hamerly galoc araujo</t>
  </si>
  <si>
    <t>K- BBY01-807076549919</t>
  </si>
  <si>
    <t>ASUS Portátil para juegos ROG Strix G16 (2025), pantalla FHD+ 16:10 165Hz/3ms, GPU NVIDIA® GeForce RTX™ 5070, procesador Intel® Core™ i9 14900HX, 32GB DDR5-5600, 1TB SSD, Wi-Fi 7, Win111 Inicio</t>
  </si>
  <si>
    <t>Royer Smit Rodriguez Rodriguez</t>
  </si>
  <si>
    <t>K-a-113-4344226-0500250</t>
  </si>
  <si>
    <t>969 388 881 (con quien hice el trato)  974 262 856 (cliente)</t>
  </si>
  <si>
    <t xml:space="preserve">ASUS ROG Strix G16 (2025) G614FR-DS96 16" Gaming Laptop Computer - Eclipse Gray AMD Ryzen 9 9955HX3D 2.5GHz Processor; NVIDIA GeForce RTX 5070 Ti 12GB GDDR7; 32GB DDR5-5600 RAM; 1TB Solid State Drive </t>
  </si>
  <si>
    <t>Clay Anthony Soto Reyes</t>
  </si>
  <si>
    <t>c-m-171-wp-10157507</t>
  </si>
  <si>
    <t xml:space="preserve">356 soles servicio express debe llegar antes de fin de mes </t>
  </si>
  <si>
    <t>Ricardo ravelo ramos</t>
  </si>
  <si>
    <t>S-b-BBY01-807076626359</t>
  </si>
  <si>
    <t xml:space="preserve">Jhon Bernaola </t>
  </si>
  <si>
    <t>K-R-BBY01-807074684387  - 2</t>
  </si>
  <si>
    <t>ASUS - TUF Gaming F16 16" FHD+ 165Hz  Intel Core i7-14650HX - 32GB RAM - NVIDIA GeForce RTX 5060 - SSD 1TB</t>
  </si>
  <si>
    <t>Mark Angello Vidal Chumbemuni</t>
  </si>
  <si>
    <t>S-BBY01-807078080004</t>
  </si>
  <si>
    <t>948 562 227</t>
  </si>
  <si>
    <t>ASUS - ROG Zephyrus G14 - Portátil para juegos OLED 3K de 14" y 120 Hz - AMD Ryzen 9 270 - 16 GB LPDDR5X - GeForce RTX 5060 - SSD de 1 TB - Blanco platino</t>
  </si>
  <si>
    <t>Luis Enrique Larota Ccapa</t>
  </si>
  <si>
    <t>k-e-05-13491-35245</t>
  </si>
  <si>
    <t>940 854 844</t>
  </si>
  <si>
    <t xml:space="preserve">Dell Inspiron 16" Touchscreen Laptop - Intel Core 7 150U Processor - FHD+ (1920 x 1200) - Windows 11 Home  32GB, 2x16GB, DDR5, 5200MT/s 1TB M.2 PCIe NVMe Solid State Drive </t>
  </si>
  <si>
    <t xml:space="preserve">
Lucero del carmen Apolinario Padilla</t>
  </si>
  <si>
    <t>L-C-1936246</t>
  </si>
  <si>
    <t>956 713 139</t>
  </si>
  <si>
    <t>llegó al almacén el 27 de AGOSTO</t>
  </si>
  <si>
    <t xml:space="preserve">Einer Aguilar Jimenez
</t>
  </si>
  <si>
    <t>K-a-113-4256336-6486610</t>
  </si>
  <si>
    <t>José Genaro Sebastian Guzmán Chancafe</t>
  </si>
  <si>
    <t>S-BBY01-807078088206</t>
  </si>
  <si>
    <t>ASUS ROG Strix G16 16" FHD 165Hz Gaming Laptop- AMD Ryzen 9 16GB 1TB RTX 5070 Ti</t>
  </si>
  <si>
    <t>Alex Joseph Landauro Solórzano</t>
  </si>
  <si>
    <t>k-e-04-13480-91382</t>
  </si>
  <si>
    <t>963 730 290</t>
  </si>
  <si>
    <t>MIGUEL ANGEL ESPINOZA CARLOS</t>
  </si>
  <si>
    <t>k-b-BBY01-807081755969</t>
  </si>
  <si>
    <t>927 406 885</t>
  </si>
  <si>
    <t>FedEx Logo
FedEx Tracking Number:
456913968466</t>
  </si>
  <si>
    <t>Legion Pro 7i de 16" con pantalla OLED WQXGA de 240 Hz, U9-275HX, 32 GB, 1 TB, RTX 5070Ti</t>
  </si>
  <si>
    <t>WILLIAMS JHOEL QUISPE RAMOS</t>
  </si>
  <si>
    <t>k-e-22-13479-46426</t>
  </si>
  <si>
    <t>962 026 134</t>
  </si>
  <si>
    <t>Shipment history
FedEx: 883846844985</t>
  </si>
  <si>
    <t>Rodríguez Sánchez Víctor Jhan Pier</t>
  </si>
  <si>
    <t>g-1215792590</t>
  </si>
  <si>
    <t>ASUS - ROG Zephyrus G14 14" OLED 3K 120Hz - AMD Ryzen 9 270 - 16GB LPDDR5X - GeForce RTX 5060 - SSD 1TB - Platinum White</t>
  </si>
  <si>
    <t xml:space="preserve">Luis Fernando Euribe Kuan </t>
  </si>
  <si>
    <t>S-e-18-13394-30721</t>
  </si>
  <si>
    <t>parlantes</t>
  </si>
  <si>
    <t>Dell Alienware 18 Area-51 AA18250 18" Gaming Laptop Computer - Liquid Teal
Intel Core Ultra 9 275HX 2.1GHz Processor; NVIDIA GeForce RTX 5090 24GB GDDR7; 64GB DDR5-6400 RAM; 2TB Solid State Drive</t>
  </si>
  <si>
    <t>Carlos Marcelo Melo Medina</t>
  </si>
  <si>
    <t>r-m-270825</t>
  </si>
  <si>
    <t>958 094 706</t>
  </si>
  <si>
    <t>Denilson Morales</t>
  </si>
  <si>
    <t>k-e-10-13246-18483</t>
  </si>
  <si>
    <t>Lenovo Legion 5i 16" Gaming Laptop - Intel Core Ultra 9 275HX - GeForce RTX 5060 - WQXGA (2560x1600) - Windows 11 Home - 32GB RAM - 1TB SSD</t>
  </si>
  <si>
    <t>Campos Barreton Nim Yusberth</t>
  </si>
  <si>
    <t>g-c-1220594141</t>
  </si>
  <si>
    <t>990 214 050</t>
  </si>
  <si>
    <t xml:space="preserve">UPS - 1Z2232WW0354600715, ENTREGA 5 DE SEP
</t>
  </si>
  <si>
    <t xml:space="preserve">Alienware 16 Aurora Gaming Laptop,  Intel® Core™ 7 Processor (Series 2) 240, NVIDIA® GeForce RTX™ 5060, 16GB , 16", WQXGA, 120Hz </t>
  </si>
  <si>
    <t>Alexander Huancas Mendoza</t>
  </si>
  <si>
    <t>G-D-2008459968112</t>
  </si>
  <si>
    <t>918 529 102</t>
  </si>
  <si>
    <t>GIGABYTE - AERO X16 - Copilot+ PC - 16" 2560×1600 WQXGA AMD Ryzen Al 7 350 - 1TB SSD - 32GB DDR5 RAM GeForce RTX 5060 - Gris espacial</t>
  </si>
  <si>
    <t>Liz Yeiza Condori Sahuarico</t>
  </si>
  <si>
    <t>k-e-18-13501-19122</t>
  </si>
  <si>
    <t>Shipment history
FedEx: 478899044370</t>
  </si>
  <si>
    <t>Samuel Jose Sanchez Tambo</t>
  </si>
  <si>
    <t>y-BBY01-807082272244</t>
  </si>
  <si>
    <t>950 736 562</t>
  </si>
  <si>
    <t>ASUS Vivobook S16 16" OLED 3.2K AMD Ryzen AI 9 365 32GB 1TB SSD W11P</t>
  </si>
  <si>
    <t>Jandir Eleazar Ramirez Sanchez</t>
  </si>
  <si>
    <t>k-e-21-13498-96813</t>
  </si>
  <si>
    <t>Shipment history
UPS: 1Z5VY4994297848030</t>
  </si>
  <si>
    <t>SETIEMBRE</t>
  </si>
  <si>
    <t>MSI Katana 15 HX 15.6" 165Hz QHD+ Portátil para juegos: Intel Core i9-14900HX, NVIDIA Geforce RTX 5070, 32GB DDR5, 1TB NVMe SSD, teclado RGB, Win 11 Home: Negro B14WGK-016US</t>
  </si>
  <si>
    <t>DANY JERSON TERRAZAS HUAMANI</t>
  </si>
  <si>
    <t>k-a-113-9974029-5236227</t>
  </si>
  <si>
    <t>Lenovo Legion 5i de 16" - Intel Core Ultra 9 275HX - GeForce RTX 5060 - WQXGA (2560x1600) - Windows 11 Home - 32 GB de RAM - SSD de 1 TB</t>
  </si>
  <si>
    <t>MARCIANO BERROCAL EVANAN</t>
  </si>
  <si>
    <t>G-C-1220787134</t>
  </si>
  <si>
    <t>Alienware 16 Aurora Laptop AC16250-Pantalla WQXGA de 16 pulgadas, 16:10, Intel Core 7-240H Series 2, 16 GB DDR5 RAM, 1 TB SSD, NVIDIA GeForce RTX 5060 8GB GDDR7, Windows 11 Home</t>
  </si>
  <si>
    <t>Luz marina delgado Meza</t>
  </si>
  <si>
    <t>k-a-113-1842957-3037814</t>
  </si>
  <si>
    <t>998 900 791</t>
  </si>
  <si>
    <t>Entregado el 31 de agosto</t>
  </si>
  <si>
    <t>ASUS Portátil para juegos ROG Strix G16 (2025), pantalla FHD+ 16:10 165Hz/3ms, GPU NVIDIA® GeForce RTX™ 5060, procesador Intel® Core™ i7 14650HX, DDR5 de 16 GB, SSD de 1 TB Gen 4, Wi-Fi 7, Windows 11</t>
  </si>
  <si>
    <t>JHEREMI JOSUE LLACSAHUANGA RAMOS</t>
  </si>
  <si>
    <t>k-a-113-1861652-7949015</t>
  </si>
  <si>
    <t>Hayro Raul Pineda Saccsara</t>
  </si>
  <si>
    <t>k-a-113-0367359-0719456</t>
  </si>
  <si>
    <t>906 432 187</t>
  </si>
  <si>
    <t>SOPORTE DE LAPTOP</t>
  </si>
  <si>
    <t>ASUS - TUF Gaming F16 16" FHD+ 165Hz Gaming Laptop - Intel Core i7-14650HX - 32GB RAM - NVIDIA GeForce RTX 5060 - SSD 1TB - Jaeger Gray</t>
  </si>
  <si>
    <t>Kevin Carlos Salcedo Castro</t>
  </si>
  <si>
    <t>s-e-25-13477-06883</t>
  </si>
  <si>
    <t>mouse</t>
  </si>
  <si>
    <t>Shipment history
FedEx: 478710843286</t>
  </si>
  <si>
    <t>ASUS - ROG Strix G16 16" FHD 165Hz Gaming Laptop - AMD Ryzen 9 HX - 16GB RAM - NVIDIA GeForce RTX 5070 Ti - 1TB SSD - Eclipse Grey</t>
  </si>
  <si>
    <t>NILSEN JHOAO SHUPINGAHUA RENGIFO</t>
  </si>
  <si>
    <t>s-BBY01-807082278935</t>
  </si>
  <si>
    <t>979 262 673</t>
  </si>
  <si>
    <t xml:space="preserve">funda de laptop </t>
  </si>
  <si>
    <t>Erik raul aguilar vilca</t>
  </si>
  <si>
    <t>k-a-113-5806333-2752239</t>
  </si>
  <si>
    <t xml:space="preserve">Erick Martin Flores Cardenas </t>
  </si>
  <si>
    <t>G-C-1220853087</t>
  </si>
  <si>
    <t>Carlos Jeanfranco Sandoval Corrales</t>
  </si>
  <si>
    <t>k-BBY01-807082280137</t>
  </si>
  <si>
    <t>Luis Angel Pasapera Ramirez</t>
  </si>
  <si>
    <t>k-a-113-4738491-9509033</t>
  </si>
  <si>
    <t>969 496 609</t>
  </si>
  <si>
    <t>ASUS ROG Strix G16 G615LP-MS96 16" Gaming Laptop Computer Platinum Collection - Eclipse Gray</t>
  </si>
  <si>
    <t>ALEJANDRA CRUZ</t>
  </si>
  <si>
    <t>r-m-19762698</t>
  </si>
  <si>
    <t>900 619 761</t>
  </si>
  <si>
    <t>Claudio Miguel Sotomayor Valdiviezo"</t>
  </si>
  <si>
    <t>s-e-01-13509-63363</t>
  </si>
  <si>
    <t>949 295 034</t>
  </si>
  <si>
    <t>Shipment history
FedEx: 478710814783</t>
  </si>
  <si>
    <t>ROGER ALONSO ANTONIO VEGA SOLIS</t>
  </si>
  <si>
    <t>s-e-22-13480-86823</t>
  </si>
  <si>
    <t>Shipment history
FedEx: 478710812714</t>
  </si>
  <si>
    <t>ASUS ROG Flow Z13 2 en 1 de 13,4" con pantalla táctil de 2,5 K y 180 Hz, procesador Ryzen AI MAX 390 de 32 GB y SSD de 1 TB.</t>
  </si>
  <si>
    <t>Marvin Cespedes Gonzales</t>
  </si>
  <si>
    <t>k-e-08-13545-83481</t>
  </si>
  <si>
    <t>993 037 704</t>
  </si>
  <si>
    <t>Shipment history
FedEx: 884157060826</t>
  </si>
  <si>
    <t>FRANKLIN JHONNY CORTEZ PEÑA</t>
  </si>
  <si>
    <t>G-C-1221078707</t>
  </si>
  <si>
    <t>Acer - Laptop para juegos Predator Helios Neo 16S con IA - Pantalla OLED de 16" y 240 Hz - Intel Core Ultra 9 - NVIDIA GeForce RTX 5070Ti (32 GB, 1 TB) - Negro obsidiana</t>
  </si>
  <si>
    <t>Nancy Marina Gonzales Briceño</t>
  </si>
  <si>
    <t>k-e-22-13530-58252</t>
  </si>
  <si>
    <t>Shipment history
FedEx: 456916729911</t>
  </si>
  <si>
    <t>victor junior fiestas huertas</t>
  </si>
  <si>
    <t>s-BBY01-807082508977</t>
  </si>
  <si>
    <t>MSI Portátil para juegos Vector 16 HX AI 16" 240Hz QHD+: Intel Core Ultra 9-275HX, NVIDIA Geforce RTX 5070Ti, 16GB DDR5, 1TB NVMe SSD, Thunderbolt 5, Wi-Fi 7, Win 11 Home: Cosmo Gray A2XWHG-211US</t>
  </si>
  <si>
    <t>Marco Teves Mayta</t>
  </si>
  <si>
    <t>k-a-113-7650823-7919457</t>
  </si>
  <si>
    <t>amazon no entrega la laptop</t>
  </si>
  <si>
    <t>Amazon: TBA324190946293</t>
  </si>
  <si>
    <t>Cristiam Chuquillanqui</t>
  </si>
  <si>
    <t>k-a-113-2213675-6195414</t>
  </si>
  <si>
    <t>NO</t>
  </si>
  <si>
    <t>Amazon:TBA324190946293</t>
  </si>
  <si>
    <t xml:space="preserve">Edwin Cumpa Inoñan </t>
  </si>
  <si>
    <t>s-BBY01-807082285216</t>
  </si>
  <si>
    <t xml:space="preserve">Edwar Marcello Junior Pisconti Cahuana </t>
  </si>
  <si>
    <t>y-BBY01-807082285541</t>
  </si>
  <si>
    <t>930 557 454</t>
  </si>
  <si>
    <t>ASUS ROG Strix G16 WUXGA 165Hz 3ms 16" Portátil para juegos Intel Core i9-14900HX 16GB RAM 1TB SSD NVIDIA GeForce RTX 5060 Eclipse Gris</t>
  </si>
  <si>
    <t xml:space="preserve">Joseph de la cruz huallanca </t>
  </si>
  <si>
    <t>k-a-113-3854545-1670647</t>
  </si>
  <si>
    <t>Milker Arturo Guevara Boyer</t>
  </si>
  <si>
    <t>L-C-090925</t>
  </si>
  <si>
    <t xml:space="preserve"> 933 874 773</t>
  </si>
  <si>
    <t>Silvio Cesar Cabrera Navinta</t>
  </si>
  <si>
    <t>k-e-03-13575-33324</t>
  </si>
  <si>
    <t>FedEx: 456917502802</t>
  </si>
  <si>
    <t xml:space="preserve">Heyser Israel Castañeda Romero </t>
  </si>
  <si>
    <t>k-n-563702332</t>
  </si>
  <si>
    <t>cliente: 991995683
con el que hice el trato: 902 735 656</t>
  </si>
  <si>
    <t>Tracking #: 1ZR43Y854227519724</t>
  </si>
  <si>
    <t>GIGABYTE - Laptop para juegos AORUS 16X (2024) - 165Hz 2560x1600 WQXGA - NVIDIA GeForce RTX 4060 - Intel i7-14650HX - SSD de 1 TB con RAM DDR5 de 32 GB - Windows 11 Home</t>
  </si>
  <si>
    <t>Víctor Frances Muñoz Tantalean</t>
  </si>
  <si>
    <t>k-a-113-2803302-1105068</t>
  </si>
  <si>
    <t>ALMACÉN: Entregado el 12 de septiembre Tracking: TBA324300091363</t>
  </si>
  <si>
    <t xml:space="preserve">Jose Karol Quispe Arcibia </t>
  </si>
  <si>
    <t>993 874 182</t>
  </si>
  <si>
    <t>FRANK DURAND PACHAS</t>
  </si>
  <si>
    <t>k-BBY01-807082292938</t>
  </si>
  <si>
    <t>ASUS ROG Strix 18" 2.5K 240 Hz Core Ultra 9 275HX 32 GB de RAM 2 TB SSD RTX 5090</t>
  </si>
  <si>
    <t>Piero Fernando Li LLaja</t>
  </si>
  <si>
    <t>k-e-27-13551-97500</t>
  </si>
  <si>
    <t>S/.9,401.93</t>
  </si>
  <si>
    <t>ASUS ROG Strix G16 G615LP-MS96 16" Gaming Laptop Computer Platinum Collection - Eclipse Gray Intel Core Ultra 9 275HX 2.7GHz Processor; NVIDIA GeForce RTX 5070 8GB GDDR7; 32GB DDR5-5600 RAM; 1TB Solid State Drive</t>
  </si>
  <si>
    <t>Luis Henry Vicente Fernandez</t>
  </si>
  <si>
    <t>J-M-220825</t>
  </si>
  <si>
    <t>Marvin Jhosep Cucho Anchante</t>
  </si>
  <si>
    <t>k-BBY01-807082281707</t>
  </si>
  <si>
    <t xml:space="preserve">Asus rog G14 RTX 5060 16gb ram </t>
  </si>
  <si>
    <t>David Alonso Espinoza Pandia</t>
  </si>
  <si>
    <t>k-e-12-13576-81420</t>
  </si>
  <si>
    <t>926 604 530</t>
  </si>
  <si>
    <t>Arrives Sep 22, 2025 FedEx: 480220743968</t>
  </si>
  <si>
    <t>k-b-BBY01-807087067413</t>
  </si>
  <si>
    <t>940 883 472</t>
  </si>
  <si>
    <t>le llega al viajero el 22 de setiembre FEDEX: 393281192730</t>
  </si>
  <si>
    <t>ASUS - ROG Strix G16 Laptop para juegos FHD+ de 16" y 165 Hz - Intel Core i9 HX - 16 GB de RAM - NVIDIA GeForce RTX 5060 - SSD de 1 TB</t>
  </si>
  <si>
    <t>Adrián Quintana</t>
  </si>
  <si>
    <t>K-B-BBY01-807088131572</t>
  </si>
  <si>
    <t>FEDEX: 393384493336</t>
  </si>
  <si>
    <t>NARDY DELVIA MAMANI QUISPE</t>
  </si>
  <si>
    <t>k-a-113-7800883-0802602</t>
  </si>
  <si>
    <t>Bryan Astochado</t>
  </si>
  <si>
    <t>k-e-15-13595-89501</t>
  </si>
  <si>
    <t>llegará el 29 de setiembre aprox al almacén de miami FedEx: 457193897575</t>
  </si>
  <si>
    <t>GIGABYTE - AERO X16 - Copilot+ PC - 16" 2560×1600 WQXGA AMD Ryzen Al 7 350 - 1TB SSD - 32GB DDR5 RAM GeForce RTX 5070 - Gris espacial</t>
  </si>
  <si>
    <t>FRANCISCO LESCANO TRUJILLO</t>
  </si>
  <si>
    <t>k-e-06-13609-31531</t>
  </si>
  <si>
    <t>MOUSE 35 - MEMORIA 1TB - 310</t>
  </si>
  <si>
    <t>llegará el 29 de setiembre aprox al almacén de miami, FedEx: 482613538049</t>
  </si>
  <si>
    <t>Jesús Matos Vela</t>
  </si>
  <si>
    <t>k-BBY01-807083160312</t>
  </si>
  <si>
    <t>941 415 345</t>
  </si>
  <si>
    <t>Lenovo Legion 5 15.1" OLED WQXGA 165HZ AMD Ryzen 7 260 16GB RAM 512GB SSD NVIDIA GeForce RTX 5060 Eclipse Negro</t>
  </si>
  <si>
    <t>Renzo Jesús Uceda Jallurana</t>
  </si>
  <si>
    <t>k-e-11-13621-96273</t>
  </si>
  <si>
    <t>llega aprox el 30 de setiemnre al almacén de miami FedEx: 884676335190</t>
  </si>
  <si>
    <t>Sebastián Moisés Perales Yesán</t>
  </si>
  <si>
    <t>L-C-180925</t>
  </si>
  <si>
    <t>986 092 198</t>
  </si>
  <si>
    <t>Fausto Alonso Puente Monteagudo</t>
  </si>
  <si>
    <t>s-BBY01-807083142110</t>
  </si>
  <si>
    <t>ASUS ROG Strix SCAR 16 G635LW-XS97 16" Gaming Laptop Computer - Off BlackIntel Core Ultra 9 275HX 2.1GHz Processor; NVIDIA GeForce RTX 5080 16GB GDDR7; 32GB DDR5-5600 RAM; 2TB Solid State Drive</t>
  </si>
  <si>
    <t>Alex Yefry Yepez Huaquisto</t>
  </si>
  <si>
    <t>J-M-260925</t>
  </si>
  <si>
    <t>Acer Predator Helios 16 32 gb ram 4080 2 tb</t>
  </si>
  <si>
    <t>DALESKA SOLANO  ROMERO</t>
  </si>
  <si>
    <t>MSI Raider GE68Hx de 16" QHD+ 240 Hz, Intel Core i7-14700HX, RTX 4060, 16 GB DDR5, 1 TB + 512 GB NVMe SSD, Killer WiFi 7 BE1750, 1 HDMI 2.1, Windows 11 PRO, 14VFG-297US</t>
  </si>
  <si>
    <t>MICHAEL FERNANDO PEREZ CHOQUE</t>
  </si>
  <si>
    <t>k-n-564003232</t>
  </si>
  <si>
    <t>llega aprox el 1 de octubre a miami Tracking:1ZR43Y854227835721</t>
  </si>
  <si>
    <t>OCTUBRE</t>
  </si>
  <si>
    <t xml:space="preserve">Jorge luis hancco puma </t>
  </si>
  <si>
    <t>s-BBY01-807082272237</t>
  </si>
  <si>
    <t>Martin César León laveriano</t>
  </si>
  <si>
    <t>J-M-19879396</t>
  </si>
  <si>
    <t xml:space="preserve">Acer Predator helios neo 16 </t>
  </si>
  <si>
    <t xml:space="preserve">José Matius Jibaja Inca </t>
  </si>
  <si>
    <t>L-M-290925</t>
  </si>
  <si>
    <t>927 162 353</t>
  </si>
  <si>
    <t>Kevin Arnold Hayacc Aquino</t>
  </si>
  <si>
    <t>k-a-113-4121484-6871427</t>
  </si>
  <si>
    <t>942 017 022</t>
  </si>
  <si>
    <t>2099,99</t>
  </si>
  <si>
    <t>Frayssidet Brusi Espinoza Condezo</t>
  </si>
  <si>
    <t>K-B-BBY01-807089010748</t>
  </si>
  <si>
    <t>949 718 642</t>
  </si>
  <si>
    <t>FedEx Logo
FedEx Tracking Number:
393472153892</t>
  </si>
  <si>
    <t>MSI - Vector 16 HX AI 400 16" 240Hz QHD+ Gaming Laptop - Intel Ultra 9-275HX - GeForce RTX 5080 - 16GB Memory - 1TBSSD - Cosmo Gray</t>
  </si>
  <si>
    <t>k-b-BBY01-807093119980</t>
  </si>
  <si>
    <t>se canceló otra compra porque no nos la entregan, es el de la fila 218, cambió de laptop</t>
  </si>
  <si>
    <t>llegará aprox en octubre 3 a miami. FEDEX: 483233094557</t>
  </si>
  <si>
    <t>k-a-113-4411897-8013035</t>
  </si>
  <si>
    <t>se canceló otra compra porque no nos la entregan, es el de la fila 219, cambió de laptop</t>
  </si>
  <si>
    <t>Intel Core Ultra 9 285HX de 2,1 GHz; GPU NVIDIA GeForce RTX 5090, 24 GB de GDDR7; 64 GB de RAM DDR5-6400; Unidad de estado sólido de 2 TB</t>
  </si>
  <si>
    <t>Jordan Alexander Chiscol Patazca</t>
  </si>
  <si>
    <t>L-M-20030550</t>
  </si>
  <si>
    <t>Funda para portátil Case Logic compatible con pantallas de hasta 18,4" - Negra</t>
  </si>
  <si>
    <t>L-M-20030555</t>
  </si>
  <si>
    <t>Otro</t>
  </si>
  <si>
    <t>MSI 18" Raider 18 HX AI Gaming Laptop 2.8 GHz Intel Core Ultra 9 285HX 24-Core
64GB DDR5 RAM | 2 x 2TB M.2 NVMe SSDs
18" 3840 x 2400 Mini LED 120 Hz Display
NVIDIA GeForce RTX 5080 (16GB GDDR7)</t>
  </si>
  <si>
    <t>Christian Jhoel Quisca Vilca</t>
  </si>
  <si>
    <t>K-N-554451734</t>
  </si>
  <si>
    <t>Tracking #: 1ZE569864203203734</t>
  </si>
  <si>
    <t>Lenovo - Legion Pro 5i, portátil gaming OLED 2.5K de 16", procesador Intel Core Ultra 9 275HX, 32 GB de memoria RAM, tarjeta gráfica NVIDIA GeForce RTX 5070, SSD de 1 TB, color negro eclipse</t>
  </si>
  <si>
    <t>Bryan emmanuel corpus chirinos</t>
  </si>
  <si>
    <t>yo-eb-03-13790-05208</t>
  </si>
  <si>
    <t>llega el 10 de noviembre a miami, Tracking 488017194251</t>
  </si>
  <si>
    <t>NOVIEMBRE</t>
  </si>
  <si>
    <t>Jhosset Breny Huanasca Guevara</t>
  </si>
  <si>
    <t>K-N-554449174</t>
  </si>
  <si>
    <t>Tracking #:1ZA813774204234908</t>
  </si>
  <si>
    <t>Jack Danny Torres Caceres</t>
  </si>
  <si>
    <t>k-e-04-13662-15209</t>
  </si>
  <si>
    <t>llega aprox el 11 a miami. FedEx: 480718392811</t>
  </si>
  <si>
    <t>Titan 18 HX Dragon Edition Norse Myth A2XWJG-440US de 18" UHD</t>
  </si>
  <si>
    <t>Flor Daly Torres Cervantes</t>
  </si>
  <si>
    <t>k-m-470679</t>
  </si>
  <si>
    <t>fedex: 884950658852</t>
  </si>
  <si>
    <t>TERRY ANGI MICHELLE TORRES VALDEZ</t>
  </si>
  <si>
    <t>L-C-230925</t>
  </si>
  <si>
    <t>Acer - Predator Helios Neo 16S AI Gaming Laptop - 16" OLED 240Hz - Intel Core Ultra 9 - NVIDIA GeForce RTX 5060 – 16GB – 1TB - Obsidian Black</t>
  </si>
  <si>
    <t>Jhon Deyvis Vargas Avila</t>
  </si>
  <si>
    <t>K-b-BBY01-807093997418</t>
  </si>
  <si>
    <t xml:space="preserve">
FedEx Logo
FedEx Tracking Number:
480718448174</t>
  </si>
  <si>
    <t>Alienware - 16X Aurora 16" 240Hz Gaming Laptop WQXGA - Intel Core Ultra 9 275HX con 32GB de Memoria - NVIDIA GeForce RTX 5060 - 1TB SDD - Azul"</t>
  </si>
  <si>
    <t>Luis angel Ugarte Zúñiga</t>
  </si>
  <si>
    <t>k-e-091368435457</t>
  </si>
  <si>
    <t>991 597 621// 951 760 114</t>
  </si>
  <si>
    <t>llegará aprox en octubre 20 a miami. FedEx: 480720095823</t>
  </si>
  <si>
    <t>ALVARO CUSI LAZO</t>
  </si>
  <si>
    <t>J-M-19870354</t>
  </si>
  <si>
    <t>Omar Fajardo Farje</t>
  </si>
  <si>
    <t>k-a-113-5123038-3993018</t>
  </si>
  <si>
    <t>Tracking: TBA324991762034</t>
  </si>
  <si>
    <t>Asus ROG Zephyrus G14 OLED Ryzen 9 270 16GB RAM 1TB SSD GeForce RTX 5060</t>
  </si>
  <si>
    <t>Fatima Irey Pomari</t>
  </si>
  <si>
    <t>k-e-21-13673-88143</t>
  </si>
  <si>
    <t>913 938 081//51997706624</t>
  </si>
  <si>
    <t>media comisión con maryory</t>
  </si>
  <si>
    <t>llega aprox el 17 de octubre a miami. UPS: 1Z14V36V4204632911</t>
  </si>
  <si>
    <t>Rocky Diego Chegne Salazar</t>
  </si>
  <si>
    <t>k-e-02-13465-04143</t>
  </si>
  <si>
    <t>Alienware aurora 16x Intel® Core™ Ultra 9 275HX (24 núcleos, 2,1 a 5,4 GHz P-Core Turbo) 16", WQXGA, 240Hz, 100% DCI-P3, ComfortView Plus, G-SYNC 64 GB: 2 x 32 GB, DDR5, 5600 MT/s 2 TB SSD NVIDIA® GeForce RTX™ 5070, 8 GB GDDR7 Windows 11 Home</t>
  </si>
  <si>
    <t xml:space="preserve">Karina Janina Domínguez Dávalos </t>
  </si>
  <si>
    <t>G-D-2008489218892</t>
  </si>
  <si>
    <t>938 209 044</t>
  </si>
  <si>
    <t>Tracking: 1ZW70W980324676712</t>
  </si>
  <si>
    <t>ASUS Portátil para juegos ROG Strix G16 (2025), pantalla ROG Nebula de 16 pulgadas 16:10 2.5K 240Hz/3ms, GPU NVIDIA GeForce RTX 5060, procesador Intel Core Ultra 9 275HX, memoria DDR5 de 32 GB, SSD</t>
  </si>
  <si>
    <t>Christian Gabriel Velasquez Canessa</t>
  </si>
  <si>
    <t>k-am-113-9524372-4473026</t>
  </si>
  <si>
    <t>llega aprox el 17 de octubre a miami. Tracking: 9339589741055378543644</t>
  </si>
  <si>
    <t>MSI Vector 16 HX AI A2XWIG-050US 16" Gaming Laptop Computer - Cosmo GrayIntel Core Ultra 9 275HX 2.1GHz Processor; NVIDIA GeForce RTX 5080 16GB GDDR7; 16GB DDR5-5600 RAM; 1TB Solid State Drive</t>
  </si>
  <si>
    <t>Houston Jonathan Modragon Pintado</t>
  </si>
  <si>
    <t>L-M-171025</t>
  </si>
  <si>
    <t>desea que la laptop llegue sellada</t>
  </si>
  <si>
    <t>Luis Angel Malacas Leon</t>
  </si>
  <si>
    <t>K-b-BBY01-807093993721</t>
  </si>
  <si>
    <t>981 471 144</t>
  </si>
  <si>
    <t>Tracking: 480718448174</t>
  </si>
  <si>
    <t>Jessenia Palomino</t>
  </si>
  <si>
    <t>k-e-08-13732-31276</t>
  </si>
  <si>
    <t>Se está realizando la compra de otra laptop porque se le brindó la laptop de mi hermana a otro cliente en oficina, las licencias que compré y memoria se los pagué directamente a fixit</t>
  </si>
  <si>
    <t>Tracking: 466143763828</t>
  </si>
  <si>
    <t>MARIO NEYSER VASQUEZ DOMINGUEZ</t>
  </si>
  <si>
    <t>k-e-17-13677-23807</t>
  </si>
  <si>
    <t>Eduardo Gonzalo Torres Peña</t>
  </si>
  <si>
    <t>s-BBY01-807082290445</t>
  </si>
  <si>
    <t>945 566 923</t>
  </si>
  <si>
    <t>GIANFRANCO WALTER OCHOA JUSTO</t>
  </si>
  <si>
    <t>s-BBY01-807083090540</t>
  </si>
  <si>
    <t>990 019 127</t>
  </si>
  <si>
    <t>Fernando Williams Flores Flores</t>
  </si>
  <si>
    <t>k-e-02-13465-02387</t>
  </si>
  <si>
    <t>938 853 185</t>
  </si>
  <si>
    <t>Acer - Predator Helios Neo 16S AI Gaming Laptop - 16" OLED 240Hz - Intel Core Ultra 9 - NVIDIA GeForce RTX 5070Ti 32GB 1TB - Obsidian Black</t>
  </si>
  <si>
    <t>Yeferson Dariun Laura Livise</t>
  </si>
  <si>
    <t>s-e-08-13689-46307</t>
  </si>
  <si>
    <t>Alexander Edmundo Hermoza Sánchez</t>
  </si>
  <si>
    <t>k-a-113-3943014-5393025</t>
  </si>
  <si>
    <t>TBA324991762034</t>
  </si>
  <si>
    <t>Mario Arenas pedraza</t>
  </si>
  <si>
    <t>L-C-211025</t>
  </si>
  <si>
    <t>Luis George Espíritu Baldeón</t>
  </si>
  <si>
    <t>s-e-21-13671-58591</t>
  </si>
  <si>
    <t>MSI - Vector 16 HX AI 400 - Portátil para juegos QHD+ de 16" y 240 Hz - Intel Ultra 9-275HX - GeForce RTX 5080 - 16 GB de memoria - 1 TB de SSD - Gris cosmos</t>
  </si>
  <si>
    <t>Juan Carlos Alanoca Quispe</t>
  </si>
  <si>
    <t>sr-eb-05-13739-67790</t>
  </si>
  <si>
    <t>FedEx: 480721991049</t>
  </si>
  <si>
    <t>MSI - Portátil Gaming Vector 16 HX AI 400 16" 240Hz QHD+ - Intel Ultra 9-275HX - GeForce RTX 5080 - Memoria 16GB - 1TBSSD - Gris Cosmo</t>
  </si>
  <si>
    <t xml:space="preserve">Rosario Yakeline Cachay Rivera </t>
  </si>
  <si>
    <t>so-eb-26-13722-68537</t>
  </si>
  <si>
    <t>Gilbert Martín Stiven Tijero Gutiérrez</t>
  </si>
  <si>
    <t>K-B-BBY01-807089018248</t>
  </si>
  <si>
    <t>Lenovo Legion Pro 7 16IAX10H OLED 16" Gaming Laptop Computer - Eclipse BlackIntel Core Ultra 9 275HX 2.1GHz Processor; NVIDIA GeForce RTX 5070 Ti 12GB GDDR7; 32GB DDR5-6400 RAM; 2x 1TB Solid State Drive</t>
  </si>
  <si>
    <t>Noemí elky Mateo vivas</t>
  </si>
  <si>
    <t>ja-bh-1125009072</t>
  </si>
  <si>
    <t>HP Omen 16" WQXGA IPS 240Hz Ultra 9 285H 16GB RAM 1TB SSD RTX 5070</t>
  </si>
  <si>
    <t>Mauricio Alonso Chávez romero</t>
  </si>
  <si>
    <t>ke-eb-19-13753-84170</t>
  </si>
  <si>
    <t>EL CLIENTE PAGARÁ 100 DÓLARES POR EL SERVICIO EXPRESS PARA QUE LLEGUE EL 11 O ANTES (FECHA LÍMITE EL 12, PORQUE VIAJA EL 13)</t>
  </si>
  <si>
    <t>Se estima que llegue el 3 a miami y el 11 a lima</t>
  </si>
  <si>
    <t>ASUS ROG Strix SCAR 16 G635LW-XS97 de 16" - Negro rotoProcesador Intel Core Ultra 9 275HX de 2,1 GHz; NVIDIA GeForce RTX 5080 de 16 GB GDDR7; 32 GB de RAM DDR5-5600; Unidad de estado sólido de 2 TB</t>
  </si>
  <si>
    <t>Alan Gabriel Balbín Casas</t>
  </si>
  <si>
    <t>ka-m-20149932</t>
  </si>
  <si>
    <t>ASUS ROG Strix SCAR 16 (2025) Portátil para juegos, 16" ROG Nebula HDR 16:10 2.5K 240Hz/3ms, NVIDIA GeForce RTX 5090, Intel Core Ultra 9 275HX, 32GB DDR5, 2TB PCIe Gen 4 SSD, Wi-Fi 7, Win 11 Pro</t>
  </si>
  <si>
    <t>Miguel cisneros mallcco</t>
  </si>
  <si>
    <t>ke-am-113-3183443-2830614</t>
  </si>
  <si>
    <t xml:space="preserve">TRAERLO CON COURIER DESEA FACTURA </t>
  </si>
  <si>
    <t>Tracking: TBA325553054703</t>
  </si>
  <si>
    <t>DICIEMBRE</t>
  </si>
  <si>
    <t>Carlos Abugattas</t>
  </si>
  <si>
    <t>k-e-06-13692-52522</t>
  </si>
  <si>
    <t>987 517 240</t>
  </si>
  <si>
    <t>Lenovo Legion Pro 7 OLED 16" Gaming Laptop Computer - Eclipse BlackIntel Core Ultra 9 275HX 2.1GHz Processor; NVIDIA GeForce RTX 5070 Ti 12GB GDDR7; 32GB DDR5-6400 RAM; 2x 1TB Solid State Drive</t>
  </si>
  <si>
    <t>RENE ELVIS MAMANI MAMANI</t>
  </si>
  <si>
    <t>ke-bh-1124982873</t>
  </si>
  <si>
    <t>948 159 664</t>
  </si>
  <si>
    <t>comisión mitad mitad con karina. Llegó por mi link, pero karina lo atendió mayoritariamente.</t>
  </si>
  <si>
    <t>llega el 5 de noviembre a miami</t>
  </si>
  <si>
    <t>Jhonatan Omar Peralta Monteza</t>
  </si>
  <si>
    <t>k-a-113-3730437-1644209</t>
  </si>
  <si>
    <t>ALVARO JOSEPH VILLEGAS AULLA</t>
  </si>
  <si>
    <t>ke-ms-480360</t>
  </si>
  <si>
    <t>906 994 688</t>
  </si>
  <si>
    <t>Tracking number: 885721125510</t>
  </si>
  <si>
    <t>Paul Andre Huarac Yaranga</t>
  </si>
  <si>
    <t>L-M-010725-03</t>
  </si>
  <si>
    <t>993 838 023</t>
  </si>
  <si>
    <t xml:space="preserve">Lenovo Legion 5, RTX 5060, Ultra 7 255HX, 32GB RAM, 1TB SSD, QHD OLED 165 Hz </t>
  </si>
  <si>
    <t>Diego Adolfo Llanos Triviños</t>
  </si>
  <si>
    <t>so-BH-1124929978</t>
  </si>
  <si>
    <t>902 428 334</t>
  </si>
  <si>
    <t>Alfio Deutz Esteban Dolores</t>
  </si>
  <si>
    <t>so-bh-1124992039</t>
  </si>
  <si>
    <t>922 863 307</t>
  </si>
  <si>
    <t>TITO ANGEL REYES CARAHUANCO</t>
  </si>
  <si>
    <t>li-m-041125</t>
  </si>
  <si>
    <t>ASUS ROG Strix G16 G615LR-MS97</t>
  </si>
  <si>
    <t>Vela Miranda Luis Alberto</t>
  </si>
  <si>
    <t>ja-m-051125</t>
  </si>
  <si>
    <t>Rosa Ofelia Cárdenas Sánchez</t>
  </si>
  <si>
    <t>ja-m-081125</t>
  </si>
  <si>
    <t>938 591 085</t>
  </si>
  <si>
    <t>ASUS ROG Strix G16 G615LR-MS97 de 16" Colección Platino - Gris EclipseProcesador Intel Core Ultra 9 275HX de 2,1 GHz; tarjeta gráfica NVIDIA GeForce RTX 5070 Ti de 12 GB GDDR7; 32 GB de RAM DDR5-5600; unidad de estado sólido de 2 TB</t>
  </si>
  <si>
    <t>Eric Salomon Quilca Chipana</t>
  </si>
  <si>
    <t>ja-m-101125</t>
  </si>
  <si>
    <t>ASUS - ProArt PZ13 13" OLED 3K Detachable Laptop - Copilot+ PC - Snapdragon X Plus - 16GB Memory - 1TB SSD - Nano Black</t>
  </si>
  <si>
    <t>Arturo Alejandro Zea Manrique</t>
  </si>
  <si>
    <t>ke-be-BBY01-807106533267</t>
  </si>
  <si>
    <t>961 967 050</t>
  </si>
  <si>
    <t>Tracking 480725576293</t>
  </si>
  <si>
    <t>Dell Alienware 18 Area-51 AA18250, portátil para juegos de 18 pulgadas, color verde azulado líquidoProcesador Intel Core Ultra 9 275HX de 2,1 GHz; tarjeta gráfica NVIDIA GeForce RTX 5070 Ti de 12 GB GDDR7; 32 GB de RAM</t>
  </si>
  <si>
    <t xml:space="preserve">JOSE GUILLERMO RICALDI SANABRIA </t>
  </si>
  <si>
    <t>li-m-131125</t>
  </si>
  <si>
    <t>ENZO NIBIN CONTRERAS</t>
  </si>
  <si>
    <t>K-B-BBY01-807088820829</t>
  </si>
  <si>
    <t>ASUS ROG Strix G16 - 16" GeForce RTX 5060 Laptop GPU - Intel Core i9-14900HX - 16GB Memory - 1 TB NVMe SSD - Windows 11 Home - Gaming Laptop - 165 Hz IPS (G615JMR-DS94 )</t>
  </si>
  <si>
    <t>BRENDALID LUZ ALATA HUISA</t>
  </si>
  <si>
    <t>K-N-582529693</t>
  </si>
  <si>
    <t>Olmedo Condori constancio</t>
  </si>
  <si>
    <t>k-e-22-13713-21461</t>
  </si>
  <si>
    <t>JESUS PAASACA LEON</t>
  </si>
  <si>
    <t>k-e-17-13720-05006</t>
  </si>
  <si>
    <t>Lenovo Legion 5 15.1" OLED WQXGA 165HZ NVIDIA GeForce RTX 5060 AMD Ryzen 7 260 16GB RAM 512GB SSD Eclipse Negro</t>
  </si>
  <si>
    <t>ROBERTO SEBASTIAN MUÑANTE QUISPE</t>
  </si>
  <si>
    <t>ke-eb-06-13839-60238</t>
  </si>
  <si>
    <t>Alienware Aurora Ac16251 Gaming 16" Intel® Core™ Ultra 9 275HX, 24 cores 1 TB SSD, 32GB RAM, NVIDIA® GeForce RTX™ 5060, 8 GB GDDR7</t>
  </si>
  <si>
    <t>Ixpery service sac</t>
  </si>
  <si>
    <t>k-e-12-13727-14068</t>
  </si>
  <si>
    <t>(numero con el que se hizo acuerdo) 51923021210
(familiar) 913 067 686</t>
  </si>
  <si>
    <t>Factura</t>
  </si>
  <si>
    <t>Lenovo - Legion Pro 5, portátil gaming de 16" y 2.5K - AMD Ryzen 9 8945HX - NVIDIA GeForce RTX 5060 - 16 GB de memoria - SSD de 1 TB - Negro Eclipse</t>
  </si>
  <si>
    <t>cristhian paul calloquispe cusi</t>
  </si>
  <si>
    <t>ke-be-BBY01-807107550863</t>
  </si>
  <si>
    <t>ASUS ROG Strix G18 ROG Nebula Display 2.5K 240Hz 3ms 18" AMD Ryzen 9 8940HX 16GB RAM 1TB SSD NVIDIA GeForce RTX 5070</t>
  </si>
  <si>
    <t>HESTON RICARDO PIZANGO MONCAD</t>
  </si>
  <si>
    <t>ke-eb-01-13851-65439</t>
  </si>
  <si>
    <t>959 451 635</t>
  </si>
  <si>
    <t xml:space="preserve">el cliente solicita que lo compren a su nombre </t>
  </si>
  <si>
    <t>ke-eb-24-13833-96702</t>
  </si>
  <si>
    <t>Legion 7i 16" 2.5k OLED Gaming Laptop - Intel Core Ultra 9 275HX - 32GB Memory - NVIDIA GeForce RTX 5070 - 1TB SSD - Glacier White</t>
  </si>
  <si>
    <t>GUIDO FARID QUISPE MERMA</t>
  </si>
  <si>
    <t>ke-eb-17-13828-84738</t>
  </si>
  <si>
    <t>925 417 355</t>
  </si>
  <si>
    <t>Legion Pro 5i 16" 2.5k OLED Gaming Laptop - Intel Core Ultra 9 275HX - 32GB Memory - NVIDIA GeForce RTX 5070 - 1TB SSD - Eclipse Black</t>
  </si>
  <si>
    <t>ke-eb-11-13837-28614</t>
  </si>
  <si>
    <t>Luis Fernando Chambilla Marca</t>
  </si>
  <si>
    <t>s-BBY01-807082513472</t>
  </si>
  <si>
    <t>jesús vidal quispe justo</t>
  </si>
  <si>
    <t>k-BBY03-807097174379</t>
  </si>
  <si>
    <t>920 102 173</t>
  </si>
  <si>
    <t>Robinson Edgar Calsin Mamani</t>
  </si>
  <si>
    <t>k-e-18-13718-83789</t>
  </si>
  <si>
    <t>945 120 246</t>
  </si>
  <si>
    <t>ASUS ROG Flow Z13 2.5K 180Hz 3ms ROG Nebula Pantalla Táctil 13.4" Convertible 2-en-1 Gaming Notebook AMD Ryzen AI MAX 390 32GB RAM 1TB SSD Off Black</t>
  </si>
  <si>
    <t>JHERSON JOSE LAVADO BARZOLA</t>
  </si>
  <si>
    <t>ke-eb-13-13849-40754</t>
  </si>
  <si>
    <t>llega el 22 de noviembre al almacén</t>
  </si>
  <si>
    <t>Asus 16" ROG Strix G16 Gaming Laptop Windows 11 Core i9 RTX 5060 16GB/1TB SSD</t>
  </si>
  <si>
    <t>SERGIO ANDRE CISNEROS PAREDES</t>
  </si>
  <si>
    <t>ke-eb-25-13809-44188</t>
  </si>
  <si>
    <t>970 025 767</t>
  </si>
  <si>
    <t>HUAMAN MELLADO PABLO</t>
  </si>
  <si>
    <t>s-e-19-13676-81610</t>
  </si>
  <si>
    <t>954 209 143</t>
  </si>
  <si>
    <t>Lenovo Legion Pro 7i de 16 pulgadas  RTX 5070 Ti -32 GB de RAM DDR5 | 2 SSD M.2 de 1 TB</t>
  </si>
  <si>
    <t>BRAYHAN DANTE CAÑARI CAMA</t>
  </si>
  <si>
    <t>ab-bh-1125420492</t>
  </si>
  <si>
    <t>llega el 21 de noviembre al almacén</t>
  </si>
  <si>
    <t>Lenovo 15.1" Legion 5i Gaming Laptop QHD+ OLED 165 Hz display, NVIDIA GeForce RTX 5060, Core Ultra 7 CPU, 32GB DDR5 RAM &amp; 1TB M.2 SSD</t>
  </si>
  <si>
    <t>Luis angel huallanca cárdenas</t>
  </si>
  <si>
    <t>ab-bh-1124992740</t>
  </si>
  <si>
    <t xml:space="preserve"> 900 867 427</t>
  </si>
  <si>
    <t>FRANCO STEVEN GODIÑO BARZOLA</t>
  </si>
  <si>
    <t>ke-eb-17-13850-90363</t>
  </si>
  <si>
    <t>Lenovo Legion Pro 7i de 16"</t>
  </si>
  <si>
    <t>William Cansaya Yucra</t>
  </si>
  <si>
    <t>ke-bh-1125447126</t>
  </si>
  <si>
    <t>965 350 056</t>
  </si>
  <si>
    <t>so-bh-1125447809</t>
  </si>
  <si>
    <t>https://www.microcenter.com/product/693716/asus-rog-strix-g16-g615lr-ms97-16-gaming-laptop-computer-platinum-collection-eclipse-gray</t>
  </si>
  <si>
    <t>Hugo manayay</t>
  </si>
  <si>
    <t>ja-mi-201125</t>
  </si>
  <si>
    <t>995 934 734</t>
  </si>
  <si>
    <t>ASUS Portátil para juegos ROG Strix G16 (2025), pantalla ROG Nebula de 16 pulgadas 16:10 2.5K 240Hz/3ms, GPU NVIDIA® GeForce RTX™ 5060, procesador Intel® Core™ Ultra 9 275HX, DDR5 de 16 GB, SSD de 1</t>
  </si>
  <si>
    <t>GALLEGOS LAVADO MARCO ANTONIO FELIPE</t>
  </si>
  <si>
    <t>ke-am-113-9507796-0103440</t>
  </si>
  <si>
    <t xml:space="preserve"> 914 547 856</t>
  </si>
  <si>
    <t>ASUS TUF Gaming F16 (2025) Laptop para juegos, pantalla FHD+ 165Hz de nivel IPS 16:10, procesador Intel® Core™ i7 14650HX, NVIDIA® GeForce RTX™ 5050, 16 GB DDR5, SSD PCIe Gen4 de 1 TB</t>
  </si>
  <si>
    <t>Richard Gamarra</t>
  </si>
  <si>
    <t>ke-am-113-9478423-5611419</t>
  </si>
  <si>
    <t>Lenovo 16" Legion Pro 7i Gaming Laptop NVIDIA GeForce RTX 5080, Intel Core Ultra 9, 240 Hz OLED Display, with 32GB RAM &amp; 2TB SSD Provides Immersive Experiences.
Key Features
2.7 GHz Intel Core Ultra 9 24-Core
32GB of DDR5 RAM | 2 x 1TB M.2 SSDs
16" 2560 x 1600 OLED 240 Hz Display
NVIDIA GeForce RTX 5080 (16GB GDDR7)
Thunderbolt 4 | HDMI 2.1 | USB-C | USB-A
2.5 GbE | Wi-Fi 7 (802.11be) | BT 5.4
5MP Webcam with Privacy Shutter
RGB Backlit Keyboard | Touchpad
Windows 11 Home</t>
  </si>
  <si>
    <t>OSCAR DANIEL NAVARRO CIEZA</t>
  </si>
  <si>
    <t>ke-eb-07-13869-79279</t>
  </si>
  <si>
    <t>JAIME CORDOVA YAPAPASCA</t>
  </si>
  <si>
    <t>ke-eb-05-13872-96738</t>
  </si>
  <si>
    <t>903 508 939</t>
  </si>
  <si>
    <t>Lenovo Legion Pro 7i -RTX 5080, Intel Core Ultra 9, pantalla OLED de 240 Hz, con 32 GB de RAM y 2 TB de SSD</t>
  </si>
  <si>
    <t>Yeferson Ramírez Díaz</t>
  </si>
  <si>
    <t>ke-eb-16-13858-07300</t>
  </si>
  <si>
    <t>974 272 265</t>
  </si>
  <si>
    <t xml:space="preserve">Norma Nicole alvarado Laura
</t>
  </si>
  <si>
    <t>ga-co-181125</t>
  </si>
  <si>
    <t>Jesús Enrique piñan bacon</t>
  </si>
  <si>
    <t>ke-eb-27-13846-62543</t>
  </si>
  <si>
    <t>923 973 244</t>
  </si>
  <si>
    <t>ASUS TUF Gaming F16 (2025) Gaming Laptop, 16” FHD+ 165Hz 16:10 Display, Intel Core i7 Processor 14650HX, NVIDIA GeForce RTX 5050, 16GB DDR5, 512GB PCIe Gen4 SSD, Wi-Fi 6E, Windows (FX608JHR-ES73 )</t>
  </si>
  <si>
    <t>Mariana Alejandra Ancaya Flores</t>
  </si>
  <si>
    <t>ke-ne-576475971</t>
  </si>
  <si>
    <t>ASUS - Portátil para juegos ROG Strix G16 de 16" FHD 165 Hz - AMD Ryzen 9 HX - 16 GB de RAM - NVIDIA GeForce RTX 5070 Ti - SSD de 1 TB - Gris Eclipse</t>
  </si>
  <si>
    <t>Marcos Rivaldo López Puma</t>
  </si>
  <si>
    <t>so-eb-17-13860-66778</t>
  </si>
  <si>
    <t>946 527 665</t>
  </si>
  <si>
    <t>Darwyn Omar Quispe Anquipa</t>
  </si>
  <si>
    <t>ke-eb-16-13821-78801</t>
  </si>
  <si>
    <t>SUS - ROG Zephyrus G14 - Portátil Gaming OLED 3K de 14" y 120 Hz - AMD Ryzen 9 270 - 16 GB LPDDR5X - GeForce RTX 5060 - SSD de 1 TB - Blanco Platino</t>
  </si>
  <si>
    <t>Andy Vasquez Ramírez</t>
  </si>
  <si>
    <t>so-eb-04-13878-91369</t>
  </si>
  <si>
    <t>ASUS ROG Strix G16 G615LR-MS97 de 16" Colección Platino - Gris EclipseProcesador Intel Core Ultra 9 275HX de 2,1 GHz; NVIDIA GeForce RTX 5070 Ti de 12 GB GDDR7; 32 GB de RAM DDR5-5600; Unidad de estado sólido de 2 TB</t>
  </si>
  <si>
    <t>Sebastián Paolo Minaya Velásquez</t>
  </si>
  <si>
    <t>ka-mi-101225</t>
  </si>
  <si>
    <t>Pedro Luis Chura Coaricona</t>
  </si>
  <si>
    <t>ke-eb-07-13833-89686</t>
  </si>
  <si>
    <t>940 778 665</t>
  </si>
  <si>
    <t xml:space="preserve">GUSTAVO ALFREDO FARFAN CAYLLAHUA </t>
  </si>
  <si>
    <t>ke-am-113-7768849-3516210</t>
  </si>
  <si>
    <t>935 421 778</t>
  </si>
  <si>
    <t>HP OMEN - 16" 2K 144Hz - Intel Core Ultra 7 255H con AI Boost - Memoria 16GB - NVIDIA GeForce RTX 5060 - SSD 1TB - Negro Sombra</t>
  </si>
  <si>
    <t xml:space="preserve">Cristhian Eduardo Crisanto Coronel </t>
  </si>
  <si>
    <t>so-eb-13-13866-94003</t>
  </si>
  <si>
    <t>940 079 028</t>
  </si>
  <si>
    <t>Lenovo Legion 5 15AHP10 de 15,3" - Negro EclipseProcesador AMD Ryzen 7 260 de 3,8 GHz; NVIDIA GeForce RTX 5060 de 8 GB GDDR7; 16 GB de RAM DDR5-5600; Unidad de estado sólido de 512 GB</t>
  </si>
  <si>
    <t>Juan Guillermo Mamani Quispe</t>
  </si>
  <si>
    <t>li-mi-261125</t>
  </si>
  <si>
    <t>958 237 285</t>
  </si>
  <si>
    <t>ASUS - TUF Gaming A16 16" FHD+ 165Hz Gaming Laptop - AMD Ryzen 9 - 32GB RAM - NVIDIA GeForce RTX 5070 - 1TB SSD</t>
  </si>
  <si>
    <t>Pamela Julia Guevara Tesillo</t>
  </si>
  <si>
    <t>ke-eb-18-13869-54488</t>
  </si>
  <si>
    <t>921 205 481</t>
  </si>
  <si>
    <t xml:space="preserve">Ivan Mario Sumire Hancco </t>
  </si>
  <si>
    <t>ke-am-113-7331775-9218625</t>
  </si>
  <si>
    <t>935 625 765</t>
  </si>
  <si>
    <t>ALIEnNWARE AURORA 16X RTX 5060 /ULTRA 9 / 32GB DE RAM /5060/1tb</t>
  </si>
  <si>
    <t>Dyl Alexander Calderón Calderón</t>
  </si>
  <si>
    <t>ke-eb-15-13880-14010</t>
  </si>
  <si>
    <t>Gabriel Alejandro Kancha Huanca</t>
  </si>
  <si>
    <t>ga-co-181125-2</t>
  </si>
  <si>
    <t>Miguel Tafur Muñoz</t>
  </si>
  <si>
    <t>so-BBY01-807111547004</t>
  </si>
  <si>
    <t>ASUS ROG Strix G18 ROG Nebula 2.5K 240Hz 3ms 18" AMD Ryzen 9 8940HX 32GB RAM 1TB SSD NVIDIA GeForce RTX 5060 Eclipse Gray</t>
  </si>
  <si>
    <t>frank pillaca flores</t>
  </si>
  <si>
    <t>ke-eb-23-13869-11927</t>
  </si>
  <si>
    <t>Dell Alienware 18 Area-51</t>
  </si>
  <si>
    <t>Alex Luis Gomez Calla</t>
  </si>
  <si>
    <t>li-mi-261125-2</t>
  </si>
  <si>
    <t>ALEXIS GONZALES BAUTISTA</t>
  </si>
  <si>
    <t>K-b-BBY01-807094013918</t>
  </si>
  <si>
    <t>960 528 956</t>
  </si>
  <si>
    <t>Sebastian Ruiz Figueroa</t>
  </si>
  <si>
    <t>k-e-03-13739-30793</t>
  </si>
  <si>
    <t>992 117 272</t>
  </si>
  <si>
    <t>XIHOMARA PARDO GALINDO</t>
  </si>
  <si>
    <t>k-e-15-13722-85979</t>
  </si>
  <si>
    <t>987 177 104</t>
  </si>
  <si>
    <t xml:space="preserve">ALBERTO SOTO REYNA </t>
  </si>
  <si>
    <t>k-a-113-1383259-4609047</t>
  </si>
  <si>
    <t>932 046 078</t>
  </si>
  <si>
    <t>2  factura 10707613471 - SOTO RAYME ALBERTO, por favor detallando la serie del equipo</t>
  </si>
  <si>
    <t>JOSE ENRIQUE CORONADO INOÑAN</t>
  </si>
  <si>
    <t>li-mi-281125</t>
  </si>
  <si>
    <t>952 828 753</t>
  </si>
  <si>
    <t>factura</t>
  </si>
  <si>
    <t>HERNAN VIDES MAYTA RAMOS</t>
  </si>
  <si>
    <t>ab-bh-1125601017</t>
  </si>
  <si>
    <t>ENERO</t>
  </si>
  <si>
    <t>jesús Martín Ordinola Carreño</t>
  </si>
  <si>
    <t>ke-BBY01-807113017691</t>
  </si>
  <si>
    <t>Rodrigo Andres Nayvares Cayo</t>
  </si>
  <si>
    <t>ke-am-113-8788399-4824267</t>
  </si>
  <si>
    <t>ASUS ROG Strix G18 de 18" - Procesador Intel Core Ultra 9 275HX - GeForce RTX 5060, pantalla Nebula de 2.5K a 240 Hz/3 ms - 32 GB de RAM, SSD de 1 TB, Windows 11</t>
  </si>
  <si>
    <t>Edward erixon grovas pacheco</t>
  </si>
  <si>
    <t>ga-co-281125</t>
  </si>
  <si>
    <t>Eric Hammer Quecaño Lopez</t>
  </si>
  <si>
    <t>yo-eb-16-13882-96309</t>
  </si>
  <si>
    <t>Valeria Saleth Pacheco Morales</t>
  </si>
  <si>
    <t>ke-am-113-6161454-5312212</t>
  </si>
  <si>
    <t>Diego Ruiz Ramirez</t>
  </si>
  <si>
    <t>ke-am-113-8849253-8281807</t>
  </si>
  <si>
    <t>Victor andres yancapallo caceres</t>
  </si>
  <si>
    <t>ke-am-113-2436061-6948261</t>
  </si>
  <si>
    <t>SCAR 18 RTX 5080 INTEL CORE ULTRA 9 - 32GB SOLIDA 2TB</t>
  </si>
  <si>
    <t>Washington Quispe Espinoza</t>
  </si>
  <si>
    <t>ke-am-113-2260595-1564241</t>
  </si>
  <si>
    <t>Yeslin Ruben Quispe Calapuja</t>
  </si>
  <si>
    <t>Yulyho turpo ccama</t>
  </si>
  <si>
    <t>li-co-181125-2</t>
  </si>
  <si>
    <t>Dell Alienware 16 Area-51 AA16250 16" Gaming Laptop Computer - Liquid Teal</t>
  </si>
  <si>
    <t>Mayquel Erick Córdova Fabián</t>
  </si>
  <si>
    <t>ja-mi-031225</t>
  </si>
  <si>
    <t>boleta</t>
  </si>
  <si>
    <t xml:space="preserve">Lenovo Legion Pro 7i  RTX 5080, Intel Core Ultra 9, pantalla OLED de 240 Hz, con 32 GB de RAM y SSD de 2 TB </t>
  </si>
  <si>
    <t>Gabriel Bautista Montes</t>
  </si>
  <si>
    <t>ke-bh-1125650158</t>
  </si>
  <si>
    <t>Roger Alfonso Colana Coayla</t>
  </si>
  <si>
    <t>ke-eb-10-13791-23716</t>
  </si>
  <si>
    <t>Erik Esteban Oropeza Miranda</t>
  </si>
  <si>
    <t>li-co-181125</t>
  </si>
  <si>
    <t>956 702 085</t>
  </si>
  <si>
    <t>Kevin bruno Rivas Zuñiga</t>
  </si>
  <si>
    <t>ka-co-191125</t>
  </si>
  <si>
    <t>987 686 892</t>
  </si>
  <si>
    <t>ASUS Portátil para juegos ROG Strix G16 (2025), pantalla ROG Nebula de 16 pulgadas 16:10 2.5K 240Hz/3ms, GPU NVIDIA GeForce RTX 5060, procesador Intel Core Ultra 9 275HX, DDR5 de 16 GB, SSD de 1 TB</t>
  </si>
  <si>
    <t>José Simón Castro Torres</t>
  </si>
  <si>
    <t>ke-am-113-2852372-4055420</t>
  </si>
  <si>
    <t>Roberto Jesús León Padilla</t>
  </si>
  <si>
    <t>ka-co-191125-2</t>
  </si>
  <si>
    <t>JESUS VIDAL LIMA ALATA</t>
  </si>
  <si>
    <t>ab-eb-16-13882-98586</t>
  </si>
  <si>
    <t>984 187 106</t>
  </si>
  <si>
    <t>Portátil para juegos Lenovo Legion 5i de 15,1"</t>
  </si>
  <si>
    <t>so-bh-1125650726</t>
  </si>
  <si>
    <t>GIGABYTE - AERO X16 - Copilot+ PC - 16" 2560×1600 WQXGA AMD Ryzen Al 7 350 - 1TB SSD - 32GB DDR5 RAM GeForce RTX 5060</t>
  </si>
  <si>
    <t>Favio Luciano Velazco y Sanchez</t>
  </si>
  <si>
    <t>gi-eb-26-13879-95704</t>
  </si>
  <si>
    <t>ALDO HUACRE QUISPE</t>
  </si>
  <si>
    <t>J-M-19870374</t>
  </si>
  <si>
    <t>DANIEL ARTURO LLENGLE PISFIL</t>
  </si>
  <si>
    <t>k-BBY03-807097171038</t>
  </si>
  <si>
    <t>Acer Predator Helios Neo 16S AI Gaming Laptop - 16" OLED 240Hz - Intel Core Ultra 9 - NVIDIA GeForce RTX 5060 16GB 1TB</t>
  </si>
  <si>
    <t>Luis Fernando Mantilla Romero</t>
  </si>
  <si>
    <t>re-eb-08-13767-47387</t>
  </si>
  <si>
    <t>ALADINO RAMIREZ AGUILAR</t>
  </si>
  <si>
    <t>ke-eb-11-13790-75116</t>
  </si>
  <si>
    <t>FRANCO GONZALES AYALA</t>
  </si>
  <si>
    <t>so-eb-12-13788-72285</t>
  </si>
  <si>
    <t>Roberto Carlos Torres Acedo</t>
  </si>
  <si>
    <t>ke-eb-05-13894-65541</t>
  </si>
  <si>
    <t>WILLIAN FREDY PEÑASCO APAZA</t>
  </si>
  <si>
    <t>ga-co-281125-2</t>
  </si>
  <si>
    <t>965 688 709</t>
  </si>
  <si>
    <t>Lenovo Legion Pro 7i Gen 10 (Modelo 2025) AI 16" WQXGA OLED 500nits 240Hz NVIDIA GeForce RTX 5080, Intel Core Ultra 9 275X, 64GB RAM DDR5, 1TB SSD, Wi-Fi 7, Por Tecla RGB, Windows 11 Home, Eclipse Black</t>
  </si>
  <si>
    <t>Gustavo Orlando Puelles Mamani</t>
  </si>
  <si>
    <t>li-mi-171225</t>
  </si>
  <si>
    <t>987 577 266</t>
  </si>
  <si>
    <t>Lenovo Legion 5 15.1" OLED WQXGA 165Hz Gaming Notebook Intel Core Ultra 9 275HX 16GB RAM 1TB SSD NVIDIA GeForce RTX 5070 Eclipse Black</t>
  </si>
  <si>
    <t>Leidy Yasmín Valencia Terrones</t>
  </si>
  <si>
    <t>ke-eb-22-13885-27270</t>
  </si>
  <si>
    <t>Alienware Aurora Ac16251 Gaming 16" Intel® Core™ Ultra 9 275HX, 24 cores 2 TB SS</t>
  </si>
  <si>
    <t>Adelaida Antonieta Huancas Guerrero</t>
  </si>
  <si>
    <t>ke-eb-15-13828-33548</t>
  </si>
  <si>
    <t>938 457 119</t>
  </si>
  <si>
    <t>ASUS ROG Strix G18 18" Gaming Laptop - Intel Core Ultra 9 Processor 275HX - GeForce RTX 5070TI, 2.5K 240Hz/3ms Nebula Display - 32GB RAM, 2TB SSD - Windows 11 Home</t>
  </si>
  <si>
    <t xml:space="preserve">Juan Caleb Aguilar Rojas </t>
  </si>
  <si>
    <t>ga-co-301125</t>
  </si>
  <si>
    <t xml:space="preserve">Lucero Isabel valles López </t>
  </si>
  <si>
    <t>ke-eb-01-13848-31371</t>
  </si>
  <si>
    <t>ASUS ROG Strix G16 G615LR-MS97 16" Gaming Laptop Computer Platinum Collection - Eclipse GrayIntel Core Ultra 9 275HX 2.1GHz Processor; NVIDIA GeForce RTX 5070 Ti 12GB GDDR7; 32GB DDR5-5600 RAM; 2TB</t>
  </si>
  <si>
    <t>Huaranca candiotte janpool Miguel</t>
  </si>
  <si>
    <t>li-mi-151225</t>
  </si>
  <si>
    <t>Reynaldo Ayala Lima</t>
  </si>
  <si>
    <t>ke-eb-16-13913-02614</t>
  </si>
  <si>
    <t xml:space="preserve"> 935 487 258</t>
  </si>
  <si>
    <t>Luis Mario Nole Lama</t>
  </si>
  <si>
    <t>K24072501</t>
  </si>
  <si>
    <t>ASUS Portátil para juegos ROG Strix G16 (2025), pantalla FHD+ 16:10 165Hz/3ms, GPU NVIDIA GeForce RTX 5060, procesador Intel Core i7 14650HX, DDR5 de 16 GB, SSD de 1 TB Gen 4, Wi-Fi 7</t>
  </si>
  <si>
    <t>Shessira Rodriguez Segil</t>
  </si>
  <si>
    <t>ke-am-113-1699895-1301804</t>
  </si>
  <si>
    <r>
      <rPr>
        <rFont val="Arial"/>
        <color rgb="FF434343"/>
        <sz val="10.0"/>
      </rPr>
      <t>Alienware 16 Aurora Gaming Laptop,  Intel® Core™ 7 Processor (Series 2) 240, NVIDIA® GeForce RTX™ 5060, 16GB , 16", WQXGA, 120Hz</t>
    </r>
    <r>
      <rPr>
        <rFont val="Arial"/>
        <b/>
        <color rgb="FF434343"/>
        <sz val="10.0"/>
      </rPr>
      <t xml:space="preserve"> 512 SSD</t>
    </r>
  </si>
  <si>
    <t>Jorge Luis Gutierrez Calsina</t>
  </si>
  <si>
    <t>G-D-2008459598653</t>
  </si>
  <si>
    <t>ASUS - ROG Zephyrus G16 16" OLED 2.5K 240Hz - Intel Core Ultra 9 - 32GB RAM - NVIDIA RTX 5070 Ti 12GB - SSD 1TB - Eclipse Gray</t>
  </si>
  <si>
    <t>Erick Davisson Huaracha Yabar</t>
  </si>
  <si>
    <t>so-eb-23-13908-18544</t>
  </si>
  <si>
    <t>Legion 5i Gen 10 Intel (15") with RTX™ 5070 Intel® Core™ Ultra 7 255HX Processor (E-cores up to 4.50 GHz P-cores up to 5.20 GHz) Operating System, Windows 11 Home 64, Graphic Card NVIDIA® GeForce RTX™ 5070 Laptop GPU 8GB GDDR7, Memory 16 GB DDR5-5600MT/s (SODIMM), Storage 1 TB SSD M.2 2242 PCIe Gen4 TLC</t>
  </si>
  <si>
    <t>Rafael Gustavo Collazos León</t>
  </si>
  <si>
    <t>ga-le-4650528746</t>
  </si>
  <si>
    <t>Junior La Rosa</t>
  </si>
  <si>
    <t>ke-am-113-3602969-9079403</t>
  </si>
  <si>
    <t xml:space="preserve">Intel® Core™ Ultra 7 255HX  RTX™ 5070 con 8 GB,16 GB ,1 TB </t>
  </si>
  <si>
    <t>Luz Vilma Llacsahuanga Carrera</t>
  </si>
  <si>
    <t>yo-le-4650540855</t>
  </si>
  <si>
    <t>968 876 525</t>
  </si>
  <si>
    <t>Rogelio calatayud galindo</t>
  </si>
  <si>
    <t>ga-co-051225</t>
  </si>
  <si>
    <t>Alienware area 51 18// ultra 9//5080//32gb//2tb</t>
  </si>
  <si>
    <t>Carlos Alberto Monago Diaz</t>
  </si>
  <si>
    <t>ke-eb-15-13932-24794</t>
  </si>
  <si>
    <t> Lenovo Legion 5i de 15,1 , Intel Core Ultra 7 255HX  , 32GB 1TB</t>
  </si>
  <si>
    <t>Jhean Francis Chavez Rabanal</t>
  </si>
  <si>
    <t>ra-bh-101225</t>
  </si>
  <si>
    <t>Acer - Predator Helios Neo 16S AI Gaming Laptop - 16" OLED 240Hz - Intel Core Ultra 9 - NVIDIA GeForce RTX 5060 16GB 1TB - Obsidian Black</t>
  </si>
  <si>
    <t>BERNARDO EDWARD CONTRERAS CUEVA</t>
  </si>
  <si>
    <t>so-eb-24-13951-90706</t>
  </si>
  <si>
    <t>Asus rog strix g18 // 5070ti // 32gb// 2tb // 2.5K 240Hz</t>
  </si>
  <si>
    <t>RONALD ERIC HINOSTROZA BRAVO</t>
  </si>
  <si>
    <t>ga-co-111225</t>
  </si>
  <si>
    <t>ANTHONY ORDINOLA SINARAHUA</t>
  </si>
  <si>
    <t>k-BBY03-807097180186</t>
  </si>
  <si>
    <t>ALEXANDRA QUEPUY CORNELIO</t>
  </si>
  <si>
    <t>k-a-113-9892347-3116235</t>
  </si>
  <si>
    <t>958 879 117</t>
  </si>
  <si>
    <t>Acer - Predator Helios Neo 16S AI Gaming Laptop - 16" OLED 240Hz - Intel Core Ultra 9 - NVIDIA GeForce RTX 5070Ti – 32GB – 1TB - Obsidian Black</t>
  </si>
  <si>
    <t>DIEGO MAMANI HILASACA</t>
  </si>
  <si>
    <t>yo-BBY01-807115700048</t>
  </si>
  <si>
    <t>Asus Rog Strix Scar 18 // 5090 // 64 gb // 2tb //ultra 9</t>
  </si>
  <si>
    <t>Brayan Javier Juarez Alberca</t>
  </si>
  <si>
    <t>ja-mi-181225</t>
  </si>
  <si>
    <t>va a pagar el servicio express de 100 dólares.</t>
  </si>
  <si>
    <t>Anyelow Gregory Lope Cordova</t>
  </si>
  <si>
    <t>ke-am-113-2517816-1377812</t>
  </si>
  <si>
    <t>Deyni Chumbes Chumbes</t>
  </si>
  <si>
    <t>ka-co-291125</t>
  </si>
  <si>
    <t>Vector 16 HX AI A2XWIG-050US Portátil para juegos QHD de 16"</t>
  </si>
  <si>
    <t>Juan Carlos Vizcarra Cahuana</t>
  </si>
  <si>
    <t>ke-ms-510665</t>
  </si>
  <si>
    <t>ASUS - ROG Zephyrus G14 14" 3K OLED 120Hz Gaming Laptop - Copilot+ PC - AMD Ryzen AI 9 HX - 32GB RAM - NVIDIA RTX 5070 Ti - 1TB - Platinum White</t>
  </si>
  <si>
    <t>Juan Diego Hidalgo Zuñiga</t>
  </si>
  <si>
    <t>ke-eb-13-13970-64469</t>
  </si>
  <si>
    <t>Cristhian Zavaleta</t>
  </si>
  <si>
    <t>ke-am-113-2577155-2118667</t>
  </si>
  <si>
    <t>Edwin Ruiz Ato</t>
  </si>
  <si>
    <t>ke-am-113-9997949-5167441</t>
  </si>
  <si>
    <t>Marco Antonio Mendez Zegarra</t>
  </si>
  <si>
    <t>ke-BBY01-807119526544</t>
  </si>
  <si>
    <t>946 079 444</t>
  </si>
  <si>
    <t>ASUS Portátil para juegos ROG Strix G16 (2025), pantalla ROG Nebula de 16 pulgadas 16:10 2.5K 240Hz/3ms, GPU NVIDIA GeForce RTX 5060, procesador Intel Core Ultra 9 275HX, DDR5 de 16 GB, SSD de 1 TB, Wi-Fi 7</t>
  </si>
  <si>
    <t>ARTURO JOSIMAR SALDARRIAGA LANDAVERRY</t>
  </si>
  <si>
    <t>ke-am-113-2025278-2064260</t>
  </si>
  <si>
    <t>ASUS - ROG Zephyrus G16 16" OLED 2.5K 240Hz Gaming Laptop - Intel Core Ultra 9 - 32GB RAM - NVIDIA RTX 5070 Ti 12GB - 1TB SSD - Eclipse Gray</t>
  </si>
  <si>
    <t>Maurizzio Ernesto Alfaro Quintana</t>
  </si>
  <si>
    <t>ke-eb-04-13997-86160</t>
  </si>
  <si>
    <t>Lenovo - Legion Pro 5i 16" 2.5k OLED Gaming Laptop - Intel Core Ultra 9 275HX 2025 - 32GB RAM - NVIDIA GeForce RTX 5070Ti - 2TB - Eclipse Black</t>
  </si>
  <si>
    <t>James Jesús Grandez Pérez</t>
  </si>
  <si>
    <t>ke-eb-10-13989-27633</t>
  </si>
  <si>
    <t>Braulio Guzmán Rua</t>
  </si>
  <si>
    <t>ASUS ROG Strix SCAR 18 G835LW-XS97 de 18 pulgadas</t>
  </si>
  <si>
    <t>ERVINS DAVID CUTIRE MAMANI</t>
  </si>
  <si>
    <t>ja-mi-181225_2</t>
  </si>
  <si>
    <t>Nayrin Colque Olla chica</t>
  </si>
  <si>
    <t>re-eb-18-13864-20985</t>
  </si>
  <si>
    <t>MIDUAR VIAMONTE MAMANI</t>
  </si>
  <si>
    <t>li-mi-181225</t>
  </si>
  <si>
    <t>Lenovo Legion Pro 7i Intel Core Ultra 9-32GB -2TB</t>
  </si>
  <si>
    <t>Solis Gonzales Lenin Roberto</t>
  </si>
  <si>
    <t>ke-bh-1126154820</t>
  </si>
  <si>
    <t>JHONATAN RODRIGUEZ CALVANAPON</t>
  </si>
  <si>
    <t>so-BBY01-807112018485</t>
  </si>
  <si>
    <t>Pedro Chávez Contreras</t>
  </si>
  <si>
    <t>ke-BBY01-807119527838</t>
  </si>
  <si>
    <t>JUAN EDUARDO FREYRE MEDRANO</t>
  </si>
  <si>
    <t>li-mi-201225</t>
  </si>
  <si>
    <t>940 434 639</t>
  </si>
  <si>
    <t>Gianfranco Daniel Montoya Torres</t>
  </si>
  <si>
    <t>ga-co-191125</t>
  </si>
  <si>
    <t>Acer Predator Helios Neo 16 AI PHN16-73-934N 16" Gaming Laptop Computer - Abyssal BlackIntel Core Ultra 9 275HX 2.1GHz Processor; NVIDIA GeForce RTX 5070 Ti 12GB GDDR7; 32GB DDR5-6400 RAM; 1TB Solid State Drive</t>
  </si>
  <si>
    <t>EVELYN MIREYA GUEVARA VALDEZ</t>
  </si>
  <si>
    <t>li-mi-221225</t>
  </si>
  <si>
    <t>whatticket:51989604417
cliente: 999089046</t>
  </si>
  <si>
    <t xml:space="preserve">Felix Felipe flores guimaray </t>
  </si>
  <si>
    <t>ga-co-301125-2</t>
  </si>
  <si>
    <t>ASUS ROG Strix G16 G615LR-MS97 de 16" Colección Platino - Gris Eclipse</t>
  </si>
  <si>
    <t>Diego Eddy Aro Salas</t>
  </si>
  <si>
    <t>li-mi-211225</t>
  </si>
  <si>
    <t>Lenovo Legion Pro 7 16IAX10H OLED de 16" - Negro EclipseProcesador Intel Core Ultra 9 275HX de 2,1 GHz; NVIDIA GeForce RTX 5070 Ti de 12 GB GDDR7; 32 GB de RAM DDR5-6400; 2 unidades de estado sólido de 1 TB</t>
  </si>
  <si>
    <t>Jheferson Solis Palomino</t>
  </si>
  <si>
    <t>li-mi-271225</t>
  </si>
  <si>
    <t>Paul Alexander Loza pachas</t>
  </si>
  <si>
    <t>re-eb-01-13900-27105</t>
  </si>
  <si>
    <t>Josmel Jonson Guerrero Delgado</t>
  </si>
  <si>
    <t>ke-BBY01-807115681052</t>
  </si>
  <si>
    <t>Portátil Gaming ASUS - ROG Strix G18 18" 2.5K 240Hz - Intel Core Ultra 9 HX - 32GB RAM - NVIDIA GeForce RTX 5080 - SSD 2TB - Eclipse Gray</t>
  </si>
  <si>
    <t>SANTIAGO CASTILLO BAÑOS</t>
  </si>
  <si>
    <t>so-eb-25-13990-10503</t>
  </si>
  <si>
    <t>Waldir Gerson Quispe Machaca</t>
  </si>
  <si>
    <t>ga-co-301125-3</t>
  </si>
  <si>
    <t>ASUS ROG Strix G18 de 18" - Intel Core Ultra 9 275HX - Pantalla Nebula de 2.5K - GeForce RTX 5070 - 32 GB de RAM - SSD de 1 TB</t>
  </si>
  <si>
    <t>Clevert Lincoln Arquiñigo Garcia</t>
  </si>
  <si>
    <t>ga-co-231225</t>
  </si>
  <si>
    <t>Vector 16 HX AI A2XWIG-050US -ULTRA 9 - 16GB -1TB RTX 5080</t>
  </si>
  <si>
    <t>Cristian Alexander Chipana</t>
  </si>
  <si>
    <t>ke-ms-513942</t>
  </si>
  <si>
    <t>Lenovo - Legion Pro 5 16" 2.5K OLED Gaming Laptop - AMD Ryzen 7 8745HX 2025 - 32GB RAM - NVIDIA GeForce RTX 5060 - SSD 1TB - Eclipse Black</t>
  </si>
  <si>
    <t>Angel Danner Calderon Salazar</t>
  </si>
  <si>
    <t>yo-eb-18-14001-81032</t>
  </si>
  <si>
    <t xml:space="preserve">asus rog g16 32gb 2tb 5070ti </t>
  </si>
  <si>
    <t>Franklin Richard Olarte Cespedes</t>
  </si>
  <si>
    <t>li-mi-261225</t>
  </si>
  <si>
    <t xml:space="preserve">Keit Nevsky Machaca Mamani </t>
  </si>
  <si>
    <t>ab-eb-02-13904-31348</t>
  </si>
  <si>
    <t xml:space="preserve"> 917 367 547</t>
  </si>
  <si>
    <t>Cristhian Paytan Ticllacuri</t>
  </si>
  <si>
    <t>ab-eb-02-13913-09573</t>
  </si>
  <si>
    <t>Robert Yamir Escalante Vélez</t>
  </si>
  <si>
    <t>so-BBY01-807115682657</t>
  </si>
  <si>
    <t xml:space="preserve">Freut sebastian ovalle vargas </t>
  </si>
  <si>
    <t>ke-am-113-1108371-9349868</t>
  </si>
  <si>
    <t>Jimmy Alejandro Quispe Vila</t>
  </si>
  <si>
    <t>yo-eb-18-13876-12829</t>
  </si>
  <si>
    <t>Ronaldinho Kennydy Colonia Bacilio</t>
  </si>
  <si>
    <t>ke-eb-20-14010-15320</t>
  </si>
  <si>
    <t>Camila Nuñez Guerrero</t>
  </si>
  <si>
    <t>ke-BBY01-807111642852</t>
  </si>
  <si>
    <t xml:space="preserve"> Willy Visosa</t>
  </si>
  <si>
    <t>yo-eb-23-13869-18369</t>
  </si>
  <si>
    <t>Christian Apari Crisóstomo</t>
  </si>
  <si>
    <t>ke-BBY01-807111539107</t>
  </si>
  <si>
    <t>JHUVER JHOMAR VILCAPOMA</t>
  </si>
  <si>
    <t>so-eb-21-13968-81988</t>
  </si>
  <si>
    <t>JOSÉ FRANCISCO CRUZADO CRUZ</t>
  </si>
  <si>
    <t>yo-eb-24-13979-69093</t>
  </si>
  <si>
    <t>Claudia Mariafernanda Ramos Ignacio</t>
  </si>
  <si>
    <t>ke-eb-06-14033-91147</t>
  </si>
  <si>
    <t>Lenovo 16" Legion Pro 7i 2.7 GHz Intel Core Ultra 9 24-Core
32GB of DDR5 RAM | 2 x 1TB M.2 SSDs
16" 2560 x 1600 OLED 240 Hz Display
NVIDIA GeForce RTX 5070 Ti (12GB GDDR7)</t>
  </si>
  <si>
    <t>Astrid Victoria Rodriguez Velasquez</t>
  </si>
  <si>
    <t>so-bh-1126364116</t>
  </si>
  <si>
    <t>Portátil para juegos Vector 16 HX AI A2XWIG-050US de 16" QHD</t>
  </si>
  <si>
    <t>Bladimir Clink Sucari Mamani</t>
  </si>
  <si>
    <t>ke-ms-517026</t>
  </si>
  <si>
    <t>FEBRERO</t>
  </si>
  <si>
    <t>Tania Miluska Cerron Oyague</t>
  </si>
  <si>
    <t>ke-eb-10-13941-66576</t>
  </si>
  <si>
    <t>ASUS TUF de 18" - AMD Ryzen 7 260 - GeForce RTX 5060, pantalla FHD+ de 144 Hz/3 ms - 16 GB de RAM, SSD de 1 TB</t>
  </si>
  <si>
    <t>Jhoandri Edward Deudor Cosme</t>
  </si>
  <si>
    <t>ke-eb-07-14055-32625</t>
  </si>
  <si>
    <t>Favio Jeanfranco Arana Enriquez</t>
  </si>
  <si>
    <t>J-A-211025</t>
  </si>
  <si>
    <t>Brandon Alonso Ormachea Villa</t>
  </si>
  <si>
    <t>ke-eb-23-13923-68933</t>
  </si>
  <si>
    <t>JEHIELA GRECE ALEJANDRO VALDERRAMA</t>
  </si>
  <si>
    <t>ga-eb-301125</t>
  </si>
  <si>
    <t>Pablo Bernardino Labrin Rojas</t>
  </si>
  <si>
    <t>ga-co-010126</t>
  </si>
  <si>
    <t>Miguel Ernesto Diaz Vito</t>
  </si>
  <si>
    <t>so-BBY01-807119526189</t>
  </si>
  <si>
    <t>Lenovo LOQ 15.6" FHD 144 Hz AMD Ryzen 7 250 16 GB de RAM 512 GB GeForce RTX 5060</t>
  </si>
  <si>
    <t>Alexander Nikolai Santillan Baños</t>
  </si>
  <si>
    <t>ke-eb-22-14026-48970</t>
  </si>
  <si>
    <t>LENOVO LOQ 15AHP10 15.6" Ryzen 7 250 32GB 1TB RTX 5060 Win11</t>
  </si>
  <si>
    <t>Alex Ruben Ttira Muñoz</t>
  </si>
  <si>
    <t>ke-eb-05-14050-88663</t>
  </si>
  <si>
    <t>Asus rog strix g16 2025// 5060// ultra 9//32 gb DDR5 // 1 tb</t>
  </si>
  <si>
    <t>Renato Romario Teves Espinoza</t>
  </si>
  <si>
    <t>ke-am-113-8669564-8008202</t>
  </si>
  <si>
    <t>983 114 893</t>
  </si>
  <si>
    <t>Eberth Alexander Mendoza Misaico</t>
  </si>
  <si>
    <t>yo-eb-18-13973-40449</t>
  </si>
  <si>
    <t>924 915 660</t>
  </si>
  <si>
    <t>Avimael sucasaca surco</t>
  </si>
  <si>
    <t>ke-eb-15-13828-07389</t>
  </si>
  <si>
    <t>ASUS ROG Strix SCAR 16 G635LW-XS97 de 16</t>
  </si>
  <si>
    <t>ja-mi-311225</t>
  </si>
  <si>
    <t>FELIZ AÑO NUEVO!!! 2026   &gt;.&lt;</t>
  </si>
  <si>
    <t>Francisco Perez Trujillo</t>
  </si>
  <si>
    <t>re-eb-25-13854-47189</t>
  </si>
  <si>
    <t>999 910 572</t>
  </si>
  <si>
    <t xml:space="preserve">Acer Predator Helios Neo 16 AI  Intel Core Ultra 9 275HX de 2,1 GHz; NVIDIA GeForce RTX 5070 Ti de 12 GB GDDR7; 32 GB de RAM </t>
  </si>
  <si>
    <t xml:space="preserve">Nilton Rodriguez Guio </t>
  </si>
  <si>
    <t>ja-mi-140126</t>
  </si>
  <si>
    <t>Anabella Huarhua Patiño</t>
  </si>
  <si>
    <t>ke-am-113-0142792-2731461</t>
  </si>
  <si>
    <t>ASUS ROG Strix G16 G615LR-MS97 16" Gaming Laptop Platinum Collection - Eclipse Gray Intel Core Ultra 9 275HX 2.1GHz Processor; NVIDIA GeForce RTX 5070 Ti 12GB GDDR7; 32GB DDR5-5600 RAM; 2TB Solid State Drive</t>
  </si>
  <si>
    <t>Aracely Ysuiza Sandoval</t>
  </si>
  <si>
    <t>li-mi-291225</t>
  </si>
  <si>
    <t>Alienware AURORA 16X/ RTX 5060/ ULTRA 9 /32GB RAM /2TB SSD</t>
  </si>
  <si>
    <t>Jhon Ronald Mendoza Robles</t>
  </si>
  <si>
    <t>ke-eb-27-14038-67384</t>
  </si>
  <si>
    <t>pidió boleta a este numero DNI 01555295
Nombre Marleny Mango</t>
  </si>
  <si>
    <t>ASUS - ROG Strix G16 16" FHD 165Hz - AMD Ryzen 9 HX - 16GB RAM - NVIDIA GeForce RTX 5070 Ti - 1TB SSD - Eclipse Gray</t>
  </si>
  <si>
    <t>Carlos Saúl Valer Medina</t>
  </si>
  <si>
    <t>ke-eb-22-14011-26151</t>
  </si>
  <si>
    <t>Lenovo - Portátil Gaming Legion 7i 16" 2.5k OLED - Intel Core Ultra 7 255HX 2025 - 32GB RAM - NVIDIA GeForce RTX 5060 - SSD 1TB - Blanco Glaciar</t>
  </si>
  <si>
    <t>ZADY NOEMI  LUJAN ESPIRITU</t>
  </si>
  <si>
    <t>ke-eb-21-14051-83307</t>
  </si>
  <si>
    <t>922 921 251</t>
  </si>
  <si>
    <t xml:space="preserve">pidio que se compre a su nombre </t>
  </si>
  <si>
    <t>Portátil para juegos Vector 16 HX AI A2XWIG-420US de 16" QHD</t>
  </si>
  <si>
    <t>Yetlsin Rodrigo Arque Valeriano</t>
  </si>
  <si>
    <t>ke-ms-519353</t>
  </si>
  <si>
    <t>FRANCIS GABRIEL RAMOS VILLA</t>
  </si>
  <si>
    <t>so-eb-02-14039-63585</t>
  </si>
  <si>
    <t>Lenovo - Legion 5i 15.1" 2.5K OLED Gaming Laptop - Intel Core i7 14700HX 2024 - NVIDIA GeForce RTX 5050 - 16GB Memory - 1TB SSD - Eclipse Black</t>
  </si>
  <si>
    <t>Alex Yunior Zurita Meza</t>
  </si>
  <si>
    <t>ke-eb-06-14079-71967</t>
  </si>
  <si>
    <t>Zavaleta Távara Sergio Matias</t>
  </si>
  <si>
    <t>ja-mi-080126</t>
  </si>
  <si>
    <t>Lenovo Legion Pro 7i - Intel Core Ultra 9- 32 GB de RAM - 2 TB-  RTX 5090 (24 GB GDDR7)</t>
  </si>
  <si>
    <t>Juan Carlos Cárdenas Carcausto</t>
  </si>
  <si>
    <t>ke-BH-1126589273</t>
  </si>
  <si>
    <t xml:space="preserve"> Asus rog strix g16 / 5070ti / ryzen 9 / 32gb/ 1 tb</t>
  </si>
  <si>
    <t xml:space="preserve">Stella gonzales cuadra </t>
  </si>
  <si>
    <t>ke-eb-23-14056-65455</t>
  </si>
  <si>
    <t>969 842 199 // 51962986787</t>
  </si>
  <si>
    <t>Legion 5i 15.1" 2.5K OLED Gaming Laptop - Intel Core i7 14700HX 2024 - NVIDIA GeForce RTX 5050 - 16GB Memory - 1TB SSD</t>
  </si>
  <si>
    <t>Ronald Alan Palmer Camino</t>
  </si>
  <si>
    <t>ke-eb-20-14066-07547</t>
  </si>
  <si>
    <t>Lenovo Legion Pro 5i Gen 10 16" Intel Core Ultra 9 Pantalla OLED de 16", teclado retroiluminado RGB, 16 GB RAM, SSD PCIe de 1 TB, Gráficos NVIDIA GeForce RTX 5070Ti</t>
  </si>
  <si>
    <t>PEDRO ALEXANDER ESPINOZA VARGAS</t>
  </si>
  <si>
    <t>ke-eb-08-13917-47946</t>
  </si>
  <si>
    <t xml:space="preserve"> Legion 5 / 5070 / Ultra 9 / 16gb / 1 tb</t>
  </si>
  <si>
    <t>Denys Miguel Chicaña Nina</t>
  </si>
  <si>
    <t>ke-eb-15-14075-78367</t>
  </si>
  <si>
    <t>MSI VECTOR 16 HX / 5080 / ULTRA 9 / 32GB / 1 TB</t>
  </si>
  <si>
    <t>Jefrei Paucar Medina</t>
  </si>
  <si>
    <t>ke-ms-520231</t>
  </si>
  <si>
    <t>el cliente quiere factura, puse los datos en su grupo</t>
  </si>
  <si>
    <t>Edy Alberto Pinedo Jara</t>
  </si>
  <si>
    <t>ke-ms-521091</t>
  </si>
  <si>
    <t>Jean César López Ascama</t>
  </si>
  <si>
    <t>so-eb-05-14101-38672</t>
  </si>
  <si>
    <t>Esteban Mathías Pacheco Carrión</t>
  </si>
  <si>
    <t>re-eb-05-14105-63129</t>
  </si>
  <si>
    <t>MSI Vector - LCD 16" QHD+ GeForce RTX 5080 Laptop GPU - Intel Core Ultra 9 275HX - 16GB Memory - 1 TB SSD - Windows 11 Home - Gaming Laptop - 240 Hz (Vector 16 HX AI A2XWIG-050US )</t>
  </si>
  <si>
    <t>JOEL FLAVIO ALVAREZ ESCOBEDO</t>
  </si>
  <si>
    <t>k-n-553497934</t>
  </si>
  <si>
    <t>Carlos Vives Cruz</t>
  </si>
  <si>
    <t>so-eb-23-13966-37100</t>
  </si>
  <si>
    <t>977 715 418</t>
  </si>
  <si>
    <t>ASUS ROG Strix G18 / Ryzen 9 / 5050 / 1 tb / 16 gb</t>
  </si>
  <si>
    <t>MILAGROS DEYSI PALOMINO VELIZ</t>
  </si>
  <si>
    <t>ke-be-BBY01-807134626798</t>
  </si>
  <si>
    <t>994 703 987</t>
  </si>
  <si>
    <t>MSI Vector 16 HX AI A2XWIG - ULTRA 9 - 32GB -1TB - RTX™ 5080 con 16 GB</t>
  </si>
  <si>
    <t xml:space="preserve"> RICHARD WILSON ARQQUE VALERIANO</t>
  </si>
  <si>
    <t>ke-ms-522124</t>
  </si>
  <si>
    <t>981 724 942</t>
  </si>
  <si>
    <t xml:space="preserve">
Lenovo Legion Pro 7i Gen 10 (Modelo 2025) AI 16" WQXGA OLED 500nits 240Hz NVIDIA GeForce RTX 5080, Intel Core Ultra 9 275X, 64GB RAM DDR5, 1TB SSD, Wi-Fi 7, Por Tecla RGB, Windows 11 Home, Eclipse Black
</t>
  </si>
  <si>
    <t>Jeefry Williams Samaniego Huayanay</t>
  </si>
  <si>
    <t>ke-eb-13-13908-30661</t>
  </si>
  <si>
    <t xml:space="preserve"> 988 049 585</t>
  </si>
  <si>
    <t xml:space="preserve">compro 1TB en 580 adelanto 260 a fixit y lo demas lo cancelo a porlles 260 </t>
  </si>
  <si>
    <t>Fabrizzio Ramiro Rivas Giraldez</t>
  </si>
  <si>
    <t>ka-mi-261225</t>
  </si>
  <si>
    <t>990 031 463</t>
  </si>
  <si>
    <t>Manuel Alexander Diaz Vilca</t>
  </si>
  <si>
    <t>re-eb-26-14080-07128</t>
  </si>
  <si>
    <t>alexizdiazvilca@gmail.com</t>
  </si>
  <si>
    <t>IETS Almohadilla de refrigeración para laptop GT600 RGB equipada con turboventilador gigante (5.5 pulgadas de diámetro), espuma sellada para enfriamiento rápido de laptops gaming, enfriador de laptop</t>
  </si>
  <si>
    <t>ke-am-113-4161059-4545859</t>
  </si>
  <si>
    <t>AMBOS PERIFERICOS SE COMPRAN DE AMAZON Y SE TRAEN JUNTOS</t>
  </si>
  <si>
    <t>IETS GT600 Juego de filtro de polvo de algodón (1 pieza de filtro negro de algodón y 3 piezas de paño de polvo blanco)</t>
  </si>
  <si>
    <t>ke-am-113-6807190-2734613</t>
  </si>
  <si>
    <t>AMBOS PERIFERICOS SE COMPRAN DE AMAZON Y SE TRAEN JUNTOS, se juntó en la calculadora con el de arriba. El cliente aceptó en whatticket que se traía bajo su responsabilidad debido a que el vendedor no cumplía los requerimientos mínimos</t>
  </si>
  <si>
    <t>ASUS ROG STRIX G16 AMD Ryzen 9 8940HX 2.4GHz Processor; NVIDIA GeForce RTX 5070 8GB GDDR7; 32GB DDR5-5200 RAM; 1TB</t>
  </si>
  <si>
    <t>Italo Marcelo Banda Vasquez</t>
  </si>
  <si>
    <t>li-mi-170126</t>
  </si>
  <si>
    <t>Luis Diego Cruzado Pastor</t>
  </si>
  <si>
    <t>li-mi-050126</t>
  </si>
  <si>
    <t>987 100 974</t>
  </si>
  <si>
    <t>ASUS TUF Gaming F16 16" 165Hz Gaming Laptop i7-14650HX 32GB RAM 1TB SSD RTX 5060</t>
  </si>
  <si>
    <t>José Miguel Figueroa Zavaleta</t>
  </si>
  <si>
    <t>ke-eb-19-14020-11799</t>
  </si>
  <si>
    <t>CRISTHIAN  YAMIR TULLUME ACOSTA</t>
  </si>
  <si>
    <t>ab-eb-01-14149-92330</t>
  </si>
  <si>
    <t xml:space="preserve"> Asus rog strix G16 / Ryzen 9 / 5070 ti / 16 gb / 1 tb</t>
  </si>
  <si>
    <t>Ronald Joseph Alvarez quispe</t>
  </si>
  <si>
    <t>ab-eb-02-14148-33220</t>
  </si>
  <si>
    <t>923 285 419</t>
  </si>
  <si>
    <t>MSI VECTOR 5080 // ULTRA 9 // 32GB // 1 TB</t>
  </si>
  <si>
    <t>VERONICA GLADYS YANA APAZA</t>
  </si>
  <si>
    <t>ke-ms-524301</t>
  </si>
  <si>
    <t>Gustavo Vilchez Lecca</t>
  </si>
  <si>
    <t>ke-am-113-7390181-3063400</t>
  </si>
  <si>
    <t>Maricielo Lizbeth Belevan Jimenez</t>
  </si>
  <si>
    <t>li-mi-050126-2</t>
  </si>
  <si>
    <t>931 254 853</t>
  </si>
  <si>
    <t>Rosa Anita Huayhuas Castro</t>
  </si>
  <si>
    <t>L-M-230825</t>
  </si>
  <si>
    <t>Dioses Arahuallpa,Josué Caleb Nicolás</t>
  </si>
  <si>
    <t>ke-bb-BBY01-807146664812</t>
  </si>
  <si>
    <t>913 670 539</t>
  </si>
  <si>
    <t>Acer Predator Helios Neo 16 AI PHN16-73-934N 16" Gaming Laptop Computer - Abyssal Black
Intel Core Ultra 9 275HX 2.1GHz Processor; NVIDIA GeForce RTX 5070 Ti 12GB GDDR7; 32GB DDR5-6400 RAM; 1TB Solid State Drive</t>
  </si>
  <si>
    <t>LAOS WENSESLAO VASQUEZ LIMAYLLA</t>
  </si>
  <si>
    <t>li-mi-260126</t>
  </si>
  <si>
    <t>No está seguro de boleta o factura, consultar al momento de emitirlo</t>
  </si>
  <si>
    <t>Christian David Alarcon Bustamante</t>
  </si>
  <si>
    <t>ke-eb-12-14030-02480</t>
  </si>
  <si>
    <t>961 953 348</t>
  </si>
  <si>
    <t>Alienware Aurora 16X / ultra 9 275HX / 5060 / 32gb / 1 tb</t>
  </si>
  <si>
    <t>Gabriela Rivera Camus</t>
  </si>
  <si>
    <t>so-eb-17-14144-72924</t>
  </si>
  <si>
    <t xml:space="preserve"> 987 628 571</t>
  </si>
  <si>
    <t>requiere factura</t>
  </si>
  <si>
    <t xml:space="preserve">Alain Nike colquehuanca coloque </t>
  </si>
  <si>
    <t>li-mi-260126-2</t>
  </si>
  <si>
    <t>Legion Pro 5 Gen 10 AMD (16") con RTX 5060</t>
  </si>
  <si>
    <t>Yhonatan Chacñama Crisostomo</t>
  </si>
  <si>
    <t>ga-le-280126</t>
  </si>
  <si>
    <t>USAR CUPON : EXTRAFIVE (74 dolares de descuento)</t>
  </si>
  <si>
    <t>ROLANDO ALEXANDER ARISMENDI JUAREZ</t>
  </si>
  <si>
    <t>re-eb-11-14106-82311</t>
  </si>
  <si>
    <t>Gian Marco Ordóñez Chuquimia</t>
  </si>
  <si>
    <t>yo-eb-24-14103-23121</t>
  </si>
  <si>
    <t>917 383 542</t>
  </si>
  <si>
    <t>Joan Edinson Aquino Vasquez</t>
  </si>
  <si>
    <t>ke-eb-09-14172-89628</t>
  </si>
  <si>
    <t>960 495 540</t>
  </si>
  <si>
    <t>Lenovo legion Pro 5i / ultra 9 / 5070 ti /32gb / 2tb</t>
  </si>
  <si>
    <t>Gilmer Chávez espinoza</t>
  </si>
  <si>
    <t>ke-eb-14-14165-96631</t>
  </si>
  <si>
    <t>MARZO</t>
  </si>
  <si>
    <t xml:space="preserve">Omar Valerio Condori Huanca </t>
  </si>
  <si>
    <t>so-eb-17-14098-28640</t>
  </si>
  <si>
    <t>978 786 364</t>
  </si>
  <si>
    <t>MSI Raider 18 HX 5080 / 64 gb / 2 TB / Ultra 9 285 HX</t>
  </si>
  <si>
    <t>Christian Javier Misaico Palomino</t>
  </si>
  <si>
    <t>li-mi-010226</t>
  </si>
  <si>
    <t>CHELSEA</t>
  </si>
  <si>
    <t xml:space="preserve">Asus rog g16 ultra 9 rtx 5070 32gb ram 1tb almacenamiento </t>
  </si>
  <si>
    <t>Judith Rosmery Ccollatupa Laurente</t>
  </si>
  <si>
    <t>li-mi-010226-2</t>
  </si>
  <si>
    <t>Michael Cao</t>
  </si>
  <si>
    <t>so-eb-22-14045-66443</t>
  </si>
  <si>
    <t xml:space="preserve">Asus rog g18 ultra 9 rtx 5070ti 32gb ram 2tb almacenamiento </t>
  </si>
  <si>
    <t>Felipe Jose salcedo moran</t>
  </si>
  <si>
    <t>ga-co-1261386550</t>
  </si>
  <si>
    <t>KATIUSKA</t>
  </si>
  <si>
    <t>Ricardo Condori Llimpe</t>
  </si>
  <si>
    <t>ga-co-1261420079</t>
  </si>
  <si>
    <t>ASUS ROG Strix G16  Intel Core Ultra 9 275HX de 2,7 GHz; NVIDIA GeForce RTX 5080 de 16 GB GDDR7; 16 GB de RAM DDR5-5600; Unidad de estado sólido de 1 TB</t>
  </si>
  <si>
    <t>Angelo Enrique Cruz Romero</t>
  </si>
  <si>
    <t>CANCELADAAAA</t>
  </si>
  <si>
    <t>Reynaldo Alarcón Pérez</t>
  </si>
  <si>
    <t>so-eb-01-14127-79839</t>
  </si>
  <si>
    <t>Acer - Predator Helios 18 AI - 18" 250Hz Gaming Laptop - 2560 x 1600 -Intel Core Ultra 9 - NVIDIA GeForce RTX 5080 32GB 1TB - Abyssal Black</t>
  </si>
  <si>
    <t>yo-eb-12-14201-07542</t>
  </si>
  <si>
    <t>Lenovo Legion Pro 7i de 16" WQXGA OLED con IA de 240 Hz, Intel Core Ultra 9 275HX, 32 GB de RAM, SSD de 1 TB, NVIDIA GeForce RTX 5090, color negro</t>
  </si>
  <si>
    <t>Nixa Lilibeth Purizaca Gómez</t>
  </si>
  <si>
    <t>ke-eb-10-14203-77475</t>
  </si>
  <si>
    <t>ASUS ROG Strix G18 de 18" - Procesador Intel Core Ultra 9 275HX - GeForce RTX 5060, pantalla Nebula de 2.5K a 240 Hz/3 ms - 32 GB de RAM, SSD de 1 TB</t>
  </si>
  <si>
    <t>Maria Pia Vargas Galdos</t>
  </si>
  <si>
    <t>ga-co-1262493833</t>
  </si>
  <si>
    <t>953 721 129</t>
  </si>
  <si>
    <t>Javier Raúl paccosoncco Mamani</t>
  </si>
  <si>
    <t>ke-eb-20-14100-39988</t>
  </si>
  <si>
    <t>Edwar Jesus Paredes Bautista</t>
  </si>
  <si>
    <t>ke-eb-14-14108-94200</t>
  </si>
  <si>
    <t>ASUS ROG Strix G 18 RTX5060 ULTRA 9 32 RAM. 1TB SSD</t>
  </si>
  <si>
    <t xml:space="preserve">Yovana Arias Lopez </t>
  </si>
  <si>
    <t>ga-co-1262710473</t>
  </si>
  <si>
    <t>984 252 563</t>
  </si>
  <si>
    <t>ASUS ROG G16/ RTX 5070/ 32GB RAM/ 1TB SSD/ ULTRA 9</t>
  </si>
  <si>
    <t>Edwin Frank Villacorta Solano</t>
  </si>
  <si>
    <t>ra-mi-080226</t>
  </si>
  <si>
    <t>ASUS - Portátil ProArt PX13 de 13" con pantalla táctil OLED 3K - Copilot+ PC - AMD Ryzen AI 9 HX 370 - 32 GB de memoria - RTX 4050 - SSD de 1 TB - Negro nano</t>
  </si>
  <si>
    <t>Lourdes Flores Sandoval</t>
  </si>
  <si>
    <t>ke-be-BBY01-807143456089</t>
  </si>
  <si>
    <t>Dell Alienware 18 Area-51 AA18250 de 18 pulgadas - Verde azulado líquidoProcesador Intel Core Ultra 9 275HX de 2,1 GHz; NVIDIA GeForce RTX 5090 de 24 GB GDDR7; 64 GB de RAM DDR5-6400; Unidad de estado sólido de 2 TB</t>
  </si>
  <si>
    <t>Herberth Humberto ARRIETA Flores</t>
  </si>
  <si>
    <t>li-mi-090226</t>
  </si>
  <si>
    <t>953 412 735</t>
  </si>
  <si>
    <t>Vector 16 HX AI A2XWIG-420US RTX™ 5080 32GB (16Gx2) DDR5 5600MHz 1TB NVMe SSD Gen4x4</t>
  </si>
  <si>
    <t>ke-ms-524302</t>
  </si>
  <si>
    <t>Lenovo Legion 5 15AHP10 15.3" Gaming Laptop Computer - Eclipse Black
AMD Ryzen 7 260 3.8GHz Processor; NVIDIA GeForce RTX 5060 8GB GDDR7; 16GB DDR5-5600 RAM; 512GB Solid State Drive</t>
  </si>
  <si>
    <t>Jefferson Alexis Castro Saavedra</t>
  </si>
  <si>
    <t>ja-mi-100226</t>
  </si>
  <si>
    <t>Jefrimalexis@gmail.com</t>
  </si>
  <si>
    <t>Miluska Mariana Solange Sarmiento Huayanca</t>
  </si>
  <si>
    <t>ke-eb-09-14219-54101</t>
  </si>
  <si>
    <t>Wilmer David Julca Delgado</t>
  </si>
  <si>
    <t>ja-mi-110226</t>
  </si>
  <si>
    <t>925 343 401</t>
  </si>
  <si>
    <t>Guerrero Ramírez Bruno Josué</t>
  </si>
  <si>
    <t>ke-eb-13-14214-17250</t>
  </si>
  <si>
    <t>952 456 305</t>
  </si>
  <si>
    <t>josuealmicagr17@gmail.com</t>
  </si>
  <si>
    <t>Gallen Psykhé Puerta Ramirez</t>
  </si>
  <si>
    <t>li-mi-120226</t>
  </si>
  <si>
    <t>986 247 057</t>
  </si>
  <si>
    <t>ASUS - Zenbook S 14 14" 3K OLED Touch Laptop - Copilot+ PC - Intel Core Ultra 7 Series 2 with 32GB Memory - 1TB SSD - Scandinavian White</t>
  </si>
  <si>
    <t>Cesar Javier Salamanca Acuña</t>
  </si>
  <si>
    <t>ke-be-BBY01-807144858716</t>
  </si>
  <si>
    <t>Frank Jordan Espinoza Leon</t>
  </si>
  <si>
    <t>ab-eb-09-14219-52632</t>
  </si>
  <si>
    <t>999 240 033</t>
  </si>
  <si>
    <t>Lenovo Legion Pro 7i 16 WQXGA OLED RTX 5080 Intel Ultra 9-275HX-</t>
  </si>
  <si>
    <t>Brayan Sierra Cangaya</t>
  </si>
  <si>
    <t>ke-eb-27-14209-31209</t>
  </si>
  <si>
    <t>Lane Kim Revoredo</t>
  </si>
  <si>
    <t>yo-eb-07-14230-17008</t>
  </si>
  <si>
    <t>Predator Helios Neo 16S AI - 16" OLED 240Hz - Intel Core 9 ultra- NVIDIA RTX 5070Ti-1TB SSD, 32GB RAM</t>
  </si>
  <si>
    <t>Jesus Loayza Saboya</t>
  </si>
  <si>
    <t>yo-eb-11-14224-43066</t>
  </si>
  <si>
    <t>RICHARD CHUNCA CCOA</t>
  </si>
  <si>
    <t>si-mi-160226</t>
  </si>
  <si>
    <t xml:space="preserve">Elmer Luna Montalvo </t>
  </si>
  <si>
    <t>so-eb-27-14176-96638</t>
  </si>
  <si>
    <t>939 715 678</t>
  </si>
  <si>
    <t>ASUS TUF F16-16" FHD 165Hz- SSD 512 GB- RAM 16 GB DDR5- INTEL CORE i7- NVIDIA GEFORCE RTX 5050</t>
  </si>
  <si>
    <t>Nelson Gustavo Huillca lopez</t>
  </si>
  <si>
    <t>ke-ne-567296512</t>
  </si>
  <si>
    <t>ACER PREDATOR HELIOS NEO 16S AI- 16WQXGA- 1TB SSD- RAM 32 DDR5-INTEL CORE 9 ULTRA 275 HX- NVIDIA GEFORCE RTX 5070Ti 12GB</t>
  </si>
  <si>
    <t>Juan Diego Murillo</t>
  </si>
  <si>
    <t>ga-eb-150226</t>
  </si>
  <si>
    <t>Apple Laptop MacBook Air 2025 de 13 pulgadas con chip M4: diseñada para Apple Intelligence, pantalla de retina líquida de 13.6 pulgadas, memoria unificada de 16 GB, almacenamiento SSD de 256 GB, cámara central de escenario de 12 MP, Touch ID, SILVER</t>
  </si>
  <si>
    <t>ke-am-114-8809415-8474614</t>
  </si>
  <si>
    <t>COLOR PLATEADO</t>
  </si>
  <si>
    <t>Portátil para juegos ASUS ROG Strix G16 Nebula 2.5K 240Hz RTX 5070Ti AMD Ryzen 9-9955HX</t>
  </si>
  <si>
    <t>Maria Pilar Tinoco Leon</t>
  </si>
  <si>
    <t>ke-eb-27-14214-74446</t>
  </si>
  <si>
    <t>Luis Yamir Mamani Llanque</t>
  </si>
  <si>
    <t>ke-be-BBY01-807146643623</t>
  </si>
  <si>
    <t>Portátil táctil ASUS Zenbook 14" WUXGA OLED Intel Core Ultra 7 16 GB RAM 512 GB SSD-</t>
  </si>
  <si>
    <t>Wilde Edair Tapia Rafaele</t>
  </si>
  <si>
    <t>ke-eb-07-14251-99194</t>
  </si>
  <si>
    <t>JOSUE LEINER LEON MALCA</t>
  </si>
  <si>
    <t>so-be-BBY01-807146662618</t>
  </si>
  <si>
    <t>ACER PREDATOR HELIOS 18 AI/ ULTRA 9/ RTX 5080/ 32GB RAM/ 1TB SSD</t>
  </si>
  <si>
    <t>Jonathan Ramos Huaccharaqui</t>
  </si>
  <si>
    <t>re-eb-03-14265-37281</t>
  </si>
  <si>
    <t>André Fernando Cuayla Gutiérrez</t>
  </si>
  <si>
    <t>ke-be-BBY01-807146653521</t>
  </si>
  <si>
    <t>Jaime Efrain Tancayllo Umayasi</t>
  </si>
  <si>
    <t>ab-eb-15-14248-25513</t>
  </si>
  <si>
    <t>ASUS ROG Strix G18 de 18" - Intel Core Ultra 9 275HX - Pantalla Nebula de 2.5K - GeForce RTX 5070 - 32 GB de RAM - SSD de 1 TB - Windows 11</t>
  </si>
  <si>
    <t xml:space="preserve">Cristhian Yomar Mancilla Flores
</t>
  </si>
  <si>
    <t>ga-co-1265445421</t>
  </si>
  <si>
    <t>ASUS ROG Strix G16 G615LR-MS97 de 16" Colección Platino - Gris Eclipse Procesador Intel Core Ultra 9 275HX de 2,1 GHz; NVIDIA GeForce RTX 5070 Ti de 12 GB GDDR7; 32 GB de RAM DDR5-5600; Unidad de estado sólido de 2 TB</t>
  </si>
  <si>
    <t>Hugo Ticona Salluca</t>
  </si>
  <si>
    <t>li-mi-130226</t>
  </si>
  <si>
    <t>hts.ez.v@gmail.com</t>
  </si>
  <si>
    <t>Legion Pro 5 16" 2.5K OLED - AMD Ryzen 7 8745HX 2025</t>
  </si>
  <si>
    <t>Samuel Joseph Osorio curo</t>
  </si>
  <si>
    <t>ab-eb-13-14256-68868</t>
  </si>
  <si>
    <t>Emiliano Chávez Villanueva</t>
  </si>
  <si>
    <t>li-mi-130226-2</t>
  </si>
  <si>
    <t>982 280 425</t>
  </si>
  <si>
    <t>Portátil Gaming ASUS - ROG Strix G16 16" FHD 165Hz - AMD Ryzen 9 HX - 16GB RAM - NVIDIA GeForce RTX 5070 Ti - 1TB SSD - Eclipse Gray</t>
  </si>
  <si>
    <t>Alexia Camila Bautista Beraun</t>
  </si>
  <si>
    <t>so-eb-08-14203-58251</t>
  </si>
  <si>
    <t>yo-eb-16-14113-24110</t>
  </si>
  <si>
    <t>ACER PREDATOR NEO 16S AI/ RTX 5060/ 16GB RAM/ 1TB SSD/ ULTRA 9</t>
  </si>
  <si>
    <t>JEFFREY RAFAEL ALBORNOZ PAIMA</t>
  </si>
  <si>
    <t>ab-eb-24-14201-15881</t>
  </si>
  <si>
    <t>935 152 183</t>
  </si>
  <si>
    <t>Vector 16 HX AI  Ultra 9 275HX -32 GB -1TB-  RTX™ 5080</t>
  </si>
  <si>
    <t>Herwil Juvenal Masias Callo</t>
  </si>
  <si>
    <t>ke-ms-533853</t>
  </si>
  <si>
    <t>ASUS ROG Strix G16 G614PP-MS96 16" Gaming Laptop Computer - Eclipse GrayAMD Ryzen 9 8940HX 2.4GHz Processor; NVIDIA GeForce RTX 5070 8GB GDDR7; 32GB DDR5-5200 RAM; 1TB Solid State Drive</t>
  </si>
  <si>
    <t>Evelyn Sarai Muñoz Chavez</t>
  </si>
  <si>
    <t>si-mi-210226</t>
  </si>
  <si>
    <t>chavezevelyn703@gmail.com</t>
  </si>
  <si>
    <t>Greysi Alessandra Massiel Tarrillo Navarro</t>
  </si>
  <si>
    <t>si-mi-210226-2</t>
  </si>
  <si>
    <t>955 979 646</t>
  </si>
  <si>
    <t>Cliente obtenido directamente a mi personal, no vino por whatticket, así que obtuve el lead por mi cuenta jeje</t>
  </si>
  <si>
    <t>Jose brandon choquehuayta carlo</t>
  </si>
  <si>
    <t>so-eb-22-14124-67118</t>
  </si>
  <si>
    <t>957 744 333</t>
  </si>
  <si>
    <t>Brandonchoquehuayta2000@gmail.com</t>
  </si>
  <si>
    <t>Lenovo Legion 5 15.1" WQXGA 165Hz Ultra 9 275HX 16 GB de RAM 1 TB SSD RTX 5070</t>
  </si>
  <si>
    <t>JOB ANDRE ENCO COLQUE</t>
  </si>
  <si>
    <t>ke-eb-19-14256-38715</t>
  </si>
  <si>
    <t>Oliver Rolando Martinez</t>
  </si>
  <si>
    <t>so-eb-22-14183-70235</t>
  </si>
  <si>
    <t>ASUS - TUF Gaming A16 16" FHD+ 165Hz - AMD Ryzen 9 - 32GB RAM</t>
  </si>
  <si>
    <t>Eduardo Andres Apeña Paredes</t>
  </si>
  <si>
    <t>ke-eb-27-14245-05567</t>
  </si>
  <si>
    <t>Geanmarcos Antonio Tataje Tipacti</t>
  </si>
  <si>
    <t>ke-eb-27-14261-30062</t>
  </si>
  <si>
    <t>Cárdenas Fajardo Bryan Alejandro</t>
  </si>
  <si>
    <t>ga-co-150126</t>
  </si>
  <si>
    <t>cardenasb416@gmail.com</t>
  </si>
  <si>
    <t xml:space="preserve">Marcos Joseph Benites Neyra </t>
  </si>
  <si>
    <t>ga-co-1266722315</t>
  </si>
  <si>
    <t>ACER PREDATOR HELIOS NEO16S AI/32GB RAM/1TB SSD/RTX 5070TI/ULTRA 9</t>
  </si>
  <si>
    <t>Wilmer wetelvino colque chambilla</t>
  </si>
  <si>
    <t>ke-eb-04-14303-38801</t>
  </si>
  <si>
    <t>ASUS ROG STRIX G18/RTX 5060/32GB RAM/ 1TB SSD/ULTRA 9</t>
  </si>
  <si>
    <t>Reyna Julcarima Hinostroza</t>
  </si>
  <si>
    <t>ga-co-1266917237</t>
  </si>
  <si>
    <t>964 888 004</t>
  </si>
  <si>
    <t>Perez Romero Axhel Rose Treicy</t>
  </si>
  <si>
    <t>ab-eb-19-14128-98092</t>
  </si>
  <si>
    <t>axhelrosetreicyperezromero@gmail.com</t>
  </si>
  <si>
    <t>Acer - Predator Helios Neo 16S AI - 16" OLED 240Hz - Intel Core Ultra 9 RTX 5070 Ti 1TB SSD 32GB RAM</t>
  </si>
  <si>
    <t>Fabrizio Domínguez</t>
  </si>
  <si>
    <t>ke-eb-06-14253-74405</t>
  </si>
  <si>
    <t>ASUS ROG Strix G16 (2025) Laptop para juegos, pantalla ROG Nebula de 16” 16:10 2.5K 240Hz/3ms, GPU NVIDIA® GeForce RTX™ 5060, procesador Intel® Core™ Ultra 9 275HX, 16GB DDR5, SSD de 1TB, Wi-Fi 7</t>
  </si>
  <si>
    <t>Russell Marco Matías Florez</t>
  </si>
  <si>
    <t>ke-am-113-2517965-9889813</t>
  </si>
  <si>
    <t xml:space="preserve"> Jhoss Kennedy Galán León</t>
  </si>
  <si>
    <t>ga-eb-150226-2</t>
  </si>
  <si>
    <t>928 104 264</t>
  </si>
  <si>
    <t>Junior Reyes Velasquez</t>
  </si>
  <si>
    <t>so-eb-01-14261-47121</t>
  </si>
  <si>
    <t>https://www.microcenter.com/product/702373/acer-predator-helios-16-ai-ph16-73-99hd-oled-16-gaming-laptop-computer-abyssal-black</t>
  </si>
  <si>
    <t>Javier Pablo Vargas Martinez</t>
  </si>
  <si>
    <t>si-mi-270226</t>
  </si>
  <si>
    <t>Rodrigo Renato Arrieta Delgado.</t>
  </si>
  <si>
    <r>
      <rPr>
        <rFont val="Arial"/>
        <color rgb="FF000000"/>
        <sz val="10.0"/>
      </rPr>
      <t>re-eb-</t>
    </r>
    <r>
      <rPr>
        <rFont val="Arial"/>
        <color rgb="FF434343"/>
        <sz val="10.0"/>
        <u/>
      </rPr>
      <t>05-14255-70646</t>
    </r>
  </si>
  <si>
    <t>rodrigo24arrieta@gmail.com</t>
  </si>
  <si>
    <t>Acer Predator Helios Neo de 16" con IA: procesador Intel Core Ultra 9 275HX, pantalla de 16" (2560 x 1600) de 240 Hz, NVIDIA RTX 5070 Ti, 12 GB, SSD de 1 TB, Windows 11 Home</t>
  </si>
  <si>
    <t>Kevin Einsten Arce Gonzales</t>
  </si>
  <si>
    <t>ga-co-1267583302</t>
  </si>
  <si>
    <t>927 891 722</t>
  </si>
  <si>
    <t>Kenny Joel Moreno Castillo</t>
  </si>
  <si>
    <t>ra-mi-020326</t>
  </si>
  <si>
    <t>978 377 789</t>
  </si>
  <si>
    <t>Rocío Jaramillo</t>
  </si>
  <si>
    <t>re-eb-04-14215-51215</t>
  </si>
  <si>
    <t>quiere factura, no emitirle hasta que llene el form</t>
  </si>
  <si>
    <t>Santiago Alexander Alhuay Osco</t>
  </si>
  <si>
    <t>ke-eb-09-14201-46361</t>
  </si>
  <si>
    <t>ROG Zephyrus G16 (2025) GU605, pantalla ROG Nebula de 16", panel OLED 2.5K, 240 Hz/0,2 ms, 100 % DCI-P3, NVIDIA® GeForce RTX™ 5080, Intel® Core™ Ultra 9 285H, 64 GB de RAM, SSD de 2 TB, Wi-Fi 7, Windows 11 Pro, GU605CW-XS98</t>
  </si>
  <si>
    <t>Joel Ferreyra</t>
  </si>
  <si>
    <t>ke-as-10001292473</t>
  </si>
  <si>
    <t>al momento de realizar la compra por la web de ASUS ver si se puede generar factura (invoice) con el RUC de la empresa Compañía Minera Rosalinda (RUC 20556160946)</t>
  </si>
  <si>
    <t>Luis Enrique Pinaud</t>
  </si>
  <si>
    <t>re-eb-23-14229-61127</t>
  </si>
  <si>
    <t>983 726 779</t>
  </si>
  <si>
    <t>Jesús Miguel Tejada Hernández</t>
  </si>
  <si>
    <t>so-eb-17-14237-99036</t>
  </si>
  <si>
    <t>969 847 002</t>
  </si>
  <si>
    <t>JOSE LUIS DIAZ CHAVEZ</t>
  </si>
  <si>
    <t>so-eb-24-14242-80899</t>
  </si>
  <si>
    <t>978 737 228</t>
  </si>
  <si>
    <t>irbin antuan cortez Quispe</t>
  </si>
  <si>
    <t>k-a-113-6215191-2840255</t>
  </si>
  <si>
    <t>Titan 18 HX Dragon Edition Norse Myth A2XWJG-440US de 18" UHD -RTX 5090 96GB -6TB</t>
  </si>
  <si>
    <t>Angelico Fortunato Asenjo Flores</t>
  </si>
  <si>
    <t>ke-ms-538042</t>
  </si>
  <si>
    <t>991 305 749</t>
  </si>
  <si>
    <t>Norbertt Luis Quispe Auccapuclla</t>
  </si>
  <si>
    <t>si-mi-040326</t>
  </si>
  <si>
    <t>CARLOS JUNIOR CORNEJO LLONTOP</t>
  </si>
  <si>
    <t>ke-eb-02-14306-47072</t>
  </si>
  <si>
    <t xml:space="preserve"> 975 225 656</t>
  </si>
  <si>
    <t>ASUS ROG G18/RTX 5060/32 GB RAM/1TB SSD/ ULTRA 9</t>
  </si>
  <si>
    <t>Jorge André Osorio Gilardi</t>
  </si>
  <si>
    <t>ga-co-1268813605</t>
  </si>
  <si>
    <t>999 093 350</t>
  </si>
  <si>
    <t>Juan Abelardo Herrera Acha</t>
  </si>
  <si>
    <t>ab-eb-02-14218-58780</t>
  </si>
  <si>
    <t>ASUS ROG Strix G16 G615LR-MS97 16" Intel Core Ultra 9 275HX 2.1GHz .NVIDIA GeForce RTX 5070 Ti 32GB DDR5- 2TB SSD- 16 "2.5K</t>
  </si>
  <si>
    <t>Rogger Sthik Torres Castillo</t>
  </si>
  <si>
    <t>li-mi-070226-2</t>
  </si>
  <si>
    <t xml:space="preserve">Raul Fernando Huanacchiri Pilares </t>
  </si>
  <si>
    <t>li-mi-070226</t>
  </si>
  <si>
    <t xml:space="preserve">jorge alvaro huaman flores </t>
  </si>
  <si>
    <t xml:space="preserve">s-e-12-13686-49051 </t>
  </si>
  <si>
    <t xml:space="preserve">David Fernanado Escobedo </t>
  </si>
  <si>
    <t>re-eb-21-14190-33090</t>
  </si>
  <si>
    <t>JEAN CARLOS GALVEZ CABRERA</t>
  </si>
  <si>
    <t>k-a-113-8323167-6541850</t>
  </si>
  <si>
    <t>993 025 140</t>
  </si>
  <si>
    <t>LENOVO LEGION 5/RTX 5070/32GB RAM/1TB SSD/ULTRA 9</t>
  </si>
  <si>
    <t>Dalia Sahomi Pariachi Herrera</t>
  </si>
  <si>
    <t>ke-bh-1127776590</t>
  </si>
  <si>
    <t xml:space="preserve">
913 974 157</t>
  </si>
  <si>
    <t>MAYO</t>
  </si>
  <si>
    <t>Delia Albina Choquepuma Rios</t>
  </si>
  <si>
    <t>ca-be-260226</t>
  </si>
  <si>
    <t>973 648 164</t>
  </si>
  <si>
    <t>Valeria Fernandez Fernandez Davila</t>
  </si>
  <si>
    <t>ke-eb-19-14339-54327</t>
  </si>
  <si>
    <t xml:space="preserve"> 983 517 156</t>
  </si>
  <si>
    <t>Kevin Estela Julón</t>
  </si>
  <si>
    <t>so-eb-01-14075-70118</t>
  </si>
  <si>
    <t>ROG STRIX G16/ RTX 5070TI/ 2TB SSD/ 32GB RAM/ ULTRA 9</t>
  </si>
  <si>
    <t>Victor Hugo Rojas Zamora</t>
  </si>
  <si>
    <t>li-mi-070226-3</t>
  </si>
  <si>
    <t>975 243 939</t>
  </si>
  <si>
    <t>ABRIL</t>
  </si>
  <si>
    <t>Edson Dante Machaca Borda</t>
  </si>
  <si>
    <t>si-mi-160326</t>
  </si>
  <si>
    <t>ASUS ROG Strix G16 G615LR-MS97 16" Gaming Laptop Computer Platinum Collection - Eclipse Gray Intel Core Ultra 9 275HX 2.1GHz Processor; NVIDIA GeForce RTX 5070 Ti 12GB GDDR7; 32GB DDR5-5600 RAM; 2TB Solid State Drive</t>
  </si>
  <si>
    <t>Renzo Jhonn Cala Ccoya</t>
  </si>
  <si>
    <t>li-mi-100226</t>
  </si>
  <si>
    <t>Acer Predator Helios Neo 16" AI Gaming Laptop – Intel Core Ultra 9 275HX Processor — 16" (2560 x 1600) 240Hz Display — NVIDIA RTX 5070 Ti, 12GB — 1 TB SSD — Windows 11 Home</t>
  </si>
  <si>
    <t>Jean Pierre Mandujano Silva</t>
  </si>
  <si>
    <t>ga-co-1269943421</t>
  </si>
  <si>
    <t>Vector 16 HX AI A2XWIG-420US 16" Gaming Laptop Computer - Cosmo GrayIntel Core Ultra 9 275HX 2.1GHz Processor; NVIDIA GeForce RTX 5080 16GB GDDR7; 32GB DDR5-5600 RAM; 1TB </t>
  </si>
  <si>
    <t>Bernard Erasmo Cuchillo Valenzuela</t>
  </si>
  <si>
    <t>li-mi-140326</t>
  </si>
  <si>
    <t>PREDATOR 16S AI/ 16GB RAM/ RTX 5060/ 1TB SSD/ ULTRA 9</t>
  </si>
  <si>
    <t>Jose Ignacio Solorzano Bejar</t>
  </si>
  <si>
    <t>re-eb-19-14049-96174</t>
  </si>
  <si>
    <t>ASUS ROG Strix G16 16" ROG Nebula Display 2.5K 240Hz/3ms NVIDIA GeForce RTX 5070Ti AMD Ryzen 9-9955HX 32GB RAM 1TB SSD Eclipse Gray</t>
  </si>
  <si>
    <t xml:space="preserve">Manuel Ignacio Chiroque Farfán </t>
  </si>
  <si>
    <t>ke-eb-19-14352-93697</t>
  </si>
  <si>
    <t>923 074 123</t>
  </si>
  <si>
    <t>Erick Alexander Blanco Torres</t>
  </si>
  <si>
    <t>re-eb-23-14188-03647</t>
  </si>
  <si>
    <t>Lenovo Legion Pro 7 16IAX10H OLED 16" Gaming Laptop Computer - Eclipse Black Intel Core Ultra 9 275HX 2.1GHz Processor; NVIDIA GeForce RTX 5070 Ti 12GB GDDR7; 32GB DDR5-6400 RAM; 2x 1TB Solid State Drive</t>
  </si>
  <si>
    <t>David Terán Polar</t>
  </si>
  <si>
    <t>ra-mi-030326</t>
  </si>
  <si>
    <t>910 534 731</t>
  </si>
  <si>
    <t xml:space="preserve">Luis Alonso Vásquez Pulcha
</t>
  </si>
  <si>
    <t>li-co-030326</t>
  </si>
  <si>
    <t>MSI Titan 18 - 18.0" Intel Ultra 9-285HX GeForce RTX 5090 Laptop GPU - 2.1-5.5GHz - 32GB*2 Memory - 2TB NVMe SSD Gen5x4 + 4TB(2TB*2) NVMe SSD - Wi-Fi 7 Windows 11 Pro - Gaming Laptop - 120 Hz Mini LED (Titan 18 HX AI A2XWJG-614US )</t>
  </si>
  <si>
    <t>Victor Luis Quispe Huaman</t>
  </si>
  <si>
    <t>ke-ne-560710754</t>
  </si>
  <si>
    <t>ASUS Zenbook S 16 - Portátil con pantalla táctil OLED 3K de 16 pulgadas - Copilot+ PC - AMD Ryzen AI 9 365 - 24 GB de memoria - SSD de 1 TB - Blanco escandinavo</t>
  </si>
  <si>
    <t xml:space="preserve">César Adolfo Llanque Carreño
</t>
  </si>
  <si>
    <t>ke-be-807155623637</t>
  </si>
  <si>
    <t>Max Uquiche Alhuay</t>
  </si>
  <si>
    <t>yo-eb-11-14379-28859</t>
  </si>
  <si>
    <t>ZEPHYRUS G16/ 32GB RAM/1TB SSD/ RTX 5070TI/ ULTRA 9</t>
  </si>
  <si>
    <t>Renzo David Castellon Quispe</t>
  </si>
  <si>
    <t>yo-eb-27-14356-42846</t>
  </si>
  <si>
    <t>Kevin Sleither Verastigue Mejía</t>
  </si>
  <si>
    <t>ke-eb-11-14350-17308</t>
  </si>
  <si>
    <t>Jair Pinto Torres</t>
  </si>
  <si>
    <t>re-eb-18-14369-29389</t>
  </si>
  <si>
    <t>Jannelli Sandy Valdivia Vasquez</t>
  </si>
  <si>
    <t>re-eb-03-14390-93759</t>
  </si>
  <si>
    <t>Ricardo Aaron Arevalo Miranda</t>
  </si>
  <si>
    <t>ke-eb-08-14383-28027</t>
  </si>
  <si>
    <t>Gianfranco Paul Carranza Sotelo</t>
  </si>
  <si>
    <t>ga-co-1266916397</t>
  </si>
  <si>
    <t xml:space="preserve">PAULO REYSHE LLANTO CARDENAS.
</t>
  </si>
  <si>
    <t>ga-co-1266723697</t>
  </si>
  <si>
    <t>ASUS ROG Strix G18 de 18" - Procesador Intel Core Ultra 9 275HX - GeForce RTX 5070TI, pantalla Nebula 2.5K 240Hz/3ms - 32 GB de RAM, SSD de 2 TB - Windows 11 Home</t>
  </si>
  <si>
    <t xml:space="preserve">ROMARIO LUGO DELGADO
</t>
  </si>
  <si>
    <t>ga-co-1271543875</t>
  </si>
  <si>
    <t>2299,99</t>
  </si>
  <si>
    <t>Aderli Renzo Tuesta Garcia</t>
  </si>
  <si>
    <t>jo-eb-23-14372-96070</t>
  </si>
  <si>
    <t xml:space="preserve">DIEGO QBEJAR GUTIERREZ
</t>
  </si>
  <si>
    <t>ke-be-807155880921</t>
  </si>
  <si>
    <t>977 977 700</t>
  </si>
  <si>
    <t>Daniel Héctor Espinoza Ortega</t>
  </si>
  <si>
    <t>li-co-030326-2</t>
  </si>
  <si>
    <t>ASUS ROG Strix G16 G615LW-CS94 16" Gaming Laptop Computer - Eclipse Gray Intel Core Ultra 9 275HX 2.7GHz Processor; NVIDIA GeForce RTX 5080 16GB GDDR7; 16GB DDR5-5600 RAM; 1TB Solid State Drive</t>
  </si>
  <si>
    <t>Cristhian Bustamante</t>
  </si>
  <si>
    <t>li-mi-010226-3</t>
  </si>
  <si>
    <t>51 917 244 599</t>
  </si>
  <si>
    <t xml:space="preserve">PAOLA SOLIS ZAMBRANO </t>
  </si>
  <si>
    <t>li-mi-100226-2</t>
  </si>
  <si>
    <t xml:space="preserve">jhakelyn estefany figueroa condori
</t>
  </si>
  <si>
    <t>yo-eb-21-14359-96970</t>
  </si>
  <si>
    <t>Luis Maycol Balbín Torres</t>
  </si>
  <si>
    <t>so-eb-25-14330-89840</t>
  </si>
  <si>
    <t>913 638 550</t>
  </si>
  <si>
    <t>Omar Andre Rivas Meneses</t>
  </si>
  <si>
    <t>so-eb-11-14350-98731</t>
  </si>
  <si>
    <t>960 377 402</t>
  </si>
  <si>
    <t>Legion Pro 5i Gen 10 Intel (16") con RTX 5070</t>
  </si>
  <si>
    <t>Carlos Durand Pacahuala</t>
  </si>
  <si>
    <t>ga-le-260326</t>
  </si>
  <si>
    <t>969 916 616</t>
  </si>
  <si>
    <t xml:space="preserve">usar cupon de: GRAN OFERTA10
</t>
  </si>
  <si>
    <t xml:space="preserve">ASUS ROG Strix G16 G615LR-MS97 de 16" Colección Platino - Gris Eclipse
Procesador Intel Core Ultra 9 275HX de 2,1 GHz; NVIDIA GeForce RTX 5070 Ti de 12 GB GDDR7; 32 GB de RAM DDR5-5600; disco de estado sólido de 2 TB.
</t>
  </si>
  <si>
    <t>Alessandra Chinchay Leon</t>
  </si>
  <si>
    <t>jl-mi-250326-2</t>
  </si>
  <si>
    <t>967 308 118</t>
  </si>
  <si>
    <t>Traer por importarcion , facturado al 100% el equipo  /ADICIONAL SOLCITAR CODIGO DE RESIDENT EVIL  ( promocion de un juego por la compra de laptop )</t>
  </si>
  <si>
    <t>Asus ROG Strix G18 (2025) G814-AMD Ryzen™ 9 8940HX-RTX™ 5070 -1 TB SSD</t>
  </si>
  <si>
    <t>Gabriel Enrique Pereyra Velasquez</t>
  </si>
  <si>
    <t>ke-as-10001304797</t>
  </si>
  <si>
    <t xml:space="preserve">ASUS ROG Strix G16 G615LR-MS97 de 16" Colección Platino - Gris Eclipse
Procesador Intel Core Ultra 9 275HX de 2,1 GHz; NVIDIA GeForce RTX 5070 Ti de 12 GB GDDR7; 32 GB de RAM DDR5-5600; disco de estado sólido de 2 TB.
</t>
  </si>
  <si>
    <t xml:space="preserve">Angelo Bryan Yujra Rodríguez </t>
  </si>
  <si>
    <t>li-mi-250326</t>
  </si>
  <si>
    <t>Dell Alienware 18 Area-51 AA18250 18" Gaming Laptop Computer - Liquid Teal
Intel Core Ultra 9 275HX 2.1GHz Processor; NVIDIA GeForce RTX 5090 24GB GDDR7; 64GB DDR5-6400 RAM; 2TB Solid State Drive</t>
  </si>
  <si>
    <t>Joacin Duberly Mejia Romero</t>
  </si>
  <si>
    <t>si-mi-230326</t>
  </si>
  <si>
    <t>ASUS ROG Strix SCAR 16 G635LW-XS97 de 16" - NegroProcesador Intel Core Ultra 9 275HX de 2,1 GHz; NVIDIA GeForce RTX 5080 de 16 GB GDDR7; 32 GB de RAM DDR5-5600; disco de estado sólido de 2 TB.</t>
  </si>
  <si>
    <t>Jean Franco Ugarte Fernandez</t>
  </si>
  <si>
    <t>jl-mi-260326</t>
  </si>
  <si>
    <t xml:space="preserve">hay una laptop para comprar de microcenter solo hay una que es abierta el cliente desea esa OPEN BOX - 2,294.96 = 10170.48 soles </t>
  </si>
  <si>
    <t>Dell Alienware 18 Area-51 AA18250 de 18" - Verde azulado líquidoProcesador Intel Core Ultra 9 275HX de 2,1 GHz; NVIDIA GeForce RTX 5090 de 24 GB GDDR7; 64 GB de RAM DDR5-6400; disco de estado sólido de 2 TB.</t>
  </si>
  <si>
    <t>Keny gianfranco inoñan huaman</t>
  </si>
  <si>
    <t>jl-mi-250326</t>
  </si>
  <si>
    <t>927 078 211</t>
  </si>
  <si>
    <t>Ricardo Enrique Cruz Pacahuala</t>
  </si>
  <si>
    <t>ga-co-1272702884</t>
  </si>
  <si>
    <t>Carlos Emmanuel Arriaga Tapia</t>
  </si>
  <si>
    <t>ga-co-1273156798</t>
  </si>
  <si>
    <t>TRAER POR IMPORTACION FACTURADO AL 100%</t>
  </si>
  <si>
    <t>Legion Pro 7 16IAX10H OLED 16"Intel Core Ultra 9 275HX 2.1GHz Processor; NVIDIA GeForce RTX 5070 Ti 12GB GDDR7; 32GB DDR5-6400 RAM; 2x 1TB Solid State Drive</t>
  </si>
  <si>
    <t>Luis D. Rosas z</t>
  </si>
  <si>
    <t>jl-mi-250326-3</t>
  </si>
  <si>
    <t xml:space="preserve">Lenovo Legion 5i Gen 10 Intel, procesador Intel Core Ultra 7 255HX , pantalla OLED brillante QHD+ de 15,1" y 165 Hz (2560 x 1600)16 GB de memoria DDR5 a 5600 MHz, SSD de 512 GB, GPU NVIDIA GeForce RTX 5060 </t>
  </si>
  <si>
    <t>Anthony Edwin Naveros Quispe</t>
  </si>
  <si>
    <t>ke-ex-32325686</t>
  </si>
  <si>
    <t>ASUS ROG Strix G16 (2025) portátil para juegos, pantalla FHD+ de 16” 16:10 165Hz/3ms, unidad de procesamiento de gráficos GeForce RTX™ 5060, procesador Intel® Core™ i7 14650HX, 16 GB DDR5, SSD Gen 4</t>
  </si>
  <si>
    <t>Kenji John, Misari Cahuana</t>
  </si>
  <si>
    <t>ke-am-111-3423561-6413014</t>
  </si>
  <si>
    <t>ROG Flow Z13 (2025), ROG Nebula de 13”, formato 16:10, 2.5K, 180 Hz/3 ms, AMD Ryzen AI MAX 390, gráficos RDNA 3.5, 32 GB de RAM, SSD de 1 TB, Wi-Fi 7, Windows 11 Home, GZ302EA-DS96</t>
  </si>
  <si>
    <t xml:space="preserve">JOSE ALBERTO ACOSTA ZUÑIGA
</t>
  </si>
  <si>
    <t>ke-as-13000375973</t>
  </si>
  <si>
    <t xml:space="preserve">Aldair Huallpacuna Cañari
</t>
  </si>
  <si>
    <t>ke-am-111-5022851-1183423</t>
  </si>
  <si>
    <t>Stefano Maurizio D’Angelo Toledo</t>
  </si>
  <si>
    <t>ga-co-1269944754</t>
  </si>
  <si>
    <t>DENIS DARWIN POTOSINO BALVIN</t>
  </si>
  <si>
    <t>ga-co-1273699380</t>
  </si>
  <si>
    <t>Marito López</t>
  </si>
  <si>
    <t>ke-am-112-6395467-5003463</t>
  </si>
  <si>
    <t xml:space="preserve">Kheydy Bertha Chate Ramirez
</t>
  </si>
  <si>
    <t>ke-eb-25-14273-33925</t>
  </si>
  <si>
    <t>Acer - Predator Helios Neo 16S AI Gaming Laptop - 16" OLED 240Hz - Intel Core Ultra 9 - NVIDIA GeForce RTX 5060 16GB 1TB</t>
  </si>
  <si>
    <t>Marly Valentina Janampa Jaime</t>
  </si>
  <si>
    <t>ke-eb-02-14448-06743</t>
  </si>
  <si>
    <t>926 692 287</t>
  </si>
  <si>
    <t>Willians Reynaldo Sosa Ramirez</t>
  </si>
  <si>
    <t>ke-eb-10-14352-21876</t>
  </si>
  <si>
    <t>978 569 254</t>
  </si>
  <si>
    <t>Legion Go 2 - Consola portátil para juegos OLED 2K de 8,8" y 144 Hz - AMD Ryzen Z2 Extreme - 32 GB - 1 TB - Windows</t>
  </si>
  <si>
    <t>Lenovo - Legion Pro 5 16" 2.5K Gaming Laptop - AMD Ryzen 9 8945HX 2023 - NVIDIA GeForce RTX 5060 - 16GB Memory - 1TB SSD - Eclipse Black</t>
  </si>
  <si>
    <t>Martínez Pizango Leandro</t>
  </si>
  <si>
    <t>so-eb-24-14437-14211</t>
  </si>
  <si>
    <t>Angel Fernando Aparicio Erazo.</t>
  </si>
  <si>
    <t>ab-eb-07-14447-27548</t>
  </si>
  <si>
    <t>Jorge Luis Ccahua Salas</t>
  </si>
  <si>
    <t>ke-eb-06-14442-19452</t>
  </si>
  <si>
    <t>Jarumy Silvia Principe Barrueta</t>
  </si>
  <si>
    <t>ab-eb-13-14376-76781</t>
  </si>
  <si>
    <t>944 155 502</t>
  </si>
  <si>
    <t>Franklin Jhoel Tarrillo Herrera</t>
  </si>
  <si>
    <t>ke-eb-21-14420-00997</t>
  </si>
  <si>
    <t>Lenovo Legion Pro 7 16IAX10H OLED de 16" - Negro EclipseProcesador Intel Core Ultra 9 275HX de 2,1 GHz; NVIDIA GeForce RTX 5070 Ti de 12 GB GDDR7; 32 GB de RAM DDR5-6400; 2 discos de estado sólido de 1 TB</t>
  </si>
  <si>
    <t xml:space="preserve">Erick Fabián Marchan Gómez
</t>
  </si>
  <si>
    <t>li-mi-020426</t>
  </si>
  <si>
    <t>1999,99</t>
  </si>
  <si>
    <t>Apple Laptop MacBook Pro 2025 con chip Apple M5 con CPU de 10 núcleos y GPU de 10 núcleos: diseñada para IA, pantalla Liquid Retina XDR de 14.2 pulgadas, memoria unificada de 16 GB, almacenamiento SSD de 1 TB; Negro espacial</t>
  </si>
  <si>
    <t>ke-am-112-7043675-0812269</t>
  </si>
  <si>
    <t>Apple Magic Mouse - Superficie multitáctil negra</t>
  </si>
  <si>
    <t>ke-am-112-5650722-5057045</t>
  </si>
  <si>
    <t xml:space="preserve">Alessandro Andrei Mayuri Cayo
</t>
  </si>
  <si>
    <t>ke-am-112-8755087-6044259</t>
  </si>
  <si>
    <t>Lenovo Legion 7i Gen 10 Intel (83KY0003US) 16" QHD+ 240Hz OLED Gaming Laptop w / NVIDIA GeForce RTX 5070 (Core Ultra 9 275HX) - Glacier White 32GB RAM 1TB SSD</t>
  </si>
  <si>
    <t>Diana Sofia Moreno Gomez</t>
  </si>
  <si>
    <t>yo-eb-18-14502-05930</t>
  </si>
  <si>
    <t>Franck Junior Aquino Asis</t>
  </si>
  <si>
    <t>ab-eb-19-14363-36402</t>
  </si>
  <si>
    <t>Jesús Miguel Saavedra Galán</t>
  </si>
  <si>
    <t>ab-eb-08-14379-18935</t>
  </si>
  <si>
    <t>ROG Strix G16 G615LR-MS97 16" Gaming Laptop Computer Platinum Collection - Eclipse Gray</t>
  </si>
  <si>
    <t>Edgar Halanoca Imata</t>
  </si>
  <si>
    <t>li-mi-070426</t>
  </si>
  <si>
    <t xml:space="preserve">Ronaldy Manuel Castellanos Cruzado
</t>
  </si>
  <si>
    <t>re-eb-21-14360-35025</t>
  </si>
  <si>
    <t>Cilvia Luzdina Rebaza Huaman</t>
  </si>
  <si>
    <t>yo-eb-01-14449-91105</t>
  </si>
  <si>
    <t>1199,99</t>
  </si>
  <si>
    <t>ASUS ROG Strix G16 G615LR-MS97 de 16" Colección Platino - Gris EclipseProcesador Intel Core Ultra 9 275HX de 2,1 GHz; NVIDIA GeForce RTX 5070 Ti de 12 GB GDDR7; 32 GB de RAM DDR5-5600; disco de estado sólido de 2 TB.</t>
  </si>
  <si>
    <t xml:space="preserve">Sixto Alfredo Caceres Tong
</t>
  </si>
  <si>
    <t>jl-mi-070426</t>
  </si>
  <si>
    <t>Marcos Fabricio Muñoz Rubiños</t>
  </si>
  <si>
    <t>ke-eb-09-14475-42334</t>
  </si>
  <si>
    <t xml:space="preserve"> 927 234 659</t>
  </si>
  <si>
    <t>Roy Jara Rivera</t>
  </si>
  <si>
    <t>ga-co-1276204583</t>
  </si>
  <si>
    <t>991 245 333</t>
  </si>
  <si>
    <t xml:space="preserve">Dante Efrain Rodríguez Ramos
</t>
  </si>
  <si>
    <t>li-mi-100426</t>
  </si>
  <si>
    <t>Lenovo Legion Pro 7 16IAX10H OLED de 16" - Negro EclipseProcesador Intel Core Ultra 9 275HX de 2,1 GHz; NVIDIA GeForce RTX 5070 Ti de 12 GB GDDR7; 32 GB de RAM DDR5-6400; 2 discos de estado sólido de 1 TB.</t>
  </si>
  <si>
    <t xml:space="preserve">Éder García Torres </t>
  </si>
  <si>
    <t>li-mi-100426-2</t>
  </si>
  <si>
    <t xml:space="preserve">Pablo Bernardino Labrin Rojas
</t>
  </si>
  <si>
    <t>li-mi-100426-3</t>
  </si>
  <si>
    <t>Jesus Perez</t>
  </si>
  <si>
    <t>ga-co-1277315200</t>
  </si>
  <si>
    <t>Bryam Huamanchumo Baca</t>
  </si>
  <si>
    <t>ga-co-1277315650</t>
  </si>
  <si>
    <t>957 241 436</t>
  </si>
  <si>
    <t>Legion 7i Gen 10 Intel Gaming Laptop (Intel Ultra 7 255HX, 32GB RAM, 1TB NVMe SSD, NVIDIA GeForce RTX 5060, 16" 165Hz OLED, Windows 11) - 83KY0008US</t>
  </si>
  <si>
    <t>Jean Carlos Campos Lalupú</t>
  </si>
  <si>
    <t>ke-am-113-6407161-5997053</t>
  </si>
  <si>
    <t>ASUS ROG Strix G16 G615LR-MS97 16" Gaming Laptop Computer Platinum Collection - Eclipse Gray
Intel Core Ultra 9 275HX 2.1GHz Processor; NVIDIA GeForce RTX 5070 Ti 12GB GDDR7; 32GB DDR5-5600 RAM; 2TB Solid State Drive</t>
  </si>
  <si>
    <t xml:space="preserve">Brayan Brandon Mozo Bautista
</t>
  </si>
  <si>
    <t>ra-mi-120426</t>
  </si>
  <si>
    <t xml:space="preserve">Valerie Maite Torres Vera </t>
  </si>
  <si>
    <t>so-eb-14-14346-71561</t>
  </si>
  <si>
    <t>925 621 783</t>
  </si>
  <si>
    <t>Monitor Dell UltraSharp 27" 4K HDR 120 Hz</t>
  </si>
  <si>
    <t>ke-bh-1128648082</t>
  </si>
  <si>
    <t>Agustin Yhonal CHACON PAREDES</t>
  </si>
  <si>
    <t>re-eb-19-14423-23696</t>
  </si>
  <si>
    <t>Lenovo Legion 5 15AHP10 15.3" Gaming Laptop Computer - Eclipse BlackAMD Ryzen 7 260 3.8GHz Processor; NVIDIA GeForce RTX 5060 8GB GDDR7; 16GB DDR5-5600 RAM; 512GB Solid State Drive</t>
  </si>
  <si>
    <t>Wiston Yorson Lozano Malca</t>
  </si>
  <si>
    <t>ra-mi-120426-2</t>
  </si>
  <si>
    <t>Lenovo Legion 5i Ultra 9, una tarjeta gráfica NVIDIA GeForce RTX 5070, 32 GB de RAM, un disco SSD de 1 TB y una pantalla OLED de 165 Hz.</t>
  </si>
  <si>
    <t xml:space="preserve">Samir Jesús Vasquez Vigo
</t>
  </si>
  <si>
    <t>ga-bh-1128527441</t>
  </si>
  <si>
    <t>Lenovo Legión Ultra 7- 32GB-1TB-RTX 5060</t>
  </si>
  <si>
    <t>José Luis Córdova Galoc</t>
  </si>
  <si>
    <t>so-bh-1128363788</t>
  </si>
  <si>
    <t>930 780 049</t>
  </si>
  <si>
    <t>HP OMEN 16 Slim Gaming Laptop - Intel Core Ultra 9 285H - GeForce RTX 5070 - 16" 1920 x 1200 144Hz - 32GB RAM - 1TB SSD</t>
  </si>
  <si>
    <t>Marco Paul Quiroz Bardales.</t>
  </si>
  <si>
    <t>ga-co-1277729662</t>
  </si>
  <si>
    <t>959 579 619</t>
  </si>
  <si>
    <t>Lenovo legion 5i Intel Core Ultra 9, NVIDIA GeForce RTX 5070, 32GB RAM, 1TB SSD &amp; 165 Hz OLED Display</t>
  </si>
  <si>
    <t>ABIEL OSEDA ESTRADA</t>
  </si>
  <si>
    <t>ga-bh-1128548172</t>
  </si>
  <si>
    <t>HP OMEN - League of Legends Ltd Ed 16" 2K - Intel Core i7 14650HX - 32GB Memory - NVIDIA GeForce RTX 5060 - SSD 1TB - Shadow Black</t>
  </si>
  <si>
    <t>Luis Enrique Diaz Leon</t>
  </si>
  <si>
    <t>yo-eb-12-14504-79138</t>
  </si>
  <si>
    <t>ROG Strix G18 (2025) G814, 18” ROG Nebula Display 16:10 2.5K 240Hz/3ms, NVIDIA® GeForce RTX™ 5060, AMD Ryzen™ 9 8940HX, 32GB RAM, 1TB SSD, Windows 11 Home, G814PM-ES96</t>
  </si>
  <si>
    <t>Gregorio Damián Suclupe</t>
  </si>
  <si>
    <t>ke-as-10001319463</t>
  </si>
  <si>
    <t>Gredasu_3@hitmail.com</t>
  </si>
  <si>
    <t>yo-eb-10-14438-66281</t>
  </si>
  <si>
    <t xml:space="preserve"> 916 167 904</t>
  </si>
  <si>
    <t>Yorwuan Parra</t>
  </si>
  <si>
    <t>ra-mi-020526</t>
  </si>
  <si>
    <t>51925287847 / 900544580</t>
  </si>
  <si>
    <t> Lenovo Legion Pro 7 16IAX10H OLED de 16" - Negro EclipseProcesador Intel Core Ultra 9 275HX de 2,1 GHz; NVIDIA GeForce RTX 5070 Ti de 12 GB GDDR7; 32 GB de RAM DDR5-6400; 2 discos de estado sólido de 1 TB.</t>
  </si>
  <si>
    <t>Cristian Harold Asqui Castellanos</t>
  </si>
  <si>
    <t>jl-mi-21063787</t>
  </si>
  <si>
    <t>MIGUEL URBANO ARTEAGA</t>
  </si>
  <si>
    <t>es-mi-230426-2</t>
  </si>
  <si>
    <t>Piero Anthony Coronel Torres</t>
  </si>
  <si>
    <t>ke-eb-15-14511-92292</t>
  </si>
  <si>
    <t xml:space="preserve">Yhanli Yoel Ruiz Rivas
</t>
  </si>
  <si>
    <t>li-mi-200426</t>
  </si>
  <si>
    <t>Sebastian Flores Villavicencio</t>
  </si>
  <si>
    <t>li-mi-210426</t>
  </si>
  <si>
    <t>sebastian.ongoing@gmail.com</t>
  </si>
  <si>
    <t>LEGION PRO 7I/ 32GB RAM/ 2TB SSD/ RTX 5080/ ULTRA 9</t>
  </si>
  <si>
    <t>ANGEL IVAN MATEO ZAMORA GARCIA</t>
  </si>
  <si>
    <t>ga-bh-1128760619</t>
  </si>
  <si>
    <t>51 942 125 103</t>
  </si>
  <si>
    <t xml:space="preserve">Jose Airthon Arapa Quispe 
</t>
  </si>
  <si>
    <t>yo-eb-02-14450-80543</t>
  </si>
  <si>
    <t>Milton Oswaldo Sangay Cusquisiban</t>
  </si>
  <si>
    <t>jl-mi-21063742</t>
  </si>
  <si>
    <t>ASUS TUF Gaming F16 Intel® Core™ i7 Processor 14650HX NVIDIA® GeForce RTX™ 5050 16-inch, 512GB PCIe® 4.0 NVMe™</t>
  </si>
  <si>
    <t>Elvira Cayo</t>
  </si>
  <si>
    <t>ke-as-10001319457</t>
  </si>
  <si>
    <t>956 956 666</t>
  </si>
  <si>
    <t>S/.3,800.00</t>
  </si>
  <si>
    <t xml:space="preserve">Juan David Alexander Huaman Bazan
</t>
  </si>
  <si>
    <t>so-eb-22-14421-47245</t>
  </si>
  <si>
    <t>George Anthony Arteaga Acuña</t>
  </si>
  <si>
    <t>re-eb-08-14441-55186</t>
  </si>
  <si>
    <t>MSI Vector 16 HX AI A2XWHG-061US de 16" FHD 16 GB (8 GB x 2) DDR5 5600 MHz SSD NVMe de 512 GB Gen4x4</t>
  </si>
  <si>
    <t xml:space="preserve">Joseph Enriquue Merino Ortiz </t>
  </si>
  <si>
    <t>ke-ms-538850</t>
  </si>
  <si>
    <t>Alejandra Michelle Ayarza Linares</t>
  </si>
  <si>
    <t>ga-co-1272703753</t>
  </si>
  <si>
    <t>933 139 577</t>
  </si>
  <si>
    <t xml:space="preserve">Maiton Jhery Diaz Zavaleta
</t>
  </si>
  <si>
    <t>re-eb-24-14433-30127</t>
  </si>
  <si>
    <t>César Horacio Vallejos orbe</t>
  </si>
  <si>
    <t>so-eb-06-14444-92939</t>
  </si>
  <si>
    <t>cesarhvallejoso@gmail.com</t>
  </si>
  <si>
    <r>
      <rPr>
        <color rgb="FF1155CC"/>
        <sz val="10.0"/>
        <u/>
      </rPr>
      <t>Lenovo Legion Pro 7 16IAX10H OLED 16" Gaming Laptop Computer - Eclipse Black; Intel Core Ultra 9 275HX 2.1GHz Processor; NVIDIA GeForce RTX 5070 Ti 12GB GDDR7; 32GB DDR5-6400 RAM; 2x 1TB Solid State Drive</t>
    </r>
  </si>
  <si>
    <t>GIDO ZAPANA ESTOFANERO</t>
  </si>
  <si>
    <t>jl-mi-260426</t>
  </si>
  <si>
    <t>gidozapana@gmail.com</t>
  </si>
  <si>
    <t>se puede sacar excedente de aquí para la laptop de la fila 705</t>
  </si>
  <si>
    <t>SANDRA MEZA CHUP</t>
  </si>
  <si>
    <t>ra-mi-100526</t>
  </si>
  <si>
    <t>ASUS TUF Gaming F16 (2025) Intel® Core™ Ultra 9 Processor 275HX  NVIDIA® GeForce RTX™ 5060 Laptop GPU  16" 2.5K (2560 x 1600, WQXGA) 16:10 165Hz  1TB SSD</t>
  </si>
  <si>
    <t xml:space="preserve">Sidmer Calli apaza
</t>
  </si>
  <si>
    <t>ke-as-10001320210</t>
  </si>
  <si>
    <t>1399,99</t>
  </si>
  <si>
    <t xml:space="preserve">Alienware 16X Aurora Gaming Laptop Ultra 9 Processor 275HX, NVIDIA® GeForce RTX™ 5070,16GB, 1TB SSD </t>
  </si>
  <si>
    <t>Luiggi Vasquez Berrospi</t>
  </si>
  <si>
    <t>G-D-2008460464895</t>
  </si>
  <si>
    <t>lvasquezb22@gmail.com</t>
  </si>
  <si>
    <t>Tengo autorización de sacar el excedente de otra laptop para esta laptop</t>
  </si>
  <si>
    <t>Lenovo Legion Pro 7 16IAX10H OLED 16" Gaming Laptop Computer - Eclipse Black
Intel Core Ultra 9 275HX 2.1GHz Processor; NVIDIA GeForce RTX 5070 Ti 12GB GDDR7; 32GB DDR5-6400 RAM; 2x 1TB Solid State Drive</t>
  </si>
  <si>
    <t>Fray Enrique Celis Huallpa</t>
  </si>
  <si>
    <t>jl-mi-240426</t>
  </si>
  <si>
    <t>51 939 005 616</t>
  </si>
  <si>
    <t>Acer - Predator Helios 18 AI- 18" 240Hz Gaming Laptop - 3840 x 2400- Intel Core Ultra 9 - NVIDIA GeForce RTX 5090 64GB 2TB - Abyssal Black</t>
  </si>
  <si>
    <t>Carlos Alberto Terán Zavaleta</t>
  </si>
  <si>
    <t>ke-eb-16-14539-67759</t>
  </si>
  <si>
    <t>948 575 179</t>
  </si>
  <si>
    <t>Canteño Borja, Meujael</t>
  </si>
  <si>
    <t>ke-eb-16-14544-94606</t>
  </si>
  <si>
    <t>907 107 360</t>
  </si>
  <si>
    <t xml:space="preserve">FIRMADO </t>
  </si>
  <si>
    <t xml:space="preserve">Jorge Jhonnatan Díaz Pérez </t>
  </si>
  <si>
    <t>ke-as-10001320213</t>
  </si>
  <si>
    <t>981 366 129</t>
  </si>
  <si>
    <t>Rey Gary Flores Julca</t>
  </si>
  <si>
    <t>ke-as-10001323258</t>
  </si>
  <si>
    <t>Fohnclark Maceo Nieto Baldeón</t>
  </si>
  <si>
    <t>li-mi-260426</t>
  </si>
  <si>
    <t xml:space="preserve">TOCAS RODRÍGUEZ GONID DELVELINDA </t>
  </si>
  <si>
    <t>li-mi-230426</t>
  </si>
  <si>
    <t>gonidtocasrodriguez@gmail.com</t>
  </si>
  <si>
    <t>NUEVO CICLO &gt;.&lt;</t>
  </si>
  <si>
    <t>Lenovo 15.1" Legion 5i Gaming Laptop QHD+ OLED 165 Hz display, NVIDIA GeForce RTX 5060, Core Ultra 7 CPU, 32GB DDR5 RAM &amp; 1TB M.2 SSD delivers rich details.</t>
  </si>
  <si>
    <t>Freya Ybelisse Aguilar Ventura</t>
  </si>
  <si>
    <t>ga-bh-1128760587</t>
  </si>
  <si>
    <t>ajecrebe@gmail.com</t>
  </si>
  <si>
    <t>Jorge lee Campos Aguilar</t>
  </si>
  <si>
    <t>ke-as-10001323273</t>
  </si>
  <si>
    <t>Rosario Rodrigo Leonardo Alcantara Flores</t>
  </si>
  <si>
    <t>li-mi-290426</t>
  </si>
  <si>
    <t>980 701 921</t>
  </si>
  <si>
    <t>ASUS ROG Strix G16 G615LR-MS97 de 16" Colección Platino - Gris EclipseProcesador Intel Core Ultra 9 275HX de 2,1 GHz; NVIDIA GeForce RTX 5070 Ti de 12 GB GDDR7; 32 GB de RAM DDR5-5600; disco de estado sólido de 2 TB</t>
  </si>
  <si>
    <t xml:space="preserve">ALDO CONDORI CHINO
</t>
  </si>
  <si>
    <t>li-mi-2-300426</t>
  </si>
  <si>
    <t>ASUS ROG Strix G16 G615LP-MS96 de 16" de la colección Platinum - Gris EclipseProcesador Intel Core Ultra 9 275HX de 2,7 GHz; NVIDIA GeForce RTX 5070 de 8 GB GDDR7; 32 GB de RAM DDR5-5600; disco de estado sólido de 1 TB</t>
  </si>
  <si>
    <t>Cristian Fura Candia</t>
  </si>
  <si>
    <t>li-mi-300426</t>
  </si>
  <si>
    <t>950 904 349</t>
  </si>
  <si>
    <t>ASUS - ProArt P16 16" 3K 120Hz OLED Touch Screen Laptop - Copilot+ PC - AMD Ryzen AI 9 HX 370 - 32GB RAM - RTX 5070 - 2TB SSD - Nano Black</t>
  </si>
  <si>
    <t xml:space="preserve">Nadia Nahomi Calvay Ramírez </t>
  </si>
  <si>
    <t>STOCK</t>
  </si>
  <si>
    <t>ke-be-807173301141</t>
  </si>
  <si>
    <t>51900446515 // 921122275</t>
  </si>
  <si>
    <t>calvayramireznadianahomi@gmail.com</t>
  </si>
  <si>
    <t>Edson Barrios Pareds</t>
  </si>
  <si>
    <t>so-eb-26-14518-36138</t>
  </si>
  <si>
    <t>Etzon.barrios@tecsup.edu.pe</t>
  </si>
  <si>
    <t>Kevin Robert Chavez Rojas</t>
  </si>
  <si>
    <t>ke-as-10001325322</t>
  </si>
  <si>
    <t>|</t>
  </si>
  <si>
    <t>kc033229@gmail.com</t>
  </si>
  <si>
    <t>ASUS ROG Strix G16 (2025) Gaming Laptop, 16” FHD+ 16:10 165Hz/3ms Display, NVIDIA® GeForce RTX™ 5060 Laptop GPU, Intel® Core™ i7 Processor 14650HX, 16GB DDR5, 1TB Gen 4 SSD, Wi-Fi 7, Windows 11 Home</t>
  </si>
  <si>
    <t>Diego Martin Huaman Izquierdo</t>
  </si>
  <si>
    <t>ALMACÉN</t>
  </si>
  <si>
    <t>ka-am-113-5961318-4879423</t>
  </si>
  <si>
    <t>diegomartinhuaman@gmail.com</t>
  </si>
  <si>
    <t>Dayana Berenice Orrillo Castro</t>
  </si>
  <si>
    <t>ke-eb-11-14499-08251</t>
  </si>
  <si>
    <t>bereniceorrillocastro060518@gmail.com</t>
  </si>
  <si>
    <t>Henry Wilson Ancco Huerta</t>
  </si>
  <si>
    <t>ROG Strix G16 G615LR-MS97 de 16" de la colección Platinum - Gris EclipseProcesador Intel Core Ultra 9 275HX de 2,1 GHz; NVIDIA GeForce RTX 5070 Ti de 12 GB GDDR7; 32 GB de RAM DDR5-5600; disco de estado sólido de 2 TB.</t>
  </si>
  <si>
    <t>Bryan Alexander Quispe López</t>
  </si>
  <si>
    <t>li-mi-220426</t>
  </si>
  <si>
    <t>399+225</t>
  </si>
  <si>
    <r>
      <rPr>
        <color rgb="FF1155CC"/>
        <sz val="10.0"/>
        <u/>
      </rPr>
      <t>https://www.microcenter.com/product/691211/asus-rog-strix-g16-g615lp-ms96-16-gaming-laptop-computer-platinum-collection-eclipse-gray</t>
    </r>
  </si>
  <si>
    <t>Asrael Antonio Plaza Gonzales</t>
  </si>
  <si>
    <t>ra-mi-040526</t>
  </si>
  <si>
    <t>Robert Ivan Chumpitaz Jauregui</t>
  </si>
  <si>
    <t>ke-as-10001325298</t>
  </si>
  <si>
    <t>962 359 442</t>
  </si>
  <si>
    <t xml:space="preserve">Acer Predator Helios Neo 16" AI Gaming Laptop – Intel Core Ultra 9 275HX Processor — 16" (2560 x 1600) 240Hz Display — NVIDIA RTX 5070 Ti, 12GB — 1 TB SSD — Windows 11 Home
</t>
  </si>
  <si>
    <t>sergio manuel sirena malaga</t>
  </si>
  <si>
    <t>li-mi-2-040526</t>
  </si>
  <si>
    <t>983 434 477</t>
  </si>
  <si>
    <t>Abel Correa Castro</t>
  </si>
  <si>
    <t>jl-mi-040526</t>
  </si>
  <si>
    <t>Gustavo Alejandro Quispe Alata</t>
  </si>
  <si>
    <t>ga-co-1273633558</t>
  </si>
  <si>
    <t>Edu Marco Calapuja Soto</t>
  </si>
  <si>
    <t>yo-eb-05-14596-50105</t>
  </si>
  <si>
    <t>Rog Zephyrus G14 14"  3K oled, 1 Tb SSD, 16 Gb Ram, AMD RYZEN 9 270</t>
  </si>
  <si>
    <t>Nadin Alache Chumpitaz</t>
  </si>
  <si>
    <t>yo-eb-03-14564-68442</t>
  </si>
  <si>
    <t>Lenovo Legion 5i de 15,1-pantalla OLED QHD-Intel Core Ultra 7 255HX 32 GB de RAM-SSD 1 TB- RTX 5060</t>
  </si>
  <si>
    <t>Anderson Romario Ticona Contreras</t>
  </si>
  <si>
    <t>ga-bh-1128798257</t>
  </si>
  <si>
    <t xml:space="preserve">Lenovo Legion 5i-OLED de 165 Hz-Intel Core i7-14700HX- 16 GB de memoria - SSD de 512 GB-GPU GeForce RTX 5060  </t>
  </si>
  <si>
    <t>ke-ne-589234253</t>
  </si>
  <si>
    <t>Rogger Jeefry Leonardo Delgado Aro</t>
  </si>
  <si>
    <t>ga-bh-1128803062</t>
  </si>
  <si>
    <t>ASUS TUF Gaming F16 16" FHD+ 165Hz Gaming Laptop - Intel Core i7-14650HX - 32GB RAM - NVIDIA GeForce RTX 5060 - SSD 1TB - Jaeger Gray</t>
  </si>
  <si>
    <t>Alejandro Lope Calsina</t>
  </si>
  <si>
    <t>so-eb-06-14610-64505</t>
  </si>
  <si>
    <t>Legion 5i 16" Gaming Laptop - Intel Core Ultra 9 275HX - GeForce RTX 5060 - WQXGA (2560x1600) - Windows 11 Home - 32GB RAM - 1TB SSD</t>
  </si>
  <si>
    <t>ga-co-1273703447</t>
  </si>
  <si>
    <t>Misthian Angel Calle Pastor</t>
  </si>
  <si>
    <t>li-mi-190426</t>
  </si>
  <si>
    <t xml:space="preserve"> ASUS ROG Strix G16 G615LR-MS97 de 16" de la colección Platinum - Gris Eclipse Procesador Intel Core Ultra 9 275HX de 2,1 GHz; NVIDIA GeForce RTX 5070 Ti de 12 GB GDDR7; 32 GB de RAM DDR5-5600; disco de estado sólido de 2 TB.</t>
  </si>
  <si>
    <t>Nestor Hugo Huanca Gutiérrez</t>
  </si>
  <si>
    <t>li-mi-100526</t>
  </si>
  <si>
    <t xml:space="preserve">Sandra Elizabeth Gallo Inca
</t>
  </si>
  <si>
    <t>ke-eb-10-14616-54662</t>
  </si>
  <si>
    <t>Mashel Angel Sammy Gonzales CCanto</t>
  </si>
  <si>
    <t>so-eb-19-14593-48657</t>
  </si>
  <si>
    <t>Wilmer conislla flores</t>
  </si>
  <si>
    <t>ga-co-1284807681</t>
  </si>
  <si>
    <t>Acer 16" Predator Helios AI Gaming Laptop 2.1 GHz Intel Core Ultra 9 24-Core
32GB DDR5 | 2TB PCIe SSD (1TB + 1TB)
16" 2560 x 1600 240 Hz OLED Display
NVIDIA GeForce RTX 5090 (24GB GDDR7)</t>
  </si>
  <si>
    <t>Miguel Angel Huincho Ochoa</t>
  </si>
  <si>
    <t>ga-bh-1129021639</t>
  </si>
  <si>
    <t>ASUS - ROG Zephyrus G16 16" 2.5K OLED 240Hz - Intel Core Ultra 9 285H - 16GB RAM - NVIDIA RTX 5070 - SSD 1TB - Eclipse Gray</t>
  </si>
  <si>
    <t xml:space="preserve">Hinostroza Salis Leonel Deyvis
</t>
  </si>
  <si>
    <t>ke-eb-16-14630-33012</t>
  </si>
  <si>
    <t>Clinthon Huayra Matamoros</t>
  </si>
  <si>
    <t>951 005 538</t>
  </si>
  <si>
    <t>rt</t>
  </si>
  <si>
    <t xml:space="preserve">César David Bentura Pineda
</t>
  </si>
  <si>
    <t>re-eb-07-14651-19868</t>
  </si>
  <si>
    <t>ASUS TUF Gaming F16 (2025)ASUS TUF F16 (2025) Intel Core Ultra 9 275H RTX5060 SSD de 1TB 32RAM</t>
  </si>
  <si>
    <t>Héctor Jhoel Espinoza Rodríguez</t>
  </si>
  <si>
    <t>ke-as-10001333644</t>
  </si>
  <si>
    <t xml:space="preserve">Herlinda Vargas Leguía
</t>
  </si>
  <si>
    <t>ke-eb-02-14513-26182</t>
  </si>
  <si>
    <t>ASUS Zenbook S14 14" 3K OLED pantalla táctil copiloto + PC Intel Core ult 7- 1TB SSD RAM 16</t>
  </si>
  <si>
    <t>Jhean Carlos Tarazona Chavez</t>
  </si>
  <si>
    <t>yo-eb-08-14650-43140</t>
  </si>
  <si>
    <t>TRAER POR IMPORTACION FACTURADO 100%</t>
  </si>
  <si>
    <t>Rodrigo Raúl Ramos Cabrera</t>
  </si>
  <si>
    <t>ab-eb-10-14655-79888</t>
  </si>
  <si>
    <t>Erika Alexandra Quiroga Ñaupa</t>
  </si>
  <si>
    <t>ke-eb-10-14563-48577</t>
  </si>
  <si>
    <t>Ronni Alexander Cabeza Allauja</t>
  </si>
  <si>
    <t>ga-co-1286585485</t>
  </si>
  <si>
    <t>ASUS ROG Strix Scar 18 (2025), 18 pulgadas, ROG Nebula HDR 16:10 2.5K 240 Hz/3 ms, NVIDIA GeForce RTX 5070 Ti, Intel Core Ultra 9 275HX, DDR5 de 32 GB, PCIe SSD de 1 TB</t>
  </si>
  <si>
    <t>yo-am-114-9756642-4981065</t>
  </si>
  <si>
    <t>ASUS TUF Gaming F16 (2025) Intel® Core™ i7-14650HX  Windows 11 Home  NVIDIA® GeForce RTX™ 5050 Laptop GPU  16" FHD+ (1920 x 1200, WUXGA) 16:10 165Hz  512GB SSD</t>
  </si>
  <si>
    <t xml:space="preserve">Junior Gerardo Smitc Gomero Vilca
</t>
  </si>
  <si>
    <t>ke-as-10001336581</t>
  </si>
  <si>
    <t>m</t>
  </si>
  <si>
    <t>Lenovo - Legion Pro 7i 16" 2.5K OLED Gaming Laptop - Intel Core Ultra 9 275HX 2025 - 32GB RAM - NVIDIA GeForce RTX 5080 - 1TB - Eclipse Black</t>
  </si>
  <si>
    <t>Anthony Ormeño Mamani</t>
  </si>
  <si>
    <t>ke-eb-24-14658-23545</t>
  </si>
  <si>
    <t>955 584 443</t>
  </si>
  <si>
    <t>ROG Strix G18 Gaming Laptop, 18” ROG Nebula WQXGA 240Hz Display, AMD Ryzen 9 8940HX, NVIDIA GeForce RTX 5060, 32GB RAM, 1TB SSD, Windows 11 Home, G814PM-ES96</t>
  </si>
  <si>
    <t>ALHEX EMMANUEL YNOÑAN CAJUSOL</t>
  </si>
  <si>
    <t>ke-eb-10-14669-74703</t>
  </si>
  <si>
    <t>966 322 233</t>
  </si>
  <si>
    <t>Acer Predator helios 16ai-Ultra 9 275HX- 32GB- 1TB - RTX 5070Ti</t>
  </si>
  <si>
    <t xml:space="preserve">René Junior Belizario Torres </t>
  </si>
  <si>
    <t>ga-co-1291552524</t>
  </si>
  <si>
    <t>947 306 758</t>
  </si>
  <si>
    <t>COMPRADA</t>
  </si>
  <si>
    <t>li-mi-160626</t>
  </si>
  <si>
    <t>Jose Alexander Aviles Vargas</t>
  </si>
  <si>
    <t>ga-as-10001363185</t>
  </si>
  <si>
    <t>51 922 799 919</t>
  </si>
  <si>
    <t>Laptop gamer ASUS ROG Strix SCAR 18 (2025), 18 pulgadas, ROG Nebula HDR 16:10 2.5K 240Hz/3ms, NVIDIA® GeForce RTX™ 5080, Intel® Core™ Ultra 9 275HX, DDR5-5600 de 32 GB, SSD PCIe Gen 4 de 2 TB, Wi-Fi 7</t>
  </si>
  <si>
    <t>Carlos Alberto Sánchez Palacio</t>
  </si>
  <si>
    <t>yo-am-114-1835466-4543408</t>
  </si>
  <si>
    <t>932 328 080</t>
  </si>
  <si>
    <t>Lenovo Legion Pro 7 16IAX10H OLED de 16" - Negro Eclipse. rocesador Intel Core Ultra 9 275HX de 2,1 GHz; NVIDIA GeForce RTX 5070 Ti de 12 GB GDDR7; 32 GB de RAM DDR5-6400; 2 discos de estado sólido de 1 TB.</t>
  </si>
  <si>
    <t>Magaly Doroteo Calderón</t>
  </si>
  <si>
    <t>FALTA COMPRAR</t>
  </si>
  <si>
    <t>li-mi-270526</t>
  </si>
  <si>
    <t>Juan Diego Ayquipa Delgado</t>
  </si>
  <si>
    <t>yo-eb-04-14730-06406</t>
  </si>
  <si>
    <t>Legion Pro 5 16" 2.5K OLED Gaming Laptop - AMD Ryzen 7 8745HX 2025 - 32GB RAM - NVIDIA GeForce RTX 5060 - SSD 1TB - Eclipse Black</t>
  </si>
  <si>
    <t>Pietro Rondinelli Garcia</t>
  </si>
  <si>
    <t>Rodríguez Alvarado Jhon Pierre</t>
  </si>
  <si>
    <t>yo-eb-11-14562-03691</t>
  </si>
  <si>
    <t>MSI Vector 16 HX AI - Ultra 9 275HX -  32GB- 1TB - RTX™ 5080</t>
  </si>
  <si>
    <t>Omar Alvarado Escalante</t>
  </si>
  <si>
    <t>ke-ms-554166</t>
  </si>
  <si>
    <t>ASUS ROG Zephyrus G16 - Portátil para juegos de 16" OLED 2.5K 240Hz - Procesador Intel Core Ultra 9 - 32 GB de RAM - Tarjeta gráfica NVIDIA RTX 5070 Ti de 12 GB - SSD de 1 TB - Color gris eclipse</t>
  </si>
  <si>
    <t xml:space="preserve">Miguel Angel León Mostacero
</t>
  </si>
  <si>
    <t>ke-eb-01-14710-09109</t>
  </si>
  <si>
    <t xml:space="preserve">Oscar Sammir Vargas Gonzales
</t>
  </si>
  <si>
    <t>yo-eb-16-14597-68582</t>
  </si>
  <si>
    <t>OBED HEBER HUAMANI YARANGA</t>
  </si>
  <si>
    <t>yo-eb-16-13756-26357</t>
  </si>
  <si>
    <t>902 352 129</t>
  </si>
  <si>
    <t>Apple Laptop MacBook Air 2026 de 15 pulgadas con chip M5: diseñada para AI, pantalla de retina líquida de 15.3 pulgadas, memoria unificada de 16 GB, SSD de 512 GB, cámara central de 12 MP, Touch ID, Wi-Fi 7; Medianoche</t>
  </si>
  <si>
    <t>Luis Fernando Pari Sedano</t>
  </si>
  <si>
    <t>ke-am-113-4659188-9454620</t>
  </si>
  <si>
    <t>Lenovo Legion Pro 7 - 32GB -2 TB- RTX 5080</t>
  </si>
  <si>
    <t xml:space="preserve"> Pedro Pablo Rosel Vargas Medina</t>
  </si>
  <si>
    <t>ga-bh-1129454107</t>
  </si>
  <si>
    <t>Wuilliam Owen Gutiérrez parco</t>
  </si>
  <si>
    <t>re-eb-06-14613-55509</t>
  </si>
  <si>
    <t>ASUS ROG Strix G16 (2025) portátil para juegos, pantalla FHD+ de 16” 16:10 165Hz/3ms, unidad de procesamiento de gráficos GeForce RTX™ 5060, procesador Intel® Core™ i7 14650HX, 16 GB DDR5</t>
  </si>
  <si>
    <t xml:space="preserve">FRANK CASTRO SALDAÑA
</t>
  </si>
  <si>
    <t>ke-am-113-7745981-5725020</t>
  </si>
  <si>
    <t>MSI Vector 16 HX AI RTX 5070Ti Intel Ultra 7 255HX 16 GB RAM 1 TB</t>
  </si>
  <si>
    <t>EDUARDO GIRÓN ACUÑA</t>
  </si>
  <si>
    <t>ke-eb-04-14726-03224</t>
  </si>
  <si>
    <t xml:space="preserve">Asus Tuf F16 Procesador Intel® Core™ Ultra 9 275HX NVIDIA® GeForce RTX™ 5060 Pantalla de 16" 2.5K (2560 x 1600, WQXGA) 16:10 165Hz SSD de 1 TB ram 32 </t>
  </si>
  <si>
    <t>MAYCON GARCIA CCANAHUIRE</t>
  </si>
  <si>
    <t>ke-as-10001336158</t>
  </si>
  <si>
    <t>Darwin Inga villegas</t>
  </si>
  <si>
    <t>ke-eb-05-14615-44446</t>
  </si>
  <si>
    <t>907 800 136</t>
  </si>
  <si>
    <t xml:space="preserve">Jhonatan Alexis Quijada Aliaga
</t>
  </si>
  <si>
    <t>ab-eb-19-14593-52541</t>
  </si>
  <si>
    <t xml:space="preserve">Edwin Ivan Ramirez Sobrino </t>
  </si>
  <si>
    <t>jo-eb-11-14654-83487</t>
  </si>
  <si>
    <t xml:space="preserve">José alonso monje valdez
</t>
  </si>
  <si>
    <t>so-eb-26-14631-30012</t>
  </si>
  <si>
    <t>ASUS ROG STRIX G16 Pantalla 16" RTX 5060 RAM 16 GB SSD 1TB Procesador Intel core i7 14650HX</t>
  </si>
  <si>
    <t>Alexis Graza Rosario</t>
  </si>
  <si>
    <t>ke-am-113-3604353-8273831</t>
  </si>
  <si>
    <t>922 274 792</t>
  </si>
  <si>
    <t>ASUS - ROG Zephyrus G16 16" OLED 2.5K 240Hz - Intel Core Ultra 9 - 32GB RAM - NVIDIA GeForce RTX 5080 - SSD 2TB - Eclipse Gray</t>
  </si>
  <si>
    <t xml:space="preserve">Adriana Lucía Ramos Amaya
</t>
  </si>
  <si>
    <t>ke-eb-27-14718-63472</t>
  </si>
  <si>
    <t>ASUS ROG Strix SCAR 18 (2025), 18 pulgadas, ROG Nebula HDR 16:10 2.5K 240Hz/3ms, NVIDIA® GeForce RTX™ 5080, Intel® Core™ Ultra 9 275HX, DDR5-5600 de 32 GB, SSD PCIe Gen 4 de 2 TB</t>
  </si>
  <si>
    <t xml:space="preserve">Ivan Alvaro Pari Cruz
</t>
  </si>
  <si>
    <t>ke-am-112-0090663-9477863</t>
  </si>
  <si>
    <t xml:space="preserve">traerlo con servicio express pago 90 dolares = 306 soles </t>
  </si>
  <si>
    <t xml:space="preserve">Jeanpiero andre balbin Rodriguez
</t>
  </si>
  <si>
    <t>re-eb-17-14645-47271</t>
  </si>
  <si>
    <t xml:space="preserve">ASUS ROG Strix G18 18" Gaming Laptop - Intel Core Ultra 9 Processor 275HX - GeForce RTX 5060, 2.5K 240Hz/3ms Nebula Display - 32GB RAM, 1TB SSD, Windows 11
</t>
  </si>
  <si>
    <t>César David Ruiz Panta</t>
  </si>
  <si>
    <t>ga-co-1291471476</t>
  </si>
  <si>
    <t>51 943 281 518</t>
  </si>
  <si>
    <t xml:space="preserve">Jhon Milton Hilasaca Mamani
</t>
  </si>
  <si>
    <t>yo-eb-15-14688-96890</t>
  </si>
  <si>
    <t xml:space="preserve">ASUS ROG Strix G16 G615LP-MS96 de 16" de la colección Platinum - Gris Eclipse Intel Core Ultra 9 275HX RAM DDR5-5600 de 32 GB RTX 5070  1 TB Pantalla IPS  </t>
  </si>
  <si>
    <t>Dante Agustín Príncipe</t>
  </si>
  <si>
    <t>es-mi-120626</t>
  </si>
  <si>
    <t>Alienware - 16X Aurora 16" 2.5K Gaming Laptop Intel Core Ultra 9 Series 2 275HX 2025 32GB Memoria NVIDIA GeForce RTX 5070 2TB Storage - Interstellar Indigo</t>
  </si>
  <si>
    <t>EDUARDO MARTIN ROMERO HUAMOLLE</t>
  </si>
  <si>
    <t>yo-eb-15-14751-42444</t>
  </si>
  <si>
    <t xml:space="preserve"> 980 730 980</t>
  </si>
  <si>
    <t xml:space="preserve">Lenovo Legion Pro 7i de 16 pulgadas NVIDIA GeForce RTX 5080, Intel Core Ultra 9, pantalla OLED de 240 Hz, 32 GB de RAM y 2 TB de SSD </t>
  </si>
  <si>
    <t>Antony Giancarlo Diaz Mejia</t>
  </si>
  <si>
    <t>ga-bh-1129835428</t>
  </si>
  <si>
    <t>Euler Luis Quispe Palacios</t>
  </si>
  <si>
    <t>yo-eb-02-14771-53645</t>
  </si>
  <si>
    <t>Jostein Adair Aguirre Castillo</t>
  </si>
  <si>
    <t xml:space="preserve">SOLICITADA </t>
  </si>
  <si>
    <t>ga-co-1280613748</t>
  </si>
  <si>
    <t>MSI Vector - 16" 144 Hz - Intel Core Ultra 7 255HX - GeForce RTX 5070 Ti Laptop GPU - 16GB Memory DDR5 5600 - 512GB SSD - Windows 11 Home</t>
  </si>
  <si>
    <t>RAMIREZ MACEDO JUAN CARLOS</t>
  </si>
  <si>
    <t>ke-ne-588609413</t>
  </si>
  <si>
    <t>Hedufred Taype Rojas</t>
  </si>
  <si>
    <t>li-mi-190626</t>
  </si>
  <si>
    <t>967 496 270</t>
  </si>
  <si>
    <t>ASUS ROG Strix G16 WUXGA 165Hz AMD Ryzen 9 8940HX NVIDIA RTX 5070 1TB SSD 32GB RAM</t>
  </si>
  <si>
    <t>Brandon Junior Figueroa Huanca</t>
  </si>
  <si>
    <t>ke-eb-26-14750-56744</t>
  </si>
  <si>
    <t>Yerson Limaco Luque</t>
  </si>
  <si>
    <t>ke-as-10001333656</t>
  </si>
  <si>
    <t>so-eb-27-14542-61210</t>
  </si>
  <si>
    <t>ASUS TUF Gaming F16 (2025) Procesador Intel® Core™ Ultra 9 275HX GPU para portátiles NVIDIA® GeForce RTX™ 5060 SSD de 1 TB 32 RAM</t>
  </si>
  <si>
    <t>Dante Yohan Peralta Malaver</t>
  </si>
  <si>
    <r>
      <rPr>
        <rFont val="Arial"/>
        <color rgb="FF1F1F1F"/>
        <u/>
      </rPr>
      <t>ke</t>
    </r>
    <r>
      <rPr>
        <rFont val="Arial"/>
        <color rgb="FF434343"/>
        <u/>
      </rPr>
      <t>-as-10001365630</t>
    </r>
  </si>
  <si>
    <t xml:space="preserve"> 51 920 629 595</t>
  </si>
  <si>
    <t xml:space="preserve">ASUS TUF Gaming F16 (2025) Intel® Core™ Ultra 9 Processor 275HX Windows 11 Home NVIDIA® GeForce RTX™ 5070 Laptop GPU 1TB SSD </t>
  </si>
  <si>
    <t>ga-as-10001365978</t>
  </si>
  <si>
    <t xml:space="preserve">Jefersson tongo sánchez
</t>
  </si>
  <si>
    <t>ga-as-10001363146</t>
  </si>
  <si>
    <t>Yating Liang Huang</t>
  </si>
  <si>
    <t>yo-eb-22-14744-81745</t>
  </si>
  <si>
    <t>ASUS ROG Strix G16 (2025) Laptop para juegos, 16” ROG Nebula 16:10 2.5K 240Hz/3ms, NVIDIA® GeForce RTX™ 5070 Ti, procesador AMD Ryzen™ 9 9955HX3D, 32GB DDR5-5600, SSD PCIe Gen 4 de 1TB, Wi-Fi 6E, Win</t>
  </si>
  <si>
    <t>Luis Sánchez Hinojosa</t>
  </si>
  <si>
    <t>ke-am-113-2881863-1945823</t>
  </si>
  <si>
    <t xml:space="preserve"> 959 147 373</t>
  </si>
  <si>
    <t>ASUS ROG Strix G16 (2025) Laptop para juegos, pantalla ROG Nebula de 16” 16:10 2.5K 240Hz/3ms, GPU para laptop NVIDIA® GeForce RTX™ 5060, procesador Intel® Core™ Ultra 9 275HX, DDR5 de 32 GB</t>
  </si>
  <si>
    <t xml:space="preserve">Khyara Alejandra Aguilar Vilcherrez
</t>
  </si>
  <si>
    <t>ke-am-113-5275057-8955437</t>
  </si>
  <si>
    <t>Milagritos Lucía Saavedra Negreros</t>
  </si>
  <si>
    <t>ga-co-1294491322</t>
  </si>
  <si>
    <t>914 053 170</t>
  </si>
  <si>
    <t xml:space="preserve">Edward Moises Engracio Rosas
</t>
  </si>
  <si>
    <t>yo-eb-18-14805-63929</t>
  </si>
  <si>
    <t xml:space="preserve">Cristhian Abel Mamani Calcina
</t>
  </si>
  <si>
    <t>re-eb-25-14545-44663</t>
  </si>
  <si>
    <t xml:space="preserve">Yamel Reyner Atahui Romero
</t>
  </si>
  <si>
    <t>re-eb-24-14561-64587</t>
  </si>
  <si>
    <t>ASUS ROG Strix G16 (2025) Gaming Laptop, 16” FHD+ 16:10 165Hz/3ms, NVIDIA® GeForce RTX™ 5060, Intel® Core™ i7 Processor 14650HX, 16GB DDR5, 1TB Gen 4 SSD, Wi-Fi 7, Windows 11 Home, G615JMR-AS74</t>
  </si>
  <si>
    <t>Journal Kel Ore Quisp</t>
  </si>
  <si>
    <t>ke-am-113-5014302-1596204</t>
  </si>
  <si>
    <t xml:space="preserve">Sergio Sebastian Ramos Chullunquia
</t>
  </si>
  <si>
    <t>so-eb-04-14775-82977</t>
  </si>
  <si>
    <t>ASUS ROG Strix G16 (2025) Gaming Laptop, 16” ROG Nebula Display 16:10 2.5K 240Hz/3ms, NVIDIA® GeForce RTX™ 5060 Laptop GPU, Intel® Core™ Ultra 9 Processor 275HX, 32GB DDR5, 1TB PCIe SSD, Wi-Fi 7</t>
  </si>
  <si>
    <t xml:space="preserve">Hans edgardo ramos chamorro
</t>
  </si>
  <si>
    <t>ke-am-113-0528701-0218656</t>
  </si>
  <si>
    <t>ROG Flow Z13, 13” ROG Nebula 180Hz Touchscreen Display, AMD Ryzen AI MAX 390, 32GB RAM, 1TB SSD, Windows 11 Home, GZ302EA-DS96</t>
  </si>
  <si>
    <t>Lester León Montes Mendoza</t>
  </si>
  <si>
    <t>ke-as-10001374788</t>
  </si>
  <si>
    <t xml:space="preserve">LEONARDO FABIO FIGUEROA CELESTINO
</t>
  </si>
  <si>
    <t>ASUS ROG Strix G16 (2025) Gaming Laptop, 16” ROG Nebula 16:10 2.5K 240Hz/3ms, NVIDIA® GeForce RTX™ 5070 Ti, Intel® Core™ Ultra 9 Processor 275HX, 32GB DDR5, 1TB SSD, Wi-Fi 7, Win11 Home, G615LR-AS96</t>
  </si>
  <si>
    <t>Favio Edu Llerena Collahuacho</t>
  </si>
  <si>
    <t>ke-am-113-0453519-2034636</t>
  </si>
  <si>
    <t>947 347 810</t>
  </si>
  <si>
    <t>MSI Raider 16 Max HX B2WI-003US OLED 16" Gaming Laptop Computer Platinum Collection - Core Black
Intel Core Ultra 9 290HX Plus 2.7GHz Processor; NVIDIA GeForce RTX 5080 16GB GDDR7; 32GB DDR5-5600 RAM; 1TB Solid State Drive</t>
  </si>
  <si>
    <t>ASUS ROG Zephyrus G14 14 en Ryzen AI 9 HX 370 RTX 5070 Ti 32GB RAM 2TB SSD OLED</t>
  </si>
  <si>
    <t>Max Eduardo Higueras Delgado</t>
  </si>
  <si>
    <t>facturado al 100%</t>
  </si>
  <si>
    <t>Alienware 16" Intel® Core™ Ultra 9 275HX, 24 cores 1 TB SSD, PCIe 32 GB DDR5 RTX 5060</t>
  </si>
  <si>
    <t>Asesores</t>
  </si>
  <si>
    <t>PROVEEDOR</t>
  </si>
  <si>
    <t>SN</t>
  </si>
  <si>
    <t>COMISIÓN PARA EL MES</t>
  </si>
  <si>
    <t>CORREO ELECTRONICO</t>
  </si>
  <si>
    <t>Precio en dolares</t>
  </si>
  <si>
    <t>EXCEDENTE TOTAL ( hasta la el 15/10/2025 iba todo a fixit)</t>
  </si>
  <si>
    <t>EXCEDENTE PARA PORLLES</t>
  </si>
  <si>
    <t>Accesorios costo</t>
  </si>
  <si>
    <t>Accesorios regalo/venta</t>
  </si>
  <si>
    <t>AL COSTO</t>
  </si>
  <si>
    <t>PF5Q4BY6</t>
  </si>
  <si>
    <t>LENOVO LEGION 5 16IAX10 GAMING Core™ Ultra 9 275HX 1TB SSD 32GB 16" WQXGA (2560x1600) 240Hz IPS WIN11 NVIDIA® RTX 5060 8192MB STORM GREY RGB Backlit Keyboard</t>
  </si>
  <si>
    <t>Mishelle Nadine reyes angel</t>
  </si>
  <si>
    <t xml:space="preserve">SI </t>
  </si>
  <si>
    <t>YV0000HZ</t>
  </si>
  <si>
    <t>LENOVO LOQ 15AHP10 GAMING AMD Ryzen™ 7 250 1TB SSD 16GB 15.6" (1920x1080) 144Hz LUNA GRAY NVIDIA® RTX 5050 8192MB</t>
  </si>
  <si>
    <t>MDC Soluciones SAC</t>
  </si>
  <si>
    <t>MP2RWDEE</t>
  </si>
  <si>
    <t>LENOVO LOQ 15AHP9 GAMING AMD Ryzen™ 7 8845HS 1TB SSD 16GB 15.6" (1920x10808) IPS WIN11 NVIDIA® RTX 4060 8192MB LUNA GREY</t>
  </si>
  <si>
    <t>ROBERTO CARLOS VILCHEZ VELA</t>
  </si>
  <si>
    <t>PF5ME3W2</t>
  </si>
  <si>
    <t>LENOVO LEGION PRO 5 16IAX10 GAMING Core Ultra 7 255HX 1TB SSD 16GB 16" WQXGA (2560x1600) OLED 165Hz WIN11 NVIDIA® RTX 5060 8192MB ECLIPSE BLACK RGB Backlit Keyboard</t>
  </si>
  <si>
    <t>Compañía Peruana de Innovación y Desarrollo S.A.C</t>
  </si>
  <si>
    <t>T6NRPX00A125245</t>
  </si>
  <si>
    <t>GA403UM-G14.R9HX4	ASUS ROG ZEPHYRUS G14 GA403UM GAMING AMD Ryzen™ 9 270 1TB SSD 16GB 14" (2880x1800) OLED 120Hz WIN11 NVIDIA® RTX 5060 8192MB PLATINUM WHITE Backlit Keyboard</t>
  </si>
  <si>
    <t>: EMPRESA DE TRANSPORTES MAGOSUR EMPRESA INDIVIDUAL DE RESPONSABILIDAD LIMITADA</t>
  </si>
  <si>
    <t>916 528 142</t>
  </si>
  <si>
    <t>K2505N0096790</t>
  </si>
  <si>
    <t>MSI CROSSHAIR 18 HX AI GAMING INTEL CORE ULTRA 9 275HX 1TB SSD 32GB DDR5 18¨ QHD+ (2560 X 1600) 240HZ NVIDIA GEFORCE RTX 5070 8192MB WIN11 COLORCOSMO GRAY</t>
  </si>
  <si>
    <t>Pol Klington Aranda Palacios</t>
  </si>
  <si>
    <t>929 280 949</t>
  </si>
  <si>
    <t xml:space="preserve">mouse Alienware 610M CABEADO /INALAMBRICO </t>
  </si>
  <si>
    <t>JOSETH PEREZ</t>
  </si>
  <si>
    <t>T7NRSG00157630A</t>
  </si>
  <si>
    <t>ASUS ROG STRIX G16 G615JMR-AS74 GAMING Core™ i7-14650HX 1TB SSD 16GB 16" (1920x1200) 165Hz WIN11 NVIDIA® RTX 5060 8192MB</t>
  </si>
  <si>
    <t>Diego Enrique Figueroa mamani</t>
  </si>
  <si>
    <t>T8NRPX00P53034F</t>
  </si>
  <si>
    <t>ASUS TUF FA607NUG-WH73 GAMING AMD Ryzen™ 7 7445HS 512GB SSD 16GB 16" (1920x1080) WUXGA 144HZ WIN11 NVIDIA® RTX 4050 MECHA GRAY Backlit keyboard</t>
  </si>
  <si>
    <t xml:space="preserve">Vander Keith Collao Maza </t>
  </si>
  <si>
    <t>PF5T8X6P</t>
  </si>
  <si>
    <t xml:space="preserve">LENOVO LEGION 5 83M0CTO1WW GAMING AMD RYZEN 7 260 32GB, 1TB SSD 15.1” WQXGA (2560 X 1600) OLED NVIDIA RTX 5060 </t>
  </si>
  <si>
    <t>Samuel Díaz Ramos</t>
  </si>
  <si>
    <t>V2507N0008346</t>
  </si>
  <si>
    <t>MSI CROSSHAIR 18 HX AI GAMING INTEL CORE ULTRA 9 275HX  1TB SSD 32GB DDR5 18¨ QHD+ (2560 X 1600) 240HZ NVIDIA GEFORCE RTX 5070 8192MB  WIN11 COLORCOSMO GRAY</t>
  </si>
  <si>
    <t>Miguel Rodríguez</t>
  </si>
  <si>
    <t>T5NRSG006989203</t>
  </si>
  <si>
    <t xml:space="preserve">WILBER IVAN CAHUI MAMANI </t>
  </si>
  <si>
    <t>debo 80 descontar a fila 437</t>
  </si>
  <si>
    <t>DELTRON</t>
  </si>
  <si>
    <t>5CD5318GQJ</t>
  </si>
  <si>
    <t>HP 250 G10, 15.6" LCD LED HD SVA, Core i5-1334U 1.30 / 4.60GHz, 8GB -512GB</t>
  </si>
  <si>
    <t>ROMAX CONTRATISTAS S.A.C.</t>
  </si>
  <si>
    <t>5CD5318GY4</t>
  </si>
  <si>
    <t>1H85443GVL</t>
  </si>
  <si>
    <t xml:space="preserve">HP OMEN ULTRA 7 -1TB-16GB-RTX 5060 </t>
  </si>
  <si>
    <t>J&amp;N Repuestos y Servicios EIRL</t>
  </si>
  <si>
    <t>MP2T5QEM</t>
  </si>
  <si>
    <t>LENOVO LOQ GAMING Core™ i7-1365HX 512GB SSD 16GB 15.6 (1920x1080) WIN11 NVIDIA® RTX 5060</t>
  </si>
  <si>
    <t>Vania Liseth Barrenechea Flores</t>
  </si>
  <si>
    <t>NHU0KAA001540115D47600</t>
  </si>
  <si>
    <t>ACER PREDATOR HELIOS 16/RTX5070TI/ULTRA 9/32GB RAM/1TB SSD</t>
  </si>
  <si>
    <t>VICTOR FALCONI (PRIME LOGIC SAC</t>
  </si>
  <si>
    <t>NHU1PAA0045393DACE7600</t>
  </si>
  <si>
    <t xml:space="preserve">ACER NITRO  V15 RTX 5050 CORE I5 16GB RAM 512 SSD </t>
  </si>
  <si>
    <t xml:space="preserve">santiago Uribe </t>
  </si>
  <si>
    <t>981 358 068</t>
  </si>
  <si>
    <t>YXOFJL8G</t>
  </si>
  <si>
    <t>LENOVO 5 2-IN-1 16AKP10 AMD Ryzen™ AI 7 350 1TB SSD 16GB 16" (1920x1200) TOUCHSCREEN WIN11 COSMIC BLUE Backlit Keyboard Lenovo® Digital Pen 2</t>
  </si>
  <si>
    <t>CRUZ VILLEGAS PEDRO JESUS</t>
  </si>
  <si>
    <t>pedrocruzvillegas@gmail.com</t>
  </si>
  <si>
    <t>5CD525B4ZC</t>
  </si>
  <si>
    <t>HP 250 G10, 15.6" LCD LED HD SVA, Core i5-1334U 1.30 / 4.60GHz, 8GB</t>
  </si>
  <si>
    <t>NHU2EAA0035393D5CA2P00</t>
  </si>
  <si>
    <t>ACER NITRO V ANV16-72-7809 GAMING Core i7 240H, 512GB SSD 32GB 16"WUXGA (1920 x 1200) IPS, NVIDIA RTX 5060</t>
  </si>
  <si>
    <t>PF5MNW4R</t>
  </si>
  <si>
    <t>LENOVO IDEAPAD SLIM 3 15ABR8 AMD RYZEN 7 5825U 512GB SSD 16GB DDR4 15.6 FHD (1920X1080) TOUCHSCREEN WIN 11 COLOR GREY</t>
  </si>
  <si>
    <t>OSCAR ZUBIATEGUARDAMINO</t>
  </si>
  <si>
    <t>943 960 302</t>
  </si>
  <si>
    <t>1H85482KKG</t>
  </si>
  <si>
    <t>HP OMEN 16-AM0073DX GAMING   Core™ Ultra 7 255H 1TB SSD 16GB 16 (1920x1200) 144Hz WIN11 NVIDIA® RTX 5060 8192MB SHADOW BLACK RGB Backlit Keyboard</t>
  </si>
  <si>
    <t>Moreno Hidalgo Sandro Kenny</t>
  </si>
  <si>
    <t>990 965 190</t>
  </si>
  <si>
    <t>679L4C4</t>
  </si>
  <si>
    <t>DELL ALIENWARE 16X AURORA GAMING Core™ Ultra i9-275HX 1TB SSD 32GB 16" QWXGA (2560x1600) 240Hz WIN11 NVIDIA® RTX 5060 8192MB BLUE</t>
  </si>
  <si>
    <t xml:space="preserve">Entidad de perforación y obras Cadillo
</t>
  </si>
  <si>
    <t>NHU0MAA001537300D67600</t>
  </si>
  <si>
    <t>Frank Antony Cordova Irigoin</t>
  </si>
  <si>
    <t>PF61PQ95</t>
  </si>
  <si>
    <t>Lenovo Legion Pro 5 16IRX10, 16" WQXGA IPS, Core i9-14900HX -32GB-1TB - RTX 5060</t>
  </si>
  <si>
    <t>Elmo Garcia Hernandez</t>
  </si>
  <si>
    <t>PF5VWP0T</t>
  </si>
  <si>
    <t>Notebook Lenovo Legion Pro 7 16IAX10H, 16" WQXGA OLED, Core Ultra 9 275HX hasta 5.4GHz.</t>
  </si>
  <si>
    <t xml:space="preserve">Denisse Fiorela Gomez Cruz
</t>
  </si>
  <si>
    <t>1H854138ZT</t>
  </si>
  <si>
    <t xml:space="preserve">HP VICTUS 15-FA2013 GAMING Core™ i5-13420H 512GB SSD 8GB 15.6" (1920x1080) 144Hz WIN11 NVIDIA® RTX 3050 6144MB MICA SILVER Backlit Keyboard  </t>
  </si>
  <si>
    <t>CORPAVET SAC</t>
  </si>
  <si>
    <t>NHU1PAA004541178037600</t>
  </si>
  <si>
    <t>Acer Nitro V 15 ANV15-52-57BB GAMING Core™ i5-13420H 512GB SSD 16GB 15.6 (1920x1080) 165Hz WIN11 NVIDIA® RTX 5050 8192MB OSIDIAN BLACK Backlit Keyboard</t>
  </si>
  <si>
    <t>Erik Henry Lupaca Lopez</t>
  </si>
  <si>
    <t>TANRSG004076435</t>
  </si>
  <si>
    <t xml:space="preserve">ASUS ROG STRIX G18 G815LM-IS96 GAMING Core™ Ultra 9 275HX 1TB SSD 32GB 18" WQXGA (2560x1600) 240Hz IPS WIN11 IR Webcam </t>
  </si>
  <si>
    <t>Manuel Gómez Herrera</t>
  </si>
  <si>
    <t>PF5YJ8N9</t>
  </si>
  <si>
    <t>LENOVO LOQ ESSENTIAL GAMING AMD RYZEN 7 7735HS 512GB SSD 16GB DDR515.6 FHD (1920x1080 NVIDIA GEFORCE RTX 4050 6144MB  WINS 11 COLOR LUNA GREY</t>
  </si>
  <si>
    <t xml:space="preserve">Marvin Samuel Bolivar Gomez
</t>
  </si>
  <si>
    <t>V2510N0002121</t>
  </si>
  <si>
    <t>MSI VECTOR A16 HX A8WHG-004 GAMING AMD Ryzen™ 9 8940HX 1TB SSD 16B 16" (2560x1600) 240Hz WIN11 NVIDIA® RTX 5070Ti 12288MB COSMO GRAY RGB Gaming Keyboard</t>
  </si>
  <si>
    <t xml:space="preserve">Consorcio hospitalario del norte </t>
  </si>
  <si>
    <t>PF60PM2D</t>
  </si>
  <si>
    <t xml:space="preserve">LENOVO IDEAPAD SLIM 3 15ABR8  AMD RYZEN 7 5825U 512GB SSD 16GB DDR4 15.6 FHD (1920X1080) TOUCHSCREEN </t>
  </si>
  <si>
    <t xml:space="preserve">Frank Antony Cordova Irigoin </t>
  </si>
  <si>
    <t>NHU0MAA0015512B4887600</t>
  </si>
  <si>
    <t>ACER PREDATOR HELIOS NEO 16S AI PHN16S-71-91AW GAMING Core™ Ultra 9 275HX 1TB SSD 16GB 16"OLED (2560x1600) 240Hz WIN11 NVIDIA®GEFORCE RTX 5060 8192MB Obsidian Black Backlit Keyboard</t>
  </si>
  <si>
    <t>Alejandra Delgado</t>
  </si>
  <si>
    <t>NHU0MAA0015502AF657600</t>
  </si>
  <si>
    <t>Acer Predator Helios Neo 16S AI intel core ultra 9 275HX 16" OLED NVIDIA RTX 5060 RAM 16GB 1TB SSD</t>
  </si>
  <si>
    <t>Orbi Dario Bendezú Nieto</t>
  </si>
  <si>
    <t>PF669CQ2</t>
  </si>
  <si>
    <t>Notebook Gaming Lenovo Legion Pro 5 16IRX10, 16" WQXGA IPS, Core i9-14900HX 2.2 / 5.8GHz</t>
  </si>
  <si>
    <t>Uranio Construcción SAC</t>
  </si>
  <si>
    <t>932 035 570</t>
  </si>
  <si>
    <t>T7NRKD00174628C</t>
  </si>
  <si>
    <t>Asus Rog Strix Car 18 RTX 5090 RAM 64 GB SSD 2TB INTEL CORE ULTRA 9 275HX TECLADO ESPAÑOL</t>
  </si>
  <si>
    <t>Victor Alberto Astorayne Valenzuela</t>
  </si>
  <si>
    <t>NHU0MAA0015512EDDB7600</t>
  </si>
  <si>
    <t xml:space="preserve">Maria Helena Silva Romero </t>
  </si>
  <si>
    <t>943 452 828</t>
  </si>
  <si>
    <t>PF669MHX</t>
  </si>
  <si>
    <t>Lenovo Legion Pro 5, 16" WQXGA IPS, AMD Ryzen 9 8945HX 2.5/5.4GHz, 32GB DDR5-5200 ram 32 GB 1TB SSD</t>
  </si>
  <si>
    <t>Alfredo Geancarlos Leyva Prieto</t>
  </si>
  <si>
    <t>T8NRPX00E193327</t>
  </si>
  <si>
    <t>Asus Zephyrus G14 pantalla 14" oled RTX 5060 RAM 16 GB LPDDR5X 1TB SSD Procesador AMD Ryzen 9 270</t>
  </si>
  <si>
    <t>Rodrigo Edmundo Suarez Huaman</t>
  </si>
  <si>
    <t>W1NRSG007534030</t>
  </si>
  <si>
    <t>ASUS ROG STRIX G16 G615JMR-AS74 GAMING Core™ i7-14650HX 1TB SSD 16GB 16" (1920x1200) 165Hz WIN11 NVIDIA® RTX 5060 8192MB ECLIPSE GRAY Backlit Keyboard</t>
  </si>
  <si>
    <t xml:space="preserve">Juan Arias Vásquez </t>
  </si>
  <si>
    <t>985 390 040</t>
  </si>
  <si>
    <t>PF5K10P5</t>
  </si>
  <si>
    <t>Lenovo LEGION 9 18IAX10, 18"" WQUXGA IPS, Core Ultra 9 275HX 5.4GHz, 64GB</t>
  </si>
  <si>
    <t>César Enrique Góngora Bayona</t>
  </si>
  <si>
    <t>PF9XB6317008</t>
  </si>
  <si>
    <t xml:space="preserve">Lenovo Legion Pro 5 16IRX10, 16" WQXGA IPS, Core i9-14900HX 2.2 / 5.8GHz SSD 1TB y 32 GB RAM </t>
  </si>
  <si>
    <t>David Yucra Champi</t>
  </si>
  <si>
    <t>Año</t>
  </si>
  <si>
    <t>MES</t>
  </si>
  <si>
    <r>
      <rPr>
        <rFont val="Arial"/>
        <sz val="10.0"/>
      </rPr>
      <t xml:space="preserve">llega aprox el 7 al almacén
</t>
    </r>
    <r>
      <rPr>
        <rFont val="Arial"/>
        <color rgb="FF1155CC"/>
        <sz val="10.0"/>
        <u/>
      </rPr>
      <t>tracking</t>
    </r>
    <r>
      <rPr>
        <rFont val="Arial"/>
        <sz val="10.0"/>
      </rPr>
      <t xml:space="preserve"> / llega el 17 a Lima </t>
    </r>
  </si>
  <si>
    <r>
      <rPr>
        <rFont val="Arial"/>
        <color theme="1"/>
        <sz val="10.0"/>
      </rPr>
      <t>Tracking ID:
461295314459
Shipped with:
FEDEX EXPRESS  //</t>
    </r>
    <r>
      <rPr>
        <rFont val="Arial"/>
        <b/>
        <color theme="1"/>
        <sz val="10.0"/>
      </rPr>
      <t xml:space="preserve"> LLEGÓ EL 14 DE JULIO</t>
    </r>
  </si>
  <si>
    <r>
      <rPr>
        <rFont val="Arial"/>
        <color theme="1"/>
        <sz val="10.0"/>
      </rPr>
      <t xml:space="preserve">LLEGÓ EL 29 DE JULIO// </t>
    </r>
    <r>
      <rPr>
        <rFont val="Arial"/>
        <b/>
        <color theme="1"/>
        <sz val="10.0"/>
      </rPr>
      <t>LLEGA A LIMA EL DÍA 09 DE AGOSTO</t>
    </r>
  </si>
  <si>
    <r>
      <rPr>
        <rFont val="Arial"/>
        <color theme="1"/>
        <sz val="10.0"/>
      </rPr>
      <t xml:space="preserve">LLEGÓ EL 16 DE JULIO // </t>
    </r>
    <r>
      <rPr>
        <rFont val="Arial"/>
        <b/>
        <color theme="1"/>
        <sz val="10.0"/>
      </rPr>
      <t>EN LIMA ANTES DEL 8 DE AGOSTO</t>
    </r>
  </si>
  <si>
    <r>
      <rPr>
        <rFont val="Arial"/>
        <color theme="1"/>
        <sz val="10.0"/>
      </rPr>
      <t xml:space="preserve">LLEGÓ EL 16 DE JULIO // </t>
    </r>
    <r>
      <rPr>
        <rFont val="Arial"/>
        <b/>
        <color theme="1"/>
        <sz val="10.0"/>
      </rPr>
      <t xml:space="preserve">EN LIMA ANTES DEL DÍA 8 DE AGOSTO </t>
    </r>
  </si>
  <si>
    <r>
      <rPr>
        <rFont val="Arial"/>
        <color theme="1"/>
        <sz val="10.0"/>
      </rPr>
      <t xml:space="preserve">Shipment history
FedEx: 456388386276 ALMACÉN: 28 DE JULIO - </t>
    </r>
    <r>
      <rPr>
        <rFont val="Arial"/>
        <b/>
        <color theme="1"/>
        <sz val="10.0"/>
      </rPr>
      <t>EN LIMA EL 16 DE AGOSTO</t>
    </r>
  </si>
  <si>
    <r>
      <rPr>
        <rFont val="Arial"/>
        <color rgb="FF000000"/>
        <sz val="10.0"/>
      </rPr>
      <t>L</t>
    </r>
    <r>
      <rPr>
        <rFont val="Arial"/>
        <color theme="1"/>
        <sz val="10.0"/>
        <u/>
      </rPr>
      <t>-c-1212389657</t>
    </r>
  </si>
  <si>
    <r>
      <rPr>
        <rFont val="Arial"/>
        <color theme="1"/>
        <sz val="10.0"/>
      </rPr>
      <t xml:space="preserve">FedEx Tracking Number:
456908509217 </t>
    </r>
    <r>
      <rPr>
        <rFont val="Arial"/>
        <b/>
        <color theme="1"/>
        <sz val="10.0"/>
      </rPr>
      <t>// ALMACÉN: 28 DE JULIO // EN LIMA VAN A ESTAR EL DÍA SÁBADO 09 APROX.</t>
    </r>
  </si>
  <si>
    <r>
      <rPr>
        <rFont val="Arial"/>
        <color theme="1"/>
        <sz val="10.0"/>
      </rPr>
      <t xml:space="preserve">Shipment history
FedEx: 456388386302 // </t>
    </r>
    <r>
      <rPr>
        <rFont val="Arial"/>
        <b/>
        <color theme="1"/>
        <sz val="10.0"/>
      </rPr>
      <t>ALMACÉN: 28 DE JULIO EN LIMA EL 19 DE AGOSTO</t>
    </r>
  </si>
  <si>
    <r>
      <rPr>
        <rFont val="Arial"/>
        <color theme="1"/>
        <sz val="10.0"/>
      </rPr>
      <t xml:space="preserve">FedEx: 883085193100 </t>
    </r>
    <r>
      <rPr>
        <rFont val="Arial"/>
        <b/>
        <color theme="1"/>
        <sz val="10.0"/>
      </rPr>
      <t xml:space="preserve">// ALMACÉN: 30 DE JULIO // EN LIMA EL DÍA 15 APROX </t>
    </r>
  </si>
  <si>
    <r>
      <rPr>
        <rFont val="Arial"/>
        <color theme="1"/>
        <sz val="10.0"/>
      </rPr>
      <t xml:space="preserve">FedEx: 883085193008 </t>
    </r>
    <r>
      <rPr>
        <rFont val="Arial"/>
        <b/>
        <color theme="1"/>
        <sz val="10.0"/>
      </rPr>
      <t>// ALMACÉN: 30 DE JULIO // EN LIMA EL DÍA 23 APROX</t>
    </r>
    <r>
      <rPr>
        <rFont val="Arial"/>
        <color theme="1"/>
        <sz val="10.0"/>
      </rPr>
      <t xml:space="preserve"> </t>
    </r>
  </si>
  <si>
    <r>
      <rPr>
        <rFont val="Arial"/>
        <color theme="1"/>
        <sz val="10.0"/>
      </rPr>
      <t xml:space="preserve">FedEx Tracking Number:
456908524250 </t>
    </r>
    <r>
      <rPr>
        <rFont val="Arial"/>
        <b/>
        <color theme="1"/>
        <sz val="10.0"/>
      </rPr>
      <t>// ALMACÉN: 29 DE JULIO</t>
    </r>
  </si>
  <si>
    <r>
      <rPr>
        <rFont val="Arial"/>
        <color theme="1"/>
        <sz val="10.0"/>
      </rPr>
      <t xml:space="preserve">FedEx Tracking Number:
456908545660  </t>
    </r>
    <r>
      <rPr>
        <rFont val="Arial"/>
        <b/>
        <color theme="1"/>
        <sz val="10.0"/>
      </rPr>
      <t>// ALMACÉN: 29 DE JULIO</t>
    </r>
  </si>
  <si>
    <r>
      <rPr>
        <rFont val="Arial"/>
        <color theme="1"/>
        <sz val="10.0"/>
      </rPr>
      <t>Shipment history
UPS: 1ZA407020333500511</t>
    </r>
    <r>
      <rPr>
        <rFont val="Arial"/>
        <b/>
        <color theme="1"/>
        <sz val="10.0"/>
      </rPr>
      <t xml:space="preserve"> // ALMACÉN 18 DE JULIO</t>
    </r>
  </si>
  <si>
    <r>
      <rPr>
        <rFont val="Arial"/>
        <color rgb="FF434343"/>
        <u/>
      </rPr>
      <t xml:space="preserve">
UPS Tracking Number:
1Z81Y8100303471980</t>
    </r>
    <r>
      <rPr>
        <rFont val="Arial"/>
        <b/>
        <color rgb="FF434343"/>
        <u/>
      </rPr>
      <t xml:space="preserve"> // ALMACÉN 12 DE JULIO</t>
    </r>
  </si>
  <si>
    <r>
      <rPr>
        <rFont val="Arial"/>
        <color rgb="FF000000"/>
        <sz val="11.0"/>
        <u/>
      </rPr>
      <t>K-s</t>
    </r>
    <r>
      <rPr>
        <rFont val="Arial"/>
        <color rgb="FF434343"/>
        <sz val="11.0"/>
        <u/>
      </rPr>
      <t>-18-13376-88666</t>
    </r>
  </si>
  <si>
    <r>
      <rPr>
        <rFont val="Arial"/>
        <b/>
        <color theme="1"/>
      </rPr>
      <t xml:space="preserve">Delivery info
</t>
    </r>
    <r>
      <rPr>
        <rFont val="Arial"/>
        <color theme="1"/>
      </rPr>
      <t xml:space="preserve">Arrives Aug 6, 2025 - Aug 11, 2025 // FedEx: 456909411655 </t>
    </r>
  </si>
  <si>
    <t xml:space="preserve">ASESORA </t>
  </si>
  <si>
    <t>ESPECIFICACION</t>
  </si>
  <si>
    <t>MODELO</t>
  </si>
  <si>
    <t>LLEGARON /NO LLLEGARON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</si>
</sst>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S/.]#,##0.00"/>
    <numFmt numFmtId="166" formatCode="[$$]#,##0.00"/>
  </numFmts>
  <fonts count="288">
    <font>
      <sz val="10.0"/>
      <color rgb="FF000000"/>
      <name val="Arial"/>
      <scheme val="minor"/>
    </font>
    <font>
      <color theme="1"/>
      <name val="Arial"/>
      <scheme val="minor"/>
    </font>
    <font>
      <sz val="9.0"/>
      <color theme="1"/>
      <name val="Arial"/>
      <scheme val="minor"/>
    </font>
    <font>
      <b/>
      <color rgb="FFFFFFFF"/>
      <name val="Arial"/>
      <scheme val="minor"/>
    </font>
    <font>
      <b/>
      <color rgb="FF000000"/>
      <name val="Arial"/>
      <scheme val="minor"/>
    </font>
    <font>
      <sz val="9.0"/>
      <color rgb="FF040C13"/>
      <name val="Calibri"/>
    </font>
    <font>
      <sz val="9.0"/>
      <color rgb="FF000000"/>
      <name val="Arial"/>
    </font>
    <font>
      <b/>
      <sz val="9.0"/>
      <color theme="1"/>
      <name val="Arial"/>
      <scheme val="minor"/>
    </font>
    <font>
      <sz val="9.0"/>
      <color rgb="FF0F1111"/>
      <name val="&quot;Amazon Ember&quot;"/>
    </font>
    <font>
      <u/>
      <sz val="9.0"/>
      <color rgb="FF0000FF"/>
      <name val="Roboto"/>
    </font>
    <font>
      <u/>
      <sz val="12.0"/>
      <color rgb="FF0000FF"/>
      <name val="Roboto"/>
    </font>
    <font>
      <sz val="11.0"/>
      <color rgb="FF000000"/>
      <name val="Roboto"/>
    </font>
    <font>
      <sz val="9.0"/>
      <color rgb="FF49494A"/>
      <name val="Arial"/>
    </font>
    <font>
      <u/>
      <color rgb="FF0000FF"/>
      <name val="Roboto"/>
    </font>
    <font>
      <b/>
      <sz val="9.0"/>
      <color rgb="FF49494A"/>
      <name val="Arial"/>
    </font>
    <font>
      <b/>
      <sz val="9.0"/>
      <color rgb="FF191919"/>
      <name val="&quot;Market Sans&quot;"/>
    </font>
    <font>
      <b/>
      <sz val="9.0"/>
      <color rgb="FF191919"/>
      <name val="Arial"/>
    </font>
    <font>
      <u/>
      <sz val="9.0"/>
      <color rgb="FF0000FF"/>
      <name val="Arial"/>
    </font>
    <font>
      <sz val="9.0"/>
      <color rgb="FF0F1111"/>
      <name val="Arial"/>
    </font>
    <font>
      <b/>
      <sz val="9.0"/>
      <color rgb="FF0073DF"/>
      <name val="&quot;Open Sans&quot;"/>
    </font>
    <font>
      <sz val="9.0"/>
      <color rgb="FF000000"/>
      <name val="Verdana"/>
    </font>
    <font>
      <b/>
      <sz val="12.0"/>
      <color rgb="FF000000"/>
      <name val="Arial"/>
    </font>
    <font>
      <u/>
      <sz val="9.0"/>
      <color rgb="FF0000FF"/>
      <name val="Roboto"/>
    </font>
    <font>
      <color rgb="FF434343"/>
      <name val="Arial"/>
      <scheme val="minor"/>
    </font>
    <font>
      <u/>
      <color rgb="FF0000FF"/>
      <name val="Roboto"/>
    </font>
    <font>
      <u/>
      <sz val="9.0"/>
      <color rgb="FF0000FF"/>
      <name val="Roboto"/>
    </font>
    <font>
      <u/>
      <color rgb="FF1155CC"/>
      <name val="Arial"/>
    </font>
    <font>
      <sz val="9.0"/>
      <color rgb="FF000000"/>
      <name val="&quot;Open Sans&quot;"/>
    </font>
    <font>
      <sz val="19.0"/>
      <color rgb="FF000000"/>
      <name val="&quot;Open Sans&quot;"/>
    </font>
    <font>
      <sz val="9.0"/>
      <color rgb="FF363636"/>
      <name val="Arial"/>
    </font>
    <font>
      <sz val="8.0"/>
      <color rgb="FF000000"/>
      <name val="Roboto"/>
    </font>
    <font>
      <b/>
      <sz val="14.0"/>
      <color rgb="FF3C4043"/>
      <name val="Inconsolata"/>
    </font>
    <font>
      <sz val="11.0"/>
      <color theme="1"/>
      <name val="Arial"/>
      <scheme val="minor"/>
    </font>
    <font>
      <color rgb="FF3266D5"/>
      <name val="Inconsolata"/>
    </font>
    <font>
      <color rgb="FF000000"/>
      <name val="&quot;Open Sans&quot;"/>
    </font>
    <font>
      <u/>
      <sz val="11.0"/>
      <color rgb="FF0000FF"/>
      <name val="Arial"/>
    </font>
    <font>
      <sz val="24.0"/>
      <color rgb="FF030303"/>
      <name val="&quot;Human BBY Digital&quot;"/>
    </font>
    <font>
      <sz val="12.0"/>
      <color rgb="FF000000"/>
      <name val="&quot;Open Sans&quot;"/>
    </font>
    <font>
      <sz val="9.0"/>
      <color rgb="FF040C13"/>
      <name val="Arial"/>
    </font>
    <font>
      <color rgb="FF000000"/>
      <name val="Arial"/>
    </font>
    <font>
      <sz val="10.0"/>
      <color rgb="FF333333"/>
      <name val="&quot;Helvetica Neue&quot;"/>
    </font>
    <font>
      <sz val="10.0"/>
      <color rgb="FF040C13"/>
      <name val="&quot;Human BBY Digital&quot;"/>
    </font>
    <font>
      <sz val="12.0"/>
      <color rgb="FF000000"/>
      <name val="Arial"/>
    </font>
    <font>
      <sz val="10.0"/>
      <color theme="1"/>
      <name val="Arial"/>
      <scheme val="minor"/>
    </font>
    <font>
      <u/>
      <sz val="10.0"/>
      <color rgb="FF434343"/>
      <name val="Arial"/>
    </font>
    <font>
      <sz val="14.0"/>
      <color theme="1"/>
      <name val="Arial"/>
      <scheme val="minor"/>
    </font>
    <font>
      <b/>
      <sz val="10.0"/>
      <color theme="1"/>
      <name val="Arial"/>
    </font>
    <font>
      <b/>
      <sz val="10.0"/>
      <color rgb="FFFFFFFF"/>
      <name val="Arial"/>
    </font>
    <font>
      <b/>
      <sz val="9.0"/>
      <color rgb="FFFFFFFF"/>
      <name val="Arial"/>
    </font>
    <font>
      <b/>
      <sz val="9.0"/>
      <color rgb="FF000000"/>
      <name val="Arial"/>
    </font>
    <font>
      <b/>
      <sz val="9.0"/>
      <color theme="1"/>
      <name val="Arial"/>
    </font>
    <font>
      <sz val="10.0"/>
      <color theme="1"/>
      <name val="Arial"/>
    </font>
    <font>
      <sz val="10.0"/>
      <color rgb="FF363636"/>
      <name val="Arial"/>
    </font>
    <font>
      <u/>
      <sz val="10.0"/>
      <color rgb="FF434343"/>
      <name val="Arial"/>
    </font>
    <font>
      <color rgb="FF000000"/>
      <name val="Arial"/>
      <scheme val="minor"/>
    </font>
    <font>
      <b/>
      <sz val="10.0"/>
      <color rgb="FF000000"/>
      <name val="Calibri"/>
    </font>
    <font>
      <b/>
      <i/>
      <sz val="10.0"/>
      <color rgb="FFFFFFFF"/>
      <name val="Arial"/>
      <scheme val="minor"/>
    </font>
    <font>
      <b/>
      <sz val="10.0"/>
      <color rgb="FF3C4043"/>
      <name val="Inconsolata"/>
    </font>
    <font>
      <sz val="10.0"/>
      <color rgb="FFFFFFFF"/>
      <name val="Arial"/>
    </font>
    <font>
      <sz val="10.0"/>
      <color rgb="FF000000"/>
      <name val="Arial"/>
    </font>
    <font>
      <b/>
      <sz val="10.0"/>
      <color rgb="FF000000"/>
      <name val="Arial"/>
    </font>
    <font>
      <sz val="10.0"/>
      <color rgb="FF000000"/>
      <name val="Calibri"/>
    </font>
    <font>
      <b/>
      <i/>
      <sz val="10.0"/>
      <color rgb="FFFFFFFF"/>
      <name val="Calibri"/>
    </font>
    <font>
      <u/>
      <sz val="10.0"/>
      <color rgb="FF000000"/>
      <name val="Arial"/>
    </font>
    <font>
      <sz val="10.0"/>
      <color rgb="FF191919"/>
      <name val="Calibri"/>
    </font>
    <font>
      <u/>
      <sz val="10.0"/>
      <color rgb="FF000000"/>
      <name val="Arial"/>
    </font>
    <font>
      <i/>
      <sz val="10.0"/>
      <color rgb="FF000000"/>
      <name val="Arial"/>
    </font>
    <font>
      <sz val="10.0"/>
      <color rgb="FF040C13"/>
      <name val="Arial"/>
    </font>
    <font>
      <sz val="9.0"/>
      <color theme="1"/>
      <name val="Arial"/>
    </font>
    <font>
      <i/>
      <sz val="10.0"/>
      <color rgb="FF3C4043"/>
      <name val="Roboto"/>
    </font>
    <font>
      <sz val="10.0"/>
      <color theme="1"/>
      <name val="Calibri"/>
    </font>
    <font>
      <u/>
      <sz val="10.0"/>
      <color rgb="FF0000FF"/>
      <name val="Arial"/>
    </font>
    <font>
      <u/>
      <sz val="10.0"/>
      <color rgb="FFFFFFFF"/>
      <name val="Arial"/>
    </font>
    <font>
      <b/>
      <u/>
      <sz val="10.0"/>
      <color rgb="FF000000"/>
      <name val="Arial"/>
    </font>
    <font>
      <sz val="10.0"/>
      <color rgb="FF0F1111"/>
      <name val="Calibri"/>
    </font>
    <font>
      <u/>
      <sz val="10.0"/>
      <color rgb="FF000000"/>
      <name val="Arial"/>
    </font>
    <font>
      <color rgb="FF0F1111"/>
      <name val="Arial"/>
    </font>
    <font>
      <sz val="10.0"/>
      <color rgb="FF0F1111"/>
      <name val="Arial"/>
    </font>
    <font>
      <u/>
      <sz val="10.0"/>
      <color rgb="FF434343"/>
      <name val="Arial"/>
    </font>
    <font>
      <b/>
      <sz val="10.0"/>
      <color theme="1"/>
      <name val="Arial"/>
      <scheme val="minor"/>
    </font>
    <font>
      <u/>
      <sz val="10.0"/>
      <color rgb="FF434343"/>
      <name val="Arial"/>
    </font>
    <font>
      <sz val="10.0"/>
      <color rgb="FF434343"/>
      <name val="Arial"/>
    </font>
    <font>
      <u/>
      <sz val="10.0"/>
      <color rgb="FF0000FF"/>
      <name val="Arial"/>
    </font>
    <font>
      <u/>
      <sz val="10.0"/>
      <color rgb="FF434343"/>
      <name val="Arial"/>
    </font>
    <font>
      <u/>
      <sz val="10.0"/>
      <color rgb="FF707070"/>
      <name val="Arial"/>
    </font>
    <font>
      <sz val="10.0"/>
      <color rgb="FF707070"/>
      <name val="Arial"/>
    </font>
    <font>
      <u/>
      <sz val="10.0"/>
      <color rgb="FF0000FF"/>
      <name val="Arial"/>
    </font>
    <font>
      <u/>
      <sz val="10.0"/>
      <color rgb="FF0000FF"/>
      <name val="Arial"/>
    </font>
    <font>
      <u/>
      <sz val="10.0"/>
      <color rgb="FF434343"/>
      <name val="Arial"/>
    </font>
    <font>
      <b/>
      <i/>
      <sz val="10.0"/>
      <color rgb="FFFFFFFF"/>
      <name val="Arial"/>
    </font>
    <font>
      <u/>
      <sz val="10.0"/>
      <color rgb="FF434343"/>
      <name val="Arial"/>
    </font>
    <font>
      <u/>
      <sz val="10.0"/>
      <color rgb="FF707070"/>
      <name val="Arial"/>
    </font>
    <font>
      <b/>
      <u/>
      <sz val="10.0"/>
      <color rgb="FF434343"/>
      <name val="Arial"/>
    </font>
    <font>
      <sz val="10.0"/>
      <color rgb="FF191919"/>
      <name val="Arial"/>
    </font>
    <font>
      <u/>
      <sz val="10.0"/>
      <color rgb="FF707070"/>
      <name val="Arial"/>
    </font>
    <font>
      <i/>
      <u/>
      <sz val="11.0"/>
      <color rgb="FF434343"/>
      <name val="Roboto"/>
    </font>
    <font>
      <b/>
      <color theme="1"/>
      <name val="Arial"/>
      <scheme val="minor"/>
    </font>
    <font>
      <u/>
      <sz val="10.0"/>
      <color rgb="FF434343"/>
      <name val="Calibri"/>
    </font>
    <font>
      <color theme="1"/>
      <name val="Arial"/>
    </font>
    <font>
      <sz val="10.0"/>
      <color rgb="FF473821"/>
      <name val="Arial"/>
    </font>
    <font>
      <sz val="10.0"/>
      <color rgb="FFBFE0F6"/>
      <name val="Arial"/>
    </font>
    <font>
      <i/>
      <sz val="11.0"/>
      <color rgb="FF3C4043"/>
      <name val="Roboto"/>
    </font>
    <font>
      <sz val="10.0"/>
      <color rgb="FF215A6C"/>
      <name val="Arial"/>
    </font>
    <font>
      <b/>
      <color rgb="FF434343"/>
      <name val="Roboto"/>
    </font>
    <font>
      <b/>
      <i/>
      <sz val="10.0"/>
      <color rgb="FFFFFFFF"/>
      <name val="Roboto"/>
    </font>
    <font>
      <color theme="1"/>
      <name val="Calibri"/>
    </font>
    <font>
      <color rgb="FF434343"/>
      <name val="Roboto"/>
    </font>
    <font>
      <u/>
      <sz val="9.0"/>
      <color rgb="FF707070"/>
      <name val="&quot;Market Sans&quot;"/>
    </font>
    <font>
      <sz val="9.0"/>
      <color rgb="FF707070"/>
      <name val="&quot;Market Sans&quot;"/>
    </font>
    <font>
      <u/>
      <sz val="10.0"/>
      <color rgb="FF0000FF"/>
      <name val="Arial"/>
    </font>
    <font>
      <sz val="9.0"/>
      <color rgb="FF000000"/>
      <name val="Roboto"/>
    </font>
    <font>
      <i/>
      <u/>
      <sz val="11.0"/>
      <color rgb="FF434343"/>
      <name val="Roboto"/>
    </font>
    <font>
      <sz val="10.0"/>
      <color rgb="FF49494A"/>
      <name val="Arial"/>
    </font>
    <font>
      <u/>
      <sz val="9.0"/>
      <color rgb="FF707070"/>
      <name val="&quot;Market Sans&quot;"/>
    </font>
    <font>
      <sz val="10.0"/>
      <color rgb="FFFFFFFF"/>
      <name val="Arial"/>
      <scheme val="minor"/>
    </font>
    <font>
      <u/>
      <sz val="9.0"/>
      <color rgb="FF707070"/>
      <name val="&quot;Market Sans&quot;"/>
    </font>
    <font>
      <sz val="10.0"/>
      <color rgb="FF000000"/>
      <name val="&quot;Open Sans&quot;"/>
    </font>
    <font>
      <sz val="10.0"/>
      <color rgb="FF000000"/>
      <name val="Verdana"/>
    </font>
    <font>
      <u/>
      <sz val="9.0"/>
      <color rgb="FF707070"/>
      <name val="&quot;Market Sans&quot;"/>
    </font>
    <font>
      <b/>
      <sz val="9.0"/>
      <color rgb="FF707070"/>
      <name val="&quot;Market Sans&quot;"/>
    </font>
    <font>
      <sz val="10.0"/>
      <color rgb="FF0F1111"/>
      <name val="&quot;Amazon Ember&quot;"/>
    </font>
    <font>
      <sz val="10.0"/>
      <color rgb="FF000000"/>
      <name val="Roboto"/>
    </font>
    <font>
      <u/>
      <sz val="10.0"/>
      <color rgb="FF434343"/>
      <name val="Arial"/>
    </font>
    <font>
      <i/>
      <u/>
      <sz val="11.0"/>
      <color rgb="FF434343"/>
      <name val="Roboto"/>
    </font>
    <font>
      <u/>
      <sz val="10.0"/>
      <color rgb="FF0000FF"/>
      <name val="Arial"/>
    </font>
    <font>
      <u/>
      <color rgb="FF434343"/>
      <name val="Arial"/>
    </font>
    <font>
      <u/>
      <color rgb="FF434343"/>
      <name val="Arial"/>
    </font>
    <font>
      <u/>
      <color rgb="FFFFFFFF"/>
      <name val="Roboto"/>
    </font>
    <font>
      <u/>
      <color rgb="FF434343"/>
      <name val="Arial"/>
    </font>
    <font>
      <u/>
      <color rgb="FF434343"/>
      <name val="Roboto"/>
    </font>
    <font>
      <u/>
      <sz val="10.0"/>
      <color rgb="FF434343"/>
      <name val="Calibri"/>
    </font>
    <font>
      <b/>
      <sz val="10.0"/>
      <color rgb="FF002F36"/>
      <name val="&quot;Amazon Ember&quot;"/>
    </font>
    <font>
      <b/>
      <sz val="10.0"/>
      <color rgb="FF002F36"/>
      <name val="Arial"/>
    </font>
    <font>
      <sz val="10.0"/>
      <color rgb="FF181818"/>
      <name val="Arial"/>
    </font>
    <font>
      <u/>
      <color rgb="FF434343"/>
      <name val="Arial"/>
    </font>
    <font>
      <u/>
      <sz val="10.0"/>
      <color rgb="FF1155CC"/>
      <name val="Arial"/>
    </font>
    <font>
      <b/>
      <sz val="10.0"/>
      <color rgb="FF49494A"/>
      <name val="Arial"/>
    </font>
    <font>
      <u/>
      <sz val="10.0"/>
      <color rgb="FF434343"/>
      <name val="Arial"/>
    </font>
    <font>
      <sz val="10.0"/>
      <color rgb="FF333333"/>
      <name val="Inherit"/>
    </font>
    <font>
      <b/>
      <u/>
      <sz val="10.0"/>
      <color rgb="FF434343"/>
      <name val="Arial"/>
    </font>
    <font>
      <u/>
      <color rgb="FF434343"/>
      <name val="Arial"/>
    </font>
    <font>
      <u/>
      <color rgb="FF434343"/>
      <name val="Roboto"/>
    </font>
    <font>
      <b/>
      <color theme="1"/>
      <name val="Arial"/>
    </font>
    <font>
      <sz val="10.0"/>
      <color rgb="FF434343"/>
      <name val="Calibri"/>
    </font>
    <font>
      <u/>
      <sz val="10.0"/>
      <color rgb="FF434343"/>
      <name val="Calibri"/>
    </font>
    <font>
      <sz val="12.0"/>
      <color rgb="FF000000"/>
      <name val="Roboto"/>
    </font>
    <font>
      <color rgb="FF434343"/>
      <name val="Arial"/>
    </font>
    <font>
      <color rgb="FF040C13"/>
      <name val="Arial"/>
    </font>
    <font>
      <u/>
      <color rgb="FF434343"/>
      <name val="Arial"/>
    </font>
    <font>
      <u/>
      <color rgb="FF434343"/>
      <name val="Arial"/>
    </font>
    <font>
      <u/>
      <sz val="10.0"/>
      <color rgb="FF0000FF"/>
      <name val="Arial"/>
    </font>
    <font>
      <u/>
      <sz val="11.0"/>
      <color rgb="FF434343"/>
      <name val="Arial"/>
    </font>
    <font>
      <b/>
      <sz val="10.0"/>
      <color rgb="FF191919"/>
      <name val="&quot;Market Sans&quot;"/>
    </font>
    <font>
      <u/>
      <sz val="10.0"/>
      <color rgb="FF0000FF"/>
      <name val="Arial"/>
    </font>
    <font>
      <u/>
      <sz val="10.0"/>
      <color rgb="FF434343"/>
      <name val="Arial"/>
    </font>
    <font>
      <u/>
      <sz val="10.0"/>
      <color rgb="FF0000FF"/>
      <name val="Arial"/>
    </font>
    <font>
      <sz val="10.0"/>
      <color rgb="FF333333"/>
      <name val="Arial"/>
    </font>
    <font>
      <u/>
      <sz val="10.0"/>
      <color rgb="FF0000FF"/>
      <name val="Arial"/>
    </font>
    <font>
      <u/>
      <color rgb="FF434343"/>
      <name val="Arial"/>
    </font>
    <font>
      <b/>
      <sz val="10.0"/>
      <color rgb="FF191919"/>
      <name val="Arial"/>
    </font>
    <font>
      <u/>
      <color rgb="FF434343"/>
      <name val="Arial"/>
    </font>
    <font>
      <b/>
      <sz val="13.0"/>
      <color theme="1"/>
      <name val="Arial"/>
    </font>
    <font>
      <u/>
      <color rgb="FF434343"/>
      <name val="Arial"/>
    </font>
    <font>
      <u/>
      <sz val="10.0"/>
      <color rgb="FF434343"/>
      <name val="Arial"/>
    </font>
    <font>
      <u/>
      <sz val="10.0"/>
      <color rgb="FF434343"/>
      <name val="Arial"/>
    </font>
    <font>
      <u/>
      <sz val="10.0"/>
      <color rgb="FF0000FF"/>
      <name val="Arial"/>
    </font>
    <font>
      <u/>
      <sz val="10.0"/>
      <color rgb="FF434343"/>
      <name val="Arial"/>
    </font>
    <font>
      <u/>
      <sz val="10.0"/>
      <color rgb="FF434343"/>
      <name val="Calibri"/>
    </font>
    <font>
      <i/>
      <sz val="9.0"/>
      <color rgb="FF3C4043"/>
      <name val="Roboto"/>
    </font>
    <font>
      <color rgb="FFFFFFFF"/>
      <name val="Arial"/>
      <scheme val="minor"/>
    </font>
    <font>
      <sz val="11.0"/>
      <color rgb="FF3C4043"/>
      <name val="Roboto"/>
    </font>
    <font>
      <u/>
      <color rgb="FF434343"/>
      <name val="Roboto"/>
    </font>
    <font>
      <u/>
      <color rgb="FF434343"/>
      <name val="Arial"/>
    </font>
    <font>
      <u/>
      <color rgb="FF434343"/>
      <name val="Arial"/>
    </font>
    <font>
      <u/>
      <color rgb="FF0000FF"/>
      <name val="Arial"/>
    </font>
    <font>
      <u/>
      <sz val="10.0"/>
      <color rgb="FF434343"/>
      <name val="Arial"/>
    </font>
    <font>
      <sz val="10.0"/>
      <color rgb="FF191919"/>
      <name val="&quot;Market Sans&quot;"/>
    </font>
    <font>
      <u/>
      <color rgb="FF434343"/>
      <name val="Arial"/>
    </font>
    <font>
      <sz val="11.0"/>
      <color rgb="FF002F36"/>
      <name val="Arial"/>
    </font>
    <font>
      <u/>
      <sz val="10.0"/>
      <color rgb="FF0000FF"/>
      <name val="Arial"/>
    </font>
    <font>
      <u/>
      <sz val="10.0"/>
      <color rgb="FF0000FF"/>
      <name val="Arial"/>
    </font>
    <font>
      <u/>
      <sz val="10.0"/>
      <color rgb="FF434343"/>
      <name val="Arial"/>
    </font>
    <font>
      <u/>
      <sz val="10.0"/>
      <color rgb="FF49494A"/>
      <name val="Arial"/>
    </font>
    <font>
      <sz val="10.0"/>
      <color rgb="FF1F1F1F"/>
      <name val="&quot;Google Sans&quot;"/>
    </font>
    <font>
      <u/>
      <sz val="10.0"/>
      <color rgb="FF434343"/>
      <name val="Roboto"/>
    </font>
    <font>
      <sz val="10.0"/>
      <color rgb="FF212121"/>
      <name val="Inherit"/>
    </font>
    <font>
      <u/>
      <color rgb="FF434343"/>
      <name val="Arial"/>
    </font>
    <font>
      <u/>
      <sz val="10.0"/>
      <color rgb="FF434343"/>
      <name val="Arial"/>
    </font>
    <font>
      <u/>
      <sz val="10.0"/>
      <color rgb="FF434343"/>
      <name val="Arial"/>
    </font>
    <font>
      <u/>
      <sz val="10.0"/>
      <color rgb="FF434343"/>
      <name val="Arial"/>
    </font>
    <font>
      <u/>
      <color rgb="FF0000FF"/>
      <name val="Arial"/>
    </font>
    <font>
      <u/>
      <sz val="10.0"/>
      <color rgb="FF0000FF"/>
      <name val="Arial"/>
    </font>
    <font>
      <sz val="10.0"/>
      <color rgb="FF565656"/>
      <name val="Arial"/>
    </font>
    <font>
      <u/>
      <sz val="10.0"/>
      <color rgb="FF0000FF"/>
      <name val="Arial"/>
    </font>
    <font>
      <u/>
      <sz val="10.0"/>
      <color rgb="FF434343"/>
      <name val="Arial"/>
    </font>
    <font>
      <u/>
      <color rgb="FF0000FF"/>
      <name val="Arial"/>
    </font>
    <font>
      <u/>
      <color rgb="FF434343"/>
      <name val="Arial"/>
    </font>
    <font>
      <u/>
      <sz val="10.0"/>
      <color rgb="FF434343"/>
      <name val="Arial"/>
    </font>
    <font>
      <u/>
      <sz val="9.0"/>
      <color rgb="FF434343"/>
      <name val="Arial"/>
    </font>
    <font>
      <u/>
      <sz val="9.0"/>
      <color rgb="FF0000FF"/>
      <name val="Arial"/>
    </font>
    <font>
      <u/>
      <sz val="9.0"/>
      <color rgb="FF434343"/>
      <name val="Arial"/>
    </font>
    <font>
      <u/>
      <sz val="9.0"/>
      <color rgb="FF0000FF"/>
      <name val="Arial"/>
    </font>
    <font>
      <u/>
      <sz val="10.0"/>
      <color rgb="FF434343"/>
      <name val="Arial"/>
    </font>
    <font>
      <u/>
      <sz val="10.0"/>
      <color rgb="FF434343"/>
      <name val="Arial"/>
    </font>
    <font>
      <sz val="11.0"/>
      <color rgb="FF000000"/>
      <name val="Calibri"/>
    </font>
    <font>
      <b/>
      <sz val="10.0"/>
      <color rgb="FF000000"/>
      <name val="Verdana"/>
    </font>
    <font>
      <sz val="9.0"/>
      <color rgb="FFFFFFFF"/>
      <name val="Roboto"/>
    </font>
    <font>
      <u/>
      <sz val="9.0"/>
      <color rgb="FF0000FF"/>
      <name val="Arial"/>
    </font>
    <font>
      <sz val="10.0"/>
      <color rgb="FF000000"/>
      <name val="OpenSans"/>
    </font>
    <font>
      <u/>
      <sz val="9.0"/>
      <color rgb="FF0000FF"/>
      <name val="Arial"/>
    </font>
    <font>
      <u/>
      <sz val="9.0"/>
      <color rgb="FF434343"/>
      <name val="Arial"/>
    </font>
    <font>
      <b/>
      <u/>
      <sz val="9.0"/>
      <color rgb="FF0000FF"/>
      <name val="Arial"/>
    </font>
    <font>
      <u/>
      <sz val="9.0"/>
      <color rgb="FF0000FF"/>
      <name val="Arial"/>
    </font>
    <font>
      <u/>
      <sz val="10.0"/>
      <color rgb="FF434343"/>
      <name val="Arial"/>
    </font>
    <font>
      <u/>
      <color rgb="FF434343"/>
      <name val="Arial"/>
    </font>
    <font>
      <sz val="11.0"/>
      <color rgb="FFFFFFFF"/>
      <name val="Roboto"/>
    </font>
    <font>
      <sz val="8.0"/>
      <color theme="1"/>
      <name val="Arial"/>
    </font>
    <font>
      <u/>
      <color rgb="FF434343"/>
      <name val="Arial"/>
    </font>
    <font>
      <u/>
      <color rgb="FF0000FF"/>
      <name val="Arial"/>
    </font>
    <font>
      <u/>
      <sz val="10.0"/>
      <color rgb="FF0000FF"/>
      <name val="Arial"/>
    </font>
    <font>
      <sz val="10.0"/>
      <color rgb="FF333333"/>
      <name val="TestBetaFont1"/>
    </font>
    <font>
      <u/>
      <color rgb="FF0000FF"/>
      <name val="Arial"/>
    </font>
    <font>
      <sz val="10.0"/>
      <color theme="1"/>
      <name val="Open Sans"/>
    </font>
    <font>
      <sz val="10.0"/>
      <color rgb="FF000000"/>
      <name val="Lato"/>
    </font>
    <font>
      <u/>
      <sz val="8.0"/>
      <color rgb="FF434343"/>
      <name val="Arial"/>
    </font>
    <font>
      <u/>
      <sz val="8.0"/>
      <color rgb="FF0000FF"/>
      <name val="Arial"/>
    </font>
    <font>
      <u/>
      <sz val="8.0"/>
      <color rgb="FF0000FF"/>
      <name val="Arial"/>
    </font>
    <font>
      <u/>
      <sz val="10.0"/>
      <color rgb="FF434343"/>
      <name val="Roboto"/>
    </font>
    <font>
      <u/>
      <sz val="10.0"/>
      <color rgb="FF0000FF"/>
      <name val="Roboto"/>
    </font>
    <font>
      <u/>
      <sz val="10.0"/>
      <color rgb="FF0000FF"/>
      <name val="Arial"/>
    </font>
    <font>
      <u/>
      <sz val="8.0"/>
      <color rgb="FF0000FF"/>
      <name val="Arial"/>
    </font>
    <font>
      <u/>
      <sz val="8.0"/>
      <color rgb="FF434343"/>
      <name val="Arial"/>
    </font>
    <font>
      <b/>
      <sz val="10.0"/>
      <color rgb="FF000000"/>
      <name val="&quot;Open Sans&quot;"/>
    </font>
    <font>
      <u/>
      <sz val="8.0"/>
      <color rgb="FF0000FF"/>
      <name val="Arial"/>
    </font>
    <font>
      <i/>
      <sz val="10.0"/>
      <color rgb="FF393939"/>
      <name val="Roboto"/>
    </font>
    <font>
      <i/>
      <sz val="11.0"/>
      <color rgb="FF393939"/>
      <name val="Roboto"/>
    </font>
    <font>
      <u/>
      <sz val="8.0"/>
      <color rgb="FF0000FF"/>
      <name val="Arial"/>
    </font>
    <font>
      <u/>
      <sz val="8.0"/>
      <color rgb="FF434343"/>
      <name val="Arial"/>
    </font>
    <font>
      <u/>
      <sz val="8.0"/>
      <color rgb="FF0000FF"/>
      <name val="Arial"/>
    </font>
    <font>
      <sz val="9.0"/>
      <color rgb="FF000000"/>
      <name val="Calibri"/>
    </font>
    <font>
      <u/>
      <sz val="10.0"/>
      <color rgb="FF434343"/>
      <name val="Arial"/>
    </font>
    <font>
      <u/>
      <sz val="10.0"/>
      <color rgb="FF0000FF"/>
      <name val="Arial"/>
    </font>
    <font>
      <u/>
      <sz val="8.0"/>
      <color rgb="FF0000FF"/>
      <name val="Arial"/>
    </font>
    <font>
      <b/>
      <sz val="10.0"/>
      <color rgb="FF444444"/>
      <name val="Helvetica"/>
    </font>
    <font>
      <u/>
      <sz val="11.0"/>
      <color rgb="FF0000FF"/>
      <name val="Arial"/>
    </font>
    <font>
      <u/>
      <sz val="8.0"/>
      <color rgb="FF434343"/>
      <name val="Arial"/>
    </font>
    <font>
      <sz val="12.0"/>
      <color rgb="FFFFFFFF"/>
      <name val="Roboto"/>
    </font>
    <font>
      <u/>
      <color rgb="FF434343"/>
      <name val="Arial"/>
    </font>
    <font>
      <b/>
      <i/>
      <sz val="10.0"/>
      <color theme="1"/>
      <name val="Arial"/>
    </font>
    <font>
      <u/>
      <sz val="10.0"/>
      <color rgb="FF434343"/>
      <name val="Calibri"/>
    </font>
    <font>
      <b/>
      <sz val="10.0"/>
      <color rgb="FF212121"/>
      <name val="Arial"/>
      <scheme val="minor"/>
    </font>
    <font>
      <sz val="10.0"/>
      <color rgb="FF333333"/>
      <name val="&quot;Costco Sans Web&quot;"/>
    </font>
    <font>
      <u/>
      <sz val="10.0"/>
      <color rgb="FF0000FF"/>
      <name val="Calibri"/>
    </font>
    <font>
      <sz val="10.0"/>
      <color rgb="FF000000"/>
      <name val="&quot;Roboto Condensed&quot;"/>
    </font>
    <font>
      <u/>
      <sz val="10.0"/>
      <color rgb="FF0000FF"/>
      <name val="Calibri"/>
    </font>
    <font>
      <u/>
      <sz val="10.0"/>
      <color rgb="FF434343"/>
      <name val="Arial"/>
    </font>
    <font>
      <b/>
      <sz val="11.0"/>
      <color rgb="FF000000"/>
      <name val="Roboto"/>
    </font>
    <font>
      <u/>
      <sz val="10.0"/>
      <color rgb="FF0000FF"/>
      <name val="Roboto"/>
    </font>
    <font>
      <u/>
      <sz val="8.0"/>
      <color rgb="FF434343"/>
      <name val="Arial"/>
    </font>
    <font>
      <u/>
      <color rgb="FF434343"/>
      <name val="Arial"/>
    </font>
    <font>
      <u/>
      <sz val="10.0"/>
      <color rgb="FF434343"/>
      <name val="Roboto"/>
    </font>
    <font>
      <u/>
      <color rgb="FF0000FF"/>
      <name val="Arial"/>
    </font>
    <font>
      <u/>
      <color rgb="FF434343"/>
      <name val="Arial"/>
    </font>
    <font>
      <u/>
      <sz val="10.0"/>
      <color rgb="FF434343"/>
      <name val="Roboto"/>
    </font>
    <font>
      <sz val="9.0"/>
      <color rgb="FF1F1F1F"/>
      <name val="Roboto"/>
    </font>
    <font>
      <i/>
      <sz val="11.0"/>
      <color rgb="FF1F1F1F"/>
      <name val="Roboto"/>
    </font>
    <font>
      <u/>
      <sz val="10.0"/>
      <color rgb="FF0000FF"/>
      <name val="Arial"/>
    </font>
    <font>
      <sz val="11.0"/>
      <color theme="1"/>
      <name val="Arial"/>
    </font>
    <font>
      <sz val="10.0"/>
      <color rgb="FF1F1F1F"/>
      <name val="Arial"/>
    </font>
    <font>
      <u/>
      <sz val="10.0"/>
      <color rgb="FF434343"/>
      <name val="Arial"/>
    </font>
    <font>
      <sz val="8.0"/>
      <color rgb="FF333333"/>
      <name val="&quot;Helvetica Neue&quot;"/>
    </font>
    <font>
      <u/>
      <color rgb="FF434343"/>
      <name val="Roboto"/>
    </font>
    <font>
      <b/>
      <sz val="10.0"/>
      <color rgb="FF244A91"/>
      <name val="Nunito"/>
    </font>
    <font>
      <u/>
      <color rgb="FF434343"/>
      <name val="Arial"/>
    </font>
    <font>
      <sz val="12.0"/>
      <color rgb="FF181818"/>
      <name val="Arial"/>
    </font>
    <font>
      <sz val="12.0"/>
      <color rgb="FF333333"/>
      <name val="Arial"/>
    </font>
    <font>
      <u/>
      <sz val="9.0"/>
      <color rgb="FF434343"/>
      <name val="Roboto"/>
    </font>
    <font>
      <u/>
      <sz val="9.0"/>
      <color rgb="FF434343"/>
      <name val="Roboto"/>
    </font>
    <font>
      <color rgb="FF49494A"/>
      <name val="Arial"/>
    </font>
    <font>
      <sz val="7.0"/>
      <color rgb="FF333333"/>
      <name val="&quot;Helvetica Neue&quot;"/>
    </font>
    <font>
      <sz val="9.0"/>
      <color rgb="FF333333"/>
      <name val="Roboto"/>
    </font>
    <font>
      <color rgb="FF333333"/>
      <name val="Roboto"/>
    </font>
    <font>
      <sz val="9.0"/>
      <color rgb="FFFFFFFF"/>
      <name val="Arial"/>
    </font>
    <font>
      <u/>
      <color rgb="FF0000FF"/>
      <name val="Roboto"/>
    </font>
    <font>
      <u/>
      <sz val="10.0"/>
      <color rgb="FF0000FF"/>
      <name val="Arial"/>
    </font>
    <font>
      <u/>
      <sz val="10.0"/>
      <color rgb="FF0000FF"/>
      <name val="Arial"/>
    </font>
    <font>
      <u/>
      <sz val="10.0"/>
      <color rgb="FF0000FF"/>
      <name val="Arial"/>
    </font>
    <font>
      <u/>
      <sz val="10.0"/>
      <color rgb="FF0000FF"/>
      <name val="Arial"/>
    </font>
  </fonts>
  <fills count="5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990000"/>
        <bgColor rgb="FF990000"/>
      </patternFill>
    </fill>
    <fill>
      <patternFill patternType="solid">
        <fgColor rgb="FF38761D"/>
        <bgColor rgb="FF38761D"/>
      </patternFill>
    </fill>
    <fill>
      <patternFill patternType="solid">
        <fgColor rgb="FF274E13"/>
        <bgColor rgb="FF274E13"/>
      </patternFill>
    </fill>
    <fill>
      <patternFill patternType="solid">
        <fgColor rgb="FFB7B7B7"/>
        <bgColor rgb="FFB7B7B7"/>
      </patternFill>
    </fill>
    <fill>
      <patternFill patternType="solid">
        <fgColor rgb="FF666666"/>
        <bgColor rgb="FF66666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FFFA5"/>
        <bgColor rgb="FFFFFFA5"/>
      </patternFill>
    </fill>
    <fill>
      <patternFill patternType="solid">
        <fgColor rgb="FFEAD1DC"/>
        <bgColor rgb="FFEAD1DC"/>
      </patternFill>
    </fill>
    <fill>
      <patternFill patternType="solid">
        <fgColor rgb="FFF7F7F7"/>
        <bgColor rgb="FFF7F7F7"/>
      </patternFill>
    </fill>
    <fill>
      <patternFill patternType="solid">
        <fgColor rgb="FF00FF00"/>
        <bgColor rgb="FF00FF00"/>
      </patternFill>
    </fill>
    <fill>
      <patternFill patternType="solid">
        <fgColor rgb="FFF6F8F9"/>
        <bgColor rgb="FFF6F8F9"/>
      </patternFill>
    </fill>
    <fill>
      <patternFill patternType="solid">
        <fgColor rgb="FFEA9999"/>
        <bgColor rgb="FFEA9999"/>
      </patternFill>
    </fill>
    <fill>
      <patternFill patternType="solid">
        <fgColor rgb="FFFAFAFA"/>
        <bgColor rgb="FFFAFAFA"/>
      </patternFill>
    </fill>
    <fill>
      <patternFill patternType="solid">
        <fgColor rgb="FF00FFFF"/>
        <bgColor rgb="FF00FFFF"/>
      </patternFill>
    </fill>
    <fill>
      <patternFill patternType="solid">
        <fgColor rgb="FFFF0000"/>
        <bgColor rgb="FFFF0000"/>
      </patternFill>
    </fill>
    <fill>
      <patternFill patternType="solid">
        <fgColor rgb="FF6AA84F"/>
        <bgColor rgb="FF6AA84F"/>
      </patternFill>
    </fill>
    <fill>
      <patternFill patternType="solid">
        <fgColor rgb="FFFF9900"/>
        <bgColor rgb="FFFF9900"/>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DCF8C6"/>
        <bgColor rgb="FFDCF8C6"/>
      </patternFill>
    </fill>
    <fill>
      <patternFill patternType="solid">
        <fgColor rgb="FF9900FF"/>
        <bgColor rgb="FF9900FF"/>
      </patternFill>
    </fill>
    <fill>
      <patternFill patternType="solid">
        <fgColor rgb="FFA4C2F4"/>
        <bgColor rgb="FFA4C2F4"/>
      </patternFill>
    </fill>
    <fill>
      <patternFill patternType="solid">
        <fgColor rgb="FFFFD966"/>
        <bgColor rgb="FFFFD966"/>
      </patternFill>
    </fill>
    <fill>
      <patternFill patternType="solid">
        <fgColor rgb="FF356854"/>
        <bgColor rgb="FF356854"/>
      </patternFill>
    </fill>
    <fill>
      <patternFill patternType="solid">
        <fgColor rgb="FFEDEDED"/>
        <bgColor rgb="FFEDEDED"/>
      </patternFill>
    </fill>
    <fill>
      <patternFill patternType="solid">
        <fgColor rgb="FF424A5E"/>
        <bgColor rgb="FF424A5E"/>
      </patternFill>
    </fill>
    <fill>
      <patternFill patternType="solid">
        <fgColor rgb="FFD9D2E9"/>
        <bgColor rgb="FFD9D2E9"/>
      </patternFill>
    </fill>
    <fill>
      <patternFill patternType="solid">
        <fgColor rgb="FFF2F2F2"/>
        <bgColor rgb="FFF2F2F2"/>
      </patternFill>
    </fill>
    <fill>
      <patternFill patternType="solid">
        <fgColor rgb="FFC9DAF8"/>
        <bgColor rgb="FFC9DAF8"/>
      </patternFill>
    </fill>
    <fill>
      <patternFill patternType="solid">
        <fgColor rgb="FFFCE5CD"/>
        <bgColor rgb="FFFCE5CD"/>
      </patternFill>
    </fill>
    <fill>
      <patternFill patternType="solid">
        <fgColor theme="6"/>
        <bgColor theme="6"/>
      </patternFill>
    </fill>
    <fill>
      <patternFill patternType="solid">
        <fgColor rgb="FFD0E0E3"/>
        <bgColor rgb="FFD0E0E3"/>
      </patternFill>
    </fill>
    <fill>
      <patternFill patternType="solid">
        <fgColor rgb="FF272E3E"/>
        <bgColor rgb="FF272E3E"/>
      </patternFill>
    </fill>
    <fill>
      <patternFill patternType="solid">
        <fgColor rgb="FFFCFCFC"/>
        <bgColor rgb="FFFCFCFC"/>
      </patternFill>
    </fill>
    <fill>
      <patternFill patternType="solid">
        <fgColor rgb="FF9FC5E8"/>
        <bgColor rgb="FF9FC5E8"/>
      </patternFill>
    </fill>
    <fill>
      <patternFill patternType="solid">
        <fgColor rgb="FFD5A6BD"/>
        <bgColor rgb="FFD5A6BD"/>
      </patternFill>
    </fill>
    <fill>
      <patternFill patternType="solid">
        <fgColor rgb="FFF9CB9C"/>
        <bgColor rgb="FFF9CB9C"/>
      </patternFill>
    </fill>
    <fill>
      <patternFill patternType="solid">
        <fgColor rgb="FF707070"/>
        <bgColor rgb="FF707070"/>
      </patternFill>
    </fill>
    <fill>
      <patternFill patternType="solid">
        <fgColor rgb="FFE69138"/>
        <bgColor rgb="FFE69138"/>
      </patternFill>
    </fill>
    <fill>
      <patternFill patternType="solid">
        <fgColor rgb="FF80ECFF"/>
        <bgColor rgb="FF80ECFF"/>
      </patternFill>
    </fill>
    <fill>
      <patternFill patternType="solid">
        <fgColor rgb="FFB6D7A8"/>
        <bgColor rgb="FFB6D7A8"/>
      </patternFill>
    </fill>
    <fill>
      <patternFill patternType="solid">
        <fgColor rgb="FF1C4587"/>
        <bgColor rgb="FF1C4587"/>
      </patternFill>
    </fill>
    <fill>
      <patternFill patternType="solid">
        <fgColor rgb="FF0B5394"/>
        <bgColor rgb="FF0B5394"/>
      </patternFill>
    </fill>
  </fills>
  <borders count="10">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6F8F9"/>
      </left>
      <top style="thin">
        <color rgb="FFF6F8F9"/>
      </top>
      <bottom style="thin">
        <color rgb="FF284E3F"/>
      </bottom>
    </border>
    <border>
      <top style="thin">
        <color rgb="FF000000"/>
      </top>
      <bottom style="thin">
        <color rgb="FF000000"/>
      </bottom>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284E3F"/>
      </bottom>
    </border>
  </borders>
  <cellStyleXfs count="1">
    <xf borderId="0" fillId="0" fontId="0" numFmtId="0" applyAlignment="1" applyFont="1"/>
  </cellStyleXfs>
  <cellXfs count="12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2"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9"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readingOrder="0" shrinkToFit="0" vertical="center" wrapText="1"/>
    </xf>
    <xf borderId="1" fillId="0" fontId="1" numFmtId="165" xfId="0" applyAlignment="1" applyBorder="1" applyFont="1" applyNumberFormat="1">
      <alignment horizontal="center" readingOrder="0" shrinkToFit="0" vertical="center" wrapText="0"/>
    </xf>
    <xf borderId="1" fillId="0" fontId="2" numFmtId="166" xfId="0" applyAlignment="1" applyBorder="1" applyFont="1" applyNumberFormat="1">
      <alignment horizontal="center" readingOrder="0" shrinkToFit="0" vertical="center" wrapText="0"/>
    </xf>
    <xf borderId="1" fillId="0" fontId="2"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2" fontId="5"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2" fontId="6"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shrinkToFit="0" vertical="center" wrapText="0"/>
    </xf>
    <xf borderId="1" fillId="0" fontId="7"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165" xfId="0" applyAlignment="1" applyBorder="1" applyFont="1" applyNumberFormat="1">
      <alignment horizontal="center" shrinkToFit="0" vertical="center" wrapText="1"/>
    </xf>
    <xf borderId="1" fillId="0" fontId="1" numFmtId="165" xfId="0" applyAlignment="1" applyBorder="1" applyFont="1" applyNumberFormat="1">
      <alignment horizontal="center" shrinkToFit="0" vertical="center" wrapText="0"/>
    </xf>
    <xf borderId="1" fillId="0" fontId="2" numFmtId="166" xfId="0" applyAlignment="1" applyBorder="1" applyFont="1" applyNumberFormat="1">
      <alignment horizontal="center" shrinkToFit="0" vertical="center" wrapText="0"/>
    </xf>
    <xf borderId="1" fillId="0" fontId="2" numFmtId="0" xfId="0" applyAlignment="1" applyBorder="1" applyFont="1">
      <alignment horizontal="center" shrinkToFit="0" vertical="center" wrapText="1"/>
    </xf>
    <xf borderId="1" fillId="2" fontId="8" numFmtId="0" xfId="0" applyAlignment="1" applyBorder="1" applyFont="1">
      <alignment horizontal="left" readingOrder="0" shrinkToFit="0" vertical="center" wrapText="1"/>
    </xf>
    <xf borderId="0" fillId="0" fontId="1" numFmtId="0" xfId="0" applyAlignment="1" applyFont="1">
      <alignment readingOrder="0" shrinkToFit="0" vertical="center" wrapText="0"/>
    </xf>
    <xf borderId="1" fillId="0" fontId="9" numFmtId="0" xfId="0" applyAlignment="1" applyBorder="1" applyFont="1">
      <alignment horizontal="left" readingOrder="0" shrinkToFit="0" vertical="center" wrapText="1"/>
    </xf>
    <xf borderId="1" fillId="0" fontId="10" numFmtId="165"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0"/>
    </xf>
    <xf borderId="1" fillId="0" fontId="7"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1"/>
    </xf>
    <xf borderId="1" fillId="2" fontId="11" numFmtId="0" xfId="0" applyAlignment="1" applyBorder="1" applyFont="1">
      <alignment horizontal="center" readingOrder="0" shrinkToFit="0" vertical="center" wrapText="1"/>
    </xf>
    <xf borderId="1" fillId="0" fontId="12" numFmtId="0" xfId="0" applyAlignment="1" applyBorder="1" applyFont="1">
      <alignment readingOrder="0" shrinkToFit="0" vertical="center" wrapText="1"/>
    </xf>
    <xf borderId="1" fillId="0" fontId="1" numFmtId="0" xfId="0" applyAlignment="1" applyBorder="1" applyFont="1">
      <alignment horizontal="center" shrinkToFit="0" vertical="center" wrapText="1"/>
    </xf>
    <xf borderId="1" fillId="0" fontId="13" numFmtId="165" xfId="0" applyAlignment="1" applyBorder="1" applyFont="1" applyNumberFormat="1">
      <alignment horizontal="center" readingOrder="0" shrinkToFit="0" vertical="center" wrapText="1"/>
    </xf>
    <xf borderId="1" fillId="0" fontId="7" numFmtId="166" xfId="0" applyAlignment="1" applyBorder="1" applyFont="1" applyNumberFormat="1">
      <alignment horizontal="center" readingOrder="0" shrinkToFit="0" vertical="center" wrapText="0"/>
    </xf>
    <xf borderId="1" fillId="2" fontId="8" numFmtId="0" xfId="0" applyAlignment="1" applyBorder="1" applyFont="1">
      <alignment readingOrder="0" shrinkToFit="0" vertical="center" wrapText="1"/>
    </xf>
    <xf borderId="1" fillId="0" fontId="14" numFmtId="0" xfId="0" applyAlignment="1" applyBorder="1" applyFont="1">
      <alignment horizontal="center" readingOrder="0" shrinkToFit="0" vertical="center" wrapText="1"/>
    </xf>
    <xf borderId="1" fillId="2" fontId="15"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horizontal="center" shrinkToFit="0" vertical="center" wrapText="0"/>
    </xf>
    <xf borderId="0" fillId="0" fontId="1" numFmtId="0" xfId="0" applyAlignment="1" applyFont="1">
      <alignment horizontal="center"/>
    </xf>
    <xf borderId="1" fillId="2" fontId="16" numFmtId="0" xfId="0" applyAlignment="1" applyBorder="1" applyFont="1">
      <alignment readingOrder="0" shrinkToFit="0" vertical="center" wrapText="1"/>
    </xf>
    <xf borderId="1" fillId="2" fontId="15" numFmtId="166" xfId="0" applyAlignment="1" applyBorder="1" applyFont="1" applyNumberFormat="1">
      <alignment horizontal="center" readingOrder="0" shrinkToFit="0" vertical="center" wrapText="0"/>
    </xf>
    <xf borderId="1" fillId="2" fontId="8" numFmtId="0" xfId="0" applyAlignment="1" applyBorder="1" applyFont="1">
      <alignment horizontal="center" readingOrder="0" shrinkToFit="0" vertical="center" wrapText="0"/>
    </xf>
    <xf borderId="1" fillId="2" fontId="17" numFmtId="0" xfId="0" applyAlignment="1" applyBorder="1" applyFont="1">
      <alignment readingOrder="0" shrinkToFit="0" vertical="center" wrapText="1"/>
    </xf>
    <xf borderId="1" fillId="2" fontId="18" numFmtId="166" xfId="0" applyAlignment="1" applyBorder="1" applyFont="1" applyNumberFormat="1">
      <alignment horizontal="center" readingOrder="0" shrinkToFit="0" vertical="center" wrapText="0"/>
    </xf>
    <xf borderId="1" fillId="2" fontId="14" numFmtId="0" xfId="0" applyAlignment="1" applyBorder="1" applyFont="1">
      <alignment readingOrder="0" shrinkToFit="0" vertical="center" wrapText="1"/>
    </xf>
    <xf borderId="1" fillId="2" fontId="19" numFmtId="166" xfId="0" applyAlignment="1" applyBorder="1" applyFont="1" applyNumberFormat="1">
      <alignment horizontal="center" readingOrder="0" shrinkToFit="0" vertical="center" wrapText="0"/>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20"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0" fillId="2" fontId="6" numFmtId="0" xfId="0" applyAlignment="1" applyFont="1">
      <alignment readingOrder="0" shrinkToFit="0" vertical="center" wrapText="1"/>
    </xf>
    <xf borderId="0" fillId="0" fontId="21" numFmtId="165" xfId="0" applyAlignment="1" applyFont="1" applyNumberFormat="1">
      <alignment horizontal="center" readingOrder="0" shrinkToFit="0" vertical="center" wrapText="0"/>
    </xf>
    <xf borderId="1" fillId="0" fontId="1" numFmtId="0" xfId="0" applyBorder="1" applyFont="1"/>
    <xf borderId="1" fillId="0" fontId="22" numFmtId="0" xfId="0" applyAlignment="1" applyBorder="1" applyFont="1">
      <alignment readingOrder="0" shrinkToFit="0" vertical="center" wrapText="1"/>
    </xf>
    <xf borderId="1" fillId="0" fontId="23" numFmtId="165" xfId="0" applyAlignment="1" applyBorder="1" applyFont="1" applyNumberFormat="1">
      <alignment horizontal="center" readingOrder="0" shrinkToFit="0" vertical="center" wrapText="1"/>
    </xf>
    <xf borderId="1" fillId="0" fontId="24" numFmtId="0" xfId="0" applyAlignment="1" applyBorder="1" applyFont="1">
      <alignment horizontal="center" readingOrder="0" shrinkToFit="0" vertical="center" wrapText="1"/>
    </xf>
    <xf borderId="1" fillId="0" fontId="25" numFmtId="0" xfId="0" applyAlignment="1" applyBorder="1" applyFont="1">
      <alignment readingOrder="0" shrinkToFit="0" vertical="center" wrapText="1"/>
    </xf>
    <xf borderId="1" fillId="0" fontId="26" numFmtId="0" xfId="0" applyAlignment="1" applyBorder="1" applyFont="1">
      <alignment horizontal="center" shrinkToFit="0" vertical="center" wrapText="1"/>
    </xf>
    <xf borderId="1" fillId="2" fontId="27" numFmtId="0" xfId="0" applyAlignment="1" applyBorder="1" applyFont="1">
      <alignment horizontal="left" readingOrder="0" shrinkToFit="0" vertical="center" wrapText="1"/>
    </xf>
    <xf borderId="0" fillId="2" fontId="28" numFmtId="166" xfId="0" applyAlignment="1" applyFont="1" applyNumberFormat="1">
      <alignment horizontal="left" readingOrder="0" shrinkToFit="0" vertical="center" wrapText="0"/>
    </xf>
    <xf borderId="1" fillId="2" fontId="29" numFmtId="0" xfId="0" applyAlignment="1" applyBorder="1" applyFont="1">
      <alignment readingOrder="0" shrinkToFit="0" vertical="center" wrapText="1"/>
    </xf>
    <xf borderId="1" fillId="2" fontId="30" numFmtId="0" xfId="0" applyAlignment="1" applyBorder="1" applyFont="1">
      <alignment horizontal="center" readingOrder="0" shrinkToFit="0" vertical="center" wrapText="1"/>
    </xf>
    <xf borderId="2" fillId="2" fontId="31" numFmtId="165" xfId="0" applyAlignment="1" applyBorder="1" applyFont="1" applyNumberFormat="1">
      <alignment horizontal="center" readingOrder="0" shrinkToFit="0" vertical="bottom" wrapText="0"/>
    </xf>
    <xf borderId="1" fillId="3" fontId="32" numFmtId="165" xfId="0" applyAlignment="1" applyBorder="1" applyFill="1" applyFont="1" applyNumberFormat="1">
      <alignment horizontal="center" readingOrder="0" shrinkToFit="0" vertical="center" wrapText="1"/>
    </xf>
    <xf borderId="0" fillId="2" fontId="33" numFmtId="165" xfId="0" applyAlignment="1" applyFont="1" applyNumberFormat="1">
      <alignment horizontal="center" readingOrder="0" shrinkToFit="0" vertical="center" wrapText="0"/>
    </xf>
    <xf borderId="1" fillId="2" fontId="34" numFmtId="0" xfId="0" applyAlignment="1" applyBorder="1" applyFont="1">
      <alignment horizontal="left" readingOrder="0" shrinkToFit="0" vertical="center" wrapText="0"/>
    </xf>
    <xf borderId="1" fillId="0" fontId="35" numFmtId="165" xfId="0" applyAlignment="1" applyBorder="1" applyFont="1" applyNumberFormat="1">
      <alignment horizontal="center" readingOrder="0" shrinkToFit="0" vertical="center" wrapText="1"/>
    </xf>
    <xf borderId="1" fillId="2" fontId="34"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3" fontId="1" numFmtId="0" xfId="0" applyAlignment="1" applyBorder="1" applyFont="1">
      <alignment readingOrder="0" shrinkToFit="0" vertical="center" wrapText="0"/>
    </xf>
    <xf borderId="1" fillId="3" fontId="1" numFmtId="164" xfId="0" applyAlignment="1" applyBorder="1" applyFont="1" applyNumberFormat="1">
      <alignment readingOrder="0" shrinkToFit="0" vertical="center" wrapText="0"/>
    </xf>
    <xf borderId="0" fillId="3" fontId="1" numFmtId="0" xfId="0" applyAlignment="1" applyFont="1">
      <alignment readingOrder="0" shrinkToFit="0" vertical="center" wrapText="0"/>
    </xf>
    <xf borderId="0" fillId="3" fontId="11" numFmtId="0" xfId="0" applyAlignment="1" applyFont="1">
      <alignment readingOrder="0" shrinkToFit="0" vertical="center" wrapText="0"/>
    </xf>
    <xf borderId="1" fillId="3"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 numFmtId="165" xfId="0" applyAlignment="1" applyBorder="1" applyFont="1" applyNumberFormat="1">
      <alignment horizontal="center" readingOrder="0" shrinkToFit="0" vertical="center" wrapText="1"/>
    </xf>
    <xf borderId="1" fillId="3" fontId="1" numFmtId="165" xfId="0" applyAlignment="1" applyBorder="1" applyFont="1" applyNumberFormat="1">
      <alignment horizontal="center" readingOrder="0" shrinkToFit="0" vertical="center" wrapText="0"/>
    </xf>
    <xf borderId="0" fillId="3" fontId="36" numFmtId="166" xfId="0" applyAlignment="1" applyFont="1" applyNumberFormat="1">
      <alignment readingOrder="0" shrinkToFit="0" vertical="center" wrapText="0"/>
    </xf>
    <xf borderId="1" fillId="3" fontId="2" numFmtId="0" xfId="0" applyAlignment="1" applyBorder="1" applyFont="1">
      <alignment horizontal="center" readingOrder="0" shrinkToFit="0" vertical="center" wrapText="1"/>
    </xf>
    <xf borderId="1" fillId="3" fontId="4" numFmtId="0" xfId="0" applyAlignment="1" applyBorder="1" applyFont="1">
      <alignment horizontal="center" shrinkToFit="0" vertical="center" wrapText="0"/>
    </xf>
    <xf borderId="1" fillId="3" fontId="1" numFmtId="0" xfId="0" applyAlignment="1" applyBorder="1" applyFont="1">
      <alignment readingOrder="0" shrinkToFit="0" vertical="center" wrapText="1"/>
    </xf>
    <xf borderId="1" fillId="3" fontId="1" numFmtId="0" xfId="0" applyAlignment="1" applyBorder="1" applyFont="1">
      <alignment horizontal="center" shrinkToFit="0" vertical="center" wrapText="0"/>
    </xf>
    <xf borderId="1" fillId="3" fontId="1" numFmtId="0" xfId="0" applyAlignment="1" applyBorder="1" applyFont="1">
      <alignment horizontal="center" shrinkToFit="0" vertical="center" wrapText="0"/>
    </xf>
    <xf borderId="1" fillId="3" fontId="1" numFmtId="0" xfId="0" applyAlignment="1" applyBorder="1" applyFont="1">
      <alignment shrinkToFit="0" vertical="center" wrapText="0"/>
    </xf>
    <xf borderId="1" fillId="3" fontId="1" numFmtId="0" xfId="0" applyAlignment="1" applyBorder="1" applyFont="1">
      <alignment shrinkToFit="0" vertical="center" wrapText="0"/>
    </xf>
    <xf borderId="1" fillId="3" fontId="1" numFmtId="0" xfId="0" applyBorder="1" applyFont="1"/>
    <xf borderId="1" fillId="2" fontId="11" numFmtId="0" xfId="0" applyAlignment="1" applyBorder="1" applyFont="1">
      <alignment readingOrder="0" shrinkToFit="0" vertical="center" wrapText="0"/>
    </xf>
    <xf borderId="1" fillId="2" fontId="37" numFmtId="0" xfId="0" applyAlignment="1" applyBorder="1" applyFont="1">
      <alignment horizontal="left" readingOrder="0" shrinkToFit="0" vertical="center" wrapText="0"/>
    </xf>
    <xf borderId="0" fillId="2" fontId="11" numFmtId="0" xfId="0" applyAlignment="1" applyFont="1">
      <alignment readingOrder="0" shrinkToFit="0" vertical="center" wrapText="0"/>
    </xf>
    <xf borderId="1" fillId="2" fontId="38"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0" fillId="2" fontId="39" numFmtId="0" xfId="0" applyAlignment="1" applyFont="1">
      <alignment readingOrder="0" shrinkToFit="0" vertical="bottom" wrapText="0"/>
    </xf>
    <xf borderId="1" fillId="2" fontId="40" numFmtId="0" xfId="0" applyAlignment="1" applyBorder="1" applyFont="1">
      <alignment readingOrder="0" shrinkToFit="0" vertical="bottom" wrapText="1"/>
    </xf>
    <xf borderId="1" fillId="0" fontId="1" numFmtId="0" xfId="0" applyAlignment="1" applyBorder="1" applyFont="1">
      <alignment shrinkToFit="0" vertical="center" wrapText="1"/>
    </xf>
    <xf borderId="1" fillId="2" fontId="41" numFmtId="0" xfId="0" applyAlignment="1" applyBorder="1" applyFont="1">
      <alignment readingOrder="0" shrinkToFit="0" vertical="center" wrapText="1"/>
    </xf>
    <xf borderId="0" fillId="2" fontId="42" numFmtId="0" xfId="0" applyAlignment="1" applyFont="1">
      <alignment readingOrder="0" shrinkToFit="0" vertical="center" wrapText="1"/>
    </xf>
    <xf borderId="1" fillId="0" fontId="43" numFmtId="164" xfId="0" applyAlignment="1" applyBorder="1" applyFont="1" applyNumberFormat="1">
      <alignment horizontal="center" readingOrder="0" shrinkToFit="0" vertical="center" wrapText="1"/>
    </xf>
    <xf borderId="1" fillId="2" fontId="44" numFmtId="0" xfId="0" applyAlignment="1" applyBorder="1" applyFont="1">
      <alignment horizontal="center" readingOrder="0" shrinkToFit="0" vertical="center" wrapText="1"/>
    </xf>
    <xf borderId="1" fillId="0" fontId="2" numFmtId="166" xfId="0" applyAlignment="1" applyBorder="1" applyFont="1" applyNumberFormat="1">
      <alignment horizontal="center" readingOrder="0" shrinkToFit="0" vertical="center" wrapText="1"/>
    </xf>
    <xf borderId="1" fillId="0" fontId="2" numFmtId="0" xfId="0" applyAlignment="1" applyBorder="1" applyFont="1">
      <alignment shrinkToFit="0" vertical="center" wrapText="1"/>
    </xf>
    <xf borderId="1" fillId="0" fontId="1" numFmtId="0" xfId="0" applyAlignment="1" applyBorder="1" applyFont="1">
      <alignment horizontal="center" shrinkToFit="0" vertical="center" wrapText="1"/>
    </xf>
    <xf borderId="0" fillId="0" fontId="14" numFmtId="0" xfId="0" applyAlignment="1" applyFont="1">
      <alignment readingOrder="0" shrinkToFit="0" vertical="center" wrapText="1"/>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2"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165" xfId="0" applyAlignment="1" applyFont="1" applyNumberFormat="1">
      <alignment horizontal="center" shrinkToFit="0" vertical="center" wrapText="1"/>
    </xf>
    <xf borderId="0" fillId="0" fontId="1" numFmtId="165" xfId="0" applyAlignment="1" applyFont="1" applyNumberFormat="1">
      <alignment horizontal="center" shrinkToFit="0" vertical="center" wrapText="0"/>
    </xf>
    <xf borderId="0" fillId="0" fontId="2" numFmtId="166" xfId="0" applyAlignment="1" applyFont="1" applyNumberFormat="1">
      <alignment horizontal="center" shrinkToFit="0" vertical="center" wrapText="0"/>
    </xf>
    <xf borderId="0" fillId="0" fontId="2" numFmtId="0" xfId="0" applyAlignment="1" applyFont="1">
      <alignment horizontal="center" shrinkToFit="0" vertical="center" wrapText="1"/>
    </xf>
    <xf borderId="0" fillId="0" fontId="4" numFmtId="0" xfId="0" applyAlignment="1" applyFont="1">
      <alignment horizontal="center" shrinkToFit="0" vertical="center" wrapText="0"/>
    </xf>
    <xf borderId="0" fillId="0" fontId="1" numFmtId="0" xfId="0" applyAlignment="1" applyFont="1">
      <alignment shrinkToFit="0" vertical="center" wrapText="1"/>
    </xf>
    <xf borderId="0" fillId="0" fontId="1" numFmtId="0" xfId="0" applyAlignment="1" applyFont="1">
      <alignment horizontal="center" shrinkToFit="0" vertical="center"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1" fillId="0" fontId="45" numFmtId="0" xfId="0" applyAlignment="1" applyBorder="1" applyFont="1">
      <alignment horizontal="center" readingOrder="0" shrinkToFit="0" vertical="center" wrapText="1"/>
    </xf>
    <xf borderId="1" fillId="4" fontId="46" numFmtId="49" xfId="0" applyAlignment="1" applyBorder="1" applyFill="1" applyFont="1" applyNumberFormat="1">
      <alignment horizontal="center" readingOrder="0" shrinkToFit="0" vertical="center" wrapText="1"/>
    </xf>
    <xf borderId="1" fillId="4" fontId="47" numFmtId="49" xfId="0" applyAlignment="1" applyBorder="1" applyFont="1" applyNumberFormat="1">
      <alignment horizontal="center" readingOrder="0" shrinkToFit="0" vertical="center" wrapText="1"/>
    </xf>
    <xf borderId="1" fillId="4" fontId="48" numFmtId="49" xfId="0" applyAlignment="1" applyBorder="1" applyFont="1" applyNumberFormat="1">
      <alignment horizontal="center" readingOrder="0" shrinkToFit="0" vertical="center" wrapText="1"/>
    </xf>
    <xf borderId="1" fillId="0" fontId="48" numFmtId="49" xfId="0" applyAlignment="1" applyBorder="1" applyFont="1" applyNumberFormat="1">
      <alignment horizontal="center" readingOrder="0" shrinkToFit="0" vertical="center" wrapText="1"/>
    </xf>
    <xf borderId="1" fillId="3" fontId="49" numFmtId="49" xfId="0" applyAlignment="1" applyBorder="1" applyFont="1" applyNumberFormat="1">
      <alignment horizontal="center" readingOrder="0" shrinkToFit="0" vertical="center" wrapText="1"/>
    </xf>
    <xf borderId="1" fillId="5" fontId="47" numFmtId="49" xfId="0" applyAlignment="1" applyBorder="1" applyFill="1" applyFont="1" applyNumberFormat="1">
      <alignment horizontal="center" readingOrder="0" shrinkToFit="0" vertical="center" wrapText="1"/>
    </xf>
    <xf borderId="1" fillId="4" fontId="50" numFmtId="49" xfId="0" applyAlignment="1" applyBorder="1" applyFont="1" applyNumberFormat="1">
      <alignment horizontal="center" readingOrder="0" shrinkToFit="0" vertical="center" wrapText="1"/>
    </xf>
    <xf borderId="1" fillId="5" fontId="50" numFmtId="49" xfId="0" applyAlignment="1" applyBorder="1" applyFont="1" applyNumberFormat="1">
      <alignment horizontal="center" readingOrder="0" shrinkToFit="0" vertical="center" wrapText="1"/>
    </xf>
    <xf borderId="1" fillId="5" fontId="46" numFmtId="49" xfId="0" applyAlignment="1" applyBorder="1" applyFont="1" applyNumberFormat="1">
      <alignment horizontal="center" readingOrder="0" shrinkToFit="0" vertical="center" wrapText="1"/>
    </xf>
    <xf borderId="1" fillId="5" fontId="46"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51" numFmtId="0" xfId="0" applyAlignment="1" applyBorder="1" applyFont="1">
      <alignment readingOrder="0" shrinkToFit="0" vertical="center" wrapText="1"/>
    </xf>
    <xf borderId="1" fillId="0" fontId="51" numFmtId="164" xfId="0" applyAlignment="1" applyBorder="1" applyFont="1" applyNumberFormat="1">
      <alignment horizontal="center" readingOrder="0" shrinkToFit="0" vertical="center" wrapText="1"/>
    </xf>
    <xf borderId="1" fillId="2" fontId="52"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0" fontId="51" numFmtId="9" xfId="0" applyAlignment="1" applyBorder="1" applyFont="1" applyNumberFormat="1">
      <alignment horizontal="center" readingOrder="0" shrinkToFit="0" vertical="center" wrapText="1"/>
    </xf>
    <xf borderId="1" fillId="3" fontId="53" numFmtId="165" xfId="0" applyAlignment="1" applyBorder="1" applyFont="1" applyNumberFormat="1">
      <alignment horizontal="center" readingOrder="0" shrinkToFit="0" vertical="center" wrapText="1"/>
    </xf>
    <xf borderId="1" fillId="0" fontId="54" numFmtId="165" xfId="0" applyAlignment="1" applyBorder="1" applyFont="1" applyNumberFormat="1">
      <alignment horizontal="center" readingOrder="0" shrinkToFit="0" vertical="center" wrapText="1"/>
    </xf>
    <xf borderId="1" fillId="6" fontId="47" numFmtId="165" xfId="0" applyAlignment="1" applyBorder="1" applyFill="1" applyFont="1" applyNumberFormat="1">
      <alignment horizontal="center" readingOrder="0" shrinkToFit="0" vertical="center" wrapText="1"/>
    </xf>
    <xf borderId="1" fillId="7" fontId="55" numFmtId="165" xfId="0" applyAlignment="1" applyBorder="1" applyFill="1" applyFont="1" applyNumberFormat="1">
      <alignment horizontal="center" readingOrder="0" shrinkToFit="0" vertical="center" wrapText="1"/>
    </xf>
    <xf borderId="1" fillId="8" fontId="56" numFmtId="166" xfId="0" applyAlignment="1" applyBorder="1" applyFill="1" applyFont="1" applyNumberFormat="1">
      <alignment horizontal="center" readingOrder="0" shrinkToFit="0" vertical="center" wrapText="1"/>
    </xf>
    <xf borderId="1" fillId="2" fontId="57" numFmtId="165" xfId="0" applyAlignment="1" applyBorder="1" applyFont="1" applyNumberFormat="1">
      <alignment horizontal="center" readingOrder="0" shrinkToFit="0" vertical="center" wrapText="1"/>
    </xf>
    <xf borderId="1" fillId="9" fontId="57" numFmtId="165" xfId="0" applyAlignment="1" applyBorder="1" applyFill="1" applyFont="1" applyNumberFormat="1">
      <alignment horizontal="center" readingOrder="0" shrinkToFit="0" vertical="center" wrapText="1"/>
    </xf>
    <xf borderId="1" fillId="10" fontId="57" numFmtId="165" xfId="0" applyAlignment="1" applyBorder="1" applyFill="1" applyFont="1" applyNumberFormat="1">
      <alignment readingOrder="0" shrinkToFit="0" vertical="center" wrapText="1"/>
    </xf>
    <xf borderId="0" fillId="0" fontId="1" numFmtId="0" xfId="0" applyAlignment="1" applyFont="1">
      <alignment horizontal="center" shrinkToFit="0" vertical="center" wrapText="1"/>
    </xf>
    <xf borderId="1" fillId="11" fontId="57" numFmtId="165" xfId="0" applyAlignment="1" applyBorder="1" applyFill="1" applyFont="1" applyNumberFormat="1">
      <alignment horizontal="center" readingOrder="0" shrinkToFit="0" vertical="center" wrapText="1"/>
    </xf>
    <xf borderId="1" fillId="2" fontId="57" numFmtId="165" xfId="0" applyAlignment="1" applyBorder="1" applyFont="1" applyNumberFormat="1">
      <alignment readingOrder="0" shrinkToFit="0" vertical="center" wrapText="1"/>
    </xf>
    <xf borderId="1" fillId="0" fontId="51" numFmtId="0" xfId="0" applyAlignment="1" applyBorder="1" applyFont="1">
      <alignment readingOrder="0" shrinkToFit="0" vertical="center" wrapText="1"/>
    </xf>
    <xf borderId="1" fillId="0" fontId="5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0" fontId="51" numFmtId="0" xfId="0" applyAlignment="1" applyBorder="1" applyFont="1">
      <alignment horizontal="center" shrinkToFit="0" vertical="center" wrapText="1"/>
    </xf>
    <xf borderId="1" fillId="0" fontId="51" numFmtId="0" xfId="0" applyAlignment="1" applyBorder="1" applyFont="1">
      <alignment shrinkToFit="0" vertical="center" wrapText="1"/>
    </xf>
    <xf borderId="1" fillId="2" fontId="6" numFmtId="0" xfId="0" applyAlignment="1" applyBorder="1" applyFont="1">
      <alignment horizontal="center" readingOrder="0" shrinkToFit="0" vertical="center" wrapText="1"/>
    </xf>
    <xf borderId="1" fillId="3" fontId="51" numFmtId="165" xfId="0" applyAlignment="1" applyBorder="1" applyFont="1" applyNumberFormat="1">
      <alignment horizontal="center" readingOrder="0" shrinkToFit="0" vertical="center" wrapText="1"/>
    </xf>
    <xf borderId="1" fillId="0" fontId="54" numFmtId="165" xfId="0" applyAlignment="1" applyBorder="1" applyFont="1" applyNumberFormat="1">
      <alignment horizontal="center" shrinkToFit="0" vertical="center" wrapText="1"/>
    </xf>
    <xf borderId="1" fillId="6" fontId="58" numFmtId="165" xfId="0" applyAlignment="1" applyBorder="1" applyFont="1" applyNumberFormat="1">
      <alignment horizontal="center" readingOrder="0" shrinkToFit="0" vertical="center" wrapText="1"/>
    </xf>
    <xf borderId="1" fillId="0" fontId="59" numFmtId="0" xfId="0" applyAlignment="1" applyBorder="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0" fontId="59" numFmtId="0" xfId="0" applyAlignment="1" applyBorder="1" applyFont="1">
      <alignment horizontal="center" readingOrder="0" shrinkToFit="0" vertical="center" wrapText="1"/>
    </xf>
    <xf borderId="1" fillId="0" fontId="60" numFmtId="0" xfId="0" applyAlignment="1" applyBorder="1" applyFont="1">
      <alignment horizontal="center" readingOrder="0" shrinkToFit="0" vertical="center" wrapText="1"/>
    </xf>
    <xf borderId="1" fillId="3" fontId="59" numFmtId="165" xfId="0" applyAlignment="1" applyBorder="1" applyFont="1" applyNumberFormat="1">
      <alignment horizontal="center" readingOrder="0" shrinkToFit="0" vertical="center" wrapText="1"/>
    </xf>
    <xf borderId="1" fillId="0" fontId="61" numFmtId="165" xfId="0" applyAlignment="1" applyBorder="1" applyFont="1" applyNumberFormat="1">
      <alignment horizontal="center" shrinkToFit="0" vertical="center" wrapText="1"/>
    </xf>
    <xf borderId="1" fillId="8" fontId="62" numFmtId="166" xfId="0" applyAlignment="1" applyBorder="1" applyFont="1" applyNumberFormat="1">
      <alignment horizontal="center" readingOrder="0" shrinkToFit="0" vertical="center" wrapText="1"/>
    </xf>
    <xf borderId="1" fillId="2" fontId="61" numFmtId="165" xfId="0" applyAlignment="1" applyBorder="1" applyFont="1" applyNumberFormat="1">
      <alignment horizontal="center" readingOrder="0" shrinkToFit="0" vertical="center" wrapText="1"/>
    </xf>
    <xf borderId="1" fillId="9" fontId="61" numFmtId="165" xfId="0" applyAlignment="1" applyBorder="1" applyFont="1" applyNumberFormat="1">
      <alignment horizontal="center" readingOrder="0" shrinkToFit="0" vertical="center" wrapText="1"/>
    </xf>
    <xf borderId="1" fillId="10" fontId="61" numFmtId="165" xfId="0" applyAlignment="1" applyBorder="1" applyFont="1" applyNumberFormat="1">
      <alignment readingOrder="0" shrinkToFit="0" vertical="center" wrapText="1"/>
    </xf>
    <xf borderId="1" fillId="11" fontId="61" numFmtId="165" xfId="0" applyAlignment="1" applyBorder="1" applyFont="1" applyNumberFormat="1">
      <alignment horizontal="center" readingOrder="0" shrinkToFit="0" vertical="center" wrapText="1"/>
    </xf>
    <xf borderId="1" fillId="2" fontId="61" numFmtId="165" xfId="0" applyAlignment="1" applyBorder="1" applyFont="1" applyNumberFormat="1">
      <alignment readingOrder="0" shrinkToFit="0" vertical="center" wrapText="1"/>
    </xf>
    <xf borderId="1" fillId="0" fontId="61" numFmtId="0" xfId="0" applyAlignment="1" applyBorder="1" applyFont="1">
      <alignment horizontal="center" shrinkToFit="0" vertical="center" wrapText="1"/>
    </xf>
    <xf borderId="1" fillId="0" fontId="61" numFmtId="0" xfId="0" applyAlignment="1" applyBorder="1" applyFont="1">
      <alignment horizontal="center" shrinkToFit="0" vertical="center" wrapText="1"/>
    </xf>
    <xf borderId="1" fillId="0" fontId="59" numFmtId="0" xfId="0" applyAlignment="1" applyBorder="1" applyFont="1">
      <alignment horizontal="center" shrinkToFit="0" vertical="center" wrapText="1"/>
    </xf>
    <xf borderId="1" fillId="0" fontId="59" numFmtId="0" xfId="0" applyAlignment="1" applyBorder="1" applyFont="1">
      <alignment shrinkToFit="0" vertical="center" wrapText="1"/>
    </xf>
    <xf borderId="1" fillId="2" fontId="51" numFmtId="164" xfId="0" applyAlignment="1" applyBorder="1" applyFont="1" applyNumberFormat="1">
      <alignment horizontal="center" readingOrder="0" shrinkToFit="0" vertical="center" wrapText="1"/>
    </xf>
    <xf borderId="1" fillId="2" fontId="59"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12" fontId="63" numFmtId="165" xfId="0" applyAlignment="1" applyBorder="1" applyFill="1" applyFont="1" applyNumberFormat="1">
      <alignment horizontal="center" readingOrder="0" shrinkToFit="0" vertical="center" wrapText="1"/>
    </xf>
    <xf borderId="1" fillId="0" fontId="61" numFmtId="165" xfId="0" applyAlignment="1" applyBorder="1" applyFont="1" applyNumberFormat="1">
      <alignment horizontal="center" readingOrder="0" shrinkToFit="0" vertical="center" wrapText="1"/>
    </xf>
    <xf borderId="1" fillId="10" fontId="61" numFmtId="165" xfId="0" applyAlignment="1" applyBorder="1" applyFont="1" applyNumberFormat="1">
      <alignment horizontal="center" readingOrder="0" shrinkToFit="0" vertical="center" wrapText="1"/>
    </xf>
    <xf borderId="1" fillId="0" fontId="61" numFmtId="165" xfId="0" applyAlignment="1" applyBorder="1" applyFont="1" applyNumberFormat="1">
      <alignment readingOrder="0" shrinkToFit="0" vertical="center" wrapText="1"/>
    </xf>
    <xf borderId="1" fillId="13" fontId="51" numFmtId="0" xfId="0" applyAlignment="1" applyBorder="1" applyFill="1" applyFont="1">
      <alignment horizontal="center" readingOrder="0" shrinkToFit="0" vertical="center" wrapText="1"/>
    </xf>
    <xf borderId="1" fillId="13" fontId="51" numFmtId="0" xfId="0" applyAlignment="1" applyBorder="1" applyFont="1">
      <alignment horizontal="center" readingOrder="0" shrinkToFit="0" vertical="center" wrapText="1"/>
    </xf>
    <xf borderId="1" fillId="14" fontId="64" numFmtId="0" xfId="0" applyAlignment="1" applyBorder="1" applyFill="1" applyFont="1">
      <alignment horizontal="center" readingOrder="0" shrinkToFit="0" vertical="center" wrapText="1"/>
    </xf>
    <xf borderId="1" fillId="0" fontId="59" numFmtId="0" xfId="0" applyAlignment="1" applyBorder="1" applyFont="1">
      <alignment horizontal="center" readingOrder="0" shrinkToFit="0" vertical="center" wrapText="1"/>
    </xf>
    <xf borderId="1" fillId="12" fontId="59" numFmtId="165" xfId="0" applyAlignment="1" applyBorder="1" applyFont="1" applyNumberFormat="1">
      <alignment horizontal="center" readingOrder="0" shrinkToFit="0" vertical="center" wrapText="1"/>
    </xf>
    <xf borderId="1" fillId="0" fontId="59" numFmtId="0" xfId="0" applyAlignment="1" applyBorder="1" applyFont="1">
      <alignment horizontal="center" readingOrder="0" shrinkToFit="0" vertical="center" wrapText="1"/>
    </xf>
    <xf borderId="1" fillId="0" fontId="59" numFmtId="0" xfId="0" applyAlignment="1" applyBorder="1" applyFont="1">
      <alignment horizontal="center" readingOrder="0" shrinkToFit="0" vertical="center" wrapText="1"/>
    </xf>
    <xf borderId="1" fillId="0" fontId="59" numFmtId="0" xfId="0" applyAlignment="1" applyBorder="1" applyFont="1">
      <alignment readingOrder="0" shrinkToFit="0" vertical="center" wrapText="1"/>
    </xf>
    <xf borderId="1" fillId="2" fontId="59" numFmtId="0" xfId="0" applyAlignment="1" applyBorder="1" applyFont="1">
      <alignment horizontal="center" readingOrder="0" shrinkToFit="0" vertical="center" wrapText="1"/>
    </xf>
    <xf borderId="1" fillId="12" fontId="59" numFmtId="165" xfId="0" applyAlignment="1" applyBorder="1" applyFont="1" applyNumberFormat="1">
      <alignment horizontal="center" readingOrder="0" shrinkToFit="0" vertical="center" wrapText="1"/>
    </xf>
    <xf borderId="1" fillId="2" fontId="65" numFmtId="0" xfId="0" applyAlignment="1" applyBorder="1" applyFont="1">
      <alignment horizontal="center" readingOrder="0" shrinkToFit="0" vertical="center" wrapText="1"/>
    </xf>
    <xf borderId="1" fillId="2" fontId="6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2" fontId="67" numFmtId="0" xfId="0" applyAlignment="1" applyBorder="1" applyFont="1">
      <alignment horizontal="center" readingOrder="0" shrinkToFit="0" vertical="center" wrapText="1"/>
    </xf>
    <xf borderId="1" fillId="0" fontId="68" numFmtId="0" xfId="0" applyAlignment="1" applyBorder="1" applyFont="1">
      <alignment horizontal="center" readingOrder="0" shrinkToFit="0" vertical="center" wrapText="1"/>
    </xf>
    <xf borderId="1" fillId="3" fontId="51" numFmtId="164" xfId="0" applyAlignment="1" applyBorder="1" applyFont="1" applyNumberFormat="1">
      <alignment horizontal="center" readingOrder="0" shrinkToFit="0" vertical="center" wrapText="1"/>
    </xf>
    <xf borderId="1" fillId="0" fontId="43" numFmtId="0" xfId="0" applyAlignment="1" applyBorder="1" applyFont="1">
      <alignment horizontal="center" shrinkToFit="0" vertical="center" wrapText="1"/>
    </xf>
    <xf borderId="1" fillId="0" fontId="60" numFmtId="0" xfId="0" applyAlignment="1" applyBorder="1" applyFont="1">
      <alignment readingOrder="0" shrinkToFit="0" vertical="center" wrapText="1"/>
    </xf>
    <xf borderId="1" fillId="0" fontId="51" numFmtId="0" xfId="0" applyAlignment="1" applyBorder="1" applyFont="1">
      <alignment horizontal="center" shrinkToFit="0" vertical="center" wrapText="1"/>
    </xf>
    <xf borderId="1" fillId="0" fontId="51" numFmtId="0" xfId="0" applyAlignment="1" applyBorder="1" applyFont="1">
      <alignment shrinkToFit="0" vertical="center" wrapText="1"/>
    </xf>
    <xf borderId="1" fillId="0" fontId="59" numFmtId="9" xfId="0" applyAlignment="1" applyBorder="1" applyFont="1" applyNumberFormat="1">
      <alignment horizontal="center" readingOrder="0" shrinkToFit="0" vertical="center" wrapText="1"/>
    </xf>
    <xf borderId="1" fillId="2" fontId="69" numFmtId="0" xfId="0" applyAlignment="1" applyBorder="1" applyFont="1">
      <alignment horizontal="center" readingOrder="0" shrinkToFit="0" vertical="center" wrapText="1"/>
    </xf>
    <xf borderId="1" fillId="2" fontId="59" numFmtId="0" xfId="0" applyAlignment="1" applyBorder="1" applyFont="1">
      <alignment horizontal="center" shrinkToFit="0" vertical="center" wrapText="1"/>
    </xf>
    <xf borderId="1" fillId="0" fontId="61" numFmtId="0" xfId="0" applyAlignment="1" applyBorder="1" applyFont="1">
      <alignment horizontal="center" readingOrder="0" shrinkToFit="0" vertical="center" wrapText="1"/>
    </xf>
    <xf borderId="1" fillId="15" fontId="51" numFmtId="164" xfId="0" applyAlignment="1" applyBorder="1" applyFill="1" applyFont="1" applyNumberFormat="1">
      <alignment horizontal="center" readingOrder="0" shrinkToFit="0" vertical="center" wrapText="1"/>
    </xf>
    <xf borderId="1" fillId="0" fontId="70" numFmtId="0" xfId="0" applyAlignment="1" applyBorder="1" applyFont="1">
      <alignment horizontal="center" readingOrder="0" shrinkToFit="0" vertical="center" wrapText="1"/>
    </xf>
    <xf borderId="1" fillId="12" fontId="71" numFmtId="165" xfId="0" applyAlignment="1" applyBorder="1" applyFont="1" applyNumberFormat="1">
      <alignment horizontal="center" readingOrder="0" shrinkToFit="0" vertical="center" wrapText="1"/>
    </xf>
    <xf borderId="1" fillId="6" fontId="72" numFmtId="165" xfId="0" applyAlignment="1" applyBorder="1" applyFont="1" applyNumberFormat="1">
      <alignment horizontal="center" readingOrder="0" shrinkToFit="0" vertical="center" wrapText="1"/>
    </xf>
    <xf borderId="1" fillId="0" fontId="73" numFmtId="0" xfId="0" applyAlignment="1" applyBorder="1" applyFont="1">
      <alignment horizontal="center" readingOrder="0" shrinkToFit="0" vertical="center" wrapText="1"/>
    </xf>
    <xf borderId="1" fillId="2" fontId="74" numFmtId="0" xfId="0" applyAlignment="1" applyBorder="1" applyFont="1">
      <alignment horizontal="center" readingOrder="0" shrinkToFit="0" vertical="center" wrapText="1"/>
    </xf>
    <xf borderId="1" fillId="0" fontId="60" numFmtId="0" xfId="0" applyAlignment="1" applyBorder="1" applyFont="1">
      <alignment horizontal="center" readingOrder="0" shrinkToFit="0" vertical="center" wrapText="1"/>
    </xf>
    <xf borderId="3" fillId="0" fontId="60" numFmtId="0" xfId="0" applyAlignment="1" applyBorder="1" applyFont="1">
      <alignment readingOrder="0" shrinkToFit="0" vertical="center" wrapText="1"/>
    </xf>
    <xf borderId="1" fillId="0" fontId="75" numFmtId="0" xfId="0" applyAlignment="1" applyBorder="1" applyFont="1">
      <alignment horizontal="center" readingOrder="0" shrinkToFit="0" vertical="center" wrapText="1"/>
    </xf>
    <xf borderId="1" fillId="16" fontId="59" numFmtId="0" xfId="0" applyAlignment="1" applyBorder="1" applyFill="1" applyFont="1">
      <alignment horizontal="center" shrinkToFit="0" vertical="center" wrapText="1"/>
    </xf>
    <xf borderId="1" fillId="3" fontId="59" numFmtId="165" xfId="0" applyAlignment="1" applyBorder="1" applyFont="1" applyNumberFormat="1">
      <alignment horizontal="center" shrinkToFit="0" vertical="center" wrapText="1"/>
    </xf>
    <xf borderId="1" fillId="0" fontId="59" numFmtId="0" xfId="0" applyAlignment="1" applyBorder="1" applyFont="1">
      <alignment horizontal="center" readingOrder="0" shrinkToFit="0" vertical="center" wrapText="1"/>
    </xf>
    <xf borderId="1" fillId="0" fontId="59" numFmtId="0" xfId="0" applyAlignment="1" applyBorder="1" applyFont="1">
      <alignment readingOrder="0" shrinkToFit="0" vertical="center" wrapText="1"/>
    </xf>
    <xf borderId="4" fillId="17" fontId="76" numFmtId="0" xfId="0" applyAlignment="1" applyBorder="1" applyFill="1" applyFont="1">
      <alignment readingOrder="0" shrinkToFit="0" vertical="center" wrapText="0"/>
    </xf>
    <xf borderId="1" fillId="17" fontId="77" numFmtId="0" xfId="0" applyAlignment="1" applyBorder="1" applyFont="1">
      <alignment horizontal="center" readingOrder="0" shrinkToFit="0" vertical="center" wrapText="1"/>
    </xf>
    <xf borderId="1" fillId="17" fontId="6" numFmtId="0" xfId="0" applyAlignment="1" applyBorder="1" applyFont="1">
      <alignment horizontal="center" readingOrder="0" shrinkToFit="0" vertical="center" wrapText="1"/>
    </xf>
    <xf borderId="1" fillId="17" fontId="51" numFmtId="0" xfId="0" applyAlignment="1" applyBorder="1" applyFont="1">
      <alignment horizontal="center" readingOrder="0" shrinkToFit="0" vertical="center" wrapText="1"/>
    </xf>
    <xf borderId="1" fillId="17" fontId="78" numFmtId="0" xfId="0" applyAlignment="1" applyBorder="1" applyFont="1">
      <alignment horizontal="center" readingOrder="0" shrinkToFit="0" vertical="center" wrapText="1"/>
    </xf>
    <xf borderId="1" fillId="17" fontId="59" numFmtId="0" xfId="0" applyAlignment="1" applyBorder="1" applyFont="1">
      <alignment horizontal="center" readingOrder="0" shrinkToFit="0" vertical="center" wrapText="1"/>
    </xf>
    <xf borderId="1" fillId="17" fontId="51" numFmtId="9" xfId="0" applyAlignment="1" applyBorder="1" applyFont="1" applyNumberFormat="1">
      <alignment horizontal="center" readingOrder="0" shrinkToFit="0" vertical="center" wrapText="1"/>
    </xf>
    <xf borderId="1" fillId="17" fontId="54" numFmtId="165" xfId="0" applyAlignment="1" applyBorder="1" applyFont="1" applyNumberFormat="1">
      <alignment horizontal="center" shrinkToFit="0" vertical="center" wrapText="1"/>
    </xf>
    <xf borderId="1" fillId="7" fontId="79" numFmtId="165" xfId="0" applyAlignment="1" applyBorder="1" applyFont="1" applyNumberFormat="1">
      <alignment horizontal="center" readingOrder="0" shrinkToFit="0" vertical="center" wrapText="1"/>
    </xf>
    <xf borderId="1" fillId="17" fontId="61" numFmtId="165" xfId="0" applyAlignment="1" applyBorder="1" applyFont="1" applyNumberFormat="1">
      <alignment horizontal="center" readingOrder="0" shrinkToFit="0" vertical="center" wrapText="1"/>
    </xf>
    <xf borderId="1" fillId="17" fontId="61" numFmtId="165" xfId="0" applyAlignment="1" applyBorder="1" applyFont="1" applyNumberFormat="1">
      <alignment readingOrder="0" shrinkToFit="0" vertical="center" wrapText="1"/>
    </xf>
    <xf borderId="1" fillId="17" fontId="1" numFmtId="0" xfId="0" applyAlignment="1" applyBorder="1" applyFont="1">
      <alignment horizontal="center" shrinkToFit="0" vertical="center" wrapText="1"/>
    </xf>
    <xf borderId="1" fillId="17" fontId="1" numFmtId="0" xfId="0" applyAlignment="1" applyBorder="1" applyFont="1">
      <alignment horizontal="center" shrinkToFit="0" vertical="center" wrapText="1"/>
    </xf>
    <xf borderId="1" fillId="17" fontId="80" numFmtId="0" xfId="0" applyAlignment="1" applyBorder="1" applyFont="1">
      <alignment readingOrder="0" shrinkToFit="0" vertical="center" wrapText="1"/>
    </xf>
    <xf borderId="1" fillId="2" fontId="81" numFmtId="0" xfId="0" applyAlignment="1" applyBorder="1" applyFont="1">
      <alignment horizontal="center" shrinkToFit="0" vertical="center" wrapText="1"/>
    </xf>
    <xf borderId="1" fillId="0" fontId="82" numFmtId="0" xfId="0" applyAlignment="1" applyBorder="1" applyFont="1">
      <alignment horizontal="center" readingOrder="0" shrinkToFit="0" vertical="center" wrapText="1"/>
    </xf>
    <xf borderId="1" fillId="0" fontId="51" numFmtId="0" xfId="0" applyAlignment="1" applyBorder="1" applyFont="1">
      <alignment readingOrder="0" shrinkToFit="0" vertical="center" wrapText="1"/>
    </xf>
    <xf borderId="1" fillId="0" fontId="51" numFmtId="0" xfId="0" applyAlignment="1" applyBorder="1" applyFont="1">
      <alignment horizontal="center" readingOrder="0" shrinkToFit="0" vertical="center" wrapText="1"/>
    </xf>
    <xf borderId="1" fillId="0" fontId="83"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1" fillId="0" fontId="46" numFmtId="0" xfId="0" applyAlignment="1" applyBorder="1" applyFont="1">
      <alignment readingOrder="0" shrinkToFit="0" vertical="center" wrapText="1"/>
    </xf>
    <xf borderId="1" fillId="0" fontId="59" numFmtId="0" xfId="0" applyAlignment="1" applyBorder="1" applyFont="1">
      <alignment horizontal="center" readingOrder="0" shrinkToFit="0" vertical="center" wrapText="1"/>
    </xf>
    <xf borderId="0" fillId="14" fontId="84" numFmtId="0" xfId="0" applyAlignment="1" applyFont="1">
      <alignment horizontal="center" readingOrder="0" shrinkToFit="0" vertical="center" wrapText="1"/>
    </xf>
    <xf borderId="0" fillId="14" fontId="85" numFmtId="0" xfId="0" applyAlignment="1" applyFont="1">
      <alignment readingOrder="0" shrinkToFit="0" vertical="center" wrapText="1"/>
    </xf>
    <xf borderId="1" fillId="3" fontId="86" numFmtId="165" xfId="0" applyAlignment="1" applyBorder="1" applyFont="1" applyNumberFormat="1">
      <alignment horizontal="center" readingOrder="0" shrinkToFit="0" vertical="center" wrapText="1"/>
    </xf>
    <xf borderId="1" fillId="2" fontId="59" numFmtId="0" xfId="0" applyAlignment="1" applyBorder="1" applyFont="1">
      <alignment readingOrder="0" shrinkToFit="0" vertical="center" wrapText="1"/>
    </xf>
    <xf borderId="1" fillId="18" fontId="6" numFmtId="0" xfId="0" applyAlignment="1" applyBorder="1" applyFill="1" applyFont="1">
      <alignment horizontal="center" readingOrder="0" shrinkToFit="0" vertical="center" wrapText="1"/>
    </xf>
    <xf borderId="1" fillId="2" fontId="87" numFmtId="0" xfId="0" applyAlignment="1" applyBorder="1" applyFont="1">
      <alignment horizontal="center" readingOrder="0" shrinkToFit="0" vertical="center" wrapText="1"/>
    </xf>
    <xf borderId="1" fillId="2" fontId="88" numFmtId="0" xfId="0" applyAlignment="1" applyBorder="1" applyFont="1">
      <alignment horizontal="center" readingOrder="0" shrinkToFit="0" vertical="center" wrapText="1"/>
    </xf>
    <xf borderId="1" fillId="8" fontId="89" numFmtId="166" xfId="0" applyAlignment="1" applyBorder="1" applyFont="1" applyNumberFormat="1">
      <alignment horizontal="center" readingOrder="0" shrinkToFit="0" vertical="center" wrapText="1"/>
    </xf>
    <xf borderId="1" fillId="0" fontId="51" numFmtId="0" xfId="0" applyAlignment="1" applyBorder="1" applyFont="1">
      <alignment readingOrder="0" shrinkToFit="0" vertical="center" wrapText="1"/>
    </xf>
    <xf borderId="1" fillId="0" fontId="90" numFmtId="0" xfId="0" applyAlignment="1" applyBorder="1" applyFont="1">
      <alignment horizontal="center" readingOrder="0" shrinkToFit="0" vertical="center" wrapText="1"/>
    </xf>
    <xf borderId="1" fillId="14" fontId="91" numFmtId="0" xfId="0" applyAlignment="1" applyBorder="1" applyFont="1">
      <alignment horizontal="center" readingOrder="0" shrinkToFit="0" vertical="center" wrapText="1"/>
    </xf>
    <xf borderId="1" fillId="14" fontId="85" numFmtId="0" xfId="0" applyAlignment="1" applyBorder="1" applyFont="1">
      <alignment readingOrder="0" shrinkToFit="0" vertical="center" wrapText="1"/>
    </xf>
    <xf borderId="1" fillId="0" fontId="92" numFmtId="0" xfId="0" applyAlignment="1" applyBorder="1" applyFont="1">
      <alignment horizontal="center" readingOrder="0" shrinkToFit="0" vertical="center" wrapText="1"/>
    </xf>
    <xf borderId="1" fillId="2" fontId="51" numFmtId="0" xfId="0" applyAlignment="1" applyBorder="1" applyFont="1">
      <alignment horizontal="center" readingOrder="0" shrinkToFit="0" vertical="center" wrapText="1"/>
    </xf>
    <xf borderId="1" fillId="19" fontId="77" numFmtId="0" xfId="0" applyAlignment="1" applyBorder="1" applyFill="1" applyFont="1">
      <alignment horizontal="center" readingOrder="0" shrinkToFit="0" vertical="center" wrapText="1"/>
    </xf>
    <xf borderId="1" fillId="0" fontId="81" numFmtId="166" xfId="0" applyAlignment="1" applyBorder="1" applyFont="1" applyNumberFormat="1">
      <alignment horizontal="center" shrinkToFit="0" vertical="center" wrapText="1"/>
    </xf>
    <xf borderId="1" fillId="0" fontId="81" numFmtId="0" xfId="0" applyAlignment="1" applyBorder="1" applyFont="1">
      <alignment horizontal="center" readingOrder="0" shrinkToFit="0" vertical="center" wrapText="1"/>
    </xf>
    <xf borderId="1" fillId="12" fontId="51" numFmtId="165" xfId="0" applyAlignment="1" applyBorder="1" applyFont="1" applyNumberFormat="1">
      <alignment horizontal="center" shrinkToFit="0" vertical="center" wrapText="1"/>
    </xf>
    <xf borderId="1" fillId="0" fontId="54" numFmtId="0" xfId="0" applyAlignment="1" applyBorder="1" applyFont="1">
      <alignment horizontal="center" shrinkToFit="0" vertical="center" wrapText="1"/>
    </xf>
    <xf borderId="1" fillId="2" fontId="93" numFmtId="0" xfId="0" applyAlignment="1" applyBorder="1" applyFont="1">
      <alignment horizontal="center" readingOrder="0" shrinkToFit="0" vertical="center" wrapText="1"/>
    </xf>
    <xf borderId="1" fillId="20" fontId="51" numFmtId="0" xfId="0" applyAlignment="1" applyBorder="1" applyFill="1" applyFont="1">
      <alignment horizontal="center" readingOrder="0" shrinkToFit="0" vertical="center" wrapText="1"/>
    </xf>
    <xf borderId="1" fillId="20" fontId="6" numFmtId="0" xfId="0" applyAlignment="1" applyBorder="1" applyFont="1">
      <alignment horizontal="center" readingOrder="0" shrinkToFit="0" vertical="center" wrapText="1"/>
    </xf>
    <xf borderId="1" fillId="20" fontId="51" numFmtId="0" xfId="0" applyAlignment="1" applyBorder="1" applyFont="1">
      <alignment horizontal="center" readingOrder="0" shrinkToFit="0" vertical="center" wrapText="1"/>
    </xf>
    <xf borderId="1" fillId="20" fontId="77" numFmtId="0" xfId="0" applyAlignment="1" applyBorder="1" applyFont="1">
      <alignment horizontal="center" readingOrder="0" shrinkToFit="0" vertical="center" wrapText="1"/>
    </xf>
    <xf borderId="1" fillId="8" fontId="56" numFmtId="166" xfId="0" applyAlignment="1" applyBorder="1" applyFont="1" applyNumberFormat="1">
      <alignment horizontal="center" shrinkToFit="0" vertical="center" wrapText="1"/>
    </xf>
    <xf borderId="1" fillId="14" fontId="94" numFmtId="0" xfId="0" applyAlignment="1" applyBorder="1" applyFont="1">
      <alignment horizontal="center" readingOrder="0" shrinkToFit="0" vertical="center" wrapText="1"/>
    </xf>
    <xf borderId="1" fillId="14" fontId="85" numFmtId="0" xfId="0" applyAlignment="1" applyBorder="1" applyFont="1">
      <alignment readingOrder="0" shrinkToFit="0" vertical="center" wrapText="1"/>
    </xf>
    <xf borderId="1" fillId="2" fontId="95"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0" fillId="7" fontId="96" numFmtId="165" xfId="0" applyAlignment="1" applyFont="1" applyNumberFormat="1">
      <alignment horizontal="center" readingOrder="0" shrinkToFit="0" vertical="center" wrapText="0"/>
    </xf>
    <xf borderId="1" fillId="0" fontId="97" numFmtId="0" xfId="0" applyAlignment="1" applyBorder="1" applyFont="1">
      <alignment horizontal="center" readingOrder="0" shrinkToFit="0" vertical="center" wrapText="1"/>
    </xf>
    <xf borderId="1" fillId="7" fontId="46" numFmtId="165" xfId="0" applyAlignment="1" applyBorder="1" applyFont="1" applyNumberFormat="1">
      <alignment horizontal="center" readingOrder="0" shrinkToFit="0" vertical="center" wrapText="0"/>
    </xf>
    <xf borderId="1" fillId="0" fontId="98" numFmtId="0" xfId="0" applyBorder="1" applyFont="1"/>
    <xf borderId="0" fillId="0" fontId="98" numFmtId="0" xfId="0" applyFont="1"/>
    <xf borderId="1" fillId="16" fontId="99" numFmtId="0" xfId="0" applyAlignment="1" applyBorder="1" applyFont="1">
      <alignment shrinkToFit="0" vertical="center" wrapText="1"/>
    </xf>
    <xf borderId="1" fillId="16" fontId="81" numFmtId="164" xfId="0" applyAlignment="1" applyBorder="1" applyFont="1" applyNumberFormat="1">
      <alignment horizontal="center" shrinkToFit="0" vertical="center" wrapText="1"/>
    </xf>
    <xf borderId="1" fillId="16" fontId="81"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16" fontId="100" numFmtId="0" xfId="0" applyAlignment="1" applyBorder="1" applyFont="1">
      <alignment horizontal="center" readingOrder="0" shrinkToFit="0" vertical="center" wrapText="1"/>
    </xf>
    <xf borderId="1" fillId="2" fontId="101" numFmtId="0" xfId="0" applyAlignment="1" applyBorder="1" applyFont="1">
      <alignment horizontal="center" readingOrder="0" shrinkToFit="0" vertical="center" wrapText="1"/>
    </xf>
    <xf borderId="1" fillId="16" fontId="81" numFmtId="0" xfId="0" applyAlignment="1" applyBorder="1" applyFont="1">
      <alignment horizontal="center" shrinkToFit="0" vertical="center" wrapText="1"/>
    </xf>
    <xf borderId="1" fillId="16" fontId="102" numFmtId="0" xfId="0" applyAlignment="1" applyBorder="1" applyFont="1">
      <alignment horizontal="center" shrinkToFit="0" vertical="center" wrapText="1"/>
    </xf>
    <xf borderId="1" fillId="3" fontId="81" numFmtId="165" xfId="0" applyAlignment="1" applyBorder="1" applyFont="1" applyNumberFormat="1">
      <alignment horizontal="center" shrinkToFit="0" vertical="center" wrapText="1"/>
    </xf>
    <xf borderId="1" fillId="16" fontId="98" numFmtId="165" xfId="0" applyAlignment="1" applyBorder="1" applyFont="1" applyNumberFormat="1">
      <alignment shrinkToFit="0" vertical="center" wrapText="0"/>
    </xf>
    <xf borderId="1" fillId="6" fontId="58" numFmtId="165" xfId="0" applyAlignment="1" applyBorder="1" applyFont="1" applyNumberFormat="1">
      <alignment horizontal="center" shrinkToFit="0" vertical="center" wrapText="1"/>
    </xf>
    <xf borderId="1" fillId="7" fontId="103" numFmtId="165" xfId="0" applyAlignment="1" applyBorder="1" applyFont="1" applyNumberFormat="1">
      <alignment horizontal="center" shrinkToFit="0" vertical="center" wrapText="1"/>
    </xf>
    <xf borderId="1" fillId="8" fontId="104" numFmtId="166" xfId="0" applyAlignment="1" applyBorder="1" applyFont="1" applyNumberFormat="1">
      <alignment horizontal="center" shrinkToFit="0" vertical="center" wrapText="1"/>
    </xf>
    <xf borderId="1" fillId="16" fontId="105" numFmtId="165" xfId="0" applyAlignment="1" applyBorder="1" applyFont="1" applyNumberFormat="1">
      <alignment horizontal="center" shrinkToFit="0" vertical="center" wrapText="1"/>
    </xf>
    <xf borderId="1" fillId="9" fontId="105" numFmtId="165" xfId="0" applyAlignment="1" applyBorder="1" applyFont="1" applyNumberFormat="1">
      <alignment horizontal="center" shrinkToFit="0" vertical="center" wrapText="1"/>
    </xf>
    <xf borderId="1" fillId="10" fontId="105" numFmtId="165" xfId="0" applyAlignment="1" applyBorder="1" applyFont="1" applyNumberFormat="1">
      <alignment horizontal="center" shrinkToFit="0" vertical="center" wrapText="1"/>
    </xf>
    <xf borderId="1" fillId="11" fontId="105" numFmtId="165" xfId="0" applyAlignment="1" applyBorder="1" applyFont="1" applyNumberFormat="1">
      <alignment horizontal="center" shrinkToFit="0" vertical="center" wrapText="1"/>
    </xf>
    <xf borderId="1" fillId="16" fontId="105" numFmtId="165" xfId="0" applyAlignment="1" applyBorder="1" applyFont="1" applyNumberFormat="1">
      <alignment shrinkToFit="0" vertical="center" wrapText="1"/>
    </xf>
    <xf borderId="1" fillId="16" fontId="98" numFmtId="0" xfId="0" applyAlignment="1" applyBorder="1" applyFont="1">
      <alignment shrinkToFit="0" vertical="center" wrapText="0"/>
    </xf>
    <xf borderId="1" fillId="16" fontId="98" numFmtId="0" xfId="0" applyAlignment="1" applyBorder="1" applyFont="1">
      <alignment shrinkToFit="0" vertical="center" wrapText="0"/>
    </xf>
    <xf borderId="1" fillId="16" fontId="51" numFmtId="0" xfId="0" applyAlignment="1" applyBorder="1" applyFont="1">
      <alignment horizontal="center" readingOrder="0" shrinkToFit="0" vertical="center" wrapText="1"/>
    </xf>
    <xf borderId="1" fillId="16" fontId="51" numFmtId="0" xfId="0" applyAlignment="1" applyBorder="1" applyFont="1">
      <alignment readingOrder="0" shrinkToFit="0" vertical="center" wrapText="1"/>
    </xf>
    <xf borderId="1" fillId="2" fontId="77" numFmtId="0" xfId="0" applyAlignment="1" applyBorder="1" applyFont="1">
      <alignment horizontal="center" readingOrder="0" shrinkToFit="0" vertical="center" wrapText="1"/>
    </xf>
    <xf borderId="0" fillId="0" fontId="1" numFmtId="0" xfId="0" applyAlignment="1" applyFont="1">
      <alignment horizontal="center" shrinkToFit="0" vertical="center" wrapText="0"/>
    </xf>
    <xf borderId="0" fillId="0" fontId="1" numFmtId="0" xfId="0" applyAlignment="1" applyFont="1">
      <alignment shrinkToFit="0" vertical="center" wrapText="0"/>
    </xf>
    <xf borderId="1" fillId="12" fontId="51" numFmtId="165" xfId="0" applyAlignment="1" applyBorder="1" applyFont="1" applyNumberFormat="1">
      <alignment horizontal="center" readingOrder="0" shrinkToFit="0" vertical="center" wrapText="1"/>
    </xf>
    <xf borderId="3" fillId="0" fontId="51" numFmtId="0" xfId="0" applyAlignment="1" applyBorder="1" applyFont="1">
      <alignment shrinkToFit="0" vertical="center" wrapText="1"/>
    </xf>
    <xf borderId="3" fillId="0" fontId="51" numFmtId="0" xfId="0" applyAlignment="1" applyBorder="1" applyFont="1">
      <alignment horizontal="center" readingOrder="0" shrinkToFit="0" vertical="center" wrapText="1"/>
    </xf>
    <xf borderId="1" fillId="0" fontId="43" numFmtId="165" xfId="0" applyAlignment="1" applyBorder="1" applyFont="1" applyNumberFormat="1">
      <alignment horizontal="center" shrinkToFit="0" vertical="center" wrapText="1"/>
    </xf>
    <xf borderId="1" fillId="9" fontId="43" numFmtId="165" xfId="0" applyAlignment="1" applyBorder="1" applyFont="1" applyNumberFormat="1">
      <alignment horizontal="center" shrinkToFit="0" vertical="center" wrapText="1"/>
    </xf>
    <xf borderId="1" fillId="10" fontId="43" numFmtId="165" xfId="0" applyAlignment="1" applyBorder="1" applyFont="1" applyNumberFormat="1">
      <alignment shrinkToFit="0" vertical="center" wrapText="1"/>
    </xf>
    <xf borderId="1" fillId="11" fontId="43" numFmtId="165" xfId="0" applyAlignment="1" applyBorder="1" applyFont="1" applyNumberFormat="1">
      <alignment horizontal="center" shrinkToFit="0" vertical="center" wrapText="1"/>
    </xf>
    <xf borderId="1" fillId="0" fontId="43" numFmtId="165" xfId="0" applyAlignment="1" applyBorder="1" applyFont="1" applyNumberFormat="1">
      <alignment shrinkToFit="0" vertical="center" wrapText="1"/>
    </xf>
    <xf borderId="1" fillId="16" fontId="106" numFmtId="0" xfId="0" applyAlignment="1" applyBorder="1" applyFont="1">
      <alignment horizontal="center" shrinkToFit="0" vertical="center" wrapText="1"/>
    </xf>
    <xf borderId="1" fillId="10" fontId="43" numFmtId="165" xfId="0" applyAlignment="1" applyBorder="1" applyFont="1" applyNumberFormat="1">
      <alignment horizontal="center" shrinkToFit="0" vertical="center" wrapText="1"/>
    </xf>
    <xf borderId="1" fillId="2" fontId="74" numFmtId="0" xfId="0" applyAlignment="1" applyBorder="1" applyFont="1">
      <alignment horizontal="center" readingOrder="0" shrinkToFit="0" vertical="center" wrapText="1"/>
    </xf>
    <xf borderId="3" fillId="0" fontId="5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0" fillId="14" fontId="107" numFmtId="0" xfId="0" applyAlignment="1" applyFont="1">
      <alignment horizontal="center" readingOrder="0" shrinkToFit="0" vertical="center" wrapText="0"/>
    </xf>
    <xf borderId="0" fillId="14" fontId="108" numFmtId="0" xfId="0" applyAlignment="1" applyFont="1">
      <alignment readingOrder="0" shrinkToFit="0" vertical="center" wrapText="0"/>
    </xf>
    <xf borderId="1" fillId="0" fontId="109" numFmtId="0" xfId="0" applyAlignment="1" applyBorder="1" applyFont="1">
      <alignment horizontal="center" readingOrder="0" shrinkToFit="0" vertical="center" wrapText="1"/>
    </xf>
    <xf borderId="1" fillId="8" fontId="56" numFmtId="166" xfId="0" applyAlignment="1" applyBorder="1" applyFont="1" applyNumberFormat="1">
      <alignment horizontal="center" readingOrder="0" shrinkToFit="0" vertical="center" wrapText="0"/>
    </xf>
    <xf borderId="1" fillId="2" fontId="110" numFmtId="0" xfId="0" applyAlignment="1" applyBorder="1" applyFont="1">
      <alignment horizontal="center" readingOrder="0" shrinkToFit="0" vertical="center" wrapText="1"/>
    </xf>
    <xf borderId="0" fillId="0" fontId="51" numFmtId="0" xfId="0" applyAlignment="1" applyFont="1">
      <alignment horizontal="center" readingOrder="0" shrinkToFit="0" vertical="center" wrapText="1"/>
    </xf>
    <xf borderId="0" fillId="0" fontId="51" numFmtId="0" xfId="0" applyAlignment="1" applyFont="1">
      <alignment horizontal="center" readingOrder="0" shrinkToFit="0" vertical="center" wrapText="1"/>
    </xf>
    <xf borderId="0" fillId="0" fontId="51" numFmtId="0" xfId="0" applyAlignment="1" applyFont="1">
      <alignment horizontal="center" readingOrder="0" shrinkToFit="0" vertical="center" wrapText="1"/>
    </xf>
    <xf borderId="3" fillId="2" fontId="111" numFmtId="0" xfId="0" applyAlignment="1" applyBorder="1" applyFont="1">
      <alignment horizontal="center" readingOrder="0" shrinkToFit="0" vertical="center" wrapText="1"/>
    </xf>
    <xf borderId="1" fillId="7" fontId="79" numFmtId="165" xfId="0" applyAlignment="1" applyBorder="1" applyFont="1" applyNumberFormat="1">
      <alignment horizontal="center" shrinkToFit="0" vertical="center" wrapText="1"/>
    </xf>
    <xf borderId="1" fillId="15" fontId="112" numFmtId="0" xfId="0" applyAlignment="1" applyBorder="1" applyFont="1">
      <alignment horizontal="center" readingOrder="0" shrinkToFit="0" vertical="center" wrapText="1"/>
    </xf>
    <xf borderId="1" fillId="15" fontId="110" numFmtId="0" xfId="0" applyAlignment="1" applyBorder="1" applyFont="1">
      <alignment horizontal="center" readingOrder="0" shrinkToFit="0" vertical="center" wrapText="1"/>
    </xf>
    <xf borderId="1" fillId="15" fontId="51" numFmtId="0" xfId="0" applyAlignment="1" applyBorder="1" applyFont="1">
      <alignment horizontal="center" readingOrder="0" shrinkToFit="0" vertical="center" wrapText="1"/>
    </xf>
    <xf borderId="1" fillId="15" fontId="51" numFmtId="0" xfId="0" applyAlignment="1" applyBorder="1" applyFont="1">
      <alignment horizontal="center" readingOrder="0" shrinkToFit="0" vertical="center" wrapText="1"/>
    </xf>
    <xf borderId="1" fillId="15" fontId="113" numFmtId="0" xfId="0" applyAlignment="1" applyBorder="1" applyFont="1">
      <alignment horizontal="center" readingOrder="0" shrinkToFit="0" vertical="center" wrapText="0"/>
    </xf>
    <xf borderId="1" fillId="15" fontId="108" numFmtId="0" xfId="0" applyAlignment="1" applyBorder="1" applyFont="1">
      <alignment readingOrder="0" shrinkToFit="0" vertical="center" wrapText="0"/>
    </xf>
    <xf borderId="1" fillId="0" fontId="1" numFmtId="0" xfId="0" applyAlignment="1" applyBorder="1" applyFont="1">
      <alignment horizontal="center" shrinkToFit="0" vertical="center" wrapText="1"/>
    </xf>
    <xf borderId="1" fillId="6" fontId="114" numFmtId="165" xfId="0" applyAlignment="1" applyBorder="1" applyFont="1" applyNumberFormat="1">
      <alignment horizontal="center" readingOrder="0" shrinkToFit="0" vertical="center" wrapText="1"/>
    </xf>
    <xf borderId="1" fillId="0" fontId="43" numFmtId="165" xfId="0" applyAlignment="1" applyBorder="1" applyFont="1" applyNumberFormat="1">
      <alignment horizontal="center" readingOrder="0" shrinkToFit="0" vertical="center" wrapText="1"/>
    </xf>
    <xf borderId="1" fillId="9" fontId="43" numFmtId="165" xfId="0" applyAlignment="1" applyBorder="1" applyFont="1" applyNumberFormat="1">
      <alignment horizontal="center" readingOrder="0" shrinkToFit="0" vertical="center" wrapText="1"/>
    </xf>
    <xf borderId="1" fillId="10" fontId="43" numFmtId="165" xfId="0" applyAlignment="1" applyBorder="1" applyFont="1" applyNumberFormat="1">
      <alignment readingOrder="0" shrinkToFit="0" vertical="center" wrapText="1"/>
    </xf>
    <xf borderId="1" fillId="11" fontId="43" numFmtId="165" xfId="0" applyAlignment="1" applyBorder="1" applyFont="1" applyNumberFormat="1">
      <alignment horizontal="center" readingOrder="0" shrinkToFit="0" vertical="center" wrapText="1"/>
    </xf>
    <xf borderId="1" fillId="0" fontId="43" numFmtId="165" xfId="0" applyAlignment="1" applyBorder="1" applyFont="1" applyNumberFormat="1">
      <alignment readingOrder="0" shrinkToFit="0" vertical="center" wrapText="1"/>
    </xf>
    <xf borderId="1" fillId="14" fontId="115" numFmtId="0" xfId="0" applyAlignment="1" applyBorder="1" applyFont="1">
      <alignment horizontal="center" readingOrder="0" shrinkToFit="0" vertical="center" wrapText="0"/>
    </xf>
    <xf borderId="1" fillId="14" fontId="108" numFmtId="0" xfId="0" applyAlignment="1" applyBorder="1" applyFont="1">
      <alignment readingOrder="0" shrinkToFit="0" vertical="center" wrapText="0"/>
    </xf>
    <xf borderId="3" fillId="0" fontId="1"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3" fontId="51" numFmtId="165" xfId="0" applyAlignment="1" applyBorder="1" applyFont="1" applyNumberFormat="1">
      <alignment horizontal="center" shrinkToFit="0" vertical="center" wrapText="1"/>
    </xf>
    <xf borderId="1" fillId="2" fontId="116" numFmtId="0" xfId="0" applyAlignment="1" applyBorder="1" applyFont="1">
      <alignment horizontal="center" readingOrder="0" shrinkToFit="0" vertical="center" wrapText="1"/>
    </xf>
    <xf borderId="1" fillId="21" fontId="51" numFmtId="0" xfId="0" applyAlignment="1" applyBorder="1" applyFill="1" applyFont="1">
      <alignment readingOrder="0" shrinkToFit="0" vertical="center" wrapText="1"/>
    </xf>
    <xf borderId="1" fillId="21" fontId="51" numFmtId="164" xfId="0" applyAlignment="1" applyBorder="1" applyFont="1" applyNumberFormat="1">
      <alignment horizontal="center" readingOrder="0" shrinkToFit="0" vertical="center" wrapText="1"/>
    </xf>
    <xf borderId="1" fillId="21" fontId="67" numFmtId="0" xfId="0" applyAlignment="1" applyBorder="1" applyFont="1">
      <alignment horizontal="center" readingOrder="0" shrinkToFit="0" vertical="center" wrapText="1"/>
    </xf>
    <xf borderId="1" fillId="21" fontId="110" numFmtId="0" xfId="0" applyAlignment="1" applyBorder="1" applyFont="1">
      <alignment horizontal="center" readingOrder="0" shrinkToFit="0" vertical="center" wrapText="1"/>
    </xf>
    <xf borderId="1" fillId="21" fontId="51" numFmtId="0" xfId="0" applyAlignment="1" applyBorder="1" applyFont="1">
      <alignment horizontal="center" readingOrder="0" shrinkToFit="0" vertical="center" wrapText="1"/>
    </xf>
    <xf borderId="1" fillId="21" fontId="51" numFmtId="0" xfId="0" applyAlignment="1" applyBorder="1" applyFont="1">
      <alignment horizontal="center" readingOrder="0" shrinkToFit="0" vertical="center" wrapText="1"/>
    </xf>
    <xf borderId="1" fillId="21" fontId="51" numFmtId="9" xfId="0" applyAlignment="1" applyBorder="1" applyFont="1" applyNumberFormat="1">
      <alignment horizontal="center" readingOrder="0" shrinkToFit="0" vertical="center" wrapText="1"/>
    </xf>
    <xf borderId="1" fillId="21" fontId="54" numFmtId="165" xfId="0" applyAlignment="1" applyBorder="1" applyFont="1" applyNumberFormat="1">
      <alignment horizontal="center" shrinkToFit="0" vertical="center" wrapText="1"/>
    </xf>
    <xf borderId="1" fillId="21" fontId="43" numFmtId="165" xfId="0" applyAlignment="1" applyBorder="1" applyFont="1" applyNumberFormat="1">
      <alignment horizontal="center" readingOrder="0" shrinkToFit="0" vertical="center" wrapText="1"/>
    </xf>
    <xf borderId="1" fillId="21" fontId="43" numFmtId="165" xfId="0" applyAlignment="1" applyBorder="1" applyFont="1" applyNumberFormat="1">
      <alignment readingOrder="0" shrinkToFit="0" vertical="center" wrapText="1"/>
    </xf>
    <xf borderId="1" fillId="21" fontId="51" numFmtId="0" xfId="0" applyAlignment="1" applyBorder="1" applyFont="1">
      <alignment readingOrder="0" shrinkToFit="0" vertical="center" wrapText="1"/>
    </xf>
    <xf borderId="1" fillId="2" fontId="51" numFmtId="0" xfId="0" applyAlignment="1" applyBorder="1" applyFont="1">
      <alignment readingOrder="0" shrinkToFit="0" vertical="center" wrapText="1"/>
    </xf>
    <xf borderId="1" fillId="2" fontId="68" numFmtId="0" xfId="0" applyAlignment="1" applyBorder="1" applyFont="1">
      <alignment horizontal="center" readingOrder="0" shrinkToFit="0" vertical="center" wrapText="1"/>
    </xf>
    <xf borderId="1" fillId="2" fontId="51" numFmtId="0" xfId="0" applyAlignment="1" applyBorder="1" applyFont="1">
      <alignment horizontal="center" readingOrder="0" shrinkToFit="0" vertical="center" wrapText="1"/>
    </xf>
    <xf borderId="1" fillId="2" fontId="51" numFmtId="0" xfId="0" applyAlignment="1" applyBorder="1" applyFont="1">
      <alignment horizontal="center" readingOrder="0" shrinkToFit="0" vertical="center" wrapText="1"/>
    </xf>
    <xf borderId="1" fillId="2" fontId="51" numFmtId="9" xfId="0" applyAlignment="1" applyBorder="1" applyFont="1" applyNumberFormat="1">
      <alignment horizontal="center" readingOrder="0" shrinkToFit="0" vertical="center" wrapText="1"/>
    </xf>
    <xf borderId="1" fillId="2" fontId="54" numFmtId="165" xfId="0" applyAlignment="1" applyBorder="1" applyFont="1" applyNumberFormat="1">
      <alignment horizontal="center" shrinkToFit="0" vertical="center" wrapText="1"/>
    </xf>
    <xf borderId="1" fillId="2" fontId="43" numFmtId="165" xfId="0" applyAlignment="1" applyBorder="1" applyFont="1" applyNumberFormat="1">
      <alignment horizontal="center" shrinkToFit="0" vertical="center" wrapText="1"/>
    </xf>
    <xf borderId="1" fillId="2" fontId="43" numFmtId="165" xfId="0" applyAlignment="1" applyBorder="1" applyFont="1" applyNumberFormat="1">
      <alignment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2" fontId="51" numFmtId="0" xfId="0" applyAlignment="1" applyBorder="1" applyFont="1">
      <alignment readingOrder="0" shrinkToFit="0" vertical="center" wrapText="1"/>
    </xf>
    <xf borderId="1" fillId="2" fontId="1" numFmtId="0" xfId="0" applyAlignment="1" applyBorder="1" applyFont="1">
      <alignment horizontal="center" shrinkToFit="0" vertical="center" wrapText="1"/>
    </xf>
    <xf borderId="1" fillId="0" fontId="43" numFmtId="0" xfId="0" applyAlignment="1" applyBorder="1" applyFont="1">
      <alignment horizontal="center" readingOrder="0" shrinkToFit="0" vertical="center" wrapText="1"/>
    </xf>
    <xf borderId="1" fillId="3" fontId="51" numFmtId="0" xfId="0" applyAlignment="1" applyBorder="1" applyFont="1">
      <alignment horizontal="center" readingOrder="0" shrinkToFit="0" vertical="center" wrapText="1"/>
    </xf>
    <xf borderId="1" fillId="0" fontId="46" numFmtId="0" xfId="0" applyAlignment="1" applyBorder="1" applyFont="1">
      <alignment shrinkToFit="0" vertical="center" wrapText="1"/>
    </xf>
    <xf borderId="1" fillId="0" fontId="117" numFmtId="0" xfId="0" applyAlignment="1" applyBorder="1" applyFont="1">
      <alignment horizontal="center" readingOrder="0" shrinkToFit="0" vertical="center" wrapText="1"/>
    </xf>
    <xf borderId="1" fillId="14" fontId="118" numFmtId="0" xfId="0" applyAlignment="1" applyBorder="1" applyFont="1">
      <alignment horizontal="center" readingOrder="0" shrinkToFit="0" vertical="center" wrapText="0"/>
    </xf>
    <xf borderId="1" fillId="14" fontId="108" numFmtId="0" xfId="0" applyAlignment="1" applyBorder="1" applyFont="1">
      <alignment readingOrder="0" shrinkToFit="0" vertical="center" wrapText="0"/>
    </xf>
    <xf borderId="1" fillId="22" fontId="51" numFmtId="0" xfId="0" applyAlignment="1" applyBorder="1" applyFill="1" applyFont="1">
      <alignment horizontal="center" readingOrder="0" shrinkToFit="0" vertical="center" wrapText="1"/>
    </xf>
    <xf borderId="1" fillId="7" fontId="46" numFmtId="165" xfId="0" applyAlignment="1" applyBorder="1" applyFont="1" applyNumberFormat="1">
      <alignment horizontal="center" readingOrder="0" shrinkToFit="0" vertical="center" wrapText="1"/>
    </xf>
    <xf borderId="1" fillId="14" fontId="119" numFmtId="0" xfId="0" applyAlignment="1" applyBorder="1" applyFont="1">
      <alignment readingOrder="0" shrinkToFit="0" vertical="center" wrapText="0"/>
    </xf>
    <xf borderId="1" fillId="0" fontId="51" numFmtId="0" xfId="0" applyAlignment="1" applyBorder="1" applyFont="1">
      <alignment horizontal="center" readingOrder="0" shrinkToFit="0" vertical="center" wrapText="1"/>
    </xf>
    <xf borderId="1" fillId="2" fontId="120" numFmtId="0" xfId="0" applyAlignment="1" applyBorder="1" applyFont="1">
      <alignment horizontal="center" readingOrder="0" shrinkToFit="0" vertical="center" wrapText="1"/>
    </xf>
    <xf borderId="1" fillId="2" fontId="51" numFmtId="0" xfId="0" applyAlignment="1" applyBorder="1" applyFont="1">
      <alignment horizontal="center" shrinkToFit="0" vertical="center" wrapText="1"/>
    </xf>
    <xf borderId="1" fillId="2" fontId="46" numFmtId="0" xfId="0" applyAlignment="1" applyBorder="1" applyFont="1">
      <alignment shrinkToFit="0" vertical="center" wrapText="1"/>
    </xf>
    <xf borderId="1" fillId="2" fontId="54" numFmtId="0" xfId="0" applyAlignment="1" applyBorder="1" applyFont="1">
      <alignment horizontal="center" shrinkToFit="0" vertical="center" wrapText="1"/>
    </xf>
    <xf borderId="1" fillId="2" fontId="1" numFmtId="0" xfId="0" applyAlignment="1" applyBorder="1" applyFont="1">
      <alignment shrinkToFit="0" vertical="center" wrapText="0"/>
    </xf>
    <xf borderId="0" fillId="2" fontId="96" numFmtId="0" xfId="0" applyAlignment="1" applyFont="1">
      <alignment shrinkToFit="0" vertical="center" wrapText="0"/>
    </xf>
    <xf borderId="1" fillId="2" fontId="61" numFmtId="0" xfId="0" applyAlignment="1" applyBorder="1" applyFont="1">
      <alignment horizontal="center" shrinkToFit="0" vertical="center" wrapText="1"/>
    </xf>
    <xf borderId="1" fillId="15" fontId="106" numFmtId="0" xfId="0" applyAlignment="1" applyBorder="1" applyFont="1">
      <alignment horizontal="center" shrinkToFit="0" vertical="center" wrapText="1"/>
    </xf>
    <xf borderId="1" fillId="18" fontId="110" numFmtId="0" xfId="0" applyAlignment="1" applyBorder="1" applyFont="1">
      <alignment horizontal="center" readingOrder="0" shrinkToFit="0" vertical="center" wrapText="1"/>
    </xf>
    <xf borderId="1" fillId="2" fontId="121" numFmtId="0" xfId="0" applyAlignment="1" applyBorder="1" applyFont="1">
      <alignment horizontal="center" readingOrder="0" shrinkToFit="0" vertical="center" wrapText="1"/>
    </xf>
    <xf borderId="1" fillId="23" fontId="51" numFmtId="0" xfId="0" applyAlignment="1" applyBorder="1" applyFill="1" applyFont="1">
      <alignment horizontal="center" readingOrder="0" shrinkToFit="0" vertical="center" wrapText="1"/>
    </xf>
    <xf borderId="1" fillId="23" fontId="51" numFmtId="0" xfId="0" applyAlignment="1" applyBorder="1" applyFont="1">
      <alignment horizontal="center" readingOrder="0" shrinkToFit="0" vertical="center" wrapText="1"/>
    </xf>
    <xf borderId="1" fillId="23" fontId="54" numFmtId="165" xfId="0" applyAlignment="1" applyBorder="1" applyFont="1" applyNumberFormat="1">
      <alignment horizontal="center" shrinkToFit="0" vertical="center" wrapText="1"/>
    </xf>
    <xf borderId="1" fillId="23" fontId="43" numFmtId="165" xfId="0" applyAlignment="1" applyBorder="1" applyFont="1" applyNumberFormat="1">
      <alignment horizontal="center" shrinkToFit="0" vertical="center" wrapText="1"/>
    </xf>
    <xf borderId="1" fillId="23" fontId="43" numFmtId="165" xfId="0" applyAlignment="1" applyBorder="1" applyFont="1" applyNumberFormat="1">
      <alignment shrinkToFit="0" vertical="center" wrapText="1"/>
    </xf>
    <xf borderId="1" fillId="23" fontId="1" numFmtId="0" xfId="0" applyAlignment="1" applyBorder="1" applyFont="1">
      <alignment horizontal="center" shrinkToFit="0" vertical="center" wrapText="1"/>
    </xf>
    <xf borderId="1" fillId="23" fontId="1" numFmtId="0" xfId="0" applyAlignment="1" applyBorder="1" applyFont="1">
      <alignment horizontal="center" shrinkToFit="0" vertical="center" wrapText="1"/>
    </xf>
    <xf borderId="1" fillId="2" fontId="46" numFmtId="0" xfId="0" applyAlignment="1" applyBorder="1" applyFont="1">
      <alignment readingOrder="0" shrinkToFit="0" vertical="center" wrapText="1"/>
    </xf>
    <xf borderId="1" fillId="23" fontId="1" numFmtId="0" xfId="0" applyAlignment="1" applyBorder="1" applyFont="1">
      <alignment horizontal="center" shrinkToFit="0" vertical="center" wrapText="1"/>
    </xf>
    <xf borderId="1" fillId="15" fontId="51" numFmtId="0" xfId="0" applyAlignment="1" applyBorder="1" applyFont="1">
      <alignment readingOrder="0" shrinkToFit="0" vertical="center" wrapText="1"/>
    </xf>
    <xf borderId="1" fillId="15" fontId="51" numFmtId="0" xfId="0" applyAlignment="1" applyBorder="1" applyFont="1">
      <alignment horizontal="center" shrinkToFit="0" vertical="center" wrapText="1"/>
    </xf>
    <xf borderId="1" fillId="15" fontId="68" numFmtId="0" xfId="0" applyAlignment="1" applyBorder="1" applyFont="1">
      <alignment horizontal="center" shrinkToFit="0" vertical="center" wrapText="1"/>
    </xf>
    <xf borderId="1" fillId="15" fontId="51" numFmtId="0" xfId="0" applyAlignment="1" applyBorder="1" applyFont="1">
      <alignment horizontal="center" shrinkToFit="0" vertical="center" wrapText="1"/>
    </xf>
    <xf borderId="1" fillId="15" fontId="122" numFmtId="0" xfId="0" applyAlignment="1" applyBorder="1" applyFont="1">
      <alignment horizontal="center" readingOrder="0" shrinkToFit="0" vertical="center" wrapText="1"/>
    </xf>
    <xf borderId="1" fillId="15" fontId="51" numFmtId="0" xfId="0" applyAlignment="1" applyBorder="1" applyFont="1">
      <alignment horizontal="center" shrinkToFit="0" vertical="center" wrapText="1"/>
    </xf>
    <xf borderId="1" fillId="15" fontId="54" numFmtId="0" xfId="0" applyAlignment="1" applyBorder="1" applyFont="1">
      <alignment horizontal="center" shrinkToFit="0" vertical="center" wrapText="1"/>
    </xf>
    <xf borderId="1" fillId="15" fontId="43" numFmtId="165" xfId="0" applyAlignment="1" applyBorder="1" applyFont="1" applyNumberFormat="1">
      <alignment horizontal="center" shrinkToFit="0" vertical="center" wrapText="1"/>
    </xf>
    <xf borderId="0" fillId="15" fontId="1" numFmtId="0" xfId="0" applyAlignment="1" applyFont="1">
      <alignment horizontal="center" shrinkToFit="0" vertical="center" wrapText="1"/>
    </xf>
    <xf borderId="1" fillId="15" fontId="43" numFmtId="165" xfId="0" applyAlignment="1" applyBorder="1" applyFont="1" applyNumberFormat="1">
      <alignment shrinkToFit="0" vertical="center" wrapText="1"/>
    </xf>
    <xf borderId="1" fillId="15" fontId="51" numFmtId="0" xfId="0" applyAlignment="1" applyBorder="1" applyFont="1">
      <alignment readingOrder="0" shrinkToFit="0" vertical="center" wrapText="1"/>
    </xf>
    <xf borderId="1" fillId="15" fontId="51" numFmtId="0" xfId="0" applyAlignment="1" applyBorder="1" applyFont="1">
      <alignment horizontal="center" readingOrder="0" shrinkToFit="0" vertical="center" wrapText="1"/>
    </xf>
    <xf borderId="1" fillId="15" fontId="1" numFmtId="0" xfId="0" applyAlignment="1" applyBorder="1" applyFont="1">
      <alignment horizontal="center" shrinkToFit="0" vertical="center" wrapText="1"/>
    </xf>
    <xf borderId="1" fillId="15" fontId="1" numFmtId="0" xfId="0" applyAlignment="1" applyBorder="1" applyFont="1">
      <alignment horizontal="center" shrinkToFit="0" vertical="center" wrapText="1"/>
    </xf>
    <xf borderId="1" fillId="15" fontId="51" numFmtId="0" xfId="0" applyAlignment="1" applyBorder="1" applyFont="1">
      <alignment shrinkToFit="0" vertical="center" wrapText="1"/>
    </xf>
    <xf borderId="1" fillId="15" fontId="1" numFmtId="0" xfId="0" applyAlignment="1" applyBorder="1" applyFont="1">
      <alignment horizontal="center" shrinkToFit="0" vertical="center" wrapText="1"/>
    </xf>
    <xf borderId="1" fillId="3" fontId="51" numFmtId="0" xfId="0" applyAlignment="1" applyBorder="1" applyFont="1">
      <alignment readingOrder="0" shrinkToFit="0" vertical="center" wrapText="1"/>
    </xf>
    <xf borderId="1" fillId="3" fontId="68" numFmtId="0" xfId="0" applyAlignment="1" applyBorder="1" applyFont="1">
      <alignment horizontal="center" readingOrder="0" shrinkToFit="0" vertical="center" wrapText="1"/>
    </xf>
    <xf borderId="1" fillId="3" fontId="51" numFmtId="0" xfId="0" applyAlignment="1" applyBorder="1" applyFont="1">
      <alignment horizontal="center" readingOrder="0" shrinkToFit="0" vertical="center" wrapText="1"/>
    </xf>
    <xf borderId="3" fillId="15" fontId="123" numFmtId="0" xfId="0" applyAlignment="1" applyBorder="1" applyFont="1">
      <alignment horizontal="center" readingOrder="0" shrinkToFit="0" vertical="center" wrapText="1"/>
    </xf>
    <xf borderId="1" fillId="3" fontId="51" numFmtId="9" xfId="0" applyAlignment="1" applyBorder="1" applyFont="1" applyNumberFormat="1">
      <alignment horizontal="center" readingOrder="0" shrinkToFit="0" vertical="center" wrapText="1"/>
    </xf>
    <xf borderId="1" fillId="3" fontId="54" numFmtId="165" xfId="0" applyAlignment="1" applyBorder="1" applyFont="1" applyNumberFormat="1">
      <alignment horizontal="center" shrinkToFit="0" vertical="center" wrapText="1"/>
    </xf>
    <xf borderId="1" fillId="3" fontId="43" numFmtId="165" xfId="0" applyAlignment="1" applyBorder="1" applyFont="1" applyNumberFormat="1">
      <alignment horizontal="center" shrinkToFit="0" vertical="center" wrapText="1"/>
    </xf>
    <xf borderId="1" fillId="3" fontId="43" numFmtId="165" xfId="0" applyAlignment="1" applyBorder="1" applyFont="1" applyNumberForma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124" numFmtId="0" xfId="0" applyAlignment="1" applyBorder="1" applyFont="1">
      <alignment horizontal="center" readingOrder="0" shrinkToFit="0" vertical="center" wrapText="1"/>
    </xf>
    <xf borderId="3" fillId="3" fontId="51" numFmtId="0" xfId="0" applyAlignment="1" applyBorder="1" applyFont="1">
      <alignment readingOrder="0" shrinkToFit="0" vertical="center" wrapText="1"/>
    </xf>
    <xf borderId="1" fillId="24" fontId="51" numFmtId="0" xfId="0" applyAlignment="1" applyBorder="1" applyFill="1" applyFont="1">
      <alignment readingOrder="0" shrinkToFit="0" vertical="center" wrapText="1"/>
    </xf>
    <xf borderId="1" fillId="24" fontId="51" numFmtId="164" xfId="0" applyAlignment="1" applyBorder="1" applyFont="1" applyNumberFormat="1">
      <alignment horizontal="center" readingOrder="0" shrinkToFit="0" vertical="center" wrapText="1"/>
    </xf>
    <xf borderId="1" fillId="24" fontId="112" numFmtId="0" xfId="0" applyAlignment="1" applyBorder="1" applyFont="1">
      <alignment horizontal="center" readingOrder="0" shrinkToFit="0" vertical="center" wrapText="1"/>
    </xf>
    <xf borderId="1" fillId="24" fontId="68" numFmtId="0" xfId="0" applyAlignment="1" applyBorder="1" applyFont="1">
      <alignment horizontal="center" readingOrder="0" shrinkToFit="0" vertical="center" wrapText="1"/>
    </xf>
    <xf borderId="1" fillId="24" fontId="51" numFmtId="0" xfId="0" applyAlignment="1" applyBorder="1" applyFont="1">
      <alignment horizontal="center" readingOrder="0" shrinkToFit="0" vertical="center" wrapText="1"/>
    </xf>
    <xf borderId="1" fillId="24" fontId="125" numFmtId="0" xfId="0" applyAlignment="1" applyBorder="1" applyFont="1">
      <alignment horizontal="center" readingOrder="0" shrinkToFit="0" vertical="center" wrapText="1"/>
    </xf>
    <xf borderId="1" fillId="24" fontId="51" numFmtId="0" xfId="0" applyAlignment="1" applyBorder="1" applyFont="1">
      <alignment horizontal="center" readingOrder="0" shrinkToFit="0" vertical="center" wrapText="1"/>
    </xf>
    <xf borderId="1" fillId="24" fontId="54" numFmtId="165" xfId="0" applyAlignment="1" applyBorder="1" applyFont="1" applyNumberFormat="1">
      <alignment horizontal="center" shrinkToFit="0" vertical="center" wrapText="1"/>
    </xf>
    <xf borderId="1" fillId="24" fontId="43" numFmtId="165" xfId="0" applyAlignment="1" applyBorder="1" applyFont="1" applyNumberFormat="1">
      <alignment horizontal="center" shrinkToFit="0" vertical="center" wrapText="1"/>
    </xf>
    <xf borderId="1" fillId="24" fontId="43" numFmtId="165" xfId="0" applyAlignment="1" applyBorder="1" applyFont="1" applyNumberFormat="1">
      <alignment shrinkToFit="0" vertical="center" wrapText="1"/>
    </xf>
    <xf borderId="1" fillId="24" fontId="51" numFmtId="0" xfId="0" applyAlignment="1" applyBorder="1" applyFont="1">
      <alignment readingOrder="0" shrinkToFit="0" vertical="center" wrapText="1"/>
    </xf>
    <xf borderId="1" fillId="24" fontId="51" numFmtId="0" xfId="0" applyAlignment="1" applyBorder="1" applyFont="1">
      <alignment horizontal="center" readingOrder="0" shrinkToFit="0" vertical="center" wrapText="1"/>
    </xf>
    <xf borderId="1" fillId="24" fontId="1" numFmtId="0" xfId="0" applyAlignment="1" applyBorder="1" applyFont="1">
      <alignment horizontal="center" readingOrder="0" shrinkToFit="0" vertical="center" wrapText="1"/>
    </xf>
    <xf borderId="1" fillId="24" fontId="1" numFmtId="0" xfId="0" applyAlignment="1" applyBorder="1" applyFont="1">
      <alignment horizontal="center" shrinkToFit="0" vertical="center" wrapText="1"/>
    </xf>
    <xf borderId="1" fillId="24" fontId="1" numFmtId="0" xfId="0" applyAlignment="1" applyBorder="1" applyFont="1">
      <alignment horizontal="center" shrinkToFit="0" vertical="center" wrapText="1"/>
    </xf>
    <xf borderId="1" fillId="7" fontId="96" numFmtId="165" xfId="0" applyAlignment="1" applyBorder="1" applyFont="1" applyNumberFormat="1">
      <alignment horizontal="center" readingOrder="0" shrinkToFit="0" vertical="center" wrapText="0"/>
    </xf>
    <xf borderId="1" fillId="24" fontId="1" numFmtId="0" xfId="0" applyAlignment="1" applyBorder="1" applyFont="1">
      <alignment horizontal="center" shrinkToFit="0" vertical="center" wrapText="1"/>
    </xf>
    <xf borderId="1" fillId="15" fontId="126" numFmtId="0" xfId="0" applyAlignment="1" applyBorder="1" applyFont="1">
      <alignment horizontal="center" readingOrder="0" shrinkToFit="0" vertical="center" wrapText="1"/>
    </xf>
    <xf borderId="0" fillId="6" fontId="127" numFmtId="165" xfId="0" applyAlignment="1" applyFont="1" applyNumberFormat="1">
      <alignment horizontal="center" readingOrder="0" shrinkToFit="0" vertical="center" wrapText="0"/>
    </xf>
    <xf borderId="0" fillId="13" fontId="51" numFmtId="0" xfId="0" applyAlignment="1" applyFont="1">
      <alignment horizontal="center" readingOrder="0" shrinkToFit="0" vertical="center" wrapText="1"/>
    </xf>
    <xf borderId="0" fillId="13" fontId="51" numFmtId="0" xfId="0" applyAlignment="1" applyFont="1">
      <alignment horizontal="center" readingOrder="0" shrinkToFit="0" vertical="center" wrapText="1"/>
    </xf>
    <xf borderId="1" fillId="24" fontId="61" numFmtId="0" xfId="0" applyAlignment="1" applyBorder="1" applyFont="1">
      <alignment horizontal="center" shrinkToFit="0" vertical="center" wrapText="1"/>
    </xf>
    <xf borderId="1" fillId="24" fontId="110" numFmtId="0" xfId="0" applyAlignment="1" applyBorder="1" applyFont="1">
      <alignment horizontal="center" readingOrder="0" shrinkToFit="0" vertical="center" wrapText="1"/>
    </xf>
    <xf borderId="1" fillId="24" fontId="54" numFmtId="165" xfId="0" applyAlignment="1" applyBorder="1" applyFont="1" applyNumberFormat="1">
      <alignment horizontal="center" readingOrder="0" shrinkToFit="0" vertical="center" wrapText="1"/>
    </xf>
    <xf borderId="1" fillId="24" fontId="67" numFmtId="0" xfId="0" applyAlignment="1" applyBorder="1" applyFont="1">
      <alignment horizontal="center" readingOrder="0" shrinkToFit="0" vertical="center" wrapText="1"/>
    </xf>
    <xf borderId="5" fillId="24" fontId="128" numFmtId="0" xfId="0" applyAlignment="1" applyBorder="1" applyFont="1">
      <alignment horizontal="center" readingOrder="0" shrinkToFit="0" vertical="center" wrapText="1"/>
    </xf>
    <xf borderId="0" fillId="8" fontId="89" numFmtId="166" xfId="0" applyAlignment="1" applyFont="1" applyNumberFormat="1">
      <alignment horizontal="center" readingOrder="0" shrinkToFit="0" vertical="center" wrapText="0"/>
    </xf>
    <xf borderId="0" fillId="9" fontId="43" numFmtId="165" xfId="0" applyAlignment="1" applyFont="1" applyNumberFormat="1">
      <alignment horizontal="center" shrinkToFit="0" vertical="center" wrapText="1"/>
    </xf>
    <xf borderId="0" fillId="10" fontId="43" numFmtId="165" xfId="0" applyAlignment="1" applyFont="1" applyNumberFormat="1">
      <alignment shrinkToFit="0" vertical="center" wrapText="1"/>
    </xf>
    <xf borderId="0" fillId="11" fontId="43" numFmtId="165" xfId="0" applyAlignment="1" applyFont="1" applyNumberFormat="1">
      <alignment horizontal="center" shrinkToFit="0" vertical="center" wrapText="1"/>
    </xf>
    <xf borderId="0" fillId="24" fontId="43" numFmtId="165" xfId="0" applyAlignment="1" applyFont="1" applyNumberFormat="1">
      <alignment shrinkToFit="0" vertical="center" wrapText="1"/>
    </xf>
    <xf borderId="0" fillId="24" fontId="43" numFmtId="165" xfId="0" applyAlignment="1" applyFont="1" applyNumberFormat="1">
      <alignment horizontal="center" shrinkToFit="0" vertical="center" wrapText="1"/>
    </xf>
    <xf borderId="1" fillId="24" fontId="1" numFmtId="165" xfId="0" applyAlignment="1" applyBorder="1" applyFont="1" applyNumberFormat="1">
      <alignment horizontal="center" shrinkToFit="0" vertical="center" wrapText="1"/>
    </xf>
    <xf borderId="1" fillId="15" fontId="129" numFmtId="0" xfId="0" applyAlignment="1" applyBorder="1" applyFont="1">
      <alignment horizontal="center" readingOrder="0" shrinkToFit="0" vertical="center" wrapText="1"/>
    </xf>
    <xf borderId="1" fillId="18" fontId="51" numFmtId="0" xfId="0" applyAlignment="1" applyBorder="1" applyFont="1">
      <alignment readingOrder="0" shrinkToFit="0" vertical="center" wrapText="1"/>
    </xf>
    <xf borderId="1" fillId="18" fontId="51" numFmtId="164" xfId="0" applyAlignment="1" applyBorder="1" applyFont="1" applyNumberFormat="1">
      <alignment horizontal="center" readingOrder="0" shrinkToFit="0" vertical="center" wrapText="1"/>
    </xf>
    <xf borderId="1" fillId="18" fontId="51" numFmtId="0" xfId="0" applyAlignment="1" applyBorder="1" applyFont="1">
      <alignment horizontal="center" readingOrder="0" shrinkToFit="0" vertical="center" wrapText="1"/>
    </xf>
    <xf borderId="1" fillId="18" fontId="51" numFmtId="0" xfId="0" applyAlignment="1" applyBorder="1" applyFont="1">
      <alignment horizontal="center" readingOrder="0" shrinkToFit="0" vertical="center" wrapText="1"/>
    </xf>
    <xf borderId="1" fillId="2" fontId="98" numFmtId="0" xfId="0" applyAlignment="1" applyBorder="1" applyFont="1">
      <alignment horizontal="center" shrinkToFit="0" vertical="center" wrapText="1"/>
    </xf>
    <xf borderId="1" fillId="18" fontId="51" numFmtId="9" xfId="0" applyAlignment="1" applyBorder="1" applyFont="1" applyNumberFormat="1">
      <alignment horizontal="center" readingOrder="0" shrinkToFit="0" vertical="center" wrapText="1"/>
    </xf>
    <xf borderId="1" fillId="18" fontId="54" numFmtId="0" xfId="0" applyAlignment="1" applyBorder="1" applyFont="1">
      <alignment horizontal="center" shrinkToFit="0" vertical="center" wrapText="1"/>
    </xf>
    <xf borderId="1" fillId="18" fontId="43" numFmtId="165" xfId="0" applyAlignment="1" applyBorder="1" applyFont="1" applyNumberFormat="1">
      <alignment horizontal="center" shrinkToFit="0" vertical="center" wrapText="1"/>
    </xf>
    <xf borderId="1" fillId="18" fontId="43" numFmtId="165" xfId="0" applyAlignment="1" applyBorder="1" applyFont="1" applyNumberFormat="1">
      <alignment shrinkToFit="0" vertical="center" wrapText="1"/>
    </xf>
    <xf borderId="1" fillId="18" fontId="1" numFmtId="0" xfId="0" applyAlignment="1" applyBorder="1" applyFont="1">
      <alignment horizontal="center" shrinkToFit="0" vertical="center" wrapText="1"/>
    </xf>
    <xf borderId="1" fillId="18" fontId="1" numFmtId="0" xfId="0" applyAlignment="1" applyBorder="1" applyFont="1">
      <alignment horizontal="center" shrinkToFit="0" vertical="center" wrapText="1"/>
    </xf>
    <xf borderId="1" fillId="18" fontId="1" numFmtId="0" xfId="0" applyAlignment="1" applyBorder="1" applyFont="1">
      <alignment horizontal="center" shrinkToFit="0" vertical="center" wrapText="1"/>
    </xf>
    <xf borderId="1" fillId="3" fontId="51" numFmtId="0" xfId="0" applyAlignment="1" applyBorder="1" applyFont="1">
      <alignment horizontal="center" readingOrder="0" shrinkToFit="0" vertical="center" wrapText="1"/>
    </xf>
    <xf borderId="1" fillId="2" fontId="130" numFmtId="0" xfId="0" applyAlignment="1" applyBorder="1" applyFont="1">
      <alignment horizontal="center" readingOrder="0" shrinkToFit="0" vertical="center" wrapText="1"/>
    </xf>
    <xf borderId="1" fillId="8" fontId="89" numFmtId="166" xfId="0" applyAlignment="1" applyBorder="1" applyFont="1" applyNumberFormat="1">
      <alignment horizontal="center" readingOrder="0" shrinkToFit="0" vertical="center" wrapText="0"/>
    </xf>
    <xf borderId="1" fillId="2" fontId="131" numFmtId="0" xfId="0" applyAlignment="1" applyBorder="1" applyFont="1">
      <alignment horizontal="center" readingOrder="0" shrinkToFit="0" vertical="center" wrapText="1"/>
    </xf>
    <xf borderId="1" fillId="2" fontId="132" numFmtId="0" xfId="0" applyAlignment="1" applyBorder="1" applyFont="1">
      <alignment readingOrder="0" shrinkToFit="0" vertical="center" wrapText="0"/>
    </xf>
    <xf borderId="0" fillId="3" fontId="1" numFmtId="165" xfId="0" applyAlignment="1" applyFont="1" applyNumberFormat="1">
      <alignment readingOrder="0" shrinkToFit="0" vertical="center" wrapText="0"/>
    </xf>
    <xf borderId="1" fillId="2" fontId="1" numFmtId="0" xfId="0" applyAlignment="1" applyBorder="1" applyFont="1">
      <alignment horizontal="center" readingOrder="0" shrinkToFit="0" vertical="center" wrapText="1"/>
    </xf>
    <xf borderId="1" fillId="2" fontId="46" numFmtId="0" xfId="0" applyAlignment="1" applyBorder="1" applyFont="1">
      <alignment horizontal="center" readingOrder="0" shrinkToFit="0" vertical="center" wrapText="1"/>
    </xf>
    <xf borderId="1" fillId="2" fontId="133" numFmtId="0" xfId="0" applyAlignment="1" applyBorder="1" applyFont="1">
      <alignment horizontal="center" readingOrder="0" shrinkToFit="0" vertical="center" wrapText="1"/>
    </xf>
    <xf borderId="1" fillId="2" fontId="134" numFmtId="0" xfId="0" applyAlignment="1" applyBorder="1" applyFont="1">
      <alignment horizontal="center" readingOrder="0" shrinkToFit="0" vertical="center" wrapText="1"/>
    </xf>
    <xf borderId="1" fillId="13" fontId="81" numFmtId="0" xfId="0" applyAlignment="1" applyBorder="1" applyFont="1">
      <alignment horizontal="center" readingOrder="0" shrinkToFit="0" vertical="center" wrapText="1"/>
    </xf>
    <xf borderId="1" fillId="13" fontId="81" numFmtId="0" xfId="0" applyAlignment="1" applyBorder="1" applyFont="1">
      <alignment horizontal="center" readingOrder="0" shrinkToFit="0" vertical="center" wrapText="1"/>
    </xf>
    <xf borderId="1" fillId="0" fontId="81" numFmtId="0" xfId="0" applyAlignment="1" applyBorder="1" applyFont="1">
      <alignment horizontal="center" shrinkToFit="0" vertical="center" wrapText="1"/>
    </xf>
    <xf borderId="1" fillId="12" fontId="1" numFmtId="165" xfId="0" applyAlignment="1" applyBorder="1" applyFont="1" applyNumberFormat="1">
      <alignment shrinkToFit="0" vertical="center" wrapText="0"/>
    </xf>
    <xf borderId="1" fillId="15" fontId="1" numFmtId="0" xfId="0" applyAlignment="1" applyBorder="1" applyFont="1">
      <alignment horizontal="center" readingOrder="0" shrinkToFit="0" vertical="center" wrapText="1"/>
    </xf>
    <xf borderId="1" fillId="2" fontId="135" numFmtId="0" xfId="0" applyAlignment="1" applyBorder="1" applyFont="1">
      <alignment horizontal="center" shrinkToFit="0" vertical="center" wrapText="1"/>
    </xf>
    <xf borderId="1" fillId="0" fontId="136" numFmtId="0" xfId="0" applyAlignment="1" applyBorder="1" applyFont="1">
      <alignment horizontal="center" readingOrder="0" shrinkToFit="0" vertical="center" wrapText="1"/>
    </xf>
    <xf borderId="1" fillId="24" fontId="137" numFmtId="0" xfId="0" applyAlignment="1" applyBorder="1" applyFont="1">
      <alignment horizontal="center" readingOrder="0" shrinkToFit="0" vertical="center" wrapText="1"/>
    </xf>
    <xf borderId="1" fillId="24" fontId="51" numFmtId="9" xfId="0" applyAlignment="1" applyBorder="1" applyFont="1" applyNumberFormat="1">
      <alignment horizontal="center" readingOrder="0" shrinkToFit="0" vertical="center" wrapText="1"/>
    </xf>
    <xf borderId="1" fillId="24" fontId="43" numFmtId="165" xfId="0" applyAlignment="1" applyBorder="1" applyFont="1" applyNumberFormat="1">
      <alignment horizontal="center" readingOrder="0" shrinkToFit="0" vertical="center" wrapText="1"/>
    </xf>
    <xf borderId="1" fillId="24" fontId="136" numFmtId="0" xfId="0" applyAlignment="1" applyBorder="1" applyFont="1">
      <alignment horizontal="center" readingOrder="0" shrinkToFit="0" vertical="center" wrapText="1"/>
    </xf>
    <xf borderId="1" fillId="0" fontId="43" numFmtId="0" xfId="0" applyAlignment="1" applyBorder="1" applyFont="1">
      <alignment horizontal="center" shrinkToFit="0" vertical="center" wrapText="1"/>
    </xf>
    <xf borderId="1" fillId="2" fontId="138" numFmtId="0" xfId="0" applyAlignment="1" applyBorder="1" applyFont="1">
      <alignment horizontal="center" readingOrder="0" shrinkToFit="0" vertical="center" wrapText="1"/>
    </xf>
    <xf borderId="1" fillId="24" fontId="138" numFmtId="0" xfId="0" applyAlignment="1" applyBorder="1" applyFont="1">
      <alignment horizontal="center" readingOrder="0" shrinkToFit="0" vertical="center" wrapText="1"/>
    </xf>
    <xf borderId="1" fillId="24" fontId="51" numFmtId="0" xfId="0" applyAlignment="1" applyBorder="1" applyFont="1">
      <alignment horizontal="center" readingOrder="0" shrinkToFit="0" vertical="center" wrapText="1"/>
    </xf>
    <xf borderId="1" fillId="24" fontId="43" numFmtId="165" xfId="0" applyAlignment="1" applyBorder="1" applyFont="1" applyNumberFormat="1">
      <alignment readingOrder="0" shrinkToFit="0" vertical="center" wrapText="1"/>
    </xf>
    <xf borderId="0" fillId="24" fontId="1" numFmtId="0" xfId="0" applyAlignment="1" applyFont="1">
      <alignment shrinkToFit="0" vertical="center" wrapText="0"/>
    </xf>
    <xf borderId="1" fillId="24" fontId="46" numFmtId="0" xfId="0" applyAlignment="1" applyBorder="1" applyFont="1">
      <alignment horizontal="center" readingOrder="0" shrinkToFit="0" vertical="center" wrapText="1"/>
    </xf>
    <xf borderId="1" fillId="24" fontId="46" numFmtId="0" xfId="0" applyAlignment="1" applyBorder="1" applyFont="1">
      <alignment readingOrder="0" shrinkToFit="0" vertical="center" wrapText="1"/>
    </xf>
    <xf borderId="1" fillId="2" fontId="96" numFmtId="0" xfId="0" applyAlignment="1" applyBorder="1" applyFont="1">
      <alignment horizontal="center" readingOrder="0" shrinkToFit="0" vertical="center" wrapText="1"/>
    </xf>
    <xf borderId="1" fillId="10" fontId="43" numFmtId="165" xfId="0" applyAlignment="1" applyBorder="1" applyFont="1" applyNumberFormat="1">
      <alignment horizontal="center" readingOrder="0" shrinkToFit="0" vertical="center" wrapText="1"/>
    </xf>
    <xf borderId="1" fillId="2" fontId="43" numFmtId="165" xfId="0" applyAlignment="1" applyBorder="1" applyFont="1" applyNumberFormat="1">
      <alignment readingOrder="0" shrinkToFit="0" vertical="center" wrapText="1"/>
    </xf>
    <xf borderId="1" fillId="2" fontId="43" numFmtId="165" xfId="0" applyAlignment="1" applyBorder="1" applyFont="1" applyNumberFormat="1">
      <alignment horizontal="center" readingOrder="0" shrinkToFit="0" vertical="center" wrapText="1"/>
    </xf>
    <xf borderId="1" fillId="3" fontId="43" numFmtId="166" xfId="0" applyAlignment="1" applyBorder="1" applyFont="1" applyNumberFormat="1">
      <alignment horizontal="center" readingOrder="0" shrinkToFit="0" vertical="center" wrapText="1"/>
    </xf>
    <xf borderId="1" fillId="24" fontId="139" numFmtId="0" xfId="0" applyAlignment="1" applyBorder="1" applyFont="1">
      <alignment horizontal="center" readingOrder="0" shrinkToFit="0" vertical="center" wrapText="1"/>
    </xf>
    <xf borderId="0" fillId="24" fontId="11" numFmtId="0" xfId="0" applyAlignment="1" applyFont="1">
      <alignment readingOrder="0" shrinkToFit="0" vertical="center" wrapText="0"/>
    </xf>
    <xf borderId="0" fillId="24" fontId="51" numFmtId="0" xfId="0" applyAlignment="1" applyFont="1">
      <alignment horizontal="center" readingOrder="0" shrinkToFit="0" vertical="center" wrapText="1"/>
    </xf>
    <xf borderId="0" fillId="24" fontId="51" numFmtId="0" xfId="0" applyAlignment="1" applyFont="1">
      <alignment horizontal="center" readingOrder="0" shrinkToFit="0" vertical="center" wrapText="1"/>
    </xf>
    <xf borderId="0" fillId="24" fontId="51" numFmtId="0" xfId="0" applyAlignment="1" applyFont="1">
      <alignment horizontal="center" readingOrder="0" shrinkToFit="0" vertical="center" wrapText="1"/>
    </xf>
    <xf borderId="1" fillId="2" fontId="117" numFmtId="0" xfId="0" applyAlignment="1" applyBorder="1" applyFont="1">
      <alignment horizontal="center" readingOrder="0" shrinkToFit="0" vertical="center" wrapText="1"/>
    </xf>
    <xf borderId="1" fillId="16" fontId="140" numFmtId="0" xfId="0" applyAlignment="1" applyBorder="1" applyFont="1">
      <alignment horizontal="center" readingOrder="0" shrinkToFit="0" vertical="center" wrapText="1"/>
    </xf>
    <xf borderId="1" fillId="0" fontId="141" numFmtId="0" xfId="0" applyAlignment="1" applyBorder="1" applyFont="1">
      <alignment horizontal="center" readingOrder="0" shrinkToFit="0" vertical="center" wrapText="1"/>
    </xf>
    <xf borderId="1" fillId="12" fontId="51" numFmtId="165" xfId="0" applyAlignment="1" applyBorder="1" applyFont="1" applyNumberFormat="1">
      <alignment horizontal="center" readingOrder="0" shrinkToFit="0" vertical="center" wrapText="1"/>
    </xf>
    <xf borderId="1" fillId="2" fontId="110" numFmtId="0" xfId="0" applyAlignment="1" applyBorder="1" applyFont="1">
      <alignment horizontal="center" readingOrder="0" shrinkToFit="0" vertical="center" wrapText="1"/>
    </xf>
    <xf borderId="1" fillId="0" fontId="51" numFmtId="0" xfId="0" applyAlignment="1" applyBorder="1" applyFont="1">
      <alignment horizontal="center" shrinkToFit="0" vertical="center" wrapText="1"/>
    </xf>
    <xf borderId="1" fillId="7" fontId="142" numFmtId="165" xfId="0" applyAlignment="1" applyBorder="1" applyFont="1" applyNumberFormat="1">
      <alignment horizontal="center" readingOrder="0" shrinkToFit="0" vertical="bottom" wrapText="0"/>
    </xf>
    <xf borderId="6" fillId="24" fontId="51" numFmtId="0" xfId="0" applyAlignment="1" applyBorder="1" applyFont="1">
      <alignment readingOrder="0" shrinkToFit="0" vertical="center" wrapText="1"/>
    </xf>
    <xf borderId="1" fillId="24" fontId="143" numFmtId="0" xfId="0" applyAlignment="1" applyBorder="1" applyFont="1">
      <alignment horizontal="center" shrinkToFit="0" vertical="center" wrapText="1"/>
    </xf>
    <xf borderId="1" fillId="0" fontId="144" numFmtId="0" xfId="0" applyAlignment="1" applyBorder="1" applyFont="1">
      <alignment horizontal="center" readingOrder="0" shrinkToFit="0" vertical="center" wrapText="1"/>
    </xf>
    <xf borderId="1" fillId="8" fontId="89" numFmtId="166" xfId="0" applyAlignment="1" applyBorder="1" applyFont="1" applyNumberFormat="1">
      <alignment horizontal="center" readingOrder="0" shrinkToFit="0" vertical="center" wrapText="0"/>
    </xf>
    <xf borderId="1" fillId="24" fontId="145" numFmtId="0" xfId="0" applyAlignment="1" applyBorder="1" applyFont="1">
      <alignment horizontal="left" readingOrder="0" shrinkToFit="0" vertical="center" wrapText="1"/>
    </xf>
    <xf borderId="1" fillId="24" fontId="145" numFmtId="0" xfId="0" applyAlignment="1" applyBorder="1" applyFont="1">
      <alignment readingOrder="0" shrinkToFit="0" vertical="center" wrapText="0"/>
    </xf>
    <xf borderId="0" fillId="9" fontId="1" numFmtId="165" xfId="0" applyAlignment="1" applyFont="1" applyNumberFormat="1">
      <alignment horizontal="center" shrinkToFit="0" vertical="center" wrapText="0"/>
    </xf>
    <xf borderId="0" fillId="10" fontId="1" numFmtId="165" xfId="0" applyAlignment="1" applyFont="1" applyNumberFormat="1">
      <alignment horizontal="center" shrinkToFit="0" vertical="center" wrapText="0"/>
    </xf>
    <xf borderId="0" fillId="0" fontId="1" numFmtId="165" xfId="0" applyAlignment="1" applyFont="1" applyNumberFormat="1">
      <alignment shrinkToFit="0" vertical="center" wrapText="0"/>
    </xf>
    <xf borderId="0" fillId="0" fontId="1" numFmtId="165" xfId="0" applyAlignment="1" applyFont="1" applyNumberFormat="1">
      <alignment horizontal="center" shrinkToFit="0" vertical="center" wrapText="0"/>
    </xf>
    <xf borderId="1" fillId="16" fontId="146" numFmtId="0" xfId="0" applyAlignment="1" applyBorder="1" applyFont="1">
      <alignment horizontal="center" readingOrder="0" shrinkToFit="0" vertical="center" wrapText="1"/>
    </xf>
    <xf borderId="1" fillId="9" fontId="43" numFmtId="165" xfId="0" applyAlignment="1" applyBorder="1" applyFont="1" applyNumberFormat="1">
      <alignment shrinkToFit="0" vertical="center" wrapText="1"/>
    </xf>
    <xf borderId="1" fillId="2" fontId="67" numFmtId="0" xfId="0" applyAlignment="1" applyBorder="1" applyFont="1">
      <alignment horizontal="center" readingOrder="0" shrinkToFit="0" vertical="center" wrapText="1"/>
    </xf>
    <xf borderId="1" fillId="2" fontId="147" numFmtId="0" xfId="0" applyAlignment="1" applyBorder="1" applyFont="1">
      <alignment horizontal="center" readingOrder="0" shrinkToFit="0" vertical="center" wrapText="1"/>
    </xf>
    <xf borderId="1" fillId="16" fontId="148" numFmtId="0" xfId="0" applyAlignment="1" applyBorder="1" applyFont="1">
      <alignment horizontal="center" readingOrder="0" shrinkToFit="0" vertical="center" wrapText="1"/>
    </xf>
    <xf borderId="1" fillId="16" fontId="149" numFmtId="0" xfId="0" applyAlignment="1" applyBorder="1" applyFont="1">
      <alignment readingOrder="0" shrinkToFit="0" vertical="center" wrapText="0"/>
    </xf>
    <xf borderId="1" fillId="25" fontId="51" numFmtId="0" xfId="0" applyAlignment="1" applyBorder="1" applyFill="1" applyFont="1">
      <alignment readingOrder="0" shrinkToFit="0" vertical="center" wrapText="1"/>
    </xf>
    <xf borderId="1" fillId="25" fontId="51" numFmtId="164" xfId="0" applyAlignment="1" applyBorder="1" applyFont="1" applyNumberFormat="1">
      <alignment horizontal="center" readingOrder="0" shrinkToFit="0" vertical="center" wrapText="1"/>
    </xf>
    <xf borderId="1" fillId="25" fontId="51" numFmtId="0" xfId="0" applyAlignment="1" applyBorder="1" applyFont="1">
      <alignment horizontal="center" readingOrder="0" shrinkToFit="0" vertical="center" wrapText="1"/>
    </xf>
    <xf borderId="1" fillId="25" fontId="110" numFmtId="0" xfId="0" applyAlignment="1" applyBorder="1" applyFont="1">
      <alignment horizontal="center" readingOrder="0" shrinkToFit="0" vertical="center" wrapText="1"/>
    </xf>
    <xf borderId="1" fillId="25" fontId="51" numFmtId="0" xfId="0" applyAlignment="1" applyBorder="1" applyFont="1">
      <alignment horizontal="center" readingOrder="0" shrinkToFit="0" vertical="center" wrapText="1"/>
    </xf>
    <xf borderId="1" fillId="25" fontId="54" numFmtId="165" xfId="0" applyAlignment="1" applyBorder="1" applyFont="1" applyNumberFormat="1">
      <alignment horizontal="center" shrinkToFit="0" vertical="center" wrapText="1"/>
    </xf>
    <xf borderId="1" fillId="25" fontId="43" numFmtId="165" xfId="0" applyAlignment="1" applyBorder="1" applyFont="1" applyNumberFormat="1">
      <alignment horizontal="center" shrinkToFit="0" vertical="center" wrapText="1"/>
    </xf>
    <xf borderId="1" fillId="25" fontId="43" numFmtId="165" xfId="0" applyAlignment="1" applyBorder="1" applyFont="1" applyNumberFormat="1">
      <alignment readingOrder="0" shrinkToFit="0" vertical="center" wrapText="1"/>
    </xf>
    <xf borderId="1" fillId="25" fontId="51" numFmtId="0" xfId="0" applyAlignment="1" applyBorder="1" applyFont="1">
      <alignment horizontal="center" shrinkToFit="0" vertical="center" wrapText="1"/>
    </xf>
    <xf borderId="1" fillId="0" fontId="51" numFmtId="164" xfId="0" applyAlignment="1" applyBorder="1" applyFont="1" applyNumberFormat="1">
      <alignment horizontal="center" readingOrder="0" shrinkToFit="0" vertical="center" wrapText="1"/>
    </xf>
    <xf borderId="1" fillId="0" fontId="150" numFmtId="0" xfId="0" applyAlignment="1" applyBorder="1" applyFont="1">
      <alignment horizontal="center" readingOrder="0" shrinkToFit="0" vertical="center" wrapText="1"/>
    </xf>
    <xf borderId="1" fillId="0" fontId="110"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0" fontId="151" numFmtId="0" xfId="0" applyAlignment="1" applyBorder="1" applyFont="1">
      <alignment horizontal="center" readingOrder="0" shrinkToFit="0" vertical="center" wrapText="1"/>
    </xf>
    <xf borderId="1" fillId="0" fontId="51" numFmtId="9" xfId="0" applyAlignment="1" applyBorder="1" applyFont="1" applyNumberFormat="1">
      <alignment horizontal="center" readingOrder="0" shrinkToFit="0" vertical="center" wrapText="1"/>
    </xf>
    <xf borderId="1" fillId="0" fontId="54" numFmtId="165" xfId="0" applyAlignment="1" applyBorder="1" applyFont="1" applyNumberFormat="1">
      <alignment horizontal="center" shrinkToFit="0" vertical="center" wrapText="1"/>
    </xf>
    <xf borderId="1" fillId="0" fontId="43" numFmtId="165" xfId="0" applyAlignment="1" applyBorder="1" applyFont="1" applyNumberFormat="1">
      <alignment horizontal="center" shrinkToFit="0" vertical="center" wrapText="1"/>
    </xf>
    <xf borderId="1" fillId="0" fontId="43" numFmtId="165" xfId="0" applyAlignment="1" applyBorder="1" applyFont="1" applyNumberFormat="1">
      <alignment shrinkToFit="0" vertical="center" wrapText="1"/>
    </xf>
    <xf borderId="1" fillId="0" fontId="51" numFmtId="0" xfId="0" applyAlignment="1" applyBorder="1" applyFont="1">
      <alignment readingOrder="0" shrinkToFit="0" vertical="center" wrapText="1"/>
    </xf>
    <xf borderId="1" fillId="0" fontId="1" numFmtId="0" xfId="0" applyAlignment="1" applyBorder="1" applyFont="1">
      <alignment horizontal="center" shrinkToFit="0" vertical="center" wrapText="1"/>
    </xf>
    <xf borderId="1" fillId="0" fontId="51" numFmtId="0" xfId="0" applyAlignment="1" applyBorder="1" applyFont="1">
      <alignment horizontal="center" shrinkToFit="0" vertical="center" wrapText="1"/>
    </xf>
    <xf borderId="1" fillId="24" fontId="98" numFmtId="166" xfId="0" applyAlignment="1" applyBorder="1" applyFont="1" applyNumberFormat="1">
      <alignment horizontal="center" readingOrder="0" shrinkToFit="0" vertical="center" wrapText="1"/>
    </xf>
    <xf borderId="1" fillId="24" fontId="98" numFmtId="0" xfId="0" applyAlignment="1" applyBorder="1" applyFont="1">
      <alignment readingOrder="0" shrinkToFit="0" vertical="center" wrapText="1"/>
    </xf>
    <xf borderId="1" fillId="2" fontId="152" numFmtId="0" xfId="0" applyAlignment="1" applyBorder="1" applyFont="1">
      <alignment horizontal="center" readingOrder="0" shrinkToFit="0" vertical="center" wrapText="1"/>
    </xf>
    <xf borderId="1" fillId="24" fontId="153" numFmtId="0" xfId="0" applyAlignment="1" applyBorder="1" applyFont="1">
      <alignment horizontal="center" readingOrder="0" shrinkToFit="0" vertical="center" wrapText="1"/>
    </xf>
    <xf borderId="1" fillId="16" fontId="154" numFmtId="0" xfId="0" applyAlignment="1" applyBorder="1" applyFont="1">
      <alignment horizontal="center" shrinkToFit="0" vertical="center" wrapText="1"/>
    </xf>
    <xf borderId="1" fillId="15" fontId="155" numFmtId="0" xfId="0" applyAlignment="1" applyBorder="1" applyFont="1">
      <alignment horizontal="center" readingOrder="0" shrinkToFit="0" vertical="center" wrapText="1"/>
    </xf>
    <xf borderId="1" fillId="2" fontId="81" numFmtId="0" xfId="0" applyAlignment="1" applyBorder="1" applyFont="1">
      <alignment horizontal="center" shrinkToFit="0" vertical="center" wrapText="1"/>
    </xf>
    <xf borderId="1" fillId="0" fontId="81" numFmtId="0" xfId="0" applyAlignment="1" applyBorder="1" applyFont="1">
      <alignment horizontal="center" readingOrder="0" shrinkToFit="0" vertical="center" wrapText="1"/>
    </xf>
    <xf borderId="1" fillId="0" fontId="68" numFmtId="0" xfId="0" applyAlignment="1" applyBorder="1" applyFont="1">
      <alignment horizontal="center" readingOrder="0" shrinkToFit="0" vertical="center" wrapText="1"/>
    </xf>
    <xf borderId="1" fillId="0" fontId="54" numFmtId="0" xfId="0" applyAlignment="1" applyBorder="1" applyFont="1">
      <alignment horizontal="center" shrinkToFit="0" vertical="center" wrapText="1"/>
    </xf>
    <xf borderId="1" fillId="0" fontId="43" numFmtId="165" xfId="0" applyAlignment="1" applyBorder="1" applyFont="1" applyNumberFormat="1">
      <alignment horizontal="center" readingOrder="0" shrinkToFit="0" vertical="center" wrapText="1"/>
    </xf>
    <xf borderId="1" fillId="24" fontId="156" numFmtId="0" xfId="0" applyAlignment="1" applyBorder="1" applyFont="1">
      <alignment horizontal="center" shrinkToFit="0" vertical="center" wrapText="1"/>
    </xf>
    <xf borderId="1" fillId="24" fontId="51" numFmtId="0" xfId="0" applyAlignment="1" applyBorder="1" applyFont="1">
      <alignment horizontal="center" shrinkToFit="0" vertical="center" wrapText="1"/>
    </xf>
    <xf borderId="1" fillId="2" fontId="51" numFmtId="0" xfId="0" applyAlignment="1" applyBorder="1" applyFont="1">
      <alignment horizontal="center" readingOrder="0" shrinkToFit="0" vertical="center" wrapText="1"/>
    </xf>
    <xf borderId="1" fillId="24" fontId="54" numFmtId="0" xfId="0" applyAlignment="1" applyBorder="1" applyFont="1">
      <alignment horizontal="center" shrinkToFit="0" vertical="center" wrapText="1"/>
    </xf>
    <xf borderId="1" fillId="2" fontId="157" numFmtId="0" xfId="0" applyAlignment="1" applyBorder="1" applyFont="1">
      <alignment horizontal="center" readingOrder="0" shrinkToFit="0" vertical="center" wrapText="1"/>
    </xf>
    <xf borderId="1" fillId="24" fontId="117" numFmtId="0" xfId="0" applyAlignment="1" applyBorder="1" applyFont="1">
      <alignment horizontal="center" shrinkToFit="0" vertical="center" wrapText="1"/>
    </xf>
    <xf borderId="1" fillId="24" fontId="158" numFmtId="0" xfId="0" applyAlignment="1" applyBorder="1" applyFont="1">
      <alignment horizontal="center" shrinkToFit="0" vertical="center" wrapText="1"/>
    </xf>
    <xf borderId="1" fillId="2" fontId="159" numFmtId="0" xfId="0" applyAlignment="1" applyBorder="1" applyFont="1">
      <alignment horizontal="center" readingOrder="0" shrinkToFit="0" vertical="center" wrapText="1"/>
    </xf>
    <xf borderId="1" fillId="0" fontId="117" numFmtId="0" xfId="0" applyAlignment="1" applyBorder="1" applyFont="1">
      <alignment horizontal="center" shrinkToFit="0" vertical="center" wrapText="1"/>
    </xf>
    <xf borderId="1" fillId="0" fontId="160"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0" fontId="161" numFmtId="0" xfId="0" applyAlignment="1" applyBorder="1" applyFont="1">
      <alignment horizontal="center" readingOrder="0" shrinkToFit="0" vertical="center" wrapText="1"/>
    </xf>
    <xf borderId="1" fillId="2" fontId="162" numFmtId="0" xfId="0" applyAlignment="1" applyBorder="1" applyFont="1">
      <alignment horizontal="center" readingOrder="0" shrinkToFit="0" vertical="center" wrapText="1"/>
    </xf>
    <xf borderId="1" fillId="0" fontId="81" numFmtId="0" xfId="0" applyAlignment="1" applyBorder="1" applyFont="1">
      <alignment horizontal="center" readingOrder="0" shrinkToFit="0" vertical="center" wrapText="1"/>
    </xf>
    <xf borderId="0" fillId="26" fontId="11" numFmtId="0" xfId="0" applyAlignment="1" applyFill="1" applyFont="1">
      <alignment readingOrder="0" shrinkToFit="0" vertical="center" wrapText="0"/>
    </xf>
    <xf borderId="1" fillId="2" fontId="156" numFmtId="0" xfId="0" applyAlignment="1" applyBorder="1" applyFont="1">
      <alignment horizontal="center" shrinkToFit="0" vertical="center" wrapText="1"/>
    </xf>
    <xf borderId="1" fillId="2" fontId="81" numFmtId="0" xfId="0" applyAlignment="1" applyBorder="1" applyFont="1">
      <alignment horizontal="center" readingOrder="0" shrinkToFit="0" vertical="center" wrapText="1"/>
    </xf>
    <xf borderId="1" fillId="16" fontId="163" numFmtId="0" xfId="0" applyAlignment="1" applyBorder="1" applyFont="1">
      <alignment horizontal="center" readingOrder="0" shrinkToFit="0" vertical="center" wrapText="1"/>
    </xf>
    <xf borderId="1" fillId="2" fontId="41" numFmtId="0" xfId="0" applyAlignment="1" applyBorder="1" applyFont="1">
      <alignment horizontal="center" readingOrder="0" shrinkToFit="0" vertical="center" wrapText="1"/>
    </xf>
    <xf borderId="1" fillId="23" fontId="51" numFmtId="0" xfId="0" applyAlignment="1" applyBorder="1" applyFont="1">
      <alignment readingOrder="0" shrinkToFit="0" vertical="center" wrapText="1"/>
    </xf>
    <xf borderId="1" fillId="23" fontId="51" numFmtId="164" xfId="0" applyAlignment="1" applyBorder="1" applyFont="1" applyNumberFormat="1">
      <alignment horizontal="center" readingOrder="0" shrinkToFit="0" vertical="center" wrapText="1"/>
    </xf>
    <xf borderId="1" fillId="23" fontId="164" numFmtId="0" xfId="0" applyAlignment="1" applyBorder="1" applyFont="1">
      <alignment horizontal="center" readingOrder="0" shrinkToFit="0" vertical="center" wrapText="1"/>
    </xf>
    <xf borderId="1" fillId="23" fontId="68" numFmtId="0" xfId="0" applyAlignment="1" applyBorder="1" applyFont="1">
      <alignment horizontal="center" readingOrder="0" shrinkToFit="0" vertical="center" wrapText="1"/>
    </xf>
    <xf borderId="1" fillId="23" fontId="165" numFmtId="0" xfId="0" applyAlignment="1" applyBorder="1" applyFont="1">
      <alignment horizontal="center" readingOrder="0" shrinkToFit="0" vertical="center" wrapText="1"/>
    </xf>
    <xf borderId="1" fillId="23" fontId="51" numFmtId="9" xfId="0" applyAlignment="1" applyBorder="1" applyFont="1" applyNumberFormat="1">
      <alignment horizontal="center" readingOrder="0" shrinkToFit="0" vertical="center" wrapText="1"/>
    </xf>
    <xf borderId="1" fillId="23" fontId="51" numFmtId="0" xfId="0" applyAlignment="1" applyBorder="1" applyFont="1">
      <alignment horizontal="center" readingOrder="0" shrinkToFit="0" vertical="center" wrapText="1"/>
    </xf>
    <xf borderId="1" fillId="8" fontId="89" numFmtId="166" xfId="0" applyAlignment="1" applyBorder="1" applyFont="1" applyNumberFormat="1">
      <alignment horizontal="center" readingOrder="0" shrinkToFit="0" vertical="center" wrapText="1"/>
    </xf>
    <xf borderId="1" fillId="2" fontId="81" numFmtId="0" xfId="0" applyAlignment="1" applyBorder="1" applyFont="1">
      <alignment horizontal="center" shrinkToFit="0" vertical="center" wrapText="1"/>
    </xf>
    <xf borderId="1" fillId="23" fontId="136" numFmtId="0" xfId="0" applyAlignment="1" applyBorder="1" applyFont="1">
      <alignment horizontal="center" readingOrder="0" shrinkToFit="0" vertical="center" wrapText="1"/>
    </xf>
    <xf borderId="1" fillId="23" fontId="110" numFmtId="0" xfId="0" applyAlignment="1" applyBorder="1" applyFont="1">
      <alignment horizontal="center" readingOrder="0" shrinkToFit="0" vertical="center" wrapText="1"/>
    </xf>
    <xf borderId="1" fillId="23" fontId="166" numFmtId="0" xfId="0" applyAlignment="1" applyBorder="1" applyFont="1">
      <alignment horizontal="center" readingOrder="0" shrinkToFit="0" vertical="center" wrapText="1"/>
    </xf>
    <xf borderId="1" fillId="24" fontId="167" numFmtId="0" xfId="0" applyAlignment="1" applyBorder="1" applyFont="1">
      <alignment horizontal="center" readingOrder="0" shrinkToFit="0" vertical="center" wrapText="1"/>
    </xf>
    <xf borderId="1" fillId="23" fontId="40" numFmtId="0" xfId="0" applyAlignment="1" applyBorder="1" applyFont="1">
      <alignment horizontal="center" readingOrder="0" shrinkToFit="0" vertical="center" wrapText="1"/>
    </xf>
    <xf borderId="1" fillId="23" fontId="168" numFmtId="0" xfId="0" applyAlignment="1" applyBorder="1" applyFont="1">
      <alignment horizontal="center" readingOrder="0" shrinkToFit="0" vertical="center" wrapText="1"/>
    </xf>
    <xf borderId="1" fillId="23" fontId="43" numFmtId="165" xfId="0" applyAlignment="1" applyBorder="1" applyFont="1" applyNumberFormat="1">
      <alignment readingOrder="0" shrinkToFit="0" vertical="center" wrapText="1"/>
    </xf>
    <xf borderId="1" fillId="23" fontId="43" numFmtId="165" xfId="0" applyAlignment="1" applyBorder="1" applyFont="1" applyNumberFormat="1">
      <alignment horizontal="center" readingOrder="0" shrinkToFit="0" vertical="center" wrapText="1"/>
    </xf>
    <xf borderId="1" fillId="2" fontId="81" numFmtId="0" xfId="0" applyAlignment="1" applyBorder="1" applyFont="1">
      <alignment horizontal="center" readingOrder="0" shrinkToFit="0" vertical="center" wrapText="1"/>
    </xf>
    <xf borderId="1" fillId="0" fontId="51" numFmtId="165" xfId="0" applyAlignment="1" applyBorder="1" applyFont="1" applyNumberFormat="1">
      <alignment horizontal="center" readingOrder="0" shrinkToFit="0" vertical="center" wrapText="1"/>
    </xf>
    <xf borderId="1" fillId="12" fontId="43" numFmtId="165" xfId="0" applyAlignment="1" applyBorder="1" applyFont="1" applyNumberFormat="1">
      <alignment readingOrder="0" shrinkToFit="0" vertical="center" wrapText="1"/>
    </xf>
    <xf borderId="1" fillId="6" fontId="169" numFmtId="165" xfId="0" applyAlignment="1" applyBorder="1" applyFont="1" applyNumberFormat="1">
      <alignment horizontal="center" readingOrder="0" shrinkToFit="0" vertical="center" wrapText="0"/>
    </xf>
    <xf borderId="1" fillId="3" fontId="43" numFmtId="165" xfId="0" applyAlignment="1" applyBorder="1" applyFont="1" applyNumberFormat="1">
      <alignment readingOrder="0" shrinkToFit="0" vertical="center" wrapText="1"/>
    </xf>
    <xf borderId="1" fillId="2" fontId="112" numFmtId="0" xfId="0" applyAlignment="1" applyBorder="1" applyFont="1">
      <alignment horizontal="center" readingOrder="0" shrinkToFit="0" vertical="center" wrapText="1"/>
    </xf>
    <xf borderId="0" fillId="2" fontId="170" numFmtId="0" xfId="0" applyAlignment="1" applyFont="1">
      <alignment horizontal="center" readingOrder="0" shrinkToFit="0" vertical="center" wrapText="1"/>
    </xf>
    <xf borderId="0" fillId="23" fontId="1" numFmtId="0" xfId="0" applyAlignment="1" applyFont="1">
      <alignment shrinkToFit="0" vertical="center" wrapText="0"/>
    </xf>
    <xf borderId="1" fillId="2" fontId="40" numFmtId="0" xfId="0" applyAlignment="1" applyBorder="1" applyFont="1">
      <alignment horizontal="center" readingOrder="0" shrinkToFit="0" vertical="center" wrapText="1"/>
    </xf>
    <xf borderId="0" fillId="0" fontId="171" numFmtId="0" xfId="0" applyAlignment="1" applyFont="1">
      <alignment horizontal="center" readingOrder="0" shrinkToFit="0" vertical="center" wrapText="1"/>
    </xf>
    <xf borderId="1" fillId="19" fontId="161" numFmtId="0" xfId="0" applyAlignment="1" applyBorder="1" applyFont="1">
      <alignment horizontal="center" readingOrder="0" shrinkToFit="0" vertical="center" wrapText="1"/>
    </xf>
    <xf borderId="1" fillId="23" fontId="120" numFmtId="0" xfId="0" applyAlignment="1" applyBorder="1" applyFont="1">
      <alignment horizontal="center" readingOrder="0" shrinkToFit="0" vertical="center" wrapText="1"/>
    </xf>
    <xf borderId="1" fillId="23" fontId="172" numFmtId="0" xfId="0" applyAlignment="1" applyBorder="1" applyFont="1">
      <alignment horizontal="center" readingOrder="0" shrinkToFit="0" vertical="center" wrapText="1"/>
    </xf>
    <xf borderId="1" fillId="3" fontId="112" numFmtId="0" xfId="0" applyAlignment="1" applyBorder="1" applyFont="1">
      <alignment horizontal="center" readingOrder="0" shrinkToFit="0" vertical="center" wrapText="1"/>
    </xf>
    <xf borderId="1" fillId="3" fontId="110" numFmtId="0" xfId="0" applyAlignment="1" applyBorder="1" applyFont="1">
      <alignment horizontal="center" readingOrder="0" shrinkToFit="0" vertical="center" wrapText="1"/>
    </xf>
    <xf borderId="1" fillId="3" fontId="173" numFmtId="0" xfId="0" applyAlignment="1" applyBorder="1" applyFont="1">
      <alignment horizontal="center" readingOrder="0" shrinkToFit="0" vertical="center" wrapText="1"/>
    </xf>
    <xf borderId="1" fillId="3" fontId="51" numFmtId="0" xfId="0" applyAlignment="1" applyBorder="1" applyFont="1">
      <alignment horizontal="center" readingOrder="0" shrinkToFit="0" vertical="center" wrapText="1"/>
    </xf>
    <xf borderId="1" fillId="3" fontId="51" numFmtId="0" xfId="0" applyAlignment="1" applyBorder="1" applyFont="1">
      <alignment horizontal="center" shrinkToFit="0" vertical="center" wrapText="1"/>
    </xf>
    <xf borderId="0" fillId="3" fontId="11" numFmtId="165" xfId="0" applyAlignment="1" applyFont="1" applyNumberFormat="1">
      <alignment readingOrder="0" shrinkToFit="0" vertical="center" wrapText="0"/>
    </xf>
    <xf borderId="1" fillId="23" fontId="51" numFmtId="0" xfId="0" applyAlignment="1" applyBorder="1" applyFont="1">
      <alignment horizontal="center" shrinkToFit="0" vertical="center" wrapText="1"/>
    </xf>
    <xf borderId="1" fillId="2" fontId="174" numFmtId="0" xfId="0" applyAlignment="1" applyBorder="1" applyFont="1">
      <alignment horizontal="center" readingOrder="0" shrinkToFit="0" vertical="center" wrapText="1"/>
    </xf>
    <xf borderId="1" fillId="2" fontId="112" numFmtId="0" xfId="0" applyAlignment="1" applyBorder="1" applyFont="1">
      <alignment horizontal="center" readingOrder="0" shrinkToFit="0" vertical="center" wrapText="1"/>
    </xf>
    <xf borderId="1" fillId="2" fontId="68" numFmtId="0" xfId="0" applyAlignment="1" applyBorder="1" applyFont="1">
      <alignment horizontal="center" readingOrder="0" shrinkToFit="0" vertical="center" wrapText="1"/>
    </xf>
    <xf borderId="1" fillId="16" fontId="175" numFmtId="0" xfId="0" applyAlignment="1" applyBorder="1" applyFont="1">
      <alignment horizontal="center" readingOrder="0" shrinkToFit="0" vertical="center" wrapText="1"/>
    </xf>
    <xf borderId="1" fillId="16" fontId="68" numFmtId="0" xfId="0" applyAlignment="1" applyBorder="1" applyFont="1">
      <alignment horizontal="center" readingOrder="0" shrinkToFit="0" vertical="center" wrapText="1"/>
    </xf>
    <xf borderId="1" fillId="2" fontId="168" numFmtId="0" xfId="0" applyAlignment="1" applyBorder="1" applyFont="1">
      <alignment horizontal="center" readingOrder="0" shrinkToFit="0" vertical="center" wrapText="1"/>
    </xf>
    <xf borderId="1" fillId="23" fontId="112" numFmtId="0" xfId="0" applyAlignment="1" applyBorder="1" applyFont="1">
      <alignment horizontal="center" readingOrder="0" shrinkToFit="0" vertical="center" wrapText="1"/>
    </xf>
    <xf borderId="1" fillId="2" fontId="176" numFmtId="0" xfId="0" applyAlignment="1" applyBorder="1" applyFont="1">
      <alignment horizontal="center" readingOrder="0" shrinkToFit="0" vertical="center" wrapText="1"/>
    </xf>
    <xf borderId="0" fillId="23" fontId="11" numFmtId="0" xfId="0" applyAlignment="1" applyFont="1">
      <alignment readingOrder="0" shrinkToFit="0" vertical="center" wrapText="0"/>
    </xf>
    <xf borderId="1" fillId="23" fontId="51" numFmtId="0" xfId="0" applyAlignment="1" applyBorder="1" applyFont="1">
      <alignment horizontal="center" shrinkToFit="0" vertical="center" wrapText="1"/>
    </xf>
    <xf borderId="1" fillId="23" fontId="51" numFmtId="0" xfId="0" applyAlignment="1" applyBorder="1" applyFont="1">
      <alignment readingOrder="0" shrinkToFit="0" vertical="center" wrapText="1"/>
    </xf>
    <xf borderId="1" fillId="0" fontId="120" numFmtId="0" xfId="0" applyAlignment="1" applyBorder="1" applyFont="1">
      <alignment horizontal="center" readingOrder="0" shrinkToFit="0" vertical="center" wrapText="1"/>
    </xf>
    <xf borderId="1" fillId="0" fontId="177"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24" fontId="159" numFmtId="0" xfId="0" applyAlignment="1" applyBorder="1" applyFont="1">
      <alignment horizontal="center" readingOrder="0" shrinkToFit="0" vertical="center" wrapText="1"/>
    </xf>
    <xf borderId="0" fillId="24" fontId="1" numFmtId="0" xfId="0" applyAlignment="1" applyFont="1">
      <alignment horizontal="center" shrinkToFit="0" vertical="center" wrapText="1"/>
    </xf>
    <xf borderId="0" fillId="2" fontId="178" numFmtId="0" xfId="0" applyAlignment="1" applyFont="1">
      <alignment readingOrder="0" shrinkToFit="0" vertical="center" wrapText="1"/>
    </xf>
    <xf borderId="1" fillId="16" fontId="179" numFmtId="0" xfId="0" applyAlignment="1" applyBorder="1" applyFont="1">
      <alignment horizontal="center" readingOrder="0" shrinkToFit="0" vertical="center" wrapText="1"/>
    </xf>
    <xf borderId="1" fillId="0" fontId="180"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0" fillId="2" fontId="101" numFmtId="0" xfId="0" applyAlignment="1" applyFont="1">
      <alignment horizontal="center" readingOrder="0" shrinkToFit="0" vertical="center" wrapText="1"/>
    </xf>
    <xf borderId="0" fillId="2" fontId="101" numFmtId="0" xfId="0" applyAlignment="1" applyFont="1">
      <alignment readingOrder="0" shrinkToFit="0" vertical="center" wrapText="0"/>
    </xf>
    <xf borderId="0" fillId="2" fontId="1" numFmtId="0" xfId="0" applyAlignment="1" applyFont="1">
      <alignment horizontal="center" shrinkToFit="0" vertical="center" wrapText="1"/>
    </xf>
    <xf borderId="1" fillId="24" fontId="181" numFmtId="0" xfId="0" applyAlignment="1" applyBorder="1" applyFont="1">
      <alignment horizontal="center" readingOrder="0" shrinkToFit="0" vertical="center" wrapText="1"/>
    </xf>
    <xf borderId="1" fillId="8" fontId="56" numFmtId="166" xfId="0" applyAlignment="1" applyBorder="1" applyFont="1" applyNumberFormat="1">
      <alignment readingOrder="0" shrinkToFit="0" vertical="center" wrapText="1"/>
    </xf>
    <xf borderId="1" fillId="27" fontId="68" numFmtId="0" xfId="0" applyAlignment="1" applyBorder="1" applyFill="1" applyFont="1">
      <alignment horizontal="center" readingOrder="0" shrinkToFit="0" vertical="center" wrapText="1"/>
    </xf>
    <xf borderId="1" fillId="27" fontId="110" numFmtId="0" xfId="0" applyAlignment="1" applyBorder="1" applyFont="1">
      <alignment horizontal="center" readingOrder="0" shrinkToFit="0" vertical="center" wrapText="1"/>
    </xf>
    <xf borderId="0" fillId="23" fontId="1" numFmtId="0" xfId="0" applyAlignment="1" applyFont="1">
      <alignment horizontal="center" shrinkToFit="0" vertical="center" wrapText="1"/>
    </xf>
    <xf borderId="1" fillId="23" fontId="182" numFmtId="0" xfId="0" applyAlignment="1" applyBorder="1" applyFont="1">
      <alignment horizontal="center" readingOrder="0" shrinkToFit="0" vertical="center" wrapText="1"/>
    </xf>
    <xf borderId="1" fillId="2" fontId="183" numFmtId="0" xfId="0" applyAlignment="1" applyBorder="1" applyFont="1">
      <alignment horizontal="center" readingOrder="0" shrinkToFit="0" vertical="center" wrapText="1"/>
    </xf>
    <xf borderId="1" fillId="24" fontId="116" numFmtId="0" xfId="0" applyAlignment="1" applyBorder="1" applyFont="1">
      <alignment horizontal="center" readingOrder="0" shrinkToFit="0" vertical="center" wrapText="1"/>
    </xf>
    <xf borderId="1" fillId="0" fontId="184" numFmtId="0" xfId="0" applyAlignment="1" applyBorder="1" applyFont="1">
      <alignment horizontal="center" readingOrder="0" shrinkToFit="0" vertical="center" wrapText="1"/>
    </xf>
    <xf borderId="1" fillId="24" fontId="185" numFmtId="0" xfId="0" applyAlignment="1" applyBorder="1" applyFont="1">
      <alignment horizontal="center" readingOrder="0" shrinkToFit="0" vertical="center" wrapText="1"/>
    </xf>
    <xf borderId="0" fillId="0" fontId="1" numFmtId="164" xfId="0" applyAlignment="1" applyFont="1" applyNumberFormat="1">
      <alignment horizontal="center" shrinkToFit="0" vertical="center" wrapText="1"/>
    </xf>
    <xf borderId="1" fillId="0" fontId="43" numFmtId="0" xfId="0" applyAlignment="1" applyBorder="1" applyFont="1">
      <alignment horizontal="center" readingOrder="0" shrinkToFit="0" vertical="center" wrapText="1"/>
    </xf>
    <xf borderId="1" fillId="2" fontId="67" numFmtId="0" xfId="0" applyAlignment="1" applyBorder="1" applyFont="1">
      <alignment horizontal="center" shrinkToFit="0" vertical="center" wrapText="1"/>
    </xf>
    <xf borderId="1" fillId="24" fontId="41" numFmtId="0" xfId="0" applyAlignment="1" applyBorder="1" applyFont="1">
      <alignment horizontal="center" readingOrder="0" shrinkToFit="0" vertical="center" wrapText="1"/>
    </xf>
    <xf borderId="1" fillId="16" fontId="112" numFmtId="0" xfId="0" applyAlignment="1" applyBorder="1" applyFont="1">
      <alignment horizontal="center" shrinkToFit="0" vertical="center" wrapText="1"/>
    </xf>
    <xf borderId="1" fillId="16" fontId="186" numFmtId="0" xfId="0" applyAlignment="1" applyBorder="1" applyFont="1">
      <alignment horizontal="center" shrinkToFit="0" vertical="center" wrapText="1"/>
    </xf>
    <xf borderId="1" fillId="0" fontId="51" numFmtId="0" xfId="0" applyAlignment="1" applyBorder="1" applyFont="1">
      <alignment horizontal="center" shrinkToFit="0" vertical="center" wrapText="1"/>
    </xf>
    <xf borderId="1" fillId="8" fontId="89" numFmtId="166" xfId="0" applyAlignment="1" applyBorder="1" applyFont="1" applyNumberFormat="1">
      <alignment horizontal="right" readingOrder="0" shrinkToFit="0" vertical="center" wrapText="0"/>
    </xf>
    <xf borderId="1" fillId="24" fontId="59" numFmtId="0" xfId="0" applyAlignment="1" applyBorder="1" applyFont="1">
      <alignment horizontal="center" readingOrder="0" shrinkToFit="0" vertical="center" wrapText="1"/>
    </xf>
    <xf borderId="1" fillId="0" fontId="51" numFmtId="0" xfId="0" applyAlignment="1" applyBorder="1" applyFont="1">
      <alignment readingOrder="0" shrinkToFit="0" vertical="center" wrapText="1"/>
    </xf>
    <xf borderId="1" fillId="2" fontId="187" numFmtId="0" xfId="0" applyAlignment="1" applyBorder="1" applyFont="1">
      <alignment horizontal="center" readingOrder="0" shrinkToFit="0" vertical="center" wrapText="1"/>
    </xf>
    <xf borderId="1" fillId="2" fontId="188" numFmtId="0" xfId="0" applyAlignment="1" applyBorder="1" applyFont="1">
      <alignment horizontal="center" readingOrder="0" shrinkToFit="0" vertical="center" wrapText="1"/>
    </xf>
    <xf borderId="1" fillId="0" fontId="51" numFmtId="164" xfId="0" applyAlignment="1" applyBorder="1" applyFont="1" applyNumberFormat="1">
      <alignment horizontal="center" readingOrder="0" shrinkToFit="0" vertical="bottom" wrapText="1"/>
    </xf>
    <xf borderId="1" fillId="28" fontId="51" numFmtId="0" xfId="0" applyAlignment="1" applyBorder="1" applyFill="1" applyFont="1">
      <alignment readingOrder="0" shrinkToFit="0" vertical="center" wrapText="1"/>
    </xf>
    <xf borderId="1" fillId="28" fontId="51" numFmtId="164" xfId="0" applyAlignment="1" applyBorder="1" applyFont="1" applyNumberFormat="1">
      <alignment horizontal="center" readingOrder="0" shrinkToFit="0" vertical="center" wrapText="1"/>
    </xf>
    <xf borderId="1" fillId="28" fontId="51" numFmtId="0" xfId="0" applyAlignment="1" applyBorder="1" applyFont="1">
      <alignment horizontal="center" readingOrder="0" shrinkToFit="0" vertical="center" wrapText="1"/>
    </xf>
    <xf borderId="1" fillId="28" fontId="110" numFmtId="0" xfId="0" applyAlignment="1" applyBorder="1" applyFont="1">
      <alignment horizontal="center" readingOrder="0" shrinkToFit="0" vertical="center" wrapText="1"/>
    </xf>
    <xf borderId="1" fillId="28" fontId="51" numFmtId="0" xfId="0" applyAlignment="1" applyBorder="1" applyFont="1">
      <alignment horizontal="center" readingOrder="0" shrinkToFit="0" vertical="center" wrapText="1"/>
    </xf>
    <xf borderId="1" fillId="28" fontId="189" numFmtId="0" xfId="0" applyAlignment="1" applyBorder="1" applyFont="1">
      <alignment horizontal="center" readingOrder="0" shrinkToFit="0" vertical="center" wrapText="1"/>
    </xf>
    <xf borderId="1" fillId="28" fontId="51" numFmtId="9" xfId="0" applyAlignment="1" applyBorder="1" applyFont="1" applyNumberFormat="1">
      <alignment horizontal="center" readingOrder="0" shrinkToFit="0" vertical="center" wrapText="1"/>
    </xf>
    <xf borderId="1" fillId="28" fontId="43" numFmtId="165" xfId="0" applyAlignment="1" applyBorder="1" applyFont="1" applyNumberFormat="1">
      <alignment shrinkToFit="0" vertical="center" wrapText="1"/>
    </xf>
    <xf borderId="1" fillId="28" fontId="51" numFmtId="0" xfId="0" applyAlignment="1" applyBorder="1" applyFont="1">
      <alignment horizontal="center" readingOrder="0" shrinkToFit="0" vertical="center" wrapText="1"/>
    </xf>
    <xf borderId="0" fillId="24" fontId="1" numFmtId="0" xfId="0" applyAlignment="1" applyFont="1">
      <alignment readingOrder="0" shrinkToFit="0" vertical="center" wrapText="0"/>
    </xf>
    <xf borderId="1" fillId="23" fontId="81" numFmtId="0" xfId="0" applyAlignment="1" applyBorder="1" applyFont="1">
      <alignment horizontal="center" readingOrder="0" shrinkToFit="0" vertical="center" wrapText="1"/>
    </xf>
    <xf borderId="1" fillId="23" fontId="54" numFmtId="0" xfId="0" applyAlignment="1" applyBorder="1" applyFont="1">
      <alignment horizontal="center" shrinkToFit="0" vertical="center" wrapText="1"/>
    </xf>
    <xf borderId="1" fillId="24" fontId="112" numFmtId="0" xfId="0" applyAlignment="1" applyBorder="1" applyFont="1">
      <alignment horizontal="center" readingOrder="0" shrinkToFit="0" vertical="center" wrapText="1"/>
    </xf>
    <xf borderId="1" fillId="24" fontId="190" numFmtId="0" xfId="0" applyAlignment="1" applyBorder="1" applyFont="1">
      <alignment horizontal="center" readingOrder="0" shrinkToFit="0" vertical="center" wrapText="1"/>
    </xf>
    <xf borderId="1" fillId="29" fontId="51" numFmtId="0" xfId="0" applyAlignment="1" applyBorder="1" applyFill="1" applyFont="1">
      <alignment readingOrder="0" shrinkToFit="0" vertical="center" wrapText="1"/>
    </xf>
    <xf borderId="1" fillId="29" fontId="51" numFmtId="164" xfId="0" applyAlignment="1" applyBorder="1" applyFont="1" applyNumberFormat="1">
      <alignment horizontal="center" readingOrder="0" shrinkToFit="0" vertical="center" wrapText="1"/>
    </xf>
    <xf borderId="1" fillId="29" fontId="112" numFmtId="0" xfId="0" applyAlignment="1" applyBorder="1" applyFont="1">
      <alignment horizontal="center" readingOrder="0" shrinkToFit="0" vertical="center" wrapText="1"/>
    </xf>
    <xf borderId="1" fillId="29" fontId="68" numFmtId="0" xfId="0" applyAlignment="1" applyBorder="1" applyFont="1">
      <alignment horizontal="center" readingOrder="0" shrinkToFit="0" vertical="center" wrapText="1"/>
    </xf>
    <xf borderId="1" fillId="29" fontId="51" numFmtId="0" xfId="0" applyAlignment="1" applyBorder="1" applyFont="1">
      <alignment horizontal="center" readingOrder="0" shrinkToFit="0" vertical="center" wrapText="1"/>
    </xf>
    <xf borderId="1" fillId="29" fontId="191" numFmtId="0" xfId="0" applyAlignment="1" applyBorder="1" applyFont="1">
      <alignment horizontal="center" readingOrder="0" shrinkToFit="0" vertical="center" wrapText="1"/>
    </xf>
    <xf borderId="1" fillId="29" fontId="51" numFmtId="0" xfId="0" applyAlignment="1" applyBorder="1" applyFont="1">
      <alignment horizontal="center" readingOrder="0" shrinkToFit="0" vertical="center" wrapText="1"/>
    </xf>
    <xf borderId="1" fillId="29" fontId="51" numFmtId="9" xfId="0" applyAlignment="1" applyBorder="1" applyFont="1" applyNumberFormat="1">
      <alignment horizontal="center" readingOrder="0" shrinkToFit="0" vertical="center" wrapText="1"/>
    </xf>
    <xf borderId="1" fillId="29" fontId="54" numFmtId="165" xfId="0" applyAlignment="1" applyBorder="1" applyFont="1" applyNumberFormat="1">
      <alignment horizontal="center" shrinkToFit="0" vertical="center" wrapText="1"/>
    </xf>
    <xf borderId="1" fillId="29" fontId="43" numFmtId="165" xfId="0" applyAlignment="1" applyBorder="1" applyFont="1" applyNumberFormat="1">
      <alignment horizontal="center" shrinkToFit="0" vertical="center" wrapText="1"/>
    </xf>
    <xf borderId="1" fillId="29" fontId="43" numFmtId="165" xfId="0" applyAlignment="1" applyBorder="1" applyFont="1" applyNumberFormat="1">
      <alignment shrinkToFit="0" vertical="center" wrapText="1"/>
    </xf>
    <xf borderId="1" fillId="29" fontId="51" numFmtId="0" xfId="0" applyAlignment="1" applyBorder="1" applyFont="1">
      <alignment horizontal="center" readingOrder="0" shrinkToFit="0" vertical="center" wrapText="1"/>
    </xf>
    <xf borderId="1" fillId="29" fontId="1" numFmtId="0" xfId="0" applyAlignment="1" applyBorder="1" applyFont="1">
      <alignment horizontal="center" readingOrder="0" shrinkToFit="0" vertical="center" wrapText="1"/>
    </xf>
    <xf borderId="1" fillId="29" fontId="1" numFmtId="0" xfId="0" applyAlignment="1" applyBorder="1" applyFont="1">
      <alignment horizontal="center" shrinkToFit="0" vertical="center" wrapText="1"/>
    </xf>
    <xf borderId="1" fillId="29" fontId="1" numFmtId="0" xfId="0" applyAlignment="1" applyBorder="1" applyFont="1">
      <alignment horizontal="center" shrinkToFit="0" vertical="center" wrapText="1"/>
    </xf>
    <xf borderId="1" fillId="24" fontId="192" numFmtId="0" xfId="0" applyAlignment="1" applyBorder="1" applyFont="1">
      <alignment horizontal="center" readingOrder="0" shrinkToFit="0" vertical="center" wrapText="1"/>
    </xf>
    <xf borderId="1" fillId="24" fontId="51" numFmtId="165" xfId="0" applyAlignment="1" applyBorder="1" applyFont="1" applyNumberFormat="1">
      <alignment horizontal="center" readingOrder="0" shrinkToFit="0" vertical="center" wrapText="1"/>
    </xf>
    <xf borderId="1" fillId="24" fontId="193" numFmtId="0" xfId="0" applyAlignment="1" applyBorder="1" applyFont="1">
      <alignment horizontal="center" readingOrder="0" shrinkToFit="0" vertical="center" wrapText="1"/>
    </xf>
    <xf borderId="1" fillId="24" fontId="51" numFmtId="0" xfId="0" applyAlignment="1" applyBorder="1" applyFont="1">
      <alignment horizontal="center" readingOrder="0" shrinkToFit="0" vertical="center" wrapText="1"/>
    </xf>
    <xf borderId="1" fillId="24" fontId="51" numFmtId="164" xfId="0" applyAlignment="1" applyBorder="1" applyFont="1" applyNumberFormat="1">
      <alignment horizontal="center" readingOrder="0" shrinkToFit="0" vertical="bottom" wrapText="1"/>
    </xf>
    <xf borderId="1" fillId="24" fontId="120" numFmtId="0" xfId="0" applyAlignment="1" applyBorder="1" applyFont="1">
      <alignment horizontal="center" readingOrder="0" shrinkToFit="0" vertical="center" wrapText="1"/>
    </xf>
    <xf borderId="1" fillId="2" fontId="194" numFmtId="0" xfId="0" applyAlignment="1" applyBorder="1" applyFont="1">
      <alignment horizontal="center" shrinkToFit="0" vertical="center" wrapText="1"/>
    </xf>
    <xf borderId="1" fillId="2" fontId="110" numFmtId="0" xfId="0" applyAlignment="1" applyBorder="1" applyFont="1">
      <alignment horizontal="center" readingOrder="0" shrinkToFit="0" vertical="center" wrapText="1"/>
    </xf>
    <xf borderId="1" fillId="23" fontId="77" numFmtId="0" xfId="0" applyAlignment="1" applyBorder="1" applyFont="1">
      <alignment horizontal="center" readingOrder="0" shrinkToFit="0" vertical="center" wrapText="1"/>
    </xf>
    <xf borderId="1" fillId="23" fontId="195" numFmtId="0" xfId="0" applyAlignment="1" applyBorder="1" applyFont="1">
      <alignment horizontal="center" readingOrder="0" shrinkToFit="0" vertical="center" wrapText="1"/>
    </xf>
    <xf borderId="1" fillId="23" fontId="51" numFmtId="165" xfId="0" applyAlignment="1" applyBorder="1" applyFont="1" applyNumberFormat="1">
      <alignment horizontal="center" readingOrder="0" shrinkToFit="0" vertical="center" wrapText="1"/>
    </xf>
    <xf borderId="1" fillId="23" fontId="59" numFmtId="0" xfId="0" applyAlignment="1" applyBorder="1" applyFont="1">
      <alignment horizontal="center" readingOrder="0" shrinkToFit="0" vertical="center" wrapText="1"/>
    </xf>
    <xf borderId="1" fillId="23" fontId="59" numFmtId="0" xfId="0" applyAlignment="1" applyBorder="1" applyFont="1">
      <alignment horizontal="center" readingOrder="0" shrinkToFit="0" vertical="center" wrapText="1"/>
    </xf>
    <xf borderId="1" fillId="23" fontId="51" numFmtId="164" xfId="0" applyAlignment="1" applyBorder="1" applyFont="1" applyNumberFormat="1">
      <alignment horizontal="center" readingOrder="0" shrinkToFit="0" vertical="bottom" wrapText="1"/>
    </xf>
    <xf borderId="0" fillId="24" fontId="11" numFmtId="0" xfId="0" applyAlignment="1" applyFont="1">
      <alignment readingOrder="0" shrinkToFit="0" vertical="center" wrapText="1"/>
    </xf>
    <xf borderId="1" fillId="11" fontId="196" numFmtId="0" xfId="0" applyAlignment="1" applyBorder="1" applyFont="1">
      <alignment horizontal="center" readingOrder="0" shrinkToFit="0" vertical="center" wrapText="1"/>
    </xf>
    <xf borderId="1" fillId="0" fontId="112" numFmtId="0" xfId="0" applyAlignment="1" applyBorder="1" applyFont="1">
      <alignment horizontal="center" readingOrder="0" shrinkToFit="0" vertical="center" wrapText="1"/>
    </xf>
    <xf borderId="1" fillId="2" fontId="11" numFmtId="0" xfId="0" applyAlignment="1" applyBorder="1" applyFont="1">
      <alignment readingOrder="0" shrinkToFit="0" vertical="center" wrapText="1"/>
    </xf>
    <xf borderId="1" fillId="24" fontId="58" numFmtId="165" xfId="0" applyAlignment="1" applyBorder="1" applyFont="1" applyNumberFormat="1">
      <alignment horizontal="center" readingOrder="0" shrinkToFit="0" vertical="center" wrapText="1"/>
    </xf>
    <xf borderId="1" fillId="24" fontId="79" numFmtId="165" xfId="0" applyAlignment="1" applyBorder="1" applyFont="1" applyNumberFormat="1">
      <alignment horizontal="center" readingOrder="0" shrinkToFit="0" vertical="center" wrapText="1"/>
    </xf>
    <xf borderId="1" fillId="24" fontId="56" numFmtId="166" xfId="0" applyAlignment="1" applyBorder="1" applyFont="1" applyNumberFormat="1">
      <alignment horizontal="center" readingOrder="0" shrinkToFit="0" vertical="center" wrapText="1"/>
    </xf>
    <xf borderId="1" fillId="24" fontId="152" numFmtId="0" xfId="0" applyAlignment="1" applyBorder="1" applyFont="1">
      <alignment horizontal="center" readingOrder="0" shrinkToFit="0" vertical="center" wrapText="1"/>
    </xf>
    <xf borderId="1" fillId="24" fontId="51" numFmtId="0" xfId="0" applyAlignment="1" applyBorder="1" applyFont="1">
      <alignment horizontal="center" shrinkToFit="0" vertical="center" wrapText="1"/>
    </xf>
    <xf borderId="1" fillId="19" fontId="51" numFmtId="0" xfId="0" applyAlignment="1" applyBorder="1" applyFont="1">
      <alignment readingOrder="0" shrinkToFit="0" vertical="center" wrapText="1"/>
    </xf>
    <xf borderId="1" fillId="19" fontId="51" numFmtId="164" xfId="0" applyAlignment="1" applyBorder="1" applyFont="1" applyNumberFormat="1">
      <alignment horizontal="center" readingOrder="0" shrinkToFit="0" vertical="center" wrapText="1"/>
    </xf>
    <xf borderId="1" fillId="19" fontId="110" numFmtId="0" xfId="0" applyAlignment="1" applyBorder="1" applyFont="1">
      <alignment horizontal="center" readingOrder="0" shrinkToFit="0" vertical="center" wrapText="1"/>
    </xf>
    <xf borderId="1" fillId="19" fontId="51" numFmtId="0" xfId="0" applyAlignment="1" applyBorder="1" applyFont="1">
      <alignment horizontal="center" readingOrder="0" shrinkToFit="0" vertical="center" wrapText="1"/>
    </xf>
    <xf borderId="1" fillId="19" fontId="197" numFmtId="0" xfId="0" applyAlignment="1" applyBorder="1" applyFont="1">
      <alignment horizontal="center" readingOrder="0" shrinkToFit="0" vertical="center" wrapText="1"/>
    </xf>
    <xf borderId="1" fillId="19" fontId="51" numFmtId="0" xfId="0" applyAlignment="1" applyBorder="1" applyFont="1">
      <alignment horizontal="center" readingOrder="0" shrinkToFit="0" vertical="center" wrapText="1"/>
    </xf>
    <xf borderId="1" fillId="19" fontId="51" numFmtId="9" xfId="0" applyAlignment="1" applyBorder="1" applyFont="1" applyNumberFormat="1">
      <alignment horizontal="center" readingOrder="0" shrinkToFit="0" vertical="center" wrapText="1"/>
    </xf>
    <xf borderId="1" fillId="19" fontId="51" numFmtId="165" xfId="0" applyAlignment="1" applyBorder="1" applyFont="1" applyNumberFormat="1">
      <alignment horizontal="center" readingOrder="0" shrinkToFit="0" vertical="center" wrapText="1"/>
    </xf>
    <xf borderId="1" fillId="19" fontId="54" numFmtId="165" xfId="0" applyAlignment="1" applyBorder="1" applyFont="1" applyNumberFormat="1">
      <alignment horizontal="center" shrinkToFit="0" vertical="center" wrapText="1"/>
    </xf>
    <xf borderId="1" fillId="19" fontId="58" numFmtId="165" xfId="0" applyAlignment="1" applyBorder="1" applyFont="1" applyNumberFormat="1">
      <alignment horizontal="center" readingOrder="0" shrinkToFit="0" vertical="center" wrapText="1"/>
    </xf>
    <xf borderId="1" fillId="19" fontId="79" numFmtId="165" xfId="0" applyAlignment="1" applyBorder="1" applyFont="1" applyNumberFormat="1">
      <alignment horizontal="center" readingOrder="0" shrinkToFit="0" vertical="center" wrapText="1"/>
    </xf>
    <xf borderId="1" fillId="19" fontId="56" numFmtId="166" xfId="0" applyAlignment="1" applyBorder="1" applyFont="1" applyNumberFormat="1">
      <alignment horizontal="center" readingOrder="0" shrinkToFit="0" vertical="center" wrapText="1"/>
    </xf>
    <xf borderId="1" fillId="19" fontId="43" numFmtId="165" xfId="0" applyAlignment="1" applyBorder="1" applyFont="1" applyNumberFormat="1">
      <alignment horizontal="center" shrinkToFit="0" vertical="center" wrapText="1"/>
    </xf>
    <xf borderId="1" fillId="19" fontId="43" numFmtId="165" xfId="0" applyAlignment="1" applyBorder="1" applyFont="1" applyNumberFormat="1">
      <alignment horizontal="center" readingOrder="0" shrinkToFit="0" vertical="center" wrapText="1"/>
    </xf>
    <xf borderId="1" fillId="19" fontId="51" numFmtId="0" xfId="0" applyAlignment="1" applyBorder="1" applyFont="1">
      <alignment readingOrder="0" shrinkToFit="0" vertical="center" wrapText="1"/>
    </xf>
    <xf borderId="1" fillId="19" fontId="43" numFmtId="165" xfId="0" applyAlignment="1" applyBorder="1" applyFont="1" applyNumberFormat="1">
      <alignment readingOrder="0" shrinkToFit="0" vertical="center" wrapText="1"/>
    </xf>
    <xf borderId="1" fillId="19" fontId="51" numFmtId="0" xfId="0" applyAlignment="1" applyBorder="1" applyFont="1">
      <alignment horizontal="center" readingOrder="0" shrinkToFit="0" vertical="center" wrapText="1"/>
    </xf>
    <xf borderId="1" fillId="19" fontId="1" numFmtId="0" xfId="0" applyAlignment="1" applyBorder="1" applyFont="1">
      <alignment horizontal="center" readingOrder="0" shrinkToFit="0" vertical="center" wrapText="1"/>
    </xf>
    <xf borderId="1" fillId="19" fontId="1" numFmtId="0" xfId="0" applyAlignment="1" applyBorder="1" applyFont="1">
      <alignment horizontal="center" shrinkToFit="0" vertical="center" wrapText="1"/>
    </xf>
    <xf borderId="1" fillId="19" fontId="51" numFmtId="164" xfId="0" applyAlignment="1" applyBorder="1" applyFont="1" applyNumberFormat="1">
      <alignment horizontal="center" readingOrder="0" shrinkToFit="0" vertical="bottom" wrapText="1"/>
    </xf>
    <xf borderId="1" fillId="19" fontId="51" numFmtId="0" xfId="0" applyAlignment="1" applyBorder="1" applyFont="1">
      <alignment readingOrder="0" shrinkToFit="0" vertical="center" wrapText="1"/>
    </xf>
    <xf borderId="1" fillId="19" fontId="1" numFmtId="0" xfId="0" applyAlignment="1" applyBorder="1" applyFont="1">
      <alignment horizontal="center" shrinkToFit="0" vertical="center" wrapText="1"/>
    </xf>
    <xf borderId="1" fillId="30" fontId="58" numFmtId="165" xfId="0" applyAlignment="1" applyBorder="1" applyFill="1" applyFont="1" applyNumberFormat="1">
      <alignment horizontal="center" readingOrder="0" shrinkToFit="0" vertical="center" wrapText="1"/>
    </xf>
    <xf borderId="0" fillId="24" fontId="1" numFmtId="165" xfId="0" applyAlignment="1" applyFont="1" applyNumberFormat="1">
      <alignment horizontal="center" readingOrder="0" shrinkToFit="0" vertical="center" wrapText="0"/>
    </xf>
    <xf borderId="0" fillId="24" fontId="1" numFmtId="165" xfId="0" applyAlignment="1" applyFont="1" applyNumberFormat="1">
      <alignment readingOrder="0" shrinkToFit="0" vertical="center" wrapText="0"/>
    </xf>
    <xf borderId="1" fillId="15" fontId="112" numFmtId="0" xfId="0" applyAlignment="1" applyBorder="1" applyFont="1">
      <alignment horizontal="center" shrinkToFit="0" vertical="center" wrapText="1"/>
    </xf>
    <xf borderId="1" fillId="15" fontId="51" numFmtId="9" xfId="0" applyAlignment="1" applyBorder="1" applyFont="1" applyNumberFormat="1">
      <alignment horizontal="center" readingOrder="0" shrinkToFit="0" vertical="center" wrapText="1"/>
    </xf>
    <xf borderId="1" fillId="15" fontId="54" numFmtId="165" xfId="0" applyAlignment="1" applyBorder="1" applyFont="1" applyNumberFormat="1">
      <alignment horizontal="center" shrinkToFit="0" vertical="center" wrapText="1"/>
    </xf>
    <xf borderId="1" fillId="15" fontId="58" numFmtId="165" xfId="0" applyAlignment="1" applyBorder="1" applyFont="1" applyNumberFormat="1">
      <alignment horizontal="center" readingOrder="0" shrinkToFit="0" vertical="center" wrapText="1"/>
    </xf>
    <xf borderId="1" fillId="15" fontId="79" numFmtId="165" xfId="0" applyAlignment="1" applyBorder="1" applyFont="1" applyNumberFormat="1">
      <alignment horizontal="center" readingOrder="0" shrinkToFit="0" vertical="center" wrapText="1"/>
    </xf>
    <xf borderId="1" fillId="15" fontId="56" numFmtId="166" xfId="0" applyAlignment="1" applyBorder="1" applyFont="1" applyNumberFormat="1">
      <alignment horizontal="center" shrinkToFit="0" vertical="center" wrapText="1"/>
    </xf>
    <xf borderId="1" fillId="15" fontId="43" numFmtId="165" xfId="0" applyAlignment="1" applyBorder="1" applyFont="1" applyNumberFormat="1">
      <alignment horizontal="center" readingOrder="0" shrinkToFit="0" vertical="center" wrapText="1"/>
    </xf>
    <xf borderId="1" fillId="15" fontId="81" numFmtId="0" xfId="0" applyAlignment="1" applyBorder="1" applyFont="1">
      <alignment horizontal="center" readingOrder="0" shrinkToFit="0" vertical="center" wrapText="1"/>
    </xf>
    <xf borderId="1" fillId="15" fontId="81" numFmtId="0" xfId="0" applyAlignment="1" applyBorder="1" applyFont="1">
      <alignment horizontal="center" readingOrder="0" shrinkToFit="0" vertical="center" wrapText="1"/>
    </xf>
    <xf borderId="1" fillId="15" fontId="51" numFmtId="164" xfId="0" applyAlignment="1" applyBorder="1" applyFont="1" applyNumberFormat="1">
      <alignment horizontal="center" readingOrder="0" shrinkToFit="0" vertical="bottom" wrapText="1"/>
    </xf>
    <xf borderId="0" fillId="0" fontId="1" numFmtId="0" xfId="0" applyAlignment="1" applyFont="1">
      <alignment horizontal="center" readingOrder="0" shrinkToFit="0" vertical="center" wrapText="0"/>
    </xf>
    <xf borderId="1" fillId="0" fontId="198" numFmtId="0" xfId="0" applyAlignment="1" applyBorder="1" applyFont="1">
      <alignment horizontal="center" readingOrder="0" shrinkToFit="0" vertical="center" wrapText="1"/>
    </xf>
    <xf borderId="1" fillId="0" fontId="199" numFmtId="0" xfId="0" applyAlignment="1" applyBorder="1" applyFont="1">
      <alignment horizontal="center" readingOrder="0" shrinkToFit="0" vertical="center" wrapText="1"/>
    </xf>
    <xf borderId="1" fillId="0" fontId="200" numFmtId="0" xfId="0" applyAlignment="1" applyBorder="1" applyFont="1">
      <alignment horizontal="center" readingOrder="0" shrinkToFit="0" vertical="center" wrapText="1"/>
    </xf>
    <xf borderId="1" fillId="24" fontId="201" numFmtId="0" xfId="0" applyAlignment="1" applyBorder="1" applyFont="1">
      <alignment horizontal="center" readingOrder="0" shrinkToFit="0" vertical="center" wrapText="1"/>
    </xf>
    <xf borderId="1" fillId="24" fontId="202" numFmtId="0" xfId="0" applyAlignment="1" applyBorder="1" applyFont="1">
      <alignment horizontal="center" readingOrder="0" shrinkToFit="0" vertical="center" wrapText="1"/>
    </xf>
    <xf borderId="1" fillId="24" fontId="203" numFmtId="0" xfId="0" applyAlignment="1" applyBorder="1" applyFont="1">
      <alignment horizontal="center" readingOrder="0" shrinkToFit="0" vertical="center" wrapText="1"/>
    </xf>
    <xf borderId="1" fillId="24" fontId="77" numFmtId="0" xfId="0" applyAlignment="1" applyBorder="1" applyFont="1">
      <alignment horizontal="center" readingOrder="0" shrinkToFit="0" vertical="center" wrapText="1"/>
    </xf>
    <xf borderId="1" fillId="24" fontId="51" numFmtId="0" xfId="0" applyAlignment="1" applyBorder="1" applyFont="1">
      <alignment readingOrder="0" shrinkToFit="0" vertical="center" wrapText="1"/>
    </xf>
    <xf borderId="1" fillId="17" fontId="51" numFmtId="164" xfId="0" applyAlignment="1" applyBorder="1" applyFont="1" applyNumberFormat="1">
      <alignment horizontal="center" readingOrder="0" shrinkToFit="0" vertical="center" wrapText="1"/>
    </xf>
    <xf borderId="1" fillId="2" fontId="77"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4" fillId="31" fontId="204" numFmtId="0" xfId="0" applyAlignment="1" applyBorder="1" applyFill="1" applyFont="1">
      <alignment horizontal="center" readingOrder="0" shrinkToFit="0" vertical="bottom" wrapText="0"/>
    </xf>
    <xf borderId="7" fillId="31" fontId="204" numFmtId="0" xfId="0" applyAlignment="1" applyBorder="1" applyFont="1">
      <alignment horizontal="center" readingOrder="0" shrinkToFit="0" vertical="bottom" wrapText="0"/>
    </xf>
    <xf borderId="1" fillId="0" fontId="205" numFmtId="0" xfId="0" applyAlignment="1" applyBorder="1" applyFont="1">
      <alignment horizontal="center" readingOrder="0" shrinkToFit="0" vertical="center" wrapText="1"/>
    </xf>
    <xf borderId="1" fillId="32" fontId="206" numFmtId="0" xfId="0" applyAlignment="1" applyBorder="1" applyFill="1" applyFont="1">
      <alignment horizontal="center" readingOrder="0" shrinkToFit="0" vertical="center" wrapText="1"/>
    </xf>
    <xf borderId="1" fillId="16" fontId="207" numFmtId="0" xfId="0" applyAlignment="1" applyBorder="1" applyFont="1">
      <alignment horizontal="center" readingOrder="0" shrinkToFit="0" vertical="center" wrapText="1"/>
    </xf>
    <xf borderId="1" fillId="2" fontId="208"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0" fontId="209" numFmtId="0" xfId="0" applyAlignment="1" applyBorder="1" applyFont="1">
      <alignment horizontal="center" readingOrder="0" shrinkToFit="0" vertical="center" wrapText="1"/>
    </xf>
    <xf borderId="1" fillId="0" fontId="51" numFmtId="165" xfId="0" applyAlignment="1" applyBorder="1" applyFont="1" applyNumberFormat="1">
      <alignment horizontal="center" readingOrder="0" shrinkToFit="0" vertical="center" wrapText="1"/>
    </xf>
    <xf borderId="1" fillId="0" fontId="79" numFmtId="165" xfId="0" applyAlignment="1" applyBorder="1" applyFont="1" applyNumberFormat="1">
      <alignment horizontal="center" readingOrder="0" shrinkToFit="0" vertical="center" wrapText="1"/>
    </xf>
    <xf borderId="1" fillId="0" fontId="51" numFmtId="0" xfId="0" applyAlignment="1" applyBorder="1" applyFont="1">
      <alignment readingOrder="0" shrinkToFit="0" vertical="center" wrapText="1"/>
    </xf>
    <xf borderId="1" fillId="0" fontId="51" numFmtId="164" xfId="0" applyAlignment="1" applyBorder="1" applyFont="1" applyNumberFormat="1">
      <alignment horizontal="center" readingOrder="0" shrinkToFit="0" vertical="bottom" wrapText="1"/>
    </xf>
    <xf borderId="1" fillId="2" fontId="210" numFmtId="0" xfId="0" applyAlignment="1" applyBorder="1" applyFont="1">
      <alignment horizontal="center" readingOrder="0" shrinkToFit="0" vertical="center" wrapText="1"/>
    </xf>
    <xf borderId="1" fillId="24" fontId="211" numFmtId="0" xfId="0" applyAlignment="1" applyBorder="1" applyFont="1">
      <alignment horizontal="center" readingOrder="0" shrinkToFit="0" vertical="center" wrapText="1"/>
    </xf>
    <xf borderId="1" fillId="2" fontId="212" numFmtId="0" xfId="0" applyAlignment="1" applyBorder="1" applyFont="1">
      <alignment horizontal="center" readingOrder="0" shrinkToFit="0" vertical="center" wrapText="1"/>
    </xf>
    <xf borderId="1" fillId="2" fontId="51" numFmtId="165" xfId="0" applyAlignment="1" applyBorder="1" applyFont="1" applyNumberFormat="1">
      <alignment horizontal="center" readingOrder="0" shrinkToFit="0" vertical="center" wrapText="1"/>
    </xf>
    <xf borderId="1" fillId="2" fontId="51" numFmtId="164" xfId="0" applyAlignment="1" applyBorder="1" applyFont="1" applyNumberFormat="1">
      <alignment horizontal="center" readingOrder="0" shrinkToFit="0" vertical="bottom" wrapText="1"/>
    </xf>
    <xf borderId="1" fillId="11" fontId="112" numFmtId="0" xfId="0" applyAlignment="1" applyBorder="1" applyFont="1">
      <alignment horizontal="center" shrinkToFit="0" vertical="center" wrapText="1"/>
    </xf>
    <xf borderId="1" fillId="33" fontId="51" numFmtId="0" xfId="0" applyAlignment="1" applyBorder="1" applyFill="1" applyFont="1">
      <alignment readingOrder="0" shrinkToFit="0" vertical="center" wrapText="1"/>
    </xf>
    <xf borderId="1" fillId="33" fontId="51" numFmtId="164" xfId="0" applyAlignment="1" applyBorder="1" applyFont="1" applyNumberFormat="1">
      <alignment horizontal="center" readingOrder="0" shrinkToFit="0" vertical="center" wrapText="1"/>
    </xf>
    <xf borderId="1" fillId="33" fontId="116" numFmtId="0" xfId="0" applyAlignment="1" applyBorder="1" applyFont="1">
      <alignment horizontal="center" readingOrder="0" shrinkToFit="0" vertical="center" wrapText="1"/>
    </xf>
    <xf borderId="1" fillId="33" fontId="68" numFmtId="0" xfId="0" applyAlignment="1" applyBorder="1" applyFont="1">
      <alignment horizontal="center" readingOrder="0" shrinkToFit="0" vertical="center" wrapText="1"/>
    </xf>
    <xf borderId="1" fillId="33" fontId="51" numFmtId="0" xfId="0" applyAlignment="1" applyBorder="1" applyFont="1">
      <alignment horizontal="center" readingOrder="0" shrinkToFit="0" vertical="center" wrapText="1"/>
    </xf>
    <xf borderId="1" fillId="33" fontId="213" numFmtId="0" xfId="0" applyAlignment="1" applyBorder="1" applyFont="1">
      <alignment horizontal="center" readingOrder="0" shrinkToFit="0" vertical="center" wrapText="1"/>
    </xf>
    <xf borderId="1" fillId="33" fontId="51" numFmtId="0" xfId="0" applyAlignment="1" applyBorder="1" applyFont="1">
      <alignment horizontal="center" readingOrder="0" shrinkToFit="0" vertical="center" wrapText="1"/>
    </xf>
    <xf borderId="1" fillId="33" fontId="51" numFmtId="9" xfId="0" applyAlignment="1" applyBorder="1" applyFont="1" applyNumberFormat="1">
      <alignment horizontal="center" readingOrder="0" shrinkToFit="0" vertical="center" wrapText="1"/>
    </xf>
    <xf borderId="1" fillId="33" fontId="51" numFmtId="165" xfId="0" applyAlignment="1" applyBorder="1" applyFont="1" applyNumberFormat="1">
      <alignment horizontal="center" readingOrder="0" shrinkToFit="0" vertical="center" wrapText="1"/>
    </xf>
    <xf borderId="1" fillId="33" fontId="54" numFmtId="165" xfId="0" applyAlignment="1" applyBorder="1" applyFont="1" applyNumberFormat="1">
      <alignment horizontal="center" shrinkToFit="0" vertical="center" wrapText="1"/>
    </xf>
    <xf borderId="1" fillId="33" fontId="58" numFmtId="165" xfId="0" applyAlignment="1" applyBorder="1" applyFont="1" applyNumberFormat="1">
      <alignment horizontal="center" readingOrder="0" shrinkToFit="0" vertical="center" wrapText="1"/>
    </xf>
    <xf borderId="1" fillId="33" fontId="79" numFmtId="165" xfId="0" applyAlignment="1" applyBorder="1" applyFont="1" applyNumberFormat="1">
      <alignment horizontal="center" readingOrder="0" shrinkToFit="0" vertical="center" wrapText="1"/>
    </xf>
    <xf borderId="1" fillId="33" fontId="56" numFmtId="166" xfId="0" applyAlignment="1" applyBorder="1" applyFont="1" applyNumberFormat="1">
      <alignment horizontal="center" readingOrder="0" shrinkToFit="0" vertical="center" wrapText="1"/>
    </xf>
    <xf borderId="1" fillId="33" fontId="43" numFmtId="165" xfId="0" applyAlignment="1" applyBorder="1" applyFont="1" applyNumberFormat="1">
      <alignment horizontal="center" shrinkToFit="0" vertical="center" wrapText="1"/>
    </xf>
    <xf borderId="1" fillId="33" fontId="43" numFmtId="165" xfId="0" applyAlignment="1" applyBorder="1" applyFont="1" applyNumberFormat="1">
      <alignment horizontal="center" readingOrder="0" shrinkToFit="0" vertical="center" wrapText="1"/>
    </xf>
    <xf borderId="1" fillId="33" fontId="51" numFmtId="0" xfId="0" applyAlignment="1" applyBorder="1" applyFont="1">
      <alignment readingOrder="0" shrinkToFit="0" vertical="center" wrapText="1"/>
    </xf>
    <xf borderId="1" fillId="33" fontId="43" numFmtId="165" xfId="0" applyAlignment="1" applyBorder="1" applyFont="1" applyNumberFormat="1">
      <alignment readingOrder="0" shrinkToFit="0" vertical="center" wrapText="1"/>
    </xf>
    <xf borderId="1" fillId="33" fontId="51" numFmtId="0" xfId="0" applyAlignment="1" applyBorder="1" applyFont="1">
      <alignment horizontal="center" readingOrder="0" shrinkToFit="0" vertical="center" wrapText="1"/>
    </xf>
    <xf borderId="1" fillId="33" fontId="1" numFmtId="0" xfId="0" applyAlignment="1" applyBorder="1" applyFont="1">
      <alignment horizontal="center" readingOrder="0" shrinkToFit="0" vertical="center" wrapText="1"/>
    </xf>
    <xf borderId="1" fillId="33" fontId="1" numFmtId="0" xfId="0" applyAlignment="1" applyBorder="1" applyFont="1">
      <alignment horizontal="center" shrinkToFit="0" vertical="center" wrapText="1"/>
    </xf>
    <xf borderId="1" fillId="33" fontId="51" numFmtId="0" xfId="0" applyAlignment="1" applyBorder="1" applyFont="1">
      <alignment horizontal="center" shrinkToFit="0" vertical="center" wrapText="1"/>
    </xf>
    <xf borderId="1" fillId="33" fontId="51" numFmtId="164" xfId="0" applyAlignment="1" applyBorder="1" applyFont="1" applyNumberFormat="1">
      <alignment horizontal="center" readingOrder="0" shrinkToFit="0" vertical="bottom" wrapText="1"/>
    </xf>
    <xf borderId="1" fillId="33" fontId="1" numFmtId="0" xfId="0" applyAlignment="1" applyBorder="1" applyFont="1">
      <alignment horizontal="center" shrinkToFit="0" vertical="center" wrapText="1"/>
    </xf>
    <xf borderId="1" fillId="2" fontId="112" numFmtId="0" xfId="0" applyAlignment="1" applyBorder="1" applyFont="1">
      <alignment horizontal="center" shrinkToFit="0" vertical="center" wrapText="1"/>
    </xf>
    <xf borderId="1" fillId="2" fontId="156" numFmtId="0" xfId="0" applyAlignment="1" applyBorder="1" applyFont="1">
      <alignment horizontal="center" readingOrder="0" shrinkToFit="0" vertical="center" wrapText="1"/>
    </xf>
    <xf borderId="0" fillId="16" fontId="214" numFmtId="0" xfId="0" applyAlignment="1" applyFont="1">
      <alignment horizontal="center" readingOrder="0" shrinkToFit="0" vertical="center" wrapText="1"/>
    </xf>
    <xf borderId="0" fillId="32" fontId="215" numFmtId="0" xfId="0" applyAlignment="1" applyFont="1">
      <alignment readingOrder="0" shrinkToFit="0" vertical="center" wrapText="0"/>
    </xf>
    <xf borderId="1" fillId="2" fontId="216" numFmtId="165" xfId="0" applyAlignment="1" applyBorder="1" applyFont="1" applyNumberFormat="1">
      <alignment horizontal="center" readingOrder="0" shrinkToFit="0" vertical="center" wrapText="1"/>
    </xf>
    <xf borderId="1" fillId="20" fontId="43" numFmtId="165" xfId="0" applyAlignment="1" applyBorder="1" applyFont="1" applyNumberFormat="1">
      <alignment shrinkToFit="0" vertical="center" wrapText="1"/>
    </xf>
    <xf borderId="1" fillId="34" fontId="110" numFmtId="0" xfId="0" applyAlignment="1" applyBorder="1" applyFill="1" applyFont="1">
      <alignment horizontal="center" readingOrder="0" shrinkToFit="0" vertical="center" wrapText="1"/>
    </xf>
    <xf borderId="1" fillId="2" fontId="110" numFmtId="0" xfId="0" applyAlignment="1" applyBorder="1" applyFont="1">
      <alignment horizontal="center" readingOrder="0" shrinkToFit="0" vertical="center" wrapText="1"/>
    </xf>
    <xf borderId="1" fillId="2" fontId="217" numFmtId="0" xfId="0" applyAlignment="1" applyBorder="1" applyFont="1">
      <alignment horizontal="center" shrinkToFit="0" vertical="center" wrapText="1"/>
    </xf>
    <xf borderId="1" fillId="16" fontId="218" numFmtId="0" xfId="0" applyAlignment="1" applyBorder="1" applyFont="1">
      <alignment horizontal="center" readingOrder="0" shrinkToFit="0" vertical="center" wrapText="1"/>
    </xf>
    <xf borderId="1" fillId="35" fontId="112"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0"/>
    </xf>
    <xf borderId="1" fillId="34" fontId="110" numFmtId="0" xfId="0" applyAlignment="1" applyBorder="1" applyFont="1">
      <alignment horizontal="center" readingOrder="0" shrinkToFit="0" vertical="center" wrapText="1"/>
    </xf>
    <xf borderId="1" fillId="36" fontId="219" numFmtId="0" xfId="0" applyAlignment="1" applyBorder="1" applyFill="1" applyFont="1">
      <alignment horizontal="center" readingOrder="0" shrinkToFit="0" vertical="center" wrapText="1"/>
    </xf>
    <xf borderId="1" fillId="2" fontId="220" numFmtId="0" xfId="0" applyAlignment="1" applyBorder="1" applyFont="1">
      <alignment horizontal="center" readingOrder="0" shrinkToFit="0" vertical="center" wrapText="1"/>
    </xf>
    <xf borderId="0" fillId="0" fontId="51" numFmtId="0" xfId="0" applyAlignment="1" applyFont="1">
      <alignment readingOrder="0" shrinkToFit="0" vertical="center" wrapText="1"/>
    </xf>
    <xf borderId="0" fillId="17" fontId="51" numFmtId="164" xfId="0" applyAlignment="1" applyFont="1" applyNumberFormat="1">
      <alignment horizontal="center" readingOrder="0" shrinkToFit="0" vertical="center" wrapText="1"/>
    </xf>
    <xf borderId="1" fillId="0" fontId="221" numFmtId="0" xfId="0" applyAlignment="1" applyBorder="1" applyFont="1">
      <alignment horizontal="center" readingOrder="0" shrinkToFit="0" vertical="center" wrapText="1"/>
    </xf>
    <xf borderId="0" fillId="0" fontId="51" numFmtId="9" xfId="0" applyAlignment="1" applyFont="1" applyNumberFormat="1">
      <alignment horizontal="center" readingOrder="0" shrinkToFit="0" vertical="center" wrapText="1"/>
    </xf>
    <xf borderId="0" fillId="0" fontId="54" numFmtId="165" xfId="0" applyAlignment="1" applyFont="1" applyNumberFormat="1">
      <alignment horizontal="center" shrinkToFit="0" vertical="center" wrapText="1"/>
    </xf>
    <xf borderId="0" fillId="0" fontId="43" numFmtId="165" xfId="0" applyAlignment="1" applyFont="1" applyNumberFormat="1">
      <alignment shrinkToFit="0" vertical="center" wrapText="1"/>
    </xf>
    <xf borderId="0" fillId="0" fontId="51" numFmtId="0" xfId="0" applyAlignment="1" applyFont="1">
      <alignment readingOrder="0" shrinkToFit="0" vertical="center" wrapText="1"/>
    </xf>
    <xf borderId="0" fillId="0" fontId="1" numFmtId="0" xfId="0" applyAlignment="1" applyFont="1">
      <alignment horizontal="center" shrinkToFit="0" vertical="center" wrapText="1"/>
    </xf>
    <xf borderId="0" fillId="0" fontId="51" numFmtId="0" xfId="0" applyAlignment="1" applyFont="1">
      <alignment horizontal="center" shrinkToFit="0" vertical="center" wrapText="1"/>
    </xf>
    <xf borderId="0" fillId="0" fontId="51" numFmtId="164" xfId="0" applyAlignment="1" applyFont="1" applyNumberFormat="1">
      <alignment horizontal="center" readingOrder="0" shrinkToFit="0" vertical="bottom" wrapText="1"/>
    </xf>
    <xf borderId="1" fillId="28" fontId="116" numFmtId="0" xfId="0" applyAlignment="1" applyBorder="1" applyFont="1">
      <alignment horizontal="center" readingOrder="0" shrinkToFit="0" vertical="center" wrapText="1"/>
    </xf>
    <xf borderId="1" fillId="28" fontId="68" numFmtId="0" xfId="0" applyAlignment="1" applyBorder="1" applyFont="1">
      <alignment horizontal="center" readingOrder="0" shrinkToFit="0" vertical="center" wrapText="1"/>
    </xf>
    <xf borderId="1" fillId="28" fontId="51" numFmtId="165" xfId="0" applyAlignment="1" applyBorder="1" applyFont="1" applyNumberFormat="1">
      <alignment horizontal="center" readingOrder="0" shrinkToFit="0" vertical="center" wrapText="1"/>
    </xf>
    <xf borderId="1" fillId="28" fontId="54" numFmtId="165" xfId="0" applyAlignment="1" applyBorder="1" applyFont="1" applyNumberFormat="1">
      <alignment horizontal="center" shrinkToFit="0" vertical="center" wrapText="1"/>
    </xf>
    <xf borderId="1" fillId="28" fontId="43" numFmtId="165" xfId="0" applyAlignment="1" applyBorder="1" applyFont="1" applyNumberFormat="1">
      <alignment horizontal="center" shrinkToFit="0" vertical="center" wrapText="1"/>
    </xf>
    <xf borderId="1" fillId="28" fontId="43" numFmtId="165" xfId="0" applyAlignment="1" applyBorder="1" applyFont="1" applyNumberFormat="1">
      <alignment readingOrder="0" shrinkToFit="0" vertical="center" wrapText="1"/>
    </xf>
    <xf borderId="1" fillId="28" fontId="43" numFmtId="165" xfId="0" applyAlignment="1" applyBorder="1" applyFont="1" applyNumberFormat="1">
      <alignment horizontal="center" readingOrder="0" shrinkToFit="0" vertical="center" wrapText="1"/>
    </xf>
    <xf borderId="1" fillId="28" fontId="1" numFmtId="0" xfId="0" applyAlignment="1" applyBorder="1" applyFont="1">
      <alignment horizontal="center" shrinkToFit="0" vertical="center" wrapText="1"/>
    </xf>
    <xf borderId="1" fillId="28" fontId="1" numFmtId="0" xfId="0" applyAlignment="1" applyBorder="1" applyFont="1">
      <alignment horizontal="center" shrinkToFit="0" vertical="center" wrapText="1"/>
    </xf>
    <xf borderId="1" fillId="28" fontId="51" numFmtId="0" xfId="0" applyAlignment="1" applyBorder="1" applyFont="1">
      <alignment horizontal="center" shrinkToFit="0" vertical="center" wrapText="1"/>
    </xf>
    <xf borderId="1" fillId="28" fontId="51" numFmtId="164" xfId="0" applyAlignment="1" applyBorder="1" applyFont="1" applyNumberFormat="1">
      <alignment horizontal="center" readingOrder="0" shrinkToFit="0" vertical="bottom" wrapText="1"/>
    </xf>
    <xf borderId="1" fillId="28" fontId="1" numFmtId="0" xfId="0" applyAlignment="1" applyBorder="1" applyFont="1">
      <alignment horizontal="center" shrinkToFit="0" vertical="center" wrapText="1"/>
    </xf>
    <xf borderId="1" fillId="2" fontId="222" numFmtId="0" xfId="0" applyAlignment="1" applyBorder="1" applyFont="1">
      <alignment horizontal="center" shrinkToFit="0" vertical="center" wrapText="1"/>
    </xf>
    <xf borderId="1" fillId="2" fontId="146" numFmtId="0" xfId="0" applyAlignment="1" applyBorder="1" applyFont="1">
      <alignment horizontal="center" shrinkToFit="0" vertical="center" wrapText="1"/>
    </xf>
    <xf borderId="1" fillId="0" fontId="51"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2" fontId="223" numFmtId="0" xfId="0" applyAlignment="1" applyBorder="1" applyFont="1">
      <alignment horizontal="center" readingOrder="0" shrinkToFit="0" vertical="center" wrapText="1"/>
    </xf>
    <xf borderId="1" fillId="22" fontId="43" numFmtId="165" xfId="0" applyAlignment="1" applyBorder="1" applyFont="1" applyNumberFormat="1">
      <alignment horizontal="center" shrinkToFit="0" vertical="center" wrapText="1"/>
    </xf>
    <xf borderId="1" fillId="16" fontId="224" numFmtId="0" xfId="0" applyAlignment="1" applyBorder="1" applyFont="1">
      <alignment horizontal="center" readingOrder="0" shrinkToFit="0" vertical="center" wrapText="1"/>
    </xf>
    <xf borderId="1" fillId="2" fontId="225" numFmtId="0" xfId="0" applyAlignment="1" applyBorder="1" applyFont="1">
      <alignment horizontal="center" readingOrder="0" shrinkToFit="0" vertical="center" wrapText="1"/>
    </xf>
    <xf borderId="1" fillId="16" fontId="226" numFmtId="0" xfId="0" applyAlignment="1" applyBorder="1" applyFont="1">
      <alignment horizontal="center" readingOrder="0" shrinkToFit="0" vertical="center" wrapText="1"/>
    </xf>
    <xf borderId="1" fillId="0" fontId="227" numFmtId="0" xfId="0" applyAlignment="1" applyBorder="1" applyFont="1">
      <alignment horizontal="center" readingOrder="0" shrinkToFit="0" vertical="center" wrapText="1"/>
    </xf>
    <xf borderId="1" fillId="0" fontId="228" numFmtId="0" xfId="0" applyAlignment="1" applyBorder="1" applyFont="1">
      <alignment horizontal="center" readingOrder="0" shrinkToFit="0" vertical="center" wrapText="1"/>
    </xf>
    <xf borderId="1" fillId="15" fontId="68" numFmtId="0" xfId="0" applyAlignment="1" applyBorder="1" applyFont="1">
      <alignment horizontal="center" readingOrder="0" shrinkToFit="0" vertical="center" wrapText="1"/>
    </xf>
    <xf borderId="1" fillId="15" fontId="229" numFmtId="0" xfId="0" applyAlignment="1" applyBorder="1" applyFont="1">
      <alignment horizontal="center" readingOrder="0" shrinkToFit="0" vertical="center" wrapText="1"/>
    </xf>
    <xf borderId="1" fillId="15" fontId="51" numFmtId="165" xfId="0" applyAlignment="1" applyBorder="1" applyFont="1" applyNumberFormat="1">
      <alignment horizontal="center" readingOrder="0" shrinkToFit="0" vertical="center" wrapText="1"/>
    </xf>
    <xf borderId="1" fillId="15" fontId="59" numFmtId="165" xfId="0" applyAlignment="1" applyBorder="1" applyFont="1" applyNumberFormat="1">
      <alignment horizontal="center" readingOrder="0" shrinkToFit="0" vertical="center" wrapText="1"/>
    </xf>
    <xf borderId="1" fillId="15" fontId="56" numFmtId="166" xfId="0" applyAlignment="1" applyBorder="1" applyFont="1" applyNumberFormat="1">
      <alignment horizontal="center" readingOrder="0" shrinkToFit="0" vertical="center" wrapText="1"/>
    </xf>
    <xf borderId="1" fillId="15" fontId="51" numFmtId="0" xfId="0" applyAlignment="1" applyBorder="1" applyFont="1">
      <alignment readingOrder="0" shrinkToFit="0" vertical="center" wrapText="1"/>
    </xf>
    <xf borderId="1" fillId="15" fontId="51" numFmtId="0" xfId="0" applyAlignment="1" applyBorder="1" applyFont="1">
      <alignment readingOrder="0" shrinkToFit="0" vertical="center" wrapText="1"/>
    </xf>
    <xf borderId="1" fillId="3" fontId="230" numFmtId="0" xfId="0" applyAlignment="1" applyBorder="1" applyFont="1">
      <alignment horizontal="center" readingOrder="0" shrinkToFit="0" vertical="center" wrapText="1"/>
    </xf>
    <xf borderId="1" fillId="2" fontId="231" numFmtId="0" xfId="0" applyAlignment="1" applyBorder="1" applyFont="1">
      <alignment horizontal="center" readingOrder="0" shrinkToFit="0" vertical="center" wrapText="1"/>
    </xf>
    <xf borderId="1" fillId="37" fontId="51" numFmtId="0" xfId="0" applyAlignment="1" applyBorder="1" applyFill="1" applyFont="1">
      <alignment readingOrder="0" shrinkToFit="0" vertical="center" wrapText="1"/>
    </xf>
    <xf borderId="1" fillId="37" fontId="51" numFmtId="164" xfId="0" applyAlignment="1" applyBorder="1" applyFont="1" applyNumberFormat="1">
      <alignment horizontal="center" readingOrder="0" shrinkToFit="0" vertical="center" wrapText="1"/>
    </xf>
    <xf borderId="1" fillId="37" fontId="232" numFmtId="0" xfId="0" applyAlignment="1" applyBorder="1" applyFont="1">
      <alignment horizontal="center" readingOrder="0" shrinkToFit="0" vertical="center" wrapText="1"/>
    </xf>
    <xf borderId="1" fillId="37" fontId="68" numFmtId="0" xfId="0" applyAlignment="1" applyBorder="1" applyFont="1">
      <alignment horizontal="center" readingOrder="0" shrinkToFit="0" vertical="center" wrapText="1"/>
    </xf>
    <xf borderId="1" fillId="37" fontId="51" numFmtId="0" xfId="0" applyAlignment="1" applyBorder="1" applyFont="1">
      <alignment horizontal="center" readingOrder="0" shrinkToFit="0" vertical="center" wrapText="1"/>
    </xf>
    <xf borderId="1" fillId="37" fontId="51" numFmtId="0" xfId="0" applyAlignment="1" applyBorder="1" applyFont="1">
      <alignment horizontal="center" readingOrder="0" shrinkToFit="0" vertical="center" wrapText="1"/>
    </xf>
    <xf borderId="1" fillId="37" fontId="51" numFmtId="0" xfId="0" applyAlignment="1" applyBorder="1" applyFont="1">
      <alignment horizontal="center" shrinkToFit="0" vertical="center" wrapText="1"/>
    </xf>
    <xf borderId="1" fillId="37" fontId="51" numFmtId="165" xfId="0" applyAlignment="1" applyBorder="1" applyFont="1" applyNumberFormat="1">
      <alignment horizontal="center" readingOrder="0" shrinkToFit="0" vertical="center" wrapText="1"/>
    </xf>
    <xf borderId="1" fillId="37" fontId="54" numFmtId="0" xfId="0" applyAlignment="1" applyBorder="1" applyFont="1">
      <alignment horizontal="center" shrinkToFit="0" vertical="center" wrapText="1"/>
    </xf>
    <xf borderId="1" fillId="37" fontId="58" numFmtId="165" xfId="0" applyAlignment="1" applyBorder="1" applyFont="1" applyNumberFormat="1">
      <alignment horizontal="center" shrinkToFit="0" vertical="center" wrapText="1"/>
    </xf>
    <xf borderId="1" fillId="37" fontId="79" numFmtId="165" xfId="0" applyAlignment="1" applyBorder="1" applyFont="1" applyNumberFormat="1">
      <alignment horizontal="center" shrinkToFit="0" vertical="center" wrapText="1"/>
    </xf>
    <xf borderId="1" fillId="37" fontId="56" numFmtId="166" xfId="0" applyAlignment="1" applyBorder="1" applyFont="1" applyNumberFormat="1">
      <alignment horizontal="center" readingOrder="0" shrinkToFit="0" vertical="center" wrapText="1"/>
    </xf>
    <xf borderId="1" fillId="37" fontId="43" numFmtId="165" xfId="0" applyAlignment="1" applyBorder="1" applyFont="1" applyNumberFormat="1">
      <alignment horizontal="center" readingOrder="0" shrinkToFit="0" vertical="center" wrapText="1"/>
    </xf>
    <xf borderId="1" fillId="37" fontId="43" numFmtId="165" xfId="0" applyAlignment="1" applyBorder="1" applyFont="1" applyNumberFormat="1">
      <alignment horizontal="center" shrinkToFit="0" vertical="center" wrapText="1"/>
    </xf>
    <xf borderId="1" fillId="37" fontId="51" numFmtId="0" xfId="0" applyAlignment="1" applyBorder="1" applyFont="1">
      <alignment readingOrder="0" shrinkToFit="0" vertical="center" wrapText="1"/>
    </xf>
    <xf borderId="1" fillId="37" fontId="43" numFmtId="165" xfId="0" applyAlignment="1" applyBorder="1" applyFont="1" applyNumberFormat="1">
      <alignment shrinkToFit="0" vertical="center" wrapText="1"/>
    </xf>
    <xf borderId="1" fillId="37" fontId="51" numFmtId="0" xfId="0" applyAlignment="1" applyBorder="1" applyFont="1">
      <alignment horizontal="center" readingOrder="0" shrinkToFit="0" vertical="center" wrapText="1"/>
    </xf>
    <xf borderId="1" fillId="37" fontId="51" numFmtId="0" xfId="0" applyAlignment="1" applyBorder="1" applyFont="1">
      <alignment horizontal="center" readingOrder="0" shrinkToFit="0" vertical="center" wrapText="1"/>
    </xf>
    <xf borderId="1" fillId="37" fontId="1" numFmtId="0" xfId="0" applyAlignment="1" applyBorder="1" applyFont="1">
      <alignment horizontal="center" shrinkToFit="0" vertical="center" wrapText="1"/>
    </xf>
    <xf borderId="1" fillId="37" fontId="1" numFmtId="0" xfId="0" applyAlignment="1" applyBorder="1" applyFont="1">
      <alignment horizontal="center" shrinkToFit="0" vertical="center" wrapText="1"/>
    </xf>
    <xf borderId="1" fillId="37" fontId="51" numFmtId="164" xfId="0" applyAlignment="1" applyBorder="1" applyFont="1" applyNumberFormat="1">
      <alignment horizontal="center" readingOrder="0" shrinkToFit="0" vertical="bottom" wrapText="1"/>
    </xf>
    <xf borderId="1" fillId="37" fontId="51" numFmtId="0" xfId="0" applyAlignment="1" applyBorder="1" applyFont="1">
      <alignment shrinkToFit="0" vertical="center" wrapText="1"/>
    </xf>
    <xf borderId="1" fillId="37" fontId="51" numFmtId="0" xfId="0" applyAlignment="1" applyBorder="1" applyFont="1">
      <alignment horizontal="center" readingOrder="0" shrinkToFit="0" vertical="center" wrapText="1"/>
    </xf>
    <xf borderId="1" fillId="37" fontId="1" numFmtId="0" xfId="0" applyAlignment="1" applyBorder="1" applyFont="1">
      <alignment horizontal="center" shrinkToFit="0" vertical="center" wrapText="1"/>
    </xf>
    <xf borderId="1" fillId="0" fontId="51" numFmtId="165" xfId="0" applyAlignment="1" applyBorder="1" applyFont="1" applyNumberFormat="1">
      <alignment horizontal="center" shrinkToFit="0" vertical="center" wrapText="1"/>
    </xf>
    <xf borderId="1" fillId="0" fontId="233" numFmtId="0" xfId="0" applyAlignment="1" applyBorder="1" applyFont="1">
      <alignment horizontal="center" readingOrder="0" shrinkToFit="0" vertical="center" wrapText="1"/>
    </xf>
    <xf borderId="1" fillId="16" fontId="51" numFmtId="0" xfId="0" applyAlignment="1" applyBorder="1" applyFont="1">
      <alignment horizontal="center" readingOrder="0" shrinkToFit="0" vertical="center" wrapText="1"/>
    </xf>
    <xf borderId="1" fillId="2" fontId="234" numFmtId="0" xfId="0" applyAlignment="1" applyBorder="1" applyFont="1">
      <alignment horizontal="center" readingOrder="0" shrinkToFit="0" vertical="center" wrapText="1"/>
    </xf>
    <xf borderId="0" fillId="2" fontId="235" numFmtId="0" xfId="0" applyAlignment="1" applyFont="1">
      <alignment readingOrder="0" shrinkToFit="0" vertical="center" wrapText="0"/>
    </xf>
    <xf borderId="1" fillId="3" fontId="54" numFmtId="165" xfId="0" applyAlignment="1" applyBorder="1" applyFont="1" applyNumberFormat="1">
      <alignment horizontal="center" readingOrder="0" shrinkToFit="0" vertical="center" wrapText="1"/>
    </xf>
    <xf borderId="0" fillId="0" fontId="236" numFmtId="0" xfId="0" applyAlignment="1" applyFont="1">
      <alignment horizontal="center" readingOrder="0" shrinkToFit="0" vertical="center" wrapText="1"/>
    </xf>
    <xf borderId="1" fillId="2" fontId="61" numFmtId="0" xfId="0" applyAlignment="1" applyBorder="1" applyFont="1">
      <alignment horizontal="center" readingOrder="0" shrinkToFit="0" vertical="center" wrapText="1"/>
    </xf>
    <xf borderId="1" fillId="38" fontId="51" numFmtId="0" xfId="0" applyAlignment="1" applyBorder="1" applyFill="1" applyFont="1">
      <alignment horizontal="center" readingOrder="0" shrinkToFit="0" vertical="center" wrapText="1"/>
    </xf>
    <xf borderId="1" fillId="0" fontId="237" numFmtId="0" xfId="0" applyAlignment="1" applyBorder="1" applyFont="1">
      <alignment horizontal="center" readingOrder="0" shrinkToFit="0" vertical="center" wrapText="1"/>
    </xf>
    <xf borderId="1" fillId="0" fontId="238" numFmtId="0" xfId="0" applyAlignment="1" applyBorder="1" applyFont="1">
      <alignment horizontal="center" readingOrder="0" shrinkToFit="0" vertical="center" wrapText="1"/>
    </xf>
    <xf borderId="1" fillId="2" fontId="239" numFmtId="0" xfId="0" applyAlignment="1" applyBorder="1" applyFont="1">
      <alignment horizontal="center" readingOrder="0" shrinkToFit="0" vertical="center" wrapText="1"/>
    </xf>
    <xf borderId="1" fillId="2" fontId="204" numFmtId="0" xfId="0" applyAlignment="1" applyBorder="1" applyFont="1">
      <alignment horizontal="center" readingOrder="0" shrinkToFit="0" vertical="center" wrapText="1"/>
    </xf>
    <xf borderId="1" fillId="2" fontId="204" numFmtId="0" xfId="0" applyAlignment="1" applyBorder="1" applyFont="1">
      <alignment horizontal="left" readingOrder="0" shrinkToFit="0" vertical="bottom" wrapText="0"/>
    </xf>
    <xf borderId="1" fillId="2" fontId="204" numFmtId="0" xfId="0" applyAlignment="1" applyBorder="1" applyFont="1">
      <alignment horizontal="center" readingOrder="0" shrinkToFit="0" vertical="center" wrapText="0"/>
    </xf>
    <xf borderId="1" fillId="2" fontId="240" numFmtId="0" xfId="0" applyAlignment="1" applyBorder="1" applyFont="1">
      <alignment horizontal="center" readingOrder="0" shrinkToFit="0" vertical="center" wrapText="1"/>
    </xf>
    <xf borderId="1" fillId="16" fontId="110" numFmtId="0" xfId="0" applyAlignment="1" applyBorder="1" applyFont="1">
      <alignment horizontal="center" readingOrder="0" shrinkToFit="0" vertical="center" wrapText="1"/>
    </xf>
    <xf borderId="1" fillId="19" fontId="241" numFmtId="0" xfId="0" applyAlignment="1" applyBorder="1" applyFont="1">
      <alignment horizontal="center" readingOrder="0" shrinkToFit="0" vertical="center" wrapText="1"/>
    </xf>
    <xf borderId="1" fillId="19" fontId="68" numFmtId="0" xfId="0" applyAlignment="1" applyBorder="1" applyFont="1">
      <alignment horizontal="center" readingOrder="0" shrinkToFit="0" vertical="center" wrapText="1"/>
    </xf>
    <xf borderId="1" fillId="19" fontId="242" numFmtId="0" xfId="0" applyAlignment="1" applyBorder="1" applyFont="1">
      <alignment horizontal="center" readingOrder="0" shrinkToFit="0" vertical="center" wrapText="1"/>
    </xf>
    <xf borderId="1" fillId="19" fontId="51" numFmtId="0" xfId="0" applyAlignment="1" applyBorder="1" applyFont="1">
      <alignment horizontal="center" shrinkToFit="0" vertical="center" wrapText="1"/>
    </xf>
    <xf borderId="1" fillId="19" fontId="43" numFmtId="165" xfId="0" applyAlignment="1" applyBorder="1" applyFont="1" applyNumberFormat="1">
      <alignment shrinkToFit="0" vertical="center" wrapText="1"/>
    </xf>
    <xf borderId="1" fillId="19" fontId="51" numFmtId="0" xfId="0" applyAlignment="1" applyBorder="1" applyFont="1">
      <alignment readingOrder="0" shrinkToFit="0" vertical="center" wrapText="1"/>
    </xf>
    <xf borderId="1" fillId="19" fontId="1" numFmtId="0" xfId="0" applyAlignment="1" applyBorder="1" applyFont="1">
      <alignment horizontal="center" shrinkToFit="0" vertical="center" wrapText="1"/>
    </xf>
    <xf borderId="1" fillId="0" fontId="243" numFmtId="0" xfId="0" applyAlignment="1" applyBorder="1" applyFont="1">
      <alignment horizontal="center" readingOrder="0" shrinkToFit="0" vertical="center" wrapText="1"/>
    </xf>
    <xf borderId="1" fillId="32" fontId="215" numFmtId="0" xfId="0" applyAlignment="1" applyBorder="1" applyFont="1">
      <alignment horizontal="center" readingOrder="0" shrinkToFit="0" vertical="center" wrapText="0"/>
    </xf>
    <xf borderId="1" fillId="2" fontId="121" numFmtId="0" xfId="0" applyAlignment="1" applyBorder="1" applyFont="1">
      <alignment horizontal="center" readingOrder="0" shrinkToFit="0" vertical="center" wrapText="0"/>
    </xf>
    <xf borderId="1" fillId="0" fontId="244" numFmtId="0" xfId="0" applyAlignment="1" applyBorder="1" applyFont="1">
      <alignment horizontal="center" readingOrder="0" shrinkToFit="0" vertical="center" wrapText="1"/>
    </xf>
    <xf borderId="0" fillId="0" fontId="245" numFmtId="0" xfId="0" applyAlignment="1" applyFont="1">
      <alignment horizontal="center" readingOrder="0" shrinkToFit="0" vertical="center" wrapText="1"/>
    </xf>
    <xf borderId="1" fillId="2" fontId="110" numFmtId="0" xfId="0" applyAlignment="1" applyBorder="1" applyFont="1">
      <alignment horizontal="center" readingOrder="0" shrinkToFit="0" vertical="center" wrapText="0"/>
    </xf>
    <xf borderId="0" fillId="32" fontId="215" numFmtId="0" xfId="0" applyAlignment="1" applyFont="1">
      <alignment readingOrder="0" shrinkToFit="0" vertical="center" wrapText="1"/>
    </xf>
    <xf borderId="1" fillId="2" fontId="11" numFmtId="0" xfId="0" applyAlignment="1" applyBorder="1" applyFont="1">
      <alignment horizontal="center" readingOrder="0" shrinkToFit="0" vertical="center" wrapText="0"/>
    </xf>
    <xf borderId="1" fillId="2" fontId="204" numFmtId="0" xfId="0" applyAlignment="1" applyBorder="1" applyFont="1">
      <alignment horizontal="center" readingOrder="0" shrinkToFit="0" vertical="bottom" wrapText="1"/>
    </xf>
    <xf borderId="3" fillId="2" fontId="204" numFmtId="0" xfId="0" applyAlignment="1" applyBorder="1" applyFont="1">
      <alignment horizontal="left" readingOrder="0" shrinkToFit="0" vertical="bottom" wrapText="0"/>
    </xf>
    <xf borderId="1" fillId="2" fontId="204" numFmtId="0" xfId="0" applyAlignment="1" applyBorder="1" applyFont="1">
      <alignment horizontal="center" readingOrder="0" shrinkToFit="0" vertical="bottom" wrapText="0"/>
    </xf>
    <xf borderId="1" fillId="3" fontId="204" numFmtId="165" xfId="0" applyAlignment="1" applyBorder="1" applyFont="1" applyNumberFormat="1">
      <alignment horizontal="center" readingOrder="0" shrinkToFit="0" vertical="center" wrapText="0"/>
    </xf>
    <xf borderId="1" fillId="7" fontId="204" numFmtId="165" xfId="0" applyAlignment="1" applyBorder="1" applyFont="1" applyNumberFormat="1">
      <alignment horizontal="center" readingOrder="0" shrinkToFit="0" vertical="center" wrapText="0"/>
    </xf>
    <xf borderId="1" fillId="0" fontId="43" numFmtId="165" xfId="0" applyAlignment="1" applyBorder="1" applyFont="1" applyNumberFormat="1">
      <alignment readingOrder="0" shrinkToFit="0" vertical="center" wrapText="1"/>
    </xf>
    <xf borderId="1" fillId="2" fontId="235" numFmtId="0" xfId="0" applyAlignment="1" applyBorder="1" applyFont="1">
      <alignment horizontal="center" readingOrder="0" shrinkToFit="0" vertical="center" wrapText="0"/>
    </xf>
    <xf borderId="1" fillId="39" fontId="246" numFmtId="0" xfId="0" applyAlignment="1" applyBorder="1" applyFill="1" applyFont="1">
      <alignment horizontal="center" readingOrder="0" shrinkToFit="0" vertical="center" wrapText="0"/>
    </xf>
    <xf borderId="1" fillId="35" fontId="51" numFmtId="0" xfId="0" applyAlignment="1" applyBorder="1" applyFont="1">
      <alignment readingOrder="0" shrinkToFit="0" vertical="center" wrapText="1"/>
    </xf>
    <xf borderId="1" fillId="35" fontId="51" numFmtId="164" xfId="0" applyAlignment="1" applyBorder="1" applyFont="1" applyNumberFormat="1">
      <alignment horizontal="center" readingOrder="0" shrinkToFit="0" vertical="center" wrapText="1"/>
    </xf>
    <xf borderId="1" fillId="35" fontId="51" numFmtId="0" xfId="0" applyAlignment="1" applyBorder="1" applyFont="1">
      <alignment horizontal="center" readingOrder="0" shrinkToFit="0" vertical="center" wrapText="1"/>
    </xf>
    <xf borderId="1" fillId="35" fontId="68" numFmtId="0" xfId="0" applyAlignment="1" applyBorder="1" applyFont="1">
      <alignment horizontal="center" readingOrder="0" shrinkToFit="0" vertical="center" wrapText="1"/>
    </xf>
    <xf borderId="1" fillId="35" fontId="51" numFmtId="0" xfId="0" applyAlignment="1" applyBorder="1" applyFont="1">
      <alignment horizontal="center" readingOrder="0" shrinkToFit="0" vertical="center" wrapText="1"/>
    </xf>
    <xf borderId="1" fillId="35" fontId="51" numFmtId="9" xfId="0" applyAlignment="1" applyBorder="1" applyFont="1" applyNumberFormat="1">
      <alignment horizontal="center" readingOrder="0" shrinkToFit="0" vertical="center" wrapText="1"/>
    </xf>
    <xf borderId="1" fillId="35" fontId="51" numFmtId="165" xfId="0" applyAlignment="1" applyBorder="1" applyFont="1" applyNumberFormat="1">
      <alignment horizontal="center" readingOrder="0" shrinkToFit="0" vertical="center" wrapText="1"/>
    </xf>
    <xf borderId="1" fillId="35" fontId="58" numFmtId="165" xfId="0" applyAlignment="1" applyBorder="1" applyFont="1" applyNumberFormat="1">
      <alignment horizontal="center" readingOrder="0" shrinkToFit="0" vertical="center" wrapText="1"/>
    </xf>
    <xf borderId="1" fillId="35" fontId="79" numFmtId="165" xfId="0" applyAlignment="1" applyBorder="1" applyFont="1" applyNumberFormat="1">
      <alignment horizontal="center" readingOrder="0" shrinkToFit="0" vertical="center" wrapText="1"/>
    </xf>
    <xf borderId="1" fillId="35" fontId="56" numFmtId="166" xfId="0" applyAlignment="1" applyBorder="1" applyFont="1" applyNumberFormat="1">
      <alignment horizontal="center" readingOrder="0" shrinkToFit="0" vertical="center" wrapText="1"/>
    </xf>
    <xf borderId="1" fillId="35" fontId="43" numFmtId="165" xfId="0" applyAlignment="1" applyBorder="1" applyFont="1" applyNumberFormat="1">
      <alignment horizontal="center" shrinkToFit="0" vertical="center" wrapText="1"/>
    </xf>
    <xf borderId="1" fillId="35" fontId="43" numFmtId="165" xfId="0" applyAlignment="1" applyBorder="1" applyFont="1" applyNumberFormat="1">
      <alignment horizontal="center" readingOrder="0" shrinkToFit="0" vertical="center" wrapText="1"/>
    </xf>
    <xf borderId="1" fillId="35" fontId="51" numFmtId="0" xfId="0" applyAlignment="1" applyBorder="1" applyFont="1">
      <alignment readingOrder="0" shrinkToFit="0" vertical="center" wrapText="1"/>
    </xf>
    <xf borderId="1" fillId="35" fontId="43" numFmtId="165" xfId="0" applyAlignment="1" applyBorder="1" applyFont="1" applyNumberFormat="1">
      <alignment shrinkToFit="0" vertical="center" wrapText="1"/>
    </xf>
    <xf borderId="1" fillId="35" fontId="51" numFmtId="0" xfId="0" applyAlignment="1" applyBorder="1" applyFont="1">
      <alignment horizontal="center" readingOrder="0" shrinkToFit="0" vertical="center" wrapText="1"/>
    </xf>
    <xf borderId="1" fillId="35" fontId="51" numFmtId="0" xfId="0" applyAlignment="1" applyBorder="1" applyFont="1">
      <alignment readingOrder="0" shrinkToFit="0" vertical="center" wrapText="1"/>
    </xf>
    <xf borderId="1" fillId="35" fontId="1" numFmtId="0" xfId="0" applyAlignment="1" applyBorder="1" applyFont="1">
      <alignment horizontal="center" shrinkToFit="0" vertical="center" wrapText="1"/>
    </xf>
    <xf borderId="1" fillId="35" fontId="1" numFmtId="0" xfId="0" applyAlignment="1" applyBorder="1" applyFont="1">
      <alignment horizontal="center" shrinkToFit="0" vertical="center" wrapText="1"/>
    </xf>
    <xf borderId="1" fillId="35" fontId="51" numFmtId="0" xfId="0" applyAlignment="1" applyBorder="1" applyFont="1">
      <alignment horizontal="center" shrinkToFit="0" vertical="center" wrapText="1"/>
    </xf>
    <xf borderId="1" fillId="35" fontId="51" numFmtId="164" xfId="0" applyAlignment="1" applyBorder="1" applyFont="1" applyNumberFormat="1">
      <alignment horizontal="center" readingOrder="0" shrinkToFit="0" vertical="bottom" wrapText="1"/>
    </xf>
    <xf borderId="1" fillId="35" fontId="51" numFmtId="0" xfId="0" applyAlignment="1" applyBorder="1" applyFont="1">
      <alignment readingOrder="0" shrinkToFit="0" vertical="center" wrapText="1"/>
    </xf>
    <xf borderId="1" fillId="35" fontId="1" numFmtId="0" xfId="0" applyAlignment="1" applyBorder="1" applyFont="1">
      <alignment horizontal="center" shrinkToFit="0" vertical="center" wrapText="1"/>
    </xf>
    <xf borderId="1" fillId="3" fontId="116" numFmtId="0" xfId="0" applyAlignment="1" applyBorder="1" applyFont="1">
      <alignment horizontal="center" readingOrder="0" shrinkToFit="0" vertical="center" wrapText="1"/>
    </xf>
    <xf borderId="1" fillId="40" fontId="116" numFmtId="0" xfId="0" applyAlignment="1" applyBorder="1" applyFill="1" applyFont="1">
      <alignment horizontal="center" readingOrder="0" shrinkToFit="0" vertical="center" wrapText="1"/>
    </xf>
    <xf borderId="0" fillId="2" fontId="247" numFmtId="0" xfId="0" applyAlignment="1" applyFont="1">
      <alignment horizontal="center" readingOrder="0" shrinkToFit="0" vertical="center" wrapText="1"/>
    </xf>
    <xf borderId="1" fillId="2" fontId="216" numFmtId="0" xfId="0" applyAlignment="1" applyBorder="1" applyFont="1">
      <alignment horizontal="center" readingOrder="0" shrinkToFit="0" vertical="center" wrapText="1"/>
    </xf>
    <xf borderId="1" fillId="3" fontId="248" numFmtId="164" xfId="0" applyAlignment="1" applyBorder="1" applyFont="1" applyNumberFormat="1">
      <alignment horizontal="center" readingOrder="0" shrinkToFit="0" vertical="center" wrapText="1"/>
    </xf>
    <xf borderId="1" fillId="0" fontId="81" numFmtId="0" xfId="0" applyAlignment="1" applyBorder="1" applyFont="1">
      <alignment horizontal="center" readingOrder="0" shrinkToFit="0" vertical="center" wrapText="1"/>
    </xf>
    <xf borderId="1" fillId="2" fontId="249" numFmtId="0" xfId="0" applyAlignment="1" applyBorder="1" applyFont="1">
      <alignment horizontal="center" readingOrder="0" shrinkToFit="0" vertical="center" wrapText="1"/>
    </xf>
    <xf borderId="1" fillId="41" fontId="68" numFmtId="0" xfId="0" applyAlignment="1" applyBorder="1" applyFill="1" applyFont="1">
      <alignment horizontal="center" readingOrder="0" shrinkToFit="0" vertical="center" wrapText="1"/>
    </xf>
    <xf borderId="1" fillId="15" fontId="250" numFmtId="0" xfId="0" applyAlignment="1" applyBorder="1" applyFont="1">
      <alignment horizontal="center" readingOrder="0" shrinkToFit="0" vertical="center" wrapText="1"/>
    </xf>
    <xf borderId="1" fillId="15" fontId="11" numFmtId="0" xfId="0" applyAlignment="1" applyBorder="1" applyFont="1">
      <alignment horizontal="center" readingOrder="0" shrinkToFit="0" vertical="center" wrapText="1"/>
    </xf>
    <xf borderId="1" fillId="2" fontId="251" numFmtId="0" xfId="0" applyAlignment="1" applyBorder="1" applyFont="1">
      <alignment horizontal="center" readingOrder="0" shrinkToFit="0" vertical="center" wrapText="1"/>
    </xf>
    <xf borderId="1" fillId="2" fontId="11" numFmtId="0" xfId="0" applyAlignment="1" applyBorder="1" applyFont="1">
      <alignment horizontal="center" readingOrder="0" shrinkToFit="0" vertical="center" wrapText="1"/>
    </xf>
    <xf borderId="1" fillId="2" fontId="61" numFmtId="0" xfId="0" applyAlignment="1" applyBorder="1" applyFont="1">
      <alignment horizontal="center" readingOrder="0" shrinkToFit="0" vertical="center" wrapText="1"/>
    </xf>
    <xf borderId="1" fillId="2" fontId="252" numFmtId="0" xfId="0" applyAlignment="1" applyBorder="1" applyFont="1">
      <alignment horizontal="center" readingOrder="0" shrinkToFit="0" vertical="center" wrapText="1"/>
    </xf>
    <xf borderId="1" fillId="2" fontId="70" numFmtId="0" xfId="0" applyAlignment="1" applyBorder="1" applyFont="1">
      <alignment horizontal="center" readingOrder="0" shrinkToFit="0" vertical="center" wrapText="1"/>
    </xf>
    <xf borderId="1" fillId="22" fontId="51" numFmtId="164" xfId="0" applyAlignment="1" applyBorder="1" applyFont="1" applyNumberFormat="1">
      <alignment horizontal="center" readingOrder="0" shrinkToFit="0" vertical="center" wrapText="1"/>
    </xf>
    <xf borderId="1" fillId="0" fontId="116" numFmtId="0" xfId="0" applyAlignment="1" applyBorder="1" applyFont="1">
      <alignment horizontal="center" readingOrder="0" shrinkToFit="0" vertical="center" wrapText="1"/>
    </xf>
    <xf borderId="1" fillId="15" fontId="251" numFmtId="0" xfId="0" applyAlignment="1" applyBorder="1" applyFont="1">
      <alignment horizontal="center" readingOrder="0" shrinkToFit="0" vertical="center" wrapText="1"/>
    </xf>
    <xf borderId="1" fillId="2" fontId="253" numFmtId="0" xfId="0" applyAlignment="1" applyBorder="1" applyFont="1">
      <alignment horizontal="center" readingOrder="0" shrinkToFit="0" vertical="center" wrapText="1"/>
    </xf>
    <xf borderId="1" fillId="2" fontId="251" numFmtId="0" xfId="0" applyAlignment="1" applyBorder="1" applyFont="1">
      <alignment horizontal="center" readingOrder="0" shrinkToFit="0" vertical="center" wrapText="1"/>
    </xf>
    <xf borderId="1" fillId="2" fontId="254" numFmtId="0" xfId="0" applyAlignment="1" applyBorder="1" applyFont="1">
      <alignment horizontal="center" readingOrder="0" shrinkToFit="0" vertical="center" wrapText="1"/>
    </xf>
    <xf borderId="1" fillId="18" fontId="145" numFmtId="0" xfId="0" applyAlignment="1" applyBorder="1" applyFont="1">
      <alignment horizontal="center" readingOrder="0" shrinkToFit="0" vertical="center" wrapText="0"/>
    </xf>
    <xf borderId="1" fillId="42" fontId="51" numFmtId="164" xfId="0" applyAlignment="1" applyBorder="1" applyFill="1" applyFont="1" applyNumberFormat="1">
      <alignment horizontal="center" readingOrder="0" shrinkToFit="0" vertical="center" wrapText="1"/>
    </xf>
    <xf borderId="1" fillId="42" fontId="120" numFmtId="0" xfId="0" applyAlignment="1" applyBorder="1" applyFont="1">
      <alignment horizontal="center" readingOrder="0" shrinkToFit="0" vertical="center" wrapText="1"/>
    </xf>
    <xf borderId="1" fillId="40" fontId="23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42" fontId="51" numFmtId="0" xfId="0" applyAlignment="1" applyBorder="1" applyFont="1">
      <alignment horizontal="center" readingOrder="0" shrinkToFit="0" vertical="center" wrapText="1"/>
    </xf>
    <xf borderId="0" fillId="0" fontId="98" numFmtId="0" xfId="0" applyAlignment="1" applyFont="1">
      <alignment horizontal="center" readingOrder="0" shrinkToFit="0" vertical="center" wrapText="1"/>
    </xf>
    <xf borderId="1" fillId="9" fontId="255" numFmtId="0" xfId="0" applyAlignment="1" applyBorder="1" applyFont="1">
      <alignment horizontal="center" readingOrder="0" shrinkToFit="0" vertical="center" wrapText="1"/>
    </xf>
    <xf borderId="1" fillId="2" fontId="30" numFmtId="0" xfId="0" applyAlignment="1" applyBorder="1" applyFont="1">
      <alignment horizontal="center" readingOrder="0" shrinkToFit="0" vertical="bottom" wrapText="0"/>
    </xf>
    <xf borderId="1" fillId="22" fontId="51" numFmtId="0" xfId="0" applyAlignment="1" applyBorder="1" applyFont="1">
      <alignment horizontal="center" readingOrder="0" shrinkToFit="0" vertical="center" wrapText="1"/>
    </xf>
    <xf borderId="1" fillId="22" fontId="43" numFmtId="165" xfId="0" applyAlignment="1" applyBorder="1" applyFont="1" applyNumberFormat="1">
      <alignment horizontal="center" readingOrder="0" shrinkToFit="0" vertical="center" wrapText="1"/>
    </xf>
    <xf borderId="1" fillId="2" fontId="11" numFmtId="0" xfId="0" applyAlignment="1" applyBorder="1" applyFont="1">
      <alignment horizontal="center" readingOrder="0" shrinkToFit="0" vertical="center" wrapText="0"/>
    </xf>
    <xf borderId="1" fillId="2" fontId="256" numFmtId="0" xfId="0" applyAlignment="1" applyBorder="1" applyFont="1">
      <alignment horizontal="center" readingOrder="0" shrinkToFit="0" vertical="center" wrapText="0"/>
    </xf>
    <xf borderId="0" fillId="2" fontId="256" numFmtId="0" xfId="0" applyAlignment="1" applyFont="1">
      <alignment readingOrder="0" shrinkToFit="0" vertical="center" wrapText="0"/>
    </xf>
    <xf borderId="1" fillId="2" fontId="79" numFmtId="165" xfId="0" applyAlignment="1" applyBorder="1" applyFont="1" applyNumberFormat="1">
      <alignment horizontal="center" readingOrder="0" shrinkToFit="0" vertical="center" wrapText="1"/>
    </xf>
    <xf borderId="1" fillId="2" fontId="51" numFmtId="0" xfId="0" applyAlignment="1" applyBorder="1" applyFont="1">
      <alignment readingOrder="0" shrinkToFit="0" vertical="center" wrapText="1"/>
    </xf>
    <xf borderId="1" fillId="2" fontId="51" numFmtId="0" xfId="0" applyAlignment="1" applyBorder="1" applyFont="1">
      <alignment readingOrder="0" shrinkToFit="0" vertical="center" wrapText="1"/>
    </xf>
    <xf borderId="1" fillId="0" fontId="54" numFmtId="0" xfId="0" applyAlignment="1" applyBorder="1" applyFont="1">
      <alignment horizontal="center" readingOrder="0" shrinkToFit="0" vertical="center" wrapText="1"/>
    </xf>
    <xf borderId="1" fillId="0" fontId="257" numFmtId="0" xfId="0" applyAlignment="1" applyBorder="1" applyFont="1">
      <alignment horizontal="center" readingOrder="0" shrinkToFit="0" vertical="center" wrapText="1"/>
    </xf>
    <xf borderId="0" fillId="2" fontId="11" numFmtId="0" xfId="0" applyAlignment="1" applyFont="1">
      <alignment readingOrder="0" shrinkToFit="0" vertical="center" wrapText="1"/>
    </xf>
    <xf borderId="0" fillId="2" fontId="11" numFmtId="0" xfId="0" applyAlignment="1" applyFont="1">
      <alignment shrinkToFit="0" vertical="center" wrapText="1"/>
    </xf>
    <xf borderId="1" fillId="2" fontId="258" numFmtId="0" xfId="0" applyAlignment="1" applyBorder="1" applyFont="1">
      <alignment horizontal="center" readingOrder="0" shrinkToFit="0" vertical="center" wrapText="1"/>
    </xf>
    <xf borderId="0" fillId="15" fontId="259" numFmtId="0" xfId="0" applyAlignment="1" applyFont="1">
      <alignment horizontal="center" readingOrder="0" shrinkToFit="0" vertical="center" wrapText="1"/>
    </xf>
    <xf borderId="1" fillId="2" fontId="260" numFmtId="0" xfId="0" applyAlignment="1" applyBorder="1" applyFont="1">
      <alignment horizontal="center" readingOrder="0" shrinkToFit="0" vertical="center" wrapText="1"/>
    </xf>
    <xf borderId="1" fillId="15" fontId="261" numFmtId="0" xfId="0" applyAlignment="1" applyBorder="1" applyFont="1">
      <alignment horizontal="center" readingOrder="0" shrinkToFit="0" vertical="center" wrapText="1"/>
    </xf>
    <xf borderId="1" fillId="24" fontId="51" numFmtId="0" xfId="0" applyAlignment="1" applyBorder="1" applyFont="1">
      <alignment horizontal="center" readingOrder="0" shrinkToFit="0" vertical="center" wrapText="1"/>
    </xf>
    <xf borderId="1" fillId="24" fontId="81" numFmtId="0" xfId="0" applyAlignment="1" applyBorder="1" applyFont="1">
      <alignment horizontal="center" readingOrder="0" shrinkToFit="0" vertical="center" wrapText="1"/>
    </xf>
    <xf borderId="1" fillId="22" fontId="51" numFmtId="0" xfId="0" applyAlignment="1" applyBorder="1" applyFont="1">
      <alignment readingOrder="0" shrinkToFit="0" vertical="center" wrapText="1"/>
    </xf>
    <xf borderId="1" fillId="22" fontId="60" numFmtId="0" xfId="0" applyAlignment="1" applyBorder="1" applyFont="1">
      <alignment horizontal="center" readingOrder="0" shrinkToFit="0" vertical="center" wrapText="1"/>
    </xf>
    <xf borderId="1" fillId="22" fontId="11" numFmtId="0" xfId="0" applyAlignment="1" applyBorder="1" applyFont="1">
      <alignment horizontal="center" readingOrder="0" shrinkToFit="0" vertical="center" wrapText="0"/>
    </xf>
    <xf borderId="1" fillId="22" fontId="51" numFmtId="0" xfId="0" applyAlignment="1" applyBorder="1" applyFont="1">
      <alignment horizontal="center" readingOrder="0" shrinkToFit="0" vertical="center" wrapText="1"/>
    </xf>
    <xf borderId="1" fillId="22" fontId="51" numFmtId="0" xfId="0" applyAlignment="1" applyBorder="1" applyFont="1">
      <alignment horizontal="center" shrinkToFit="0" vertical="center" wrapText="1"/>
    </xf>
    <xf borderId="0" fillId="22" fontId="11" numFmtId="0" xfId="0" applyAlignment="1" applyFont="1">
      <alignment readingOrder="0" shrinkToFit="0" vertical="center" wrapText="0"/>
    </xf>
    <xf borderId="1" fillId="22" fontId="51" numFmtId="165" xfId="0" applyAlignment="1" applyBorder="1" applyFont="1" applyNumberFormat="1">
      <alignment horizontal="center" readingOrder="0" shrinkToFit="0" vertical="center" wrapText="1"/>
    </xf>
    <xf borderId="1" fillId="22" fontId="54" numFmtId="0" xfId="0" applyAlignment="1" applyBorder="1" applyFont="1">
      <alignment horizontal="center" shrinkToFit="0" vertical="center" wrapText="1"/>
    </xf>
    <xf borderId="1" fillId="22" fontId="58" numFmtId="165" xfId="0" applyAlignment="1" applyBorder="1" applyFont="1" applyNumberFormat="1">
      <alignment horizontal="center" readingOrder="0" shrinkToFit="0" vertical="center" wrapText="1"/>
    </xf>
    <xf borderId="1" fillId="22" fontId="79" numFmtId="165" xfId="0" applyAlignment="1" applyBorder="1" applyFont="1" applyNumberFormat="1">
      <alignment horizontal="center" readingOrder="0" shrinkToFit="0" vertical="center" wrapText="1"/>
    </xf>
    <xf borderId="1" fillId="22" fontId="56" numFmtId="166" xfId="0" applyAlignment="1" applyBorder="1" applyFont="1" applyNumberFormat="1">
      <alignment horizontal="center" readingOrder="0" shrinkToFit="0" vertical="center" wrapText="1"/>
    </xf>
    <xf borderId="1" fillId="22" fontId="51" numFmtId="0" xfId="0" applyAlignment="1" applyBorder="1" applyFont="1">
      <alignment readingOrder="0" shrinkToFit="0" vertical="center" wrapText="1"/>
    </xf>
    <xf borderId="1" fillId="22" fontId="43" numFmtId="165" xfId="0" applyAlignment="1" applyBorder="1" applyFont="1" applyNumberFormat="1">
      <alignment shrinkToFit="0" vertical="center" wrapText="1"/>
    </xf>
    <xf borderId="1" fillId="22" fontId="51" numFmtId="0" xfId="0" applyAlignment="1" applyBorder="1" applyFont="1">
      <alignment horizontal="center" readingOrder="0" shrinkToFit="0" vertical="center" wrapText="1"/>
    </xf>
    <xf borderId="1" fillId="22" fontId="1" numFmtId="0" xfId="0" applyAlignment="1" applyBorder="1" applyFont="1">
      <alignment horizontal="center" shrinkToFit="0" vertical="center" wrapText="1"/>
    </xf>
    <xf borderId="1" fillId="22" fontId="1" numFmtId="0" xfId="0" applyAlignment="1" applyBorder="1" applyFont="1">
      <alignment horizontal="center" shrinkToFit="0" vertical="center" wrapText="1"/>
    </xf>
    <xf borderId="1" fillId="22" fontId="51" numFmtId="0" xfId="0" applyAlignment="1" applyBorder="1" applyFont="1">
      <alignment horizontal="center" shrinkToFit="0" vertical="center" wrapText="1"/>
    </xf>
    <xf borderId="1" fillId="22" fontId="51" numFmtId="164" xfId="0" applyAlignment="1" applyBorder="1" applyFont="1" applyNumberFormat="1">
      <alignment horizontal="center" readingOrder="0" shrinkToFit="0" vertical="bottom" wrapText="1"/>
    </xf>
    <xf borderId="1" fillId="22" fontId="51" numFmtId="0" xfId="0" applyAlignment="1" applyBorder="1" applyFont="1">
      <alignment shrinkToFit="0" vertical="center" wrapText="1"/>
    </xf>
    <xf borderId="1" fillId="22" fontId="51" numFmtId="0" xfId="0" applyAlignment="1" applyBorder="1" applyFont="1">
      <alignment readingOrder="0" shrinkToFit="0" vertical="center" wrapText="1"/>
    </xf>
    <xf borderId="1" fillId="22" fontId="1" numFmtId="0" xfId="0" applyAlignment="1" applyBorder="1" applyFont="1">
      <alignment horizontal="center" shrinkToFit="0" vertical="center" wrapText="1"/>
    </xf>
    <xf borderId="1" fillId="15" fontId="262" numFmtId="0" xfId="0" applyAlignment="1" applyBorder="1" applyFont="1">
      <alignment horizontal="center" readingOrder="0" shrinkToFit="0" vertical="center" wrapText="1"/>
    </xf>
    <xf borderId="1" fillId="16" fontId="263" numFmtId="0" xfId="0" applyAlignment="1" applyBorder="1" applyFont="1">
      <alignment horizontal="center" shrinkToFit="0" vertical="center" wrapText="1"/>
    </xf>
    <xf borderId="1" fillId="43" fontId="51" numFmtId="0" xfId="0" applyAlignment="1" applyBorder="1" applyFill="1" applyFont="1">
      <alignment horizontal="center" readingOrder="0" shrinkToFit="0" vertical="center" wrapText="1"/>
    </xf>
    <xf borderId="1" fillId="43" fontId="68" numFmtId="0" xfId="0" applyAlignment="1" applyBorder="1" applyFont="1">
      <alignment horizontal="center" readingOrder="0" shrinkToFit="0" vertical="center" wrapText="1"/>
    </xf>
    <xf borderId="1" fillId="43" fontId="51" numFmtId="0" xfId="0" applyAlignment="1" applyBorder="1" applyFont="1">
      <alignment horizontal="center" readingOrder="0" shrinkToFit="0" vertical="center" wrapText="1"/>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0"/>
    </xf>
    <xf borderId="1" fillId="30" fontId="169" numFmtId="165" xfId="0" applyAlignment="1" applyBorder="1" applyFont="1" applyNumberFormat="1">
      <alignment horizontal="center" readingOrder="0" shrinkToFit="0" vertical="center" wrapText="0"/>
    </xf>
    <xf borderId="1" fillId="44" fontId="3" numFmtId="166" xfId="0" applyAlignment="1" applyBorder="1" applyFill="1" applyFont="1" applyNumberFormat="1">
      <alignment horizontal="center" readingOrder="0" shrinkToFit="0" vertical="center" wrapText="0"/>
    </xf>
    <xf borderId="1" fillId="0" fontId="1" numFmtId="0" xfId="0" applyAlignment="1" applyBorder="1" applyFont="1">
      <alignment shrinkToFit="0" vertical="center" wrapText="0"/>
    </xf>
    <xf borderId="1" fillId="0" fontId="1" numFmtId="165" xfId="0" applyAlignment="1" applyBorder="1" applyFont="1" applyNumberFormat="1">
      <alignment shrinkToFit="0" vertical="center" wrapText="0"/>
    </xf>
    <xf borderId="0" fillId="0" fontId="1" numFmtId="0" xfId="0" applyAlignment="1" applyFont="1">
      <alignment horizontal="center" shrinkToFit="0" vertical="center" wrapText="0"/>
    </xf>
    <xf borderId="1" fillId="2" fontId="264" numFmtId="0" xfId="0" applyAlignment="1" applyBorder="1" applyFont="1">
      <alignment horizontal="center" readingOrder="0" shrinkToFit="0" vertical="center" wrapText="0"/>
    </xf>
    <xf borderId="0" fillId="2" fontId="265" numFmtId="0" xfId="0" applyAlignment="1" applyFont="1">
      <alignment readingOrder="0" shrinkToFit="0" vertical="center" wrapText="0"/>
    </xf>
    <xf borderId="1" fillId="0" fontId="266" numFmtId="0" xfId="0" applyAlignment="1" applyBorder="1" applyFont="1">
      <alignment readingOrder="0" shrinkToFit="0" vertical="center" wrapText="1"/>
    </xf>
    <xf borderId="1" fillId="2" fontId="185" numFmtId="0" xfId="0" applyAlignment="1" applyBorder="1" applyFont="1">
      <alignment horizontal="center" readingOrder="0" shrinkToFit="0" vertical="center" wrapText="1"/>
    </xf>
    <xf borderId="1" fillId="0" fontId="267" numFmtId="0" xfId="0" applyAlignment="1" applyBorder="1" applyFont="1">
      <alignment horizontal="center" readingOrder="0" shrinkToFit="0" vertical="center" wrapText="1"/>
    </xf>
    <xf borderId="1" fillId="45" fontId="51" numFmtId="0" xfId="0" applyAlignment="1" applyBorder="1" applyFill="1" applyFont="1">
      <alignment readingOrder="0" shrinkToFit="0" vertical="center" wrapText="1"/>
    </xf>
    <xf borderId="1" fillId="45" fontId="51" numFmtId="164" xfId="0" applyAlignment="1" applyBorder="1" applyFont="1" applyNumberFormat="1">
      <alignment horizontal="center" readingOrder="0" shrinkToFit="0" vertical="center" wrapText="1"/>
    </xf>
    <xf borderId="1" fillId="45" fontId="46" numFmtId="0" xfId="0" applyAlignment="1" applyBorder="1" applyFont="1">
      <alignment horizontal="center" readingOrder="0" shrinkToFit="0" vertical="center" wrapText="1"/>
    </xf>
    <xf borderId="1" fillId="45" fontId="68" numFmtId="0" xfId="0" applyAlignment="1" applyBorder="1" applyFont="1">
      <alignment horizontal="center" readingOrder="0" shrinkToFit="0" vertical="center" wrapText="1"/>
    </xf>
    <xf borderId="1" fillId="45" fontId="51" numFmtId="0" xfId="0" applyAlignment="1" applyBorder="1" applyFont="1">
      <alignment horizontal="center" readingOrder="0" shrinkToFit="0" vertical="center" wrapText="1"/>
    </xf>
    <xf borderId="1" fillId="45" fontId="51" numFmtId="0" xfId="0" applyAlignment="1" applyBorder="1" applyFont="1">
      <alignment horizontal="center" readingOrder="0" shrinkToFit="0" vertical="center" wrapText="1"/>
    </xf>
    <xf borderId="1" fillId="45" fontId="51" numFmtId="165" xfId="0" applyAlignment="1" applyBorder="1" applyFont="1" applyNumberFormat="1">
      <alignment horizontal="center" readingOrder="0" shrinkToFit="0" vertical="center" wrapText="1"/>
    </xf>
    <xf borderId="1" fillId="45" fontId="54" numFmtId="0" xfId="0" applyAlignment="1" applyBorder="1" applyFont="1">
      <alignment horizontal="center" shrinkToFit="0" vertical="center" wrapText="1"/>
    </xf>
    <xf borderId="1" fillId="45" fontId="58" numFmtId="165" xfId="0" applyAlignment="1" applyBorder="1" applyFont="1" applyNumberFormat="1">
      <alignment horizontal="center" readingOrder="0" shrinkToFit="0" vertical="center" wrapText="1"/>
    </xf>
    <xf borderId="1" fillId="45" fontId="79" numFmtId="165" xfId="0" applyAlignment="1" applyBorder="1" applyFont="1" applyNumberFormat="1">
      <alignment horizontal="center" readingOrder="0" shrinkToFit="0" vertical="center" wrapText="1"/>
    </xf>
    <xf borderId="1" fillId="45" fontId="56" numFmtId="166" xfId="0" applyAlignment="1" applyBorder="1" applyFont="1" applyNumberFormat="1">
      <alignment horizontal="center" readingOrder="0" shrinkToFit="0" vertical="center" wrapText="1"/>
    </xf>
    <xf borderId="1" fillId="45" fontId="43" numFmtId="165" xfId="0" applyAlignment="1" applyBorder="1" applyFont="1" applyNumberFormat="1">
      <alignment horizontal="center" shrinkToFit="0" vertical="center" wrapText="1"/>
    </xf>
    <xf borderId="1" fillId="45" fontId="43" numFmtId="165" xfId="0" applyAlignment="1" applyBorder="1" applyFont="1" applyNumberFormat="1">
      <alignment horizontal="center" readingOrder="0" shrinkToFit="0" vertical="center" wrapText="1"/>
    </xf>
    <xf borderId="1" fillId="45" fontId="51" numFmtId="0" xfId="0" applyAlignment="1" applyBorder="1" applyFont="1">
      <alignment readingOrder="0" shrinkToFit="0" vertical="center" wrapText="1"/>
    </xf>
    <xf borderId="1" fillId="45" fontId="43" numFmtId="165" xfId="0" applyAlignment="1" applyBorder="1" applyFont="1" applyNumberFormat="1">
      <alignment shrinkToFit="0" vertical="center" wrapText="1"/>
    </xf>
    <xf borderId="1" fillId="45" fontId="51" numFmtId="0" xfId="0" applyAlignment="1" applyBorder="1" applyFont="1">
      <alignment readingOrder="0" shrinkToFit="0" vertical="center" wrapText="1"/>
    </xf>
    <xf borderId="1" fillId="45" fontId="51" numFmtId="0" xfId="0" applyAlignment="1" applyBorder="1" applyFont="1">
      <alignment horizontal="center" readingOrder="0" shrinkToFit="0" vertical="center" wrapText="1"/>
    </xf>
    <xf borderId="1" fillId="45" fontId="1" numFmtId="0" xfId="0" applyAlignment="1" applyBorder="1" applyFont="1">
      <alignment horizontal="center" shrinkToFit="0" vertical="center" wrapText="1"/>
    </xf>
    <xf borderId="1" fillId="45" fontId="1" numFmtId="0" xfId="0" applyAlignment="1" applyBorder="1" applyFont="1">
      <alignment horizontal="center" shrinkToFit="0" vertical="center" wrapText="1"/>
    </xf>
    <xf borderId="1" fillId="45" fontId="51" numFmtId="0" xfId="0" applyAlignment="1" applyBorder="1" applyFont="1">
      <alignment horizontal="center" shrinkToFit="0" vertical="center" wrapText="1"/>
    </xf>
    <xf borderId="1" fillId="45" fontId="51" numFmtId="164" xfId="0" applyAlignment="1" applyBorder="1" applyFont="1" applyNumberFormat="1">
      <alignment horizontal="center" readingOrder="0" shrinkToFit="0" vertical="bottom" wrapText="1"/>
    </xf>
    <xf borderId="1" fillId="45" fontId="51" numFmtId="0" xfId="0" applyAlignment="1" applyBorder="1" applyFont="1">
      <alignment shrinkToFit="0" vertical="center" wrapText="1"/>
    </xf>
    <xf borderId="1" fillId="45" fontId="1" numFmtId="0" xfId="0" applyAlignment="1" applyBorder="1" applyFont="1">
      <alignment horizontal="center" shrinkToFit="0" vertical="center" wrapText="1"/>
    </xf>
    <xf borderId="1" fillId="0" fontId="268" numFmtId="0" xfId="0" applyAlignment="1" applyBorder="1" applyFont="1">
      <alignment horizontal="center" readingOrder="0" shrinkToFit="0" vertical="center" wrapText="1"/>
    </xf>
    <xf borderId="0" fillId="0" fontId="269" numFmtId="0" xfId="0" applyAlignment="1" applyFont="1">
      <alignment horizontal="center" readingOrder="0" shrinkToFit="0" vertical="center" wrapText="1"/>
    </xf>
    <xf borderId="1" fillId="2" fontId="270" numFmtId="0" xfId="0" applyAlignment="1" applyBorder="1" applyFont="1">
      <alignment horizontal="center" readingOrder="0" shrinkToFit="0" vertical="center" wrapText="1"/>
    </xf>
    <xf borderId="1" fillId="2" fontId="37" numFmtId="0" xfId="0" applyAlignment="1" applyBorder="1" applyFont="1">
      <alignment horizontal="left" readingOrder="0" shrinkToFit="0" vertical="bottom" wrapText="1"/>
    </xf>
    <xf borderId="1" fillId="0" fontId="271" numFmtId="0" xfId="0" applyAlignment="1" applyBorder="1" applyFont="1">
      <alignment horizontal="center" readingOrder="0" shrinkToFit="0" vertical="center" wrapText="0"/>
    </xf>
    <xf borderId="1" fillId="15" fontId="272" numFmtId="0" xfId="0" applyAlignment="1" applyBorder="1" applyFont="1">
      <alignment horizontal="center" readingOrder="0" shrinkToFit="0" vertical="center" wrapText="1"/>
    </xf>
    <xf borderId="0" fillId="15" fontId="265" numFmtId="0" xfId="0" applyAlignment="1" applyFont="1">
      <alignment readingOrder="0" shrinkToFit="0" vertical="center" wrapText="0"/>
    </xf>
    <xf borderId="8" fillId="2" fontId="273" numFmtId="0" xfId="0" applyAlignment="1" applyBorder="1" applyFont="1">
      <alignment horizontal="center" readingOrder="0" shrinkToFit="0" vertical="center" wrapText="1"/>
    </xf>
    <xf borderId="1" fillId="2" fontId="274" numFmtId="0" xfId="0" applyAlignment="1" applyBorder="1" applyFont="1">
      <alignment readingOrder="0" shrinkToFit="0" vertical="center" wrapText="1"/>
    </xf>
    <xf borderId="1" fillId="46" fontId="51" numFmtId="0" xfId="0" applyAlignment="1" applyBorder="1" applyFill="1" applyFont="1">
      <alignment readingOrder="0" shrinkToFit="0" vertical="center" wrapText="1"/>
    </xf>
    <xf borderId="1" fillId="46" fontId="51" numFmtId="164" xfId="0" applyAlignment="1" applyBorder="1" applyFont="1" applyNumberFormat="1">
      <alignment horizontal="center" shrinkToFit="0" vertical="center" wrapText="1"/>
    </xf>
    <xf borderId="1" fillId="46" fontId="51" numFmtId="0" xfId="0" applyAlignment="1" applyBorder="1" applyFont="1">
      <alignment horizontal="center" readingOrder="0" shrinkToFit="0" vertical="center" wrapText="1"/>
    </xf>
    <xf borderId="1" fillId="46" fontId="68" numFmtId="0" xfId="0" applyAlignment="1" applyBorder="1" applyFont="1">
      <alignment horizontal="center" shrinkToFit="0" vertical="center" wrapText="1"/>
    </xf>
    <xf borderId="1" fillId="46" fontId="51" numFmtId="0" xfId="0" applyAlignment="1" applyBorder="1" applyFont="1">
      <alignment horizontal="center" shrinkToFit="0" vertical="center" wrapText="1"/>
    </xf>
    <xf borderId="1" fillId="46" fontId="51" numFmtId="0" xfId="0" applyAlignment="1" applyBorder="1" applyFont="1">
      <alignment horizontal="center" shrinkToFit="0" vertical="center" wrapText="1"/>
    </xf>
    <xf borderId="1" fillId="46" fontId="51" numFmtId="0" xfId="0" applyAlignment="1" applyBorder="1" applyFont="1">
      <alignment horizontal="center" shrinkToFit="0" vertical="center" wrapText="1"/>
    </xf>
    <xf borderId="1" fillId="46" fontId="51" numFmtId="165" xfId="0" applyAlignment="1" applyBorder="1" applyFont="1" applyNumberFormat="1">
      <alignment horizontal="center" shrinkToFit="0" vertical="center" wrapText="1"/>
    </xf>
    <xf borderId="1" fillId="46" fontId="54" numFmtId="0" xfId="0" applyAlignment="1" applyBorder="1" applyFont="1">
      <alignment horizontal="center" shrinkToFit="0" vertical="center" wrapText="1"/>
    </xf>
    <xf borderId="1" fillId="46" fontId="58" numFmtId="165" xfId="0" applyAlignment="1" applyBorder="1" applyFont="1" applyNumberFormat="1">
      <alignment horizontal="center" shrinkToFit="0" vertical="center" wrapText="1"/>
    </xf>
    <xf borderId="1" fillId="46" fontId="79" numFmtId="165" xfId="0" applyAlignment="1" applyBorder="1" applyFont="1" applyNumberFormat="1">
      <alignment horizontal="center" shrinkToFit="0" vertical="center" wrapText="1"/>
    </xf>
    <xf borderId="1" fillId="46" fontId="56" numFmtId="166" xfId="0" applyAlignment="1" applyBorder="1" applyFont="1" applyNumberFormat="1">
      <alignment horizontal="center" shrinkToFit="0" vertical="center" wrapText="1"/>
    </xf>
    <xf borderId="1" fillId="46" fontId="43" numFmtId="165" xfId="0" applyAlignment="1" applyBorder="1" applyFont="1" applyNumberFormat="1">
      <alignment horizontal="center" shrinkToFit="0" vertical="center" wrapText="1"/>
    </xf>
    <xf borderId="1" fillId="46" fontId="43" numFmtId="165" xfId="0" applyAlignment="1" applyBorder="1" applyFont="1" applyNumberFormat="1">
      <alignment horizontal="center" readingOrder="0" shrinkToFit="0" vertical="center" wrapText="1"/>
    </xf>
    <xf borderId="1" fillId="46" fontId="51" numFmtId="0" xfId="0" applyAlignment="1" applyBorder="1" applyFont="1">
      <alignment readingOrder="0" shrinkToFit="0" vertical="center" wrapText="1"/>
    </xf>
    <xf borderId="1" fillId="46" fontId="43" numFmtId="165" xfId="0" applyAlignment="1" applyBorder="1" applyFont="1" applyNumberFormat="1">
      <alignment shrinkToFit="0" vertical="center" wrapText="1"/>
    </xf>
    <xf borderId="1" fillId="46" fontId="51" numFmtId="0" xfId="0" applyAlignment="1" applyBorder="1" applyFont="1">
      <alignment readingOrder="0" shrinkToFit="0" vertical="center" wrapText="1"/>
    </xf>
    <xf borderId="1" fillId="46" fontId="51" numFmtId="0" xfId="0" applyAlignment="1" applyBorder="1" applyFont="1">
      <alignment horizontal="center" readingOrder="0" shrinkToFit="0" vertical="center" wrapText="1"/>
    </xf>
    <xf borderId="1" fillId="46" fontId="1" numFmtId="0" xfId="0" applyAlignment="1" applyBorder="1" applyFont="1">
      <alignment horizontal="center" shrinkToFit="0" vertical="center" wrapText="1"/>
    </xf>
    <xf borderId="1" fillId="46" fontId="1" numFmtId="0" xfId="0" applyAlignment="1" applyBorder="1" applyFont="1">
      <alignment horizontal="center" shrinkToFit="0" vertical="center" wrapText="1"/>
    </xf>
    <xf borderId="1" fillId="46" fontId="51" numFmtId="164" xfId="0" applyAlignment="1" applyBorder="1" applyFont="1" applyNumberFormat="1">
      <alignment horizontal="center" readingOrder="0" shrinkToFit="0" vertical="bottom" wrapText="1"/>
    </xf>
    <xf borderId="1" fillId="46" fontId="51" numFmtId="0" xfId="0" applyAlignment="1" applyBorder="1" applyFont="1">
      <alignment shrinkToFit="0" vertical="center" wrapText="1"/>
    </xf>
    <xf borderId="1" fillId="46" fontId="1" numFmtId="0" xfId="0" applyAlignment="1" applyBorder="1" applyFont="1">
      <alignment horizontal="center" shrinkToFit="0" vertical="center" wrapText="1"/>
    </xf>
    <xf borderId="1" fillId="2" fontId="76" numFmtId="0" xfId="0" applyAlignment="1" applyBorder="1" applyFont="1">
      <alignment readingOrder="0" shrinkToFit="0" vertical="center" wrapText="1"/>
    </xf>
    <xf borderId="1" fillId="2" fontId="275" numFmtId="0" xfId="0" applyAlignment="1" applyBorder="1" applyFont="1">
      <alignment readingOrder="0" shrinkToFit="0" vertical="center" wrapText="1"/>
    </xf>
    <xf borderId="0" fillId="0" fontId="112" numFmtId="0" xfId="0" applyAlignment="1" applyFont="1">
      <alignment readingOrder="0" shrinkToFit="0" vertical="center" wrapText="1"/>
    </xf>
    <xf borderId="1" fillId="2" fontId="276" numFmtId="0" xfId="0" applyAlignment="1" applyBorder="1" applyFont="1">
      <alignment readingOrder="0" shrinkToFit="0" vertical="center" wrapText="1"/>
    </xf>
    <xf borderId="1" fillId="2" fontId="277" numFmtId="0" xfId="0" applyAlignment="1" applyBorder="1" applyFont="1">
      <alignment horizontal="left" readingOrder="0" shrinkToFit="0" vertical="center" wrapText="1"/>
    </xf>
    <xf borderId="0" fillId="0" fontId="12" numFmtId="0" xfId="0" applyAlignment="1" applyFont="1">
      <alignment readingOrder="0" shrinkToFit="0" vertical="center" wrapText="1"/>
    </xf>
    <xf borderId="0" fillId="15" fontId="159" numFmtId="0" xfId="0" applyAlignment="1" applyFont="1">
      <alignment readingOrder="0" shrinkToFit="0" vertical="center" wrapText="0"/>
    </xf>
    <xf borderId="0" fillId="15" fontId="11" numFmtId="0" xfId="0" applyAlignment="1" applyFont="1">
      <alignment readingOrder="0" shrinkToFit="0" vertical="center" wrapText="0"/>
    </xf>
    <xf borderId="0" fillId="2" fontId="29" numFmtId="0" xfId="0" applyAlignment="1" applyFont="1">
      <alignment readingOrder="0" shrinkToFit="0" vertical="center" wrapText="1"/>
    </xf>
    <xf borderId="1" fillId="0" fontId="68" numFmtId="0" xfId="0" applyAlignment="1" applyBorder="1" applyFont="1">
      <alignment horizontal="center" shrinkToFit="0" vertical="center" wrapText="1"/>
    </xf>
    <xf borderId="1" fillId="0" fontId="51" numFmtId="164"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0" fontId="46" numFmtId="49" xfId="0" applyAlignment="1" applyFont="1" applyNumberFormat="1">
      <alignment horizontal="center" readingOrder="0" shrinkToFit="0" vertical="center" wrapText="1"/>
    </xf>
    <xf borderId="0" fillId="0" fontId="50" numFmtId="49" xfId="0" applyAlignment="1" applyFont="1" applyNumberFormat="1">
      <alignment horizontal="center" readingOrder="0" shrinkToFit="0" vertical="center" wrapText="1"/>
    </xf>
    <xf borderId="0" fillId="0" fontId="48" numFmtId="49" xfId="0" applyAlignment="1" applyFont="1" applyNumberFormat="1">
      <alignment horizontal="center" readingOrder="0" shrinkToFit="0" vertical="center" wrapText="1"/>
    </xf>
    <xf borderId="1" fillId="0" fontId="1" numFmtId="0" xfId="0" applyAlignment="1" applyBorder="1" applyFont="1">
      <alignment readingOrder="0" shrinkToFit="0" vertical="center" wrapText="1"/>
    </xf>
    <xf borderId="1" fillId="2" fontId="204" numFmtId="164" xfId="0" applyAlignment="1" applyBorder="1" applyFont="1" applyNumberFormat="1">
      <alignment horizontal="center" readingOrder="0" shrinkToFit="0" vertical="center" wrapText="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47" fontId="96" numFmtId="165" xfId="0" applyAlignment="1" applyBorder="1" applyFill="1" applyFont="1" applyNumberFormat="1">
      <alignment horizontal="center" readingOrder="0" shrinkToFit="0" vertical="center" wrapText="0"/>
    </xf>
    <xf borderId="1" fillId="11" fontId="1" numFmtId="165" xfId="0" applyAlignment="1" applyBorder="1" applyFont="1" applyNumberFormat="1">
      <alignment horizontal="center" readingOrder="0" shrinkToFit="0" vertical="center" wrapText="0"/>
    </xf>
    <xf borderId="1" fillId="0" fontId="1" numFmtId="166" xfId="0" applyAlignment="1" applyBorder="1" applyFont="1" applyNumberFormat="1">
      <alignment horizontal="center" readingOrder="0" shrinkToFit="0" vertical="center" wrapText="0"/>
    </xf>
    <xf borderId="1" fillId="9" fontId="1" numFmtId="165" xfId="0" applyAlignment="1" applyBorder="1" applyFont="1" applyNumberFormat="1">
      <alignment horizontal="center" readingOrder="0" shrinkToFit="0" vertical="center" wrapText="0"/>
    </xf>
    <xf borderId="1" fillId="47" fontId="1" numFmtId="165" xfId="0" applyAlignment="1" applyBorder="1" applyFont="1" applyNumberFormat="1">
      <alignment horizontal="center" readingOrder="0" shrinkToFit="0" vertical="center" wrapText="0"/>
    </xf>
    <xf borderId="1" fillId="0" fontId="1" numFmtId="165" xfId="0" applyAlignment="1" applyBorder="1" applyFont="1" applyNumberFormat="1">
      <alignment readingOrder="0" shrinkToFit="0" vertical="center" wrapText="0"/>
    </xf>
    <xf borderId="0" fillId="0" fontId="1" numFmtId="165" xfId="0" applyAlignment="1" applyFont="1" applyNumberFormat="1">
      <alignment readingOrder="0"/>
    </xf>
    <xf borderId="1" fillId="3" fontId="204" numFmtId="164" xfId="0" applyAlignment="1" applyBorder="1" applyFont="1" applyNumberFormat="1">
      <alignment horizontal="center" readingOrder="0" shrinkToFit="0" vertical="center" wrapText="0"/>
    </xf>
    <xf borderId="1" fillId="11" fontId="1" numFmtId="165" xfId="0" applyAlignment="1" applyBorder="1" applyFont="1" applyNumberFormat="1">
      <alignment horizontal="center" readingOrder="0" shrinkToFit="0" vertical="center" wrapText="0"/>
    </xf>
    <xf borderId="1" fillId="0" fontId="96" numFmtId="0" xfId="0" applyAlignment="1" applyBorder="1" applyFont="1">
      <alignment readingOrder="0" shrinkToFit="0" vertical="center" wrapText="0"/>
    </xf>
    <xf borderId="1" fillId="0" fontId="1" numFmtId="165" xfId="0" applyAlignment="1" applyBorder="1" applyFont="1" applyNumberFormat="1">
      <alignment horizontal="center" readingOrder="0" shrinkToFit="0" vertical="center" wrapText="0"/>
    </xf>
    <xf borderId="1" fillId="0" fontId="204" numFmtId="164" xfId="0" applyAlignment="1" applyBorder="1" applyFont="1" applyNumberFormat="1">
      <alignment horizontal="center" readingOrder="0" shrinkToFit="0" vertical="center" wrapText="0"/>
    </xf>
    <xf borderId="0" fillId="0" fontId="1" numFmtId="0" xfId="0" applyAlignment="1" applyFont="1">
      <alignment readingOrder="0" shrinkToFit="0" vertical="center" wrapText="0"/>
    </xf>
    <xf borderId="1" fillId="2" fontId="204" numFmtId="164" xfId="0" applyAlignment="1" applyBorder="1" applyFont="1" applyNumberFormat="1">
      <alignment horizontal="center" readingOrder="0" shrinkToFit="0" vertical="center" wrapText="0"/>
    </xf>
    <xf borderId="1" fillId="2" fontId="278"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left" readingOrder="0" shrinkToFit="0" vertical="center" wrapText="0"/>
    </xf>
    <xf borderId="1" fillId="0" fontId="1" numFmtId="166" xfId="0" applyAlignment="1" applyBorder="1" applyFont="1" applyNumberFormat="1">
      <alignment horizontal="center" readingOrder="0" shrinkToFit="0" vertical="center" wrapText="0"/>
    </xf>
    <xf borderId="1" fillId="15" fontId="1" numFmtId="165" xfId="0" applyAlignment="1" applyBorder="1" applyFont="1" applyNumberFormat="1">
      <alignment readingOrder="0" shrinkToFit="0" vertical="center" wrapText="0"/>
    </xf>
    <xf borderId="0" fillId="2" fontId="279" numFmtId="0" xfId="0" applyAlignment="1" applyFont="1">
      <alignment readingOrder="0" shrinkToFit="0" vertical="center" wrapText="0"/>
    </xf>
    <xf borderId="4" fillId="2" fontId="110" numFmtId="0" xfId="0" applyAlignment="1" applyBorder="1" applyFont="1">
      <alignment horizontal="left" readingOrder="0" shrinkToFit="0" vertical="bottom" wrapText="0"/>
    </xf>
    <xf borderId="1" fillId="2" fontId="239" numFmtId="0" xfId="0" applyAlignment="1" applyBorder="1" applyFont="1">
      <alignment horizontal="left" readingOrder="0" shrinkToFit="0" vertical="bottom" wrapText="0"/>
    </xf>
    <xf borderId="1" fillId="2" fontId="239" numFmtId="0" xfId="0" applyAlignment="1" applyBorder="1" applyFont="1">
      <alignment horizontal="left" readingOrder="0" shrinkToFit="0" vertical="bottom" wrapText="1"/>
    </xf>
    <xf borderId="1" fillId="2" fontId="239" numFmtId="0" xfId="0" applyAlignment="1" applyBorder="1" applyFont="1">
      <alignment horizontal="left" readingOrder="0" shrinkToFit="0" vertical="bottom" wrapText="0"/>
    </xf>
    <xf borderId="1" fillId="47" fontId="1" numFmtId="165" xfId="0" applyAlignment="1" applyBorder="1" applyFont="1" applyNumberFormat="1">
      <alignment horizontal="center" readingOrder="0" shrinkToFit="0" vertical="center" wrapText="0"/>
    </xf>
    <xf borderId="1" fillId="2" fontId="280" numFmtId="0" xfId="0" applyAlignment="1" applyBorder="1" applyFont="1">
      <alignment horizontal="left" readingOrder="0" shrinkToFit="0" vertical="center" wrapText="1"/>
    </xf>
    <xf borderId="1" fillId="47" fontId="1" numFmtId="165" xfId="0" applyAlignment="1" applyBorder="1" applyFont="1" applyNumberFormat="1">
      <alignment readingOrder="0" shrinkToFit="0" vertical="center" wrapText="0"/>
    </xf>
    <xf borderId="1" fillId="2" fontId="270" numFmtId="0" xfId="0" applyAlignment="1" applyBorder="1" applyFont="1">
      <alignment readingOrder="0" shrinkToFit="0" vertical="center" wrapText="1"/>
    </xf>
    <xf borderId="1" fillId="3" fontId="1" numFmtId="0" xfId="0" applyAlignment="1" applyBorder="1" applyFont="1">
      <alignment readingOrder="0" shrinkToFit="0" vertical="center" wrapText="0"/>
    </xf>
    <xf borderId="1" fillId="2" fontId="1" numFmtId="165" xfId="0" applyAlignment="1" applyBorder="1" applyFont="1" applyNumberFormat="1">
      <alignment horizontal="center" readingOrder="0" shrinkToFit="0" vertical="center" wrapText="0"/>
    </xf>
    <xf borderId="1" fillId="2" fontId="204" numFmtId="164" xfId="0" applyAlignment="1" applyBorder="1" applyFont="1" applyNumberFormat="1">
      <alignment horizontal="center" readingOrder="0" shrinkToFit="0" vertical="center" wrapText="1"/>
    </xf>
    <xf borderId="1" fillId="47" fontId="96" numFmtId="165" xfId="0" applyAlignment="1" applyBorder="1" applyFont="1" applyNumberFormat="1">
      <alignment readingOrder="0" shrinkToFit="0" vertical="center" wrapText="0"/>
    </xf>
    <xf borderId="1" fillId="2" fontId="204" numFmtId="164" xfId="0" applyAlignment="1" applyBorder="1" applyFont="1" applyNumberFormat="1">
      <alignment readingOrder="0" shrinkToFit="0" vertical="center" wrapText="1"/>
    </xf>
    <xf borderId="1" fillId="2" fontId="1" numFmtId="165" xfId="0" applyAlignment="1" applyBorder="1" applyFont="1" applyNumberFormat="1">
      <alignment readingOrder="0" shrinkToFit="0" vertical="center" wrapText="0"/>
    </xf>
    <xf borderId="1" fillId="11" fontId="1" numFmtId="165" xfId="0" applyAlignment="1" applyBorder="1" applyFont="1" applyNumberFormat="1">
      <alignment readingOrder="0" shrinkToFit="0" vertical="center" wrapText="0"/>
    </xf>
    <xf borderId="1" fillId="0" fontId="1" numFmtId="166" xfId="0" applyAlignment="1" applyBorder="1" applyFont="1" applyNumberFormat="1">
      <alignment readingOrder="0" shrinkToFit="0" vertical="center" wrapText="0"/>
    </xf>
    <xf borderId="1" fillId="9" fontId="1" numFmtId="165" xfId="0" applyAlignment="1" applyBorder="1" applyFont="1" applyNumberFormat="1">
      <alignment readingOrder="0" shrinkToFit="0" vertical="center" wrapText="0"/>
    </xf>
    <xf borderId="1" fillId="2" fontId="280" numFmtId="0" xfId="0" applyAlignment="1" applyBorder="1" applyFont="1">
      <alignment horizontal="left" readingOrder="0" shrinkToFit="0" vertical="center" wrapText="1"/>
    </xf>
    <xf borderId="1" fillId="2" fontId="1" numFmtId="165" xfId="0" applyAlignment="1" applyBorder="1" applyFont="1" applyNumberFormat="1">
      <alignment readingOrder="0" shrinkToFit="0" vertical="center" wrapText="0"/>
    </xf>
    <xf borderId="1" fillId="9" fontId="1" numFmtId="165" xfId="0" applyAlignment="1" applyBorder="1" applyFont="1" applyNumberFormat="1">
      <alignment readingOrder="0" shrinkToFit="0" vertical="center" wrapText="0"/>
    </xf>
    <xf borderId="0" fillId="2" fontId="281" numFmtId="0" xfId="0" applyAlignment="1" applyFont="1">
      <alignment horizontal="left" readingOrder="0" shrinkToFit="0" vertical="center" wrapText="1"/>
    </xf>
    <xf borderId="0" fillId="2" fontId="28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1"/>
    </xf>
    <xf borderId="1" fillId="47" fontId="96" numFmtId="165" xfId="0" applyAlignment="1" applyBorder="1" applyFont="1" applyNumberFormat="1">
      <alignment horizontal="center" shrinkToFit="0" vertical="center" wrapText="0"/>
    </xf>
    <xf borderId="0" fillId="0" fontId="1" numFmtId="0" xfId="0" applyAlignment="1" applyFont="1">
      <alignment shrinkToFit="0" vertical="center" wrapText="1"/>
    </xf>
    <xf borderId="0" fillId="0" fontId="1" numFmtId="0" xfId="0" applyAlignment="1" applyFont="1">
      <alignment shrinkToFit="0" wrapText="1"/>
    </xf>
    <xf borderId="0" fillId="47" fontId="96" numFmtId="0" xfId="0" applyAlignment="1" applyFont="1">
      <alignment horizontal="center"/>
    </xf>
    <xf borderId="0" fillId="11" fontId="1" numFmtId="0" xfId="0" applyAlignment="1" applyFont="1">
      <alignment horizontal="center"/>
    </xf>
    <xf borderId="0" fillId="3" fontId="1" numFmtId="0" xfId="0" applyAlignment="1" applyFont="1">
      <alignment horizontal="center"/>
    </xf>
    <xf borderId="0" fillId="47" fontId="1" numFmtId="0" xfId="0" applyAlignment="1" applyFont="1">
      <alignment horizontal="center"/>
    </xf>
    <xf borderId="1" fillId="48" fontId="58" numFmtId="0" xfId="0" applyAlignment="1" applyBorder="1" applyFill="1" applyFont="1">
      <alignment horizontal="center" readingOrder="0" shrinkToFit="0" vertical="center" wrapText="1"/>
    </xf>
    <xf borderId="0" fillId="48" fontId="169" numFmtId="0" xfId="0" applyAlignment="1" applyFont="1">
      <alignment horizontal="center" shrinkToFit="0" vertical="center" wrapText="1"/>
    </xf>
    <xf borderId="0" fillId="48" fontId="169" numFmtId="0" xfId="0" applyAlignment="1" applyFont="1">
      <alignment horizontal="center" readingOrder="0" shrinkToFit="0" vertical="center" wrapText="1"/>
    </xf>
    <xf borderId="0" fillId="0" fontId="1" numFmtId="0" xfId="0" applyFont="1"/>
    <xf borderId="0" fillId="0" fontId="1" numFmtId="164" xfId="0" applyFont="1" applyNumberFormat="1"/>
    <xf borderId="0" fillId="0" fontId="1" numFmtId="166" xfId="0" applyFont="1" applyNumberFormat="1"/>
    <xf borderId="0" fillId="0" fontId="1" numFmtId="165" xfId="0" applyFont="1" applyNumberFormat="1"/>
    <xf borderId="1" fillId="0" fontId="51" numFmtId="49" xfId="0" applyAlignment="1" applyBorder="1" applyFont="1" applyNumberFormat="1">
      <alignment horizontal="center" readingOrder="0" shrinkToFit="0" vertical="center" wrapText="1"/>
    </xf>
    <xf borderId="1" fillId="0" fontId="58" numFmtId="49" xfId="0" applyAlignment="1" applyBorder="1" applyFont="1" applyNumberFormat="1">
      <alignment horizontal="center" readingOrder="0" shrinkToFit="0" vertical="center" wrapText="1"/>
    </xf>
    <xf borderId="1" fillId="0" fontId="282" numFmtId="49" xfId="0" applyAlignment="1" applyBorder="1" applyFont="1" applyNumberFormat="1">
      <alignment horizontal="center" readingOrder="0" shrinkToFit="0" vertical="center" wrapText="1"/>
    </xf>
    <xf borderId="1" fillId="30" fontId="282" numFmtId="49" xfId="0" applyAlignment="1" applyBorder="1" applyFont="1" applyNumberFormat="1">
      <alignment horizontal="center" readingOrder="0" shrinkToFit="0" vertical="center" wrapText="1"/>
    </xf>
    <xf borderId="1" fillId="3" fontId="51" numFmtId="9" xfId="0" applyAlignment="1" applyBorder="1" applyFont="1" applyNumberFormat="1">
      <alignment readingOrder="0" shrinkToFit="0" vertical="center" wrapText="1"/>
    </xf>
    <xf borderId="0" fillId="3" fontId="283" numFmtId="165" xfId="0" applyAlignment="1" applyFont="1" applyNumberFormat="1">
      <alignment readingOrder="0" shrinkToFit="0" vertical="center" wrapText="0"/>
    </xf>
    <xf borderId="1" fillId="24" fontId="121" numFmtId="0" xfId="0" applyAlignment="1" applyBorder="1" applyFont="1">
      <alignment horizontal="center" readingOrder="0" shrinkToFit="0" vertical="center" wrapText="1"/>
    </xf>
    <xf borderId="1" fillId="2" fontId="51" numFmtId="9" xfId="0" applyAlignment="1" applyBorder="1" applyFont="1" applyNumberFormat="1">
      <alignment readingOrder="0" shrinkToFit="0" vertical="center" wrapText="1"/>
    </xf>
    <xf borderId="1" fillId="18" fontId="121" numFmtId="0" xfId="0" applyAlignment="1" applyBorder="1" applyFont="1">
      <alignment horizontal="center" readingOrder="0" shrinkToFit="0" vertical="center" wrapText="1"/>
    </xf>
    <xf borderId="1" fillId="18" fontId="51" numFmtId="9" xfId="0" applyAlignment="1" applyBorder="1" applyFont="1" applyNumberFormat="1">
      <alignment readingOrder="0" shrinkToFit="0" vertical="center" wrapText="1"/>
    </xf>
    <xf borderId="1" fillId="2" fontId="51" numFmtId="165" xfId="0" applyAlignment="1" applyBorder="1" applyFont="1" applyNumberFormat="1">
      <alignment horizontal="center" shrinkToFit="0" vertical="center" wrapText="1"/>
    </xf>
    <xf borderId="0" fillId="0" fontId="1" numFmtId="165" xfId="0" applyAlignment="1" applyFont="1" applyNumberFormat="1">
      <alignment readingOrder="0" shrinkToFit="0" vertical="center" wrapText="0"/>
    </xf>
    <xf borderId="1" fillId="0" fontId="284" numFmtId="165" xfId="0" applyAlignment="1" applyBorder="1" applyFont="1" applyNumberFormat="1">
      <alignment horizontal="center" readingOrder="0" shrinkToFit="0" vertical="center" wrapText="1"/>
    </xf>
    <xf borderId="1" fillId="0" fontId="51" numFmtId="9" xfId="0" applyAlignment="1" applyBorder="1" applyFont="1" applyNumberFormat="1">
      <alignment readingOrder="0" shrinkToFit="0" vertical="center" wrapText="1"/>
    </xf>
    <xf borderId="1" fillId="0" fontId="51" numFmtId="165" xfId="0" applyAlignment="1" applyBorder="1" applyFont="1" applyNumberFormat="1">
      <alignment horizontal="center" shrinkToFit="0" vertical="center" wrapText="1"/>
    </xf>
    <xf borderId="0" fillId="2" fontId="69" numFmtId="0" xfId="0" applyAlignment="1" applyFont="1">
      <alignment horizontal="center" readingOrder="0" shrinkToFit="0" vertical="center" wrapText="1"/>
    </xf>
    <xf borderId="1" fillId="24" fontId="51" numFmtId="9" xfId="0" applyAlignment="1" applyBorder="1" applyFont="1" applyNumberFormat="1">
      <alignment readingOrder="0" shrinkToFit="0" vertical="center" wrapText="1"/>
    </xf>
    <xf borderId="1" fillId="0" fontId="51" numFmtId="165" xfId="0" applyAlignment="1" applyBorder="1" applyFont="1" applyNumberFormat="1">
      <alignment horizontal="center" readingOrder="0" shrinkToFit="0" vertical="center" wrapText="1"/>
    </xf>
    <xf borderId="1" fillId="2" fontId="121" numFmtId="0" xfId="0" applyAlignment="1" applyBorder="1" applyFont="1">
      <alignment horizontal="center" readingOrder="0" shrinkToFit="0" vertical="center" wrapText="1"/>
    </xf>
    <xf borderId="1" fillId="25" fontId="121" numFmtId="0" xfId="0" applyAlignment="1" applyBorder="1" applyFont="1">
      <alignment horizontal="center" readingOrder="0" shrinkToFit="0" vertical="center" wrapText="1"/>
    </xf>
    <xf borderId="1" fillId="25" fontId="51" numFmtId="165" xfId="0" applyAlignment="1" applyBorder="1" applyFont="1" applyNumberFormat="1">
      <alignment horizontal="center" readingOrder="0" shrinkToFit="0" vertical="center" wrapText="1"/>
    </xf>
    <xf borderId="1" fillId="0" fontId="121" numFmtId="0" xfId="0" applyAlignment="1" applyBorder="1" applyFont="1">
      <alignment horizontal="center" readingOrder="0" shrinkToFit="0" vertical="center" wrapText="1"/>
    </xf>
    <xf borderId="1" fillId="0" fontId="51" numFmtId="9" xfId="0" applyAlignment="1" applyBorder="1" applyFont="1" applyNumberFormat="1">
      <alignment readingOrder="0" shrinkToFit="0" vertical="center" wrapText="1"/>
    </xf>
    <xf borderId="1" fillId="0" fontId="285" numFmtId="165" xfId="0" applyAlignment="1" applyBorder="1" applyFont="1" applyNumberFormat="1">
      <alignment horizontal="center" readingOrder="0" shrinkToFit="0" vertical="center" wrapText="1"/>
    </xf>
    <xf borderId="1" fillId="24" fontId="51" numFmtId="165" xfId="0" applyAlignment="1" applyBorder="1" applyFont="1" applyNumberFormat="1">
      <alignment horizontal="center" shrinkToFit="0" vertical="center" wrapText="1"/>
    </xf>
    <xf borderId="1" fillId="2" fontId="286" numFmtId="165" xfId="0" applyAlignment="1" applyBorder="1" applyFont="1" applyNumberFormat="1">
      <alignment horizontal="center" readingOrder="0" shrinkToFit="0" vertical="center" wrapText="1"/>
    </xf>
    <xf borderId="1" fillId="23" fontId="51" numFmtId="9" xfId="0" applyAlignment="1" applyBorder="1" applyFont="1" applyNumberFormat="1">
      <alignment readingOrder="0" shrinkToFit="0" vertical="center" wrapText="1"/>
    </xf>
    <xf borderId="1" fillId="15" fontId="51" numFmtId="165" xfId="0" applyAlignment="1" applyBorder="1" applyFont="1" applyNumberFormat="1">
      <alignment horizontal="center" shrinkToFit="0" vertical="center" wrapText="1"/>
    </xf>
    <xf borderId="1" fillId="23" fontId="121" numFmtId="0" xfId="0" applyAlignment="1" applyBorder="1" applyFont="1">
      <alignment horizontal="center" readingOrder="0" shrinkToFit="0" vertical="center" wrapText="1"/>
    </xf>
    <xf borderId="0" fillId="23" fontId="101" numFmtId="0" xfId="0" applyAlignment="1" applyFont="1">
      <alignment horizontal="center" readingOrder="0" shrinkToFit="0" vertical="center" wrapText="1"/>
    </xf>
    <xf borderId="1" fillId="3" fontId="1" numFmtId="165" xfId="0" applyAlignment="1" applyBorder="1" applyFont="1" applyNumberFormat="1">
      <alignment readingOrder="0" shrinkToFit="0" vertical="center" wrapText="0"/>
    </xf>
    <xf borderId="1" fillId="3" fontId="121" numFmtId="0" xfId="0" applyAlignment="1" applyBorder="1" applyFont="1">
      <alignment horizontal="center" readingOrder="0" shrinkToFit="0" vertical="center" wrapText="1"/>
    </xf>
    <xf borderId="0" fillId="2" fontId="11" numFmtId="165" xfId="0" applyAlignment="1" applyFont="1" applyNumberFormat="1">
      <alignment readingOrder="0" shrinkToFit="0" vertical="center" wrapText="0"/>
    </xf>
    <xf borderId="1" fillId="2" fontId="51" numFmtId="0" xfId="0" applyAlignment="1" applyBorder="1" applyFont="1">
      <alignment horizontal="center" readingOrder="0" shrinkToFit="0" vertical="center" wrapText="1"/>
    </xf>
    <xf borderId="1" fillId="23" fontId="51" numFmtId="0" xfId="0" applyAlignment="1" applyBorder="1" applyFont="1">
      <alignment shrinkToFit="0" vertical="center" wrapText="1"/>
    </xf>
    <xf borderId="0" fillId="2" fontId="69" numFmtId="0" xfId="0" applyAlignment="1" applyFont="1">
      <alignment readingOrder="0" shrinkToFit="0" vertical="center" wrapText="1"/>
    </xf>
    <xf borderId="0" fillId="27" fontId="101" numFmtId="0" xfId="0" applyAlignment="1" applyFont="1">
      <alignment horizontal="center" readingOrder="0" shrinkToFit="0" vertical="center" wrapText="1"/>
    </xf>
    <xf borderId="1" fillId="27" fontId="51" numFmtId="0" xfId="0" applyAlignment="1" applyBorder="1" applyFont="1">
      <alignment horizontal="center" readingOrder="0" shrinkToFit="0" vertical="center" wrapText="1"/>
    </xf>
    <xf borderId="1" fillId="27" fontId="121" numFmtId="0" xfId="0" applyAlignment="1" applyBorder="1" applyFont="1">
      <alignment horizontal="center" readingOrder="0" shrinkToFit="0" vertical="center" wrapText="1"/>
    </xf>
    <xf borderId="0" fillId="2" fontId="67" numFmtId="0" xfId="0" applyAlignment="1" applyFont="1">
      <alignment horizontal="center" readingOrder="0" shrinkToFit="0" vertical="center" wrapText="1"/>
    </xf>
    <xf borderId="0" fillId="2" fontId="11" numFmtId="0" xfId="0" applyAlignment="1" applyFont="1">
      <alignment horizontal="center" readingOrder="0" shrinkToFit="0" vertical="center" wrapText="1"/>
    </xf>
    <xf borderId="0" fillId="23" fontId="11" numFmtId="0" xfId="0" applyAlignment="1" applyFont="1">
      <alignment horizontal="center" readingOrder="0" shrinkToFit="0" vertical="center" wrapText="1"/>
    </xf>
    <xf borderId="1" fillId="13" fontId="51" numFmtId="164" xfId="0" applyAlignment="1" applyBorder="1" applyFont="1" applyNumberFormat="1">
      <alignment horizontal="center" readingOrder="0" shrinkToFit="0" vertical="center" wrapText="1"/>
    </xf>
    <xf borderId="1" fillId="13" fontId="116" numFmtId="0" xfId="0" applyAlignment="1" applyBorder="1" applyFont="1">
      <alignment horizontal="center" readingOrder="0" shrinkToFit="0" vertical="center" wrapText="1"/>
    </xf>
    <xf borderId="1" fillId="13" fontId="11" numFmtId="0" xfId="0" applyAlignment="1" applyBorder="1" applyFont="1">
      <alignment horizontal="center" readingOrder="0" shrinkToFit="0" vertical="center" wrapText="1"/>
    </xf>
    <xf borderId="1" fillId="13" fontId="51" numFmtId="0" xfId="0" applyAlignment="1" applyBorder="1" applyFont="1">
      <alignment readingOrder="0" shrinkToFit="0" vertical="center" wrapText="1"/>
    </xf>
    <xf borderId="1" fillId="13" fontId="287" numFmtId="0" xfId="0" applyAlignment="1" applyBorder="1" applyFont="1">
      <alignment horizontal="center" readingOrder="0" shrinkToFit="0" vertical="center" wrapText="1"/>
    </xf>
    <xf borderId="1" fillId="13" fontId="51" numFmtId="0" xfId="0" applyAlignment="1" applyBorder="1" applyFont="1">
      <alignment horizontal="center" shrinkToFit="0" vertical="center" wrapText="1"/>
    </xf>
    <xf borderId="1" fillId="13" fontId="51" numFmtId="0" xfId="0" applyAlignment="1" applyBorder="1" applyFont="1">
      <alignment horizontal="center" readingOrder="0" shrinkToFit="0" vertical="center" wrapText="1"/>
    </xf>
    <xf borderId="1" fillId="13" fontId="51" numFmtId="9" xfId="0" applyAlignment="1" applyBorder="1" applyFont="1" applyNumberFormat="1">
      <alignment readingOrder="0" shrinkToFit="0" vertical="center" wrapText="1"/>
    </xf>
    <xf borderId="1" fillId="13" fontId="51" numFmtId="165" xfId="0" applyAlignment="1" applyBorder="1" applyFont="1" applyNumberFormat="1">
      <alignment horizontal="center" readingOrder="0" shrinkToFit="0" vertical="center" wrapText="1"/>
    </xf>
    <xf borderId="0" fillId="0" fontId="1" numFmtId="164" xfId="0" applyAlignment="1" applyFont="1" applyNumberFormat="1">
      <alignment shrinkToFit="0" vertical="center" wrapText="0"/>
    </xf>
    <xf borderId="0" fillId="0" fontId="43" numFmtId="0" xfId="0" applyAlignment="1" applyFont="1">
      <alignment horizontal="center" readingOrder="0" shrinkToFit="0" vertical="center" wrapText="1"/>
    </xf>
    <xf borderId="9" fillId="2" fontId="67" numFmtId="0" xfId="0" applyAlignment="1" applyBorder="1" applyFont="1">
      <alignment horizontal="center" shrinkToFit="0" vertical="center" wrapText="1"/>
    </xf>
    <xf borderId="0" fillId="2" fontId="41" numFmtId="0" xfId="0" applyAlignment="1" applyFont="1">
      <alignment horizontal="center" readingOrder="0" shrinkToFit="0" vertical="center" wrapText="1"/>
    </xf>
    <xf borderId="0" fillId="2" fontId="59" numFmtId="0" xfId="0" applyAlignment="1" applyFont="1">
      <alignment horizontal="center" readingOrder="0" shrinkToFit="0" vertical="center" wrapText="1"/>
    </xf>
    <xf borderId="0" fillId="0" fontId="1" numFmtId="0" xfId="0" applyAlignment="1" applyFont="1">
      <alignment readingOrder="0"/>
    </xf>
    <xf borderId="1" fillId="49" fontId="169" numFmtId="0" xfId="0" applyAlignment="1" applyBorder="1" applyFill="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B463C"/>
          <bgColor rgb="FFBB463C"/>
        </patternFill>
      </fill>
      <border/>
    </dxf>
  </dxfs>
  <tableStyles count="4">
    <tableStyle count="4" pivot="0" name="ALL-style">
      <tableStyleElement dxfId="1" type="headerRow"/>
      <tableStyleElement dxfId="2" type="firstRowStripe"/>
      <tableStyleElement dxfId="3" type="secondRowStripe"/>
      <tableStyleElement dxfId="4" size="0" type="wholeTable"/>
    </tableStyle>
    <tableStyle count="4" pivot="0" name="IMPORTACION-style">
      <tableStyleElement dxfId="5" type="headerRow"/>
      <tableStyleElement dxfId="2" type="firstRowStripe"/>
      <tableStyleElement dxfId="3" type="secondRowStripe"/>
      <tableStyleElement dxfId="4" size="0" type="wholeTable"/>
    </tableStyle>
    <tableStyle count="4" pivot="0" name="PROVEDORES-style">
      <tableStyleElement dxfId="1" type="headerRow"/>
      <tableStyleElement dxfId="2" type="firstRowStripe"/>
      <tableStyleElement dxfId="3" type="secondRowStripe"/>
      <tableStyleElement dxfId="4" size="0" type="wholeTable"/>
    </tableStyle>
    <tableStyle count="4" pivot="0" name="ventas julio-agosto-setiemb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ff45e8ae-4f83-49dc-ab7f-5a3209480757}">
    <Anchor>
      <Comment id="{f2cb42d4-deef-42db-b23b-a7e68ad6a918}"/>
    </Anchor>
    <History>
      <Event time="2026-02-17T01:44:55.00" id="{73c621de-16c4-41e6-894f-d11f4ebcfd60}">
        <Attribution userId="placeholder@email.com" userName="importaciones porlles" userProvider="google-sheets"/>
        <Anchor>
          <Comment id="{f2cb42d4-deef-42db-b23b-a7e68ad6a918}"/>
        </Anchor>
        <Create/>
      </Event>
      <Event time="2026-02-17T01:44:55.00" id="{922c80d0-7785-4a34-aefa-170683e7003e}">
        <Attribution userId="placeholder@email.com" userName="importaciones porlles" userProvider="google-sheets"/>
        <Anchor>
          <Comment id="{f2cb42d4-deef-42db-b23b-a7e68ad6a918}"/>
        </Anchor>
        <Assign userId="katiuskarodriempresa@gmail.com" userName="katiuskarodriempresa@gmail.com" userProvider="google-sheets"/>
      </Event>
    </History>
  </Task>
  <Task id="{247f126d-878f-43ac-b52a-8222e3f89e8a}">
    <Anchor>
      <Comment id="{e3f1b7e1-02b6-4611-9507-4daaeea9675b}"/>
    </Anchor>
    <History>
      <Event time="2025-12-07T19:12:23.00" id="{7cdfb39c-da63-479f-8511-2629e7241602}">
        <Attribution userId="placeholder@email.com" userName="importaciones porlles" userProvider="google-sheets"/>
        <Anchor>
          <Comment id="{e3f1b7e1-02b6-4611-9507-4daaeea9675b}"/>
        </Anchor>
        <Create/>
      </Event>
      <Event time="2025-12-07T19:12:23.00" id="{d25cb611-87a9-4a7b-9dfb-048a3bd81c98}">
        <Attribution userId="placeholder@email.com" userName="importaciones porlles" userProvider="google-sheets"/>
        <Anchor>
          <Comment id="{e3f1b7e1-02b6-4611-9507-4daaeea9675b}"/>
        </Anchor>
        <Assign userId="yolinette152@gmail.com" userName="yolinette152@gmail.com" userProvider="google-sheets"/>
      </Event>
    </History>
  </Task>
  <Task id="{12cc21ef-3599-491f-83f3-7299a31397a1}">
    <Anchor>
      <Comment id="{7e6047ec-b838-4523-b6ba-d608a9be7e2c}"/>
    </Anchor>
    <History>
      <Event time="2025-12-06T02:14:23.00" id="{923c2a06-7bbe-4f64-a0a7-2b125e27f613}">
        <Attribution userId="placeholder@email.com" userName="Kelly Reyes Porlles" userProvider="google-sheets"/>
        <Anchor>
          <Comment id="{7e6047ec-b838-4523-b6ba-d608a9be7e2c}"/>
        </Anchor>
        <Create/>
      </Event>
      <Event time="2025-12-06T02:14:23.00" id="{8a1d817b-7ea2-4fd4-a009-88dcc520552c}">
        <Attribution userId="placeholder@email.com" userName="Kelly Reyes Porlles" userProvider="google-sheets"/>
        <Anchor>
          <Comment id="{7e6047ec-b838-4523-b6ba-d608a9be7e2c}"/>
        </Anchor>
        <Assign userId="yolinette152@gmail.com" userName="yolinette152@gmail.com"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mportaciones porlles" id="{6afbe8df-a68a-4403-9951-ca8c0d21ef43}" providerId="google-sheets"/>
  <x18tc:person displayName="Yolinette Huamàn" id="{2ddfa542-8116-4937-a057-08470d7abaab}" providerId="google-sheets"/>
  <x18tc:person displayName="chelsea roque" id="{80195d68-4e9b-4dc7-a031-ca5391c97d0f}" providerId="google-sheets"/>
  <x18tc:person displayName="Damaris Vera" id="{d2d8e545-d424-418b-a747-e3edfb919268}" providerId="google-sheets"/>
  <x18tc:person displayName="Angela Veliz" id="{3366ceb9-eaba-4665-a35f-f727bfcff080}" providerId="google-sheets"/>
  <x18tc:person displayName="KARINA TELLO" id="{d8e4f5ad-b65d-4160-a56f-197530fb7eb1}" providerId="google-sheets"/>
  <x18tc:person displayName="Romina Lopez" id="{2e1d7895-6fef-46de-9d53-1b267b5d5fb9}" providerId="google-sheets"/>
  <x18tc:person displayName="aldo porlles porlles" id="{7d9bea4b-cfe7-4c29-b483-8e83a1c4f52a}" providerId="google-sheets"/>
  <x18tc:person displayName="katiuskarodriempresa@gmail.com" id="{35da361e-a7bc-4cb9-aa92-04fb9a954f9b}" userId="katiuskarodriempresa@gmail.com" providerId="google-sheets"/>
  <x18tc:person displayName="yolinette152@gmail.com" id="{175ceed9-6dd2-4dd9-a576-ccc719bb1072}" userId="yolinette152@gmail.com" providerId="google-sheets"/>
  <x18tc:person displayName="Maryory" id="{4df2d6c4-e43e-4f2e-b623-d90f458472ff}" providerId="google-sheets"/>
  <x18tc:person displayName="Sara Porlles" id="{a0de89de-cb11-4760-8ade-89c138b38767}" providerId="google-sheets"/>
  <x18tc:person displayName="Katiuska Del Valle Rodriguez Mendoza" id="{f9b224d0-ee33-4499-ae47-db5bcd2d0435}" providerId="google-sheets"/>
  <x18tc:person displayName="Joselyn Palomino" id="{a5d43f6d-3c72-4414-b012-8f52ef50acc4}" providerId="google-sheets"/>
  <x18tc:person displayName="Kelly Reyes Porlles" id="{d28ef52a-149c-458c-84f2-6b54860887d5}" providerId="google-sheets"/>
  <x18tc:person displayName="Julio Azurin" id="{3f0937fc-adcb-4464-acb3-412a6cbb9391}" providerId="google-sheets"/>
  <x18tc:person displayName="Team porlles" id="{68efe3e3-8b68-4e02-81e2-a29fa228b211}" providerId="google-sheets"/>
</x18tc:personList>
</file>

<file path=xl/tables/table1.xml><?xml version="1.0" encoding="utf-8"?>
<table xmlns="http://schemas.openxmlformats.org/spreadsheetml/2006/main" ref="A1:Q1033" displayName="Table1" name="Table1" id="1">
  <autoFilter ref="$A$1:$Q$1033"/>
  <tableColumns count="17">
    <tableColumn name="ASESORA" id="1"/>
    <tableColumn name="FECHA DE PEDIDO" id="2"/>
    <tableColumn name="Column 3" id="3"/>
    <tableColumn name="NOMBRE DEL CLIENTE " id="4"/>
    <tableColumn name="NUMERO DE CELULAR" id="5"/>
    <tableColumn name="TIPO DE PAGO" id="6"/>
    <tableColumn name="adelanto" id="7"/>
    <tableColumn name="Precio de Venta" id="8"/>
    <tableColumn name="Precio en dolares " id="9"/>
    <tableColumn name="ORDEN DE COMPRA/ código interno" id="10"/>
    <tableColumn name="FECHA DE LLEGADA" id="11"/>
    <tableColumn name="LLEGARON/NO LLEGARON" id="12"/>
    <tableColumn name="OBSERVACION" id="13"/>
    <tableColumn name="ESTADO DEL PAQUETE" id="14"/>
    <tableColumn name="ENVIO" id="15"/>
    <tableColumn name="DEPARTAMENTO" id="16"/>
    <tableColumn name="Column 1" id="17"/>
  </tableColumns>
  <tableStyleInfo name="ALL-style" showColumnStripes="0" showFirstColumn="1" showLastColumn="1" showRowStripes="1"/>
</table>
</file>

<file path=xl/tables/table2.xml><?xml version="1.0" encoding="utf-8"?>
<table xmlns="http://schemas.openxmlformats.org/spreadsheetml/2006/main" ref="A1:AI2005" displayName="importaciones" name="importaciones" id="2">
  <autoFilter ref="$A$1:$AI$2005">
    <filterColumn colId="0">
      <filters blank="1">
        <filter val="KARINA"/>
        <filter val="CHELSEA"/>
        <filter val="KATIUSKA"/>
      </filters>
    </filterColumn>
  </autoFilter>
  <tableColumns count="35">
    <tableColumn name="Asesora" id="1"/>
    <tableColumn name="FECHA DE PEDIDO / VENTA" id="2"/>
    <tableColumn name="Nombre Laptop" id="3"/>
    <tableColumn name="NOMBRE DEL CLIENTE" id="4"/>
    <tableColumn name="LLEGARON / NO LLEGARON" id="5"/>
    <tableColumn name="ORDEN DE COMPRA/ código interno" id="6"/>
    <tableColumn name="NUMERO DE CELULAR" id="7"/>
    <tableColumn name="Tipo de producto" id="8"/>
    <tableColumn name="TIPO DE PAGO" id="9"/>
    <tableColumn name="ADELANTO" id="10"/>
    <tableColumn name="POR COBRAR" id="11"/>
    <tableColumn name="TOTAL COBRADO" id="12"/>
    <tableColumn name="PRECIO DE SOLO LAPTOP" id="13"/>
    <tableColumn name="PPRECIO EN DOLARES (EEUU)" id="14"/>
    <tableColumn name="(FÓRMULA) TOTAL EXCEDENTE" id="15"/>
    <tableColumn name="(FÓRMULA)_x000a_TOTAL EXCEDENTE NETO" id="16"/>
    <tableColumn name="LICENCIAS / SERVICIOS" id="17"/>
    <tableColumn name="GARANTIA EXPRESS" id="18"/>
    <tableColumn name="GARANTIA _x000a_FIXIT" id="19"/>
    <tableColumn name="Accesorios adicionales" id="20"/>
    <tableColumn name="Accesorios regalo" id="21"/>
    <tableColumn name="LLENÓ EL FORM" id="22"/>
    <tableColumn name="¿Comprobante emitido?" id="23"/>
    <tableColumn name="CORREO ELECTRONICO " id="24"/>
    <tableColumn name="ADJUNTO DNI" id="25"/>
    <tableColumn name="OBSERVACION" id="26"/>
    <tableColumn name="ENVIO" id="27"/>
    <tableColumn name="DEPARTAMENTO" id="28"/>
    <tableColumn name="ESTADO DEL PAQUETE" id="29"/>
    <tableColumn name="MES PEDIDO" id="30"/>
    <tableColumn name="COMISIÓN PARA LAPTOP" id="31"/>
    <tableColumn name="COMISIÓN VALIDADA" id="32"/>
    <tableColumn name="COMISIÓN PARA EXCEDENTES" id="33"/>
    <tableColumn name="LEAD ORGÁNICO" id="34"/>
    <tableColumn name="T&amp;C" id="35"/>
  </tableColumns>
  <tableStyleInfo name="IMPORTACION-style" showColumnStripes="0" showFirstColumn="1" showLastColumn="1" showRowStripes="1"/>
</table>
</file>

<file path=xl/tables/table3.xml><?xml version="1.0" encoding="utf-8"?>
<table xmlns="http://schemas.openxmlformats.org/spreadsheetml/2006/main" ref="A1:T59" displayName="locales" name="locales" id="3">
  <autoFilter ref="$A$1:$T$59"/>
  <tableColumns count="20">
    <tableColumn name="Asesores" id="1"/>
    <tableColumn name="PROVEEDOR" id="2"/>
    <tableColumn name="FECHA DE PEDIDO / VENTA" id="3"/>
    <tableColumn name="SN" id="4"/>
    <tableColumn name="Nombre Laptop" id="5"/>
    <tableColumn name="NOMBRE DEL CLIENTE" id="6"/>
    <tableColumn name="COMISIÓN PARA EL MES" id="7"/>
    <tableColumn name="COMISIÓN VALIDADA" id="8"/>
    <tableColumn name="¿Comprobante emitido?" id="9"/>
    <tableColumn name="CORREO ELECTRONICO" id="10"/>
    <tableColumn name="NUMERO DE CELULAR" id="11"/>
    <tableColumn name="ADELANTO" id="12"/>
    <tableColumn name="TOTAL COBRADO" id="13"/>
    <tableColumn name="PRECIO DE SOLO LAPTOP" id="14"/>
    <tableColumn name="Precio en dolares" id="15"/>
    <tableColumn name="EXCEDENTE TOTAL ( hasta la el 15/10/2025 iba todo a fixit)" id="16"/>
    <tableColumn name="EXCEDENTE PARA PORLLES" id="17"/>
    <tableColumn name="LICENCIAS / SERVICIOS" id="18"/>
    <tableColumn name="Accesorios costo" id="19"/>
    <tableColumn name="Accesorios regalo/venta" id="20"/>
  </tableColumns>
  <tableStyleInfo name="PROVEDORES-style" showColumnStripes="0" showFirstColumn="1" showLastColumn="1" showRowStripes="1"/>
</table>
</file>

<file path=xl/tables/table4.xml><?xml version="1.0" encoding="utf-8"?>
<table xmlns="http://schemas.openxmlformats.org/spreadsheetml/2006/main" ref="A1:R149" displayName="Tabla_2" name="Tabla_2" id="4">
  <tableColumns count="18">
    <tableColumn name="Asesora" id="1"/>
    <tableColumn name="FECHA DE PEDIDO / VENTA" id="2"/>
    <tableColumn name="MES" id="3"/>
    <tableColumn name="Nombre Laptop" id="4"/>
    <tableColumn name="NOMBRE DEL CLIENTE" id="5"/>
    <tableColumn name="LLEGARON/NO LLEGARON" id="6"/>
    <tableColumn name="ORDEN DE COMPRA/ código interno" id="7"/>
    <tableColumn name="Tipo de producto" id="8"/>
    <tableColumn name="ESTADO DEL PAQUETE" id="9"/>
    <tableColumn name="COMISIÓN PARA EL MES" id="10"/>
    <tableColumn name="COMISIÓN VALIDADA" id="11"/>
    <tableColumn name="ADJUNTO DNI" id="12"/>
    <tableColumn name="LLENÓ EL FORM" id="13"/>
    <tableColumn name="¿Comprobante emitido?" id="14"/>
    <tableColumn name="NUMERO DE CELULAR" id="15"/>
    <tableColumn name="TIPO DE PAGO" id="16"/>
    <tableColumn name="adelanto" id="17"/>
    <tableColumn name="TOTAL COBRADO" id="18"/>
  </tableColumns>
  <tableStyleInfo name="ventas julio-agosto-setiemb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0" dT="2025-04-09T20:24:58.00" personId="{d8e4f5ad-b65d-4160-a56f-197530fb7eb1}" id="{88d166e8-17bc-4aff-8f50-babbddfdb6ab}" done="0">
    <x18tc:text xml:space="preserve">https://www.ebay.com/itm/395332822918</x18tc:text>
    <x18tc:extLst>
      <ext uri="{F7C98A9C-CBB3-438F-8F68-D28B6AF4A901}">
        <xltc2:checksum/>
        <xltc2:hyperlink startIndex="0" length="37" url="https://www.ebay.com/itm/395332822918"/>
      </ext>
    </x18tc:extLst>
  </x18tc:threadedComment>
  <x18tc:threadedComment ref="G43" dT="2025-04-02T20:03:20.00" personId="{a5d43f6d-3c72-4414-b012-8f52ef50acc4}" id="{42eabfc5-b4ab-49a2-822e-001d160d75bd}" done="0">
    <x18tc:text xml:space="preserve">https://drive.google.com/file/d/1jq5AXIY-8Nul3MM9BwWYKv7XSRaSf1vL/view?usp=sharing</x18tc:text>
    <x18tc:extLst>
      <ext uri="{F7C98A9C-CBB3-438F-8F68-D28B6AF4A901}">
        <xltc2:checksum/>
        <xltc2:hyperlink startIndex="0" length="82" url="https://drive.google.com/file/d/1jq5AXIY-8Nul3MM9BwWYKv7XSRaSf1vL/view?usp=sharing"/>
      </ext>
    </x18tc:extLst>
  </x18tc:threadedComment>
  <x18tc:threadedComment ref="C43" dT="2025-04-02T20:00:36.00" personId="{a5d43f6d-3c72-4414-b012-8f52ef50acc4}" id="{d774f6c7-9fb9-4dfd-8a5b-977434c6708c}" done="0">
    <x18tc:text xml:space="preserve">https://www.bhphotovideo.com/c/product/1811269-REG/lenovo_83dg00agus_16_legion_5_laptop.html/specs</x18tc:text>
    <x18tc:extLst>
      <ext uri="{F7C98A9C-CBB3-438F-8F68-D28B6AF4A901}">
        <xltc2:checksum/>
        <xltc2:hyperlink startIndex="0" length="98" url="https://www.bhphotovideo.com/c/product/1811269-REG/lenovo_83dg00agus_16_legion_5_laptop.html/specs"/>
      </ext>
    </x18tc:extLst>
  </x18tc:threadedComment>
  <x18tc:threadedComment ref="H43" dT="2025-04-02T19:58:24.00" personId="{a5d43f6d-3c72-4414-b012-8f52ef50acc4}" id="{24d27458-0cab-47ef-9d27-8159ef256cf2}" done="0">
    <x18tc:text xml:space="preserve">Aumenté 370 soles de envío</x18tc:text>
  </x18tc:threadedComment>
  <x18tc:threadedComment ref="H30" dT="2025-01-10T17:47:21.00" personId="{a5d43f6d-3c72-4414-b012-8f52ef50acc4}" id="{6a5ffdaf-c14f-4d7a-9852-ad75297cfaeb}" done="0">
    <x18tc:text xml:space="preserve">se aumentó 749 para envío gratuito y regalos</x18tc:text>
  </x18tc:threadedComment>
  <x18tc:threadedComment ref="G41" dT="2025-03-13T22:15:15.00" personId="{3f0937fc-adcb-4464-acb3-412a6cbb9391}" id="{346de950-7d3c-416b-a0f6-4ef3414e0bf7}" done="0">
    <x18tc:text xml:space="preserve">https://drive.google.com/file/d/1tYxikrppzXuhHy5yNKtxWGHhivctUpP6/view?usp=drive_link</x18tc:text>
    <x18tc:extLst>
      <ext uri="{F7C98A9C-CBB3-438F-8F68-D28B6AF4A901}">
        <xltc2:checksum/>
        <xltc2:hyperlink startIndex="0" length="85" url="https://drive.google.com/file/d/1tYxikrppzXuhHy5yNKtxWGHhivctUpP6/view?usp=drive_link"/>
      </ext>
    </x18tc:extLst>
  </x18tc:threadedComment>
  <x18tc:threadedComment ref="C30" dT="2025-01-10T17:47:45.00" personId="{a5d43f6d-3c72-4414-b012-8f52ef50acc4}" id="{01ccda02-293c-4f05-a3d1-1ef2da4bca36}" done="0">
    <x18tc:text xml:space="preserve">https://www.ebay.com/itm/126869660663</x18tc:text>
    <x18tc:extLst>
      <ext uri="{F7C98A9C-CBB3-438F-8F68-D28B6AF4A901}">
        <xltc2:checksum/>
        <xltc2:hyperlink startIndex="0" length="37" url="https://www.ebay.com/itm/126869660663"/>
      </ext>
    </x18tc:extLst>
  </x18tc:threadedComment>
  <x18tc:threadedComment ref="G30" dT="2025-01-10T17:48:48.00" personId="{a5d43f6d-3c72-4414-b012-8f52ef50acc4}" id="{de3d59d8-e2eb-4fef-a76d-f7cfd7022018}" done="0">
    <x18tc:text xml:space="preserve">https://drive.google.com/file/d/1TtPNallIWmd9yCmDIwB41pboLs2R82ZP/view?usp=sharing
https://drive.google.com/file/d/1TwHLbUKBeNf1EygHqr1RylfpmqavW0TT/view?usp=sharing</x18tc:text>
    <x18tc:extLst>
      <ext uri="{F7C98A9C-CBB3-438F-8F68-D28B6AF4A901}">
        <xltc2:checksum/>
        <xltc2:hyperlink startIndex="0" length="82" url="https://drive.google.com/file/d/1TtPNallIWmd9yCmDIwB41pboLs2R82ZP/view?usp=sharing"/>
        <xltc2:hyperlink startIndex="83" length="82" url="https://drive.google.com/file/d/1TwHLbUKBeNf1EygHqr1RylfpmqavW0TT/view?usp=sharing"/>
      </ext>
    </x18tc:extLst>
  </x18tc:threadedComment>
  <x18tc:threadedComment ref="C51" dT="2025-04-11T00:02:29.00" personId="{d8e4f5ad-b65d-4160-a56f-197530fb7eb1}" id="{993fd1cf-f34a-475e-a5c8-d9fb367e8ac9}" done="0">
    <x18tc:text xml:space="preserve">https://www.microcenter.com/product/677009/asus-rog-strix-g18-g814jir-xs96-18-gaming-laptop-computer-eclipse-gray?ob=1&amp;storeid=065</x18tc:text>
    <x18tc:extLst>
      <ext uri="{F7C98A9C-CBB3-438F-8F68-D28B6AF4A901}">
        <xltc2:checksum/>
        <xltc2:hyperlink startIndex="0" length="130" url="https://www.microcenter.com/product/677009/asus-rog-strix-g18-g814jir-xs96-18-gaming-laptop-computer-eclipse-gray?ob=1&amp;storeid=065"/>
      </ext>
    </x18tc:extLst>
  </x18tc:threadedComment>
  <x18tc:threadedComment ref="G31" dT="2025-01-16T21:25:14.00" personId="{d2d8e545-d424-418b-a747-e3edfb919268}" id="{3fc61f19-39e9-429f-9b9c-07d241eaac1a}" done="0">
    <x18tc:text xml:space="preserve">https://drive.google.com/file/d/1TqHzBXfJf1IqZo3QsSA74TnXaq0YyfN4/view?usp=sharing</x18tc:text>
    <x18tc:extLst>
      <ext uri="{F7C98A9C-CBB3-438F-8F68-D28B6AF4A901}">
        <xltc2:checksum/>
        <xltc2:hyperlink startIndex="0" length="82" url="https://drive.google.com/file/d/1TqHzBXfJf1IqZo3QsSA74TnXaq0YyfN4/view?usp=sharing"/>
      </ext>
    </x18tc:extLst>
  </x18tc:threadedComment>
  <x18tc:threadedComment ref="C20" dT="2024-12-12T03:47:26.00" personId="{a5d43f6d-3c72-4414-b012-8f52ef50acc4}" id="{b6b81a20-befe-4d06-98ba-4023a44080be}" done="0">
    <x18tc:text xml:space="preserve">https://www.ebay.com/itm/326185324573?_skw=g14&amp;itmmeta=01JEWE23CQCV64W5VWK9JMCZZ9&amp;hash=item4bf229101d:g:Ik8AAOSwuctmhHCV</x18tc:text>
    <x18tc:extLst>
      <ext uri="{F7C98A9C-CBB3-438F-8F68-D28B6AF4A901}">
        <xltc2:checksum/>
        <xltc2:hyperlink startIndex="0" length="120" url="https://www.ebay.com/itm/326185324573?_skw=g14&amp;itmmeta=01JEWE23CQCV64W5VWK9JMCZZ9&amp;hash=item4bf229101d:g:Ik8AAOSwuctmhHCV"/>
      </ext>
    </x18tc:extLst>
  </x18tc:threadedComment>
  <x18tc:threadedComment ref="J22" dT="2025-01-16T21:53:20.00" personId="{a0de89de-cb11-4760-8ade-89c138b38767}" id="{80276ab0-353f-4d12-b521-d6ba1e1a84e2}" done="1">
    <x18tc:text xml:space="preserve">es mouse</x18tc:text>
  </x18tc:threadedComment>
  <x18tc:threadedComment ref="C31" dT="2025-01-16T21:20:55.00" personId="{d2d8e545-d424-418b-a747-e3edfb919268}" id="{baf1ab81-482a-44a8-aebb-c3b330ba3a91}" done="0">
    <x18tc:text xml:space="preserve">https://www.ebay.com/itm/204736562317?_skw=asus+g18&amp;itmmeta=01JHRFJ7YTXFHSPZJ3GCFC9KAP&amp;hash=item2fab40048d%3Ag%3A69MAAOSwAiBm2fRa&amp;itmprp=enc%3AAQAJAAAA4HoV3kP08IDx%2BKZ9MfhVJKlr8eclJpgVv2Xgw0cjT4sv7%2BWZ5wMqyMHljS7fxhi%2F2%2BT8wNCm2DmDNij2o6VrwbkHuvTUr0fepWwihEfrlqeLGl6FeqoeVIdm6q6ouJMvrpE3S0z6KTChYT8VG9cTEOnEaLb89RntrB7i%2B9s2LRw7pyik1%2Bz6GFen%2FoKqC7%2FXiRQkRhjoDljrhoGUaZDCz%2BxUpsik49RbK%2B%2B7YnNzsGCgzoM38RU9IoQpLny900f7wUpPJatMAbZuRg%2BlgnMGgi9I3n9s5Su5PqZlnOCuy90D%7Ctkp%3ABk9SR9T_yI-OZQ&amp;LH_ItemCondition=1000</x18tc:text>
    <x18tc:extLst>
      <ext uri="{F7C98A9C-CBB3-438F-8F68-D28B6AF4A901}">
        <xltc2:checksum/>
        <xltc2:hyperlink startIndex="0" length="520" url="https://www.ebay.com/itm/204736562317?_skw=asus+g18&amp;itmmeta=01JHRFJ7YTXFHSPZJ3GCFC9KAP&amp;hash=item2fab40048d%3Ag%3A69MAAOSwAiBm2fRa&amp;itmprp=enc%3AAQAJAAAA4HoV3kP08IDx%2BKZ9MfhVJKlr8eclJpgVv2Xgw0cjT4sv7%2BWZ5wMqyMHljS7fxhi%2F2%2BT8wNCm2DmDNij2o6VrwbkHuvTUr0fepWwihEfrlqeLGl6FeqoeVIdm6q6ouJMvrpE3S0z6KTChYT8VG9cTEOnEaLb89RntrB7i%2B9s2LRw7pyik1%2Bz6GFen%2FoKqC7%2FXiRQkRhjoDljrhoGUaZDCz%2BxUpsik49RbK%2B%2B7YnNzsGCgzoM38RU9IoQpLny900f7wUpPJatMAbZuRg%2BlgnMGgi9I3n9s5Su5PqZlnOCuy90D%7Ctkp%3ABk9SR9T_yI-OZQ&amp;LH_ItemCondition=1000"/>
      </ext>
    </x18tc:extLst>
  </x18tc:threadedComment>
  <x18tc:threadedComment ref="C44" dT="2025-04-04T00:35:14.00" personId="{4df2d6c4-e43e-4f2e-b623-d90f458472ff}" id="{3d0c3709-1d3f-4521-b74f-bd4faf4f1891}" done="0">
    <x18tc:text xml:space="preserve">https://www.microcenter.com/product/677514/asus-rog-strix-g16-g614jvr-es96-16-gaming-laptop-computer-eclipse-gray</x18tc:text>
    <x18tc:extLst>
      <ext uri="{F7C98A9C-CBB3-438F-8F68-D28B6AF4A901}">
        <xltc2:checksum/>
        <xltc2:hyperlink startIndex="0" length="113" url="https://www.microcenter.com/product/677514/asus-rog-strix-g16-g614jvr-es96-16-gaming-laptop-computer-eclipse-gray"/>
      </ext>
    </x18tc:extLst>
  </x18tc:threadedComment>
  <x18tc:threadedComment ref="L33" dT="2025-01-20T23:39:43.00" personId="{6afbe8df-a68a-4403-9951-ca8c0d21ef43}" id="{d840ce9b-575e-4a94-a9e8-1a28cfe5fe4b}" done="0">
    <x18tc:text xml:space="preserve">Se le dará un mouse en stock</x18tc:text>
  </x18tc:threadedComment>
  <x18tc:threadedComment ref="H62" dT="2025-04-27T23:29:12.00" personId="{a5d43f6d-3c72-4414-b012-8f52ef50acc4}" id="{7a9c1dfd-26c9-4bfd-817a-0478c7c384e9}" done="0">
    <x18tc:text xml:space="preserve">aumenté 100 soles para configuración inicial</x18tc:text>
  </x18tc:threadedComment>
  <x18tc:threadedComment ref="C62" dT="2025-04-27T23:33:54.00" personId="{a5d43f6d-3c72-4414-b012-8f52ef50acc4}" id="{dab4c49e-7b8d-4aa2-936a-73c23aff56eb}" done="0">
    <x18tc:text xml:space="preserve">https://www.ebay.com/itm/326068742080?_skw=zephyrus&amp;itmmeta=01JSWN00MJ4M4FEKGYP4BV8A3J&amp;hash=item4beb3627c0:g:MeUAAeSwbrxnopc7</x18tc:text>
    <x18tc:extLst>
      <ext uri="{F7C98A9C-CBB3-438F-8F68-D28B6AF4A901}">
        <xltc2:checksum/>
        <xltc2:hyperlink startIndex="0" length="125" url="https://www.ebay.com/itm/326068742080?_skw=zephyrus&amp;itmmeta=01JSWN00MJ4M4FEKGYP4BV8A3J&amp;hash=item4beb3627c0:g:MeUAAeSwbrxnopc7"/>
      </ext>
    </x18tc:extLst>
  </x18tc:threadedComment>
  <x18tc:threadedComment ref="C21" dT="2024-12-14T18:14:32.00" personId="{4df2d6c4-e43e-4f2e-b623-d90f458472ff}" id="{1eeab50b-b074-497e-a16e-f4f5f7c4187c}" done="0">
    <x18tc:text xml:space="preserve">https://www.ebay.com/itm/204802774106?_skw=m16&amp;itmmeta=01JF1C0J6DBNKGH4K3K3J2DBKG&amp;hash=item2faf32545a:g:yHUAAOSwzzVnNOaO</x18tc:text>
    <x18tc:extLst>
      <ext uri="{F7C98A9C-CBB3-438F-8F68-D28B6AF4A901}">
        <xltc2:checksum/>
        <xltc2:hyperlink startIndex="0" length="120" url="https://www.ebay.com/itm/204802774106?_skw=m16&amp;itmmeta=01JF1C0J6DBNKGH4K3K3J2DBKG&amp;hash=item2faf32545a:g:yHUAAOSwzzVnNOaO"/>
      </ext>
    </x18tc:extLst>
  </x18tc:threadedComment>
  <x18tc:threadedComment ref="C22" dT="2024-12-14T18:20:19.00" personId="{4df2d6c4-e43e-4f2e-b623-d90f458472ff}" id="{32b98b6a-4310-42ae-9773-ff41895ccd59}" done="0">
    <x18tc:text xml:space="preserve">https://www.amazon.com/-/es/Alienware-Rat%C3%B3n-juegos-inal%C3%A1mbrico-AW610M/dp/B07V83NMCV/ref=sr_1_3?crid=2KK0NMPN5DOA6&amp;dib=eyJ2IjoiMSJ9.07ytkWLLzfGFp4Dlcka48puXGZdlfcHVrulZPOaCkgTYa7vqzS_WzWHXE1f04x0lFHlam9huWIRlNIShs5XYhxeoALMxwX8ayKjuKX-Bw7_SxYqNITjEtNHC1p_HQylyqZj3UnBpKuceZO0KMOjsQrHyoF1fnSM5f9QQMEp2TBrTGIibrBS9k_H0bynrvgfPOS8DstgwLSiYiGsfADELuGLr85fdf6oPSIlC9e8Fb7s5bp2GUNifA6z4k6v0UGp11NJMrpuIlTLOyLRrXr9zLo8hijChAJJXVWotOVB-Locj7k4BlU9-q7Zkw-K0uGb09SuLEVcq3Iy3ZG1-5y5A1zR79saXdTczrVlX6ZuZOZg.-_b2MkCMrXMKdmBQphB_SkuUcx6IH1MLrIEl193PnAU&amp;dib_tag=se&amp;keywords=mouse%2Balienware%2Baw610m&amp;qid=1734200238&amp;s=electronics&amp;sprefix=%2Celectronics%2C370&amp;sr=1-3&amp;th=1</x18tc:text>
    <x18tc:extLst>
      <ext uri="{F7C98A9C-CBB3-438F-8F68-D28B6AF4A901}">
        <xltc2:checksum/>
        <xltc2:hyperlink startIndex="0" length="665" url="https://www.amazon.com/-/es/Alienware-Rat%C3%B3n-juegos-inal%C3%A1mbrico-AW610M/dp/B07V83NMCV/ref=sr_1_3?crid=2KK0NMPN5DOA6&amp;dib=eyJ2IjoiMSJ9.07ytkWLLzfGFp4Dlcka48puXGZdlfcHVrulZPOaCkgTYa7vqzS_WzWHXE1f04x0lFHlam9huWIRlNIShs5XYhxeoALMxwX8ayKjuKX-Bw7_SxYqNITjEtNHC1p_HQylyqZj3UnBpKuceZO0KMOjsQrHyoF1fnSM5f9QQMEp2TBrTGIibrBS9k_H0bynrvgfPOS8DstgwLSiYiGsfADELuGLr85fdf6oPSIlC9e8Fb7s5bp2GUNifA6z4k6v0UGp11NJMrpuIlTLOyLRrXr9zLo8hijChAJJXVWotOVB-Locj7k4BlU9-q7Zkw-K0uGb09SuLEVcq3Iy3ZG1-5y5A1zR79saXdTczrVlX6ZuZOZg.-_b2MkCMrXMKdmBQphB_SkuUcx6IH1MLrIEl193PnAU&amp;dib_tag=se&amp;keywords=mouse%2Balienware%2Baw610m&amp;qid=1734200238&amp;s=electronics&amp;sprefix=%2Celectronics%2C370&amp;sr=1-3&amp;th=1"/>
      </ext>
    </x18tc:extLst>
  </x18tc:threadedComment>
  <x18tc:threadedComment ref="H42" dT="2025-04-19T16:04:36.00" personId="{a5d43f6d-3c72-4414-b012-8f52ef50acc4}" id="{a14854d9-0946-488d-aeee-3a4d43d11ffa}" done="0">
    <x18tc:text xml:space="preserve">agregué 310 para configuración y licencias</x18tc:text>
  </x18tc:threadedComment>
  <x18tc:threadedComment ref="G35" dT="2025-01-28T17:03:19.00" personId="{2e1d7895-6fef-46de-9d53-1b267b5d5fb9}" id="{27072105-0d05-4188-868a-5db56fe3d713}" done="0">
    <x18tc:text xml:space="preserve">https://docs.google.com/document/d/1idHvszoqND7VOpAIO-pjzveCKFiTU4G-DTUuUp_Lw3I/edit?usp=sharing</x18tc:text>
    <x18tc:extLst>
      <ext uri="{F7C98A9C-CBB3-438F-8F68-D28B6AF4A901}">
        <xltc2:checksum/>
        <xltc2:hyperlink startIndex="0" length="96" url="https://docs.google.com/document/d/1idHvszoqND7VOpAIO-pjzveCKFiTU4G-DTUuUp_Lw3I/edit?usp=sharing"/>
      </ext>
    </x18tc:extLst>
  </x18tc:threadedComment>
  <x18tc:threadedComment ref="H34" dT="2025-01-24T23:27:26.00" personId="{d2d8e545-d424-418b-a747-e3edfb919268}" id="{1f77eef2-70f6-420e-b65b-41fa9fe288dc}" done="0">
    <x18tc:text xml:space="preserve">El precio original es 11199 pero se adicionó una comisión del 5%</x18tc:text>
  </x18tc:threadedComment>
  <x18tc:threadedComment ref="C34" dT="2025-01-24T23:28:59.00" personId="{d2d8e545-d424-418b-a747-e3edfb919268}" id="{2774f97d-ec7c-425b-ab55-07c9aff8731a}" done="0">
    <x18tc:text xml:space="preserve">https://www.bestbuy.com/site/asus-rog-strix-18-qhd-240hz-gaming-laptop-intel-14th-gen-core-i9-with-32gb-memory-nvidia-geforce-rtx-4080-2tb-ssd-eclipse-gray/6570224.p?skuId=6570224</x18tc:text>
    <x18tc:extLst>
      <ext uri="{F7C98A9C-CBB3-438F-8F68-D28B6AF4A901}">
        <xltc2:checksum/>
        <xltc2:hyperlink startIndex="0" length="179" url="https://www.bestbuy.com/site/asus-rog-strix-18-qhd-240hz-gaming-laptop-intel-14th-gen-core-i9-with-32gb-memory-nvidia-geforce-rtx-4080-2tb-ssd-eclipse-gray/6570224.p?skuId=6570224"/>
      </ext>
    </x18tc:extLst>
  </x18tc:threadedComment>
  <x18tc:threadedComment ref="G34" dT="2025-01-24T23:25:13.00" personId="{d2d8e545-d424-418b-a747-e3edfb919268}" id="{ba52a5f0-c44b-4f1d-848d-b52a7ab9c5cf}" done="0">
    <x18tc:text xml:space="preserve">https://drive.google.com/file/d/1G2C_COP8p2LlsZHS-G9IkPdTew7ADjhL/view?usp=sharing</x18tc:text>
    <x18tc:extLst>
      <ext uri="{F7C98A9C-CBB3-438F-8F68-D28B6AF4A901}">
        <xltc2:checksum/>
        <xltc2:hyperlink startIndex="0" length="82" url="https://drive.google.com/file/d/1G2C_COP8p2LlsZHS-G9IkPdTew7ADjhL/view?usp=sharing"/>
      </ext>
    </x18tc:extLst>
  </x18tc:threadedComment>
  <x18tc:threadedComment ref="M26" dT="2025-01-14T17:15:13.00" personId="{3366ceb9-eaba-4665-a35f-f727bfcff080}" id="{f6b02fb5-d886-4177-a90f-3f1706c84764}" done="0">
    <x18tc:text xml:space="preserve">avisado</x18tc:text>
  </x18tc:threadedComment>
  <x18tc:threadedComment ref="M27" dT="2025-01-14T17:13:38.00" personId="{3366ceb9-eaba-4665-a35f-f727bfcff080}" id="{ff2c339f-e668-4f3d-a9dc-32a941249a21}" done="0">
    <x18tc:text xml:space="preserve">avisado</x18tc:text>
  </x18tc:threadedComment>
  <x18tc:threadedComment ref="M28" dT="2025-01-14T16:52:48.00" personId="{3366ceb9-eaba-4665-a35f-f727bfcff080}" id="{d0805419-02d2-40d6-ad7f-dd4949d07f4c}" done="0">
    <x18tc:text xml:space="preserve">avisado</x18tc:text>
  </x18tc:threadedComment>
  <x18tc:threadedComment ref="H46" dT="2025-04-05T16:49:18.00" personId="{a5d43f6d-3c72-4414-b012-8f52ef50acc4}" id="{d41ce7e8-cbdd-46da-a67a-98b6992cd088}" done="0">
    <x18tc:text xml:space="preserve">aumenté 280 para Office Professional Plus 2024	Licencia permanente
Windows 11 Pro Retail	Licencia permanente
Eset Nod32	Antivirus por 1 año
Configuración inicial	Al momento de la entrega</x18tc:text>
  </x18tc:threadedComment>
  <x18tc:threadedComment ref="M29" dT="2025-01-14T17:07:16.00" personId="{3366ceb9-eaba-4665-a35f-f727bfcff080}" id="{a1e91e65-496d-45bd-9d64-57ef10c572d0}" done="0">
    <x18tc:text xml:space="preserve">avisado</x18tc:text>
  </x18tc:threadedComment>
  <x18tc:threadedComment ref="C46" dT="2025-04-05T16:46:57.00" personId="{a5d43f6d-3c72-4414-b012-8f52ef50acc4}" id="{ae7af834-5ffc-44af-9f09-a2394eddb503}" done="0">
    <x18tc:text xml:space="preserve">https://www.lenovo.com/us/en/p/laptops/legion-laptops/legion-7-series/legion-7i-gen-9-16-inch-intel/83fd0015us</x18tc:text>
    <x18tc:extLst>
      <ext uri="{F7C98A9C-CBB3-438F-8F68-D28B6AF4A901}">
        <xltc2:checksum/>
        <xltc2:hyperlink startIndex="0" length="110" url="https://www.lenovo.com/us/en/p/laptops/legion-laptops/legion-7-series/legion-7i-gen-9-16-inch-intel/83fd0015us"/>
      </ext>
    </x18tc:extLst>
  </x18tc:threadedComment>
  <x18tc:threadedComment ref="H49" dT="2025-04-07T20:18:07.00" personId="{a5d43f6d-3c72-4414-b012-8f52ef50acc4}" id="{5674341a-0c2d-407a-8134-8688b4aa78d8}" done="0">
    <x18tc:text xml:space="preserve">le aumenté 280 para licencias</x18tc:text>
  </x18tc:threadedComment>
  <x18tc:threadedComment ref="C55" dT="2025-04-12T20:53:32.00" personId="{d8e4f5ad-b65d-4160-a56f-197530fb7eb1}" id="{9959cd34-6933-4f36-903e-4e4b37171566}" done="0">
    <x18tc:text xml:space="preserve">https://www.costco.com/asus-zenbook-14-oled-touchscreen-laptop---intel-evo-platform-core-i9-13900h---2880-x-1800---14-oled---16gb-ram---1tb-ssd---silver.product.4000266668.html</x18tc:text>
    <x18tc:extLst>
      <ext uri="{F7C98A9C-CBB3-438F-8F68-D28B6AF4A901}">
        <xltc2:checksum/>
        <xltc2:hyperlink startIndex="0" length="176" url="https://www.costco.com/asus-zenbook-14-oled-touchscreen-laptop---intel-evo-platform-core-i9-13900h---2880-x-1800---14-oled---16gb-ram---1tb-ssd---silver.product.4000266668.html"/>
      </ext>
    </x18tc:extLst>
  </x18tc:threadedComment>
  <x18tc:threadedComment ref="G49" dT="2025-04-07T20:17:49.00" personId="{a5d43f6d-3c72-4414-b012-8f52ef50acc4}" id="{3194add3-45da-495f-815e-185e2c7453a8}" done="0">
    <x18tc:text xml:space="preserve">https://drive.google.com/file/d/1oIK2vhWAj3MJWRv3TF2sxQ4carBiAWAx/view?usp=sharing</x18tc:text>
    <x18tc:extLst>
      <ext uri="{F7C98A9C-CBB3-438F-8F68-D28B6AF4A901}">
        <xltc2:checksum/>
        <xltc2:hyperlink startIndex="0" length="82" url="https://drive.google.com/file/d/1oIK2vhWAj3MJWRv3TF2sxQ4carBiAWAx/view?usp=sharing"/>
      </ext>
    </x18tc:extLst>
  </x18tc:threadedComment>
  <x18tc:threadedComment ref="G55" dT="2025-04-12T21:01:07.00" personId="{d8e4f5ad-b65d-4160-a56f-197530fb7eb1}" id="{7ccb02e6-167c-4ede-9ec0-a65a60f183f2}" done="0">
    <x18tc:text xml:space="preserve">https://drive.google.com/file/d/1j9ca5TJjR5NNTYa6znAXXLNS-2t3HQ4A/view?usp=drive_link</x18tc:text>
    <x18tc:extLst>
      <ext uri="{F7C98A9C-CBB3-438F-8F68-D28B6AF4A901}">
        <xltc2:checksum/>
        <xltc2:hyperlink startIndex="0" length="85" url="https://drive.google.com/file/d/1j9ca5TJjR5NNTYa6znAXXLNS-2t3HQ4A/view?usp=drive_link"/>
      </ext>
    </x18tc:extLst>
  </x18tc:threadedComment>
  <x18tc:threadedComment ref="G56" dT="2025-04-12T22:36:02.00" personId="{a5d43f6d-3c72-4414-b012-8f52ef50acc4}" id="{8e6080e0-06cd-45ef-ad88-384aee84bf1c}" done="0">
    <x18tc:text xml:space="preserve">https://drive.google.com/file/d/1pPAp3GFZUVPFEigxbJZjauwIVE7D9geJ/view?usp=sharing</x18tc:text>
    <x18tc:extLst>
      <ext uri="{F7C98A9C-CBB3-438F-8F68-D28B6AF4A901}">
        <xltc2:checksum/>
        <xltc2:hyperlink startIndex="0" length="82" url="https://drive.google.com/file/d/1pPAp3GFZUVPFEigxbJZjauwIVE7D9geJ/view?usp=sharing"/>
      </ext>
    </x18tc:extLst>
  </x18tc:threadedComment>
  <x18tc:threadedComment ref="C49" dT="2025-04-07T20:20:14.00" personId="{a5d43f6d-3c72-4414-b012-8f52ef50acc4}" id="{f0fb97db-dada-441e-95c4-cddebf59f45e}" done="0">
    <x18tc:text xml:space="preserve">https://www.lenovo.com/us/en/p/laptops/legion-laptops/legion-7-series/legion-7i-gen-9-16-inch-intel/83fd008fus</x18tc:text>
    <x18tc:extLst>
      <ext uri="{F7C98A9C-CBB3-438F-8F68-D28B6AF4A901}">
        <xltc2:checksum/>
        <xltc2:hyperlink startIndex="0" length="110" url="https://www.lenovo.com/us/en/p/laptops/legion-laptops/legion-7-series/legion-7i-gen-9-16-inch-intel/83fd008fus"/>
      </ext>
    </x18tc:extLst>
  </x18tc:threadedComment>
  <x18tc:threadedComment ref="C56" dT="2025-04-12T22:37:41.00" personId="{a5d43f6d-3c72-4414-b012-8f52ef50acc4}" id="{4f9b5c46-f8a0-4a78-8231-62639f1b8071}" done="0">
    <x18tc:text xml:space="preserve">https://www.bestbuy.com/product/lenovo-legion-7i-16-gaming-laptop-wqxga-intel-14th-gen-core-i7-with-16gb-memory-nvidia-geforce-rtx-4060-8gb-1tb-ssd-glacier-white/6575391/openbox?condition=excellent</x18tc:text>
    <x18tc:extLst>
      <ext uri="{F7C98A9C-CBB3-438F-8F68-D28B6AF4A901}">
        <xltc2:checksum/>
        <xltc2:hyperlink startIndex="0" length="197" url="https://www.bestbuy.com/product/lenovo-legion-7i-16-gaming-laptop-wqxga-intel-14th-gen-core-i7-with-16gb-memory-nvidia-geforce-rtx-4060-8gb-1tb-ssd-glacier-white/6575391/openbox?condition=excellent"/>
      </ext>
    </x18tc:extLst>
  </x18tc:threadedComment>
  <x18tc:threadedComment ref="H56" dT="2025-04-12T22:39:22.00" personId="{a5d43f6d-3c72-4414-b012-8f52ef50acc4}" id="{183d00d3-9563-46d6-b3c2-1ac9f6cd64f6}" done="0">
    <x18tc:text xml:space="preserve">aumenté 280 para licencias y configuracion inicial</x18tc:text>
  </x18tc:threadedComment>
  <x18tc:threadedComment ref="C54" dT="2025-04-11T17:19:04.00" personId="{4df2d6c4-e43e-4f2e-b623-d90f458472ff}" id="{371a2215-3344-436a-ac6c-8ce95f58b29c}" done="0">
    <x18tc:text xml:space="preserve">https://www.bhphotovideo.com/c/product/1881482-REG/asus_g713pi_xb96_17_3_rog_strix_g17.html</x18tc:text>
    <x18tc:extLst>
      <ext uri="{F7C98A9C-CBB3-438F-8F68-D28B6AF4A901}">
        <xltc2:checksum/>
        <xltc2:hyperlink startIndex="0" length="91" url="https://www.bhphotovideo.com/c/product/1881482-REG/asus_g713pi_xb96_17_3_rog_strix_g17.html"/>
      </ext>
    </x18tc:extLst>
  </x18tc:threadedComment>
  <x18tc:threadedComment ref="G51" dT="2025-04-11T16:21:41.00" personId="{d8e4f5ad-b65d-4160-a56f-197530fb7eb1}" id="{2bc697e7-583f-4260-b100-3c12ade593aa}" done="0">
    <x18tc:text xml:space="preserve">https://drive.google.com/file/d/1vRN6QWTzNx70Fgid5gNwlWsUint3HIsj/view?usp=drive_link</x18tc:text>
    <x18tc:extLst>
      <ext uri="{F7C98A9C-CBB3-438F-8F68-D28B6AF4A901}">
        <xltc2:checksum/>
        <xltc2:hyperlink startIndex="0" length="85" url="https://drive.google.com/file/d/1vRN6QWTzNx70Fgid5gNwlWsUint3HIsj/view?usp=drive_link"/>
      </ext>
    </x18tc:extLst>
  </x18tc:threadedComment>
  <x18tc:threadedComment ref="C27" dT="2024-12-24T20:03:26.00" personId="{a5d43f6d-3c72-4414-b012-8f52ef50acc4}" id="{e35d9991-4318-4a04-9e43-2f6394f27d44}" done="0">
    <x18tc:text xml:space="preserve">https://www.ebay.com/itm/326185324573?_skw=g14&amp;itmmeta=01JFX3CH6PG9E96R8D7H9V9VFT&amp;hash=item4bf229101d:g:Ik8AAOSwuctmhHCV</x18tc:text>
    <x18tc:extLst>
      <ext uri="{F7C98A9C-CBB3-438F-8F68-D28B6AF4A901}">
        <xltc2:checksum/>
        <xltc2:hyperlink startIndex="0" length="120" url="https://www.ebay.com/itm/326185324573?_skw=g14&amp;itmmeta=01JFX3CH6PG9E96R8D7H9V9VFT&amp;hash=item4bf229101d:g:Ik8AAOSwuctmhHCV"/>
      </ext>
    </x18tc:extLst>
  </x18tc:threadedComment>
  <x18tc:threadedComment ref="C38" dT="2025-02-12T01:23:58.00" personId="{d8e4f5ad-b65d-4160-a56f-197530fb7eb1}" id="{33964d2e-4b13-4434-8e67-e25996e84384}" done="0">
    <x18tc:text xml:space="preserve">https://www.ebay.com/itm/205115913137?_skw=4070&amp;itmmeta=01JJPGJ9734QRJXGRDV1NAG56H&amp;hash=item2fc1dc73b1:g:jJEAAOSwcZtnkf4I</x18tc:text>
    <x18tc:extLst>
      <ext uri="{F7C98A9C-CBB3-438F-8F68-D28B6AF4A901}">
        <xltc2:checksum/>
        <xltc2:hyperlink startIndex="0" length="121" url="https://www.ebay.com/itm/205115913137?_skw=4070&amp;itmmeta=01JJPGJ9734QRJXGRDV1NAG56H&amp;hash=item2fc1dc73b1:g:jJEAAOSwcZtnkf4I"/>
      </ext>
    </x18tc:extLst>
  </x18tc:threadedComment>
  <x18tc:threadedComment ref="G38" dT="2025-02-12T01:23:33.00" personId="{d8e4f5ad-b65d-4160-a56f-197530fb7eb1}" id="{893812cd-cb4e-461b-8040-6a9e9a86f339}" done="0">
    <x18tc:text xml:space="preserve">https://drive.google.com/file/d/1uq7yQ6Qp7YvSP4DyzPNVbROfczUodlYq/view?usp=drive_link</x18tc:text>
    <x18tc:extLst>
      <ext uri="{F7C98A9C-CBB3-438F-8F68-D28B6AF4A901}">
        <xltc2:checksum/>
        <xltc2:hyperlink startIndex="0" length="85" url="https://drive.google.com/file/d/1uq7yQ6Qp7YvSP4DyzPNVbROfczUodlYq/view?usp=drive_link"/>
      </ext>
    </x18tc:extLst>
  </x18tc:threadedComment>
  <x18tc:threadedComment ref="G27" dT="2024-12-24T20:05:57.00" personId="{a5d43f6d-3c72-4414-b012-8f52ef50acc4}" id="{4b3f7dd2-d348-4da8-bfaf-de4fca0406d2}" done="0">
    <x18tc:text xml:space="preserve">https://drive.google.com/file/d/1bK4CUfdAVtcEMPyq_BchyP6KTSQYOI7L/view?usp=sharing</x18tc:text>
    <x18tc:extLst>
      <ext uri="{F7C98A9C-CBB3-438F-8F68-D28B6AF4A901}">
        <xltc2:checksum/>
        <xltc2:hyperlink startIndex="0" length="82" url="https://drive.google.com/file/d/1bK4CUfdAVtcEMPyq_BchyP6KTSQYOI7L/view?usp=sharing"/>
      </ext>
    </x18tc:extLst>
  </x18tc:threadedComment>
  <x18tc:threadedComment ref="C42" dT="2025-04-01T00:55:47.00" personId="{a5d43f6d-3c72-4414-b012-8f52ef50acc4}" id="{1f189ed7-7879-43f0-b23c-1e32e228fcae}" done="0">
    <x18tc:text xml:space="preserve">https://www.bhphotovideo.com/c/product/1878969-REG/acer_ph16_72_96vc_16_predator_helios_16.html</x18tc:text>
    <x18tc:extLst>
      <ext uri="{F7C98A9C-CBB3-438F-8F68-D28B6AF4A901}">
        <xltc2:checksum/>
        <xltc2:hyperlink startIndex="0" length="95" url="https://www.bhphotovideo.com/c/product/1878969-REG/acer_ph16_72_96vc_16_predator_helios_16.html"/>
      </ext>
    </x18tc:extLst>
  </x18tc:threadedComment>
  <x18tc:threadedComment ref="G42" dT="2025-04-01T01:09:11.00" personId="{a5d43f6d-3c72-4414-b012-8f52ef50acc4}" id="{043cb0e8-3e0e-4138-b356-4d298002d277}" done="0">
    <x18tc:text xml:space="preserve">https://drive.google.com/file/d/1j50e-U1jRWe7vrwO82EaUuBxsYZZlvZf/view?usp=sharing</x18tc:text>
    <x18tc:extLst>
      <ext uri="{F7C98A9C-CBB3-438F-8F68-D28B6AF4A901}">
        <xltc2:checksum/>
        <xltc2:hyperlink startIndex="0" length="82" url="https://drive.google.com/file/d/1j50e-U1jRWe7vrwO82EaUuBxsYZZlvZf/view?usp=sharing"/>
      </ext>
    </x18tc:extLst>
  </x18tc:threadedComment>
  <x18tc:threadedComment ref="G28" dT="2024-12-26T19:17:24.00" personId="{a5d43f6d-3c72-4414-b012-8f52ef50acc4}" id="{371c1095-dbbe-45a0-87d4-b98759ff3442}" done="0">
    <x18tc:text xml:space="preserve">https://drive.google.com/file/d/1bnmn-3uSoz9MHJEZd1_-V2g8y10a8_iP/view?usp=sharing
https://drive.google.com/file/d/1bmLKnCXiQOAnr39ctlQcpgAKq1KUKnQB/view?usp=sharing</x18tc:text>
    <x18tc:extLst>
      <ext uri="{F7C98A9C-CBB3-438F-8F68-D28B6AF4A901}">
        <xltc2:checksum/>
        <xltc2:hyperlink startIndex="0" length="82" url="https://drive.google.com/file/d/1bnmn-3uSoz9MHJEZd1_-V2g8y10a8_iP/view?usp=sharing"/>
        <xltc2:hyperlink startIndex="84" length="82" url="https://drive.google.com/file/d/1bmLKnCXiQOAnr39ctlQcpgAKq1KUKnQB/view?usp=sharing"/>
      </ext>
    </x18tc:extLst>
  </x18tc:threadedComment>
  <x18tc:threadedComment ref="H28" dT="2024-12-26T19:18:20.00" personId="{a5d43f6d-3c72-4414-b012-8f52ef50acc4}" id="{767b7145-ddaa-41c0-9b70-2b57c7455752}" done="0">
    <x18tc:text xml:space="preserve">aumenté 500 soles por las dudas, le consideré envío gratuito</x18tc:text>
  </x18tc:threadedComment>
  <x18tc:threadedComment ref="E28" dT="2024-12-26T19:15:36.00" personId="{a5d43f6d-3c72-4414-b012-8f52ef50acc4}" id="{7ab0c333-06ff-4ca3-87b3-7cee81d10de7}" done="0">
    <x18tc:text xml:space="preserve">solo whatsapp 
977341797 para llamadas</x18tc:text>
  </x18tc:threadedComment>
  <x18tc:threadedComment ref="G39" dT="2025-02-25T22:01:18.00" personId="{a5d43f6d-3c72-4414-b012-8f52ef50acc4}" id="{c19d5748-f748-42c6-9716-1564ec4862e3}" done="0">
    <x18tc:text xml:space="preserve">https://drive.google.com/file/d/1SfqxgRJJNStQUd7wOcx6M_K6mkTC5Ncc/view?usp=sharing</x18tc:text>
    <x18tc:extLst>
      <ext uri="{F7C98A9C-CBB3-438F-8F68-D28B6AF4A901}">
        <xltc2:checksum/>
        <xltc2:hyperlink startIndex="0" length="82" url="https://drive.google.com/file/d/1SfqxgRJJNStQUd7wOcx6M_K6mkTC5Ncc/view?usp=sharing"/>
      </ext>
    </x18tc:extLst>
  </x18tc:threadedComment>
  <x18tc:threadedComment ref="C39" dT="2025-02-25T21:50:56.00" personId="{a5d43f6d-3c72-4414-b012-8f52ef50acc4}" id="{4bb7a008-d5a1-43b7-9b33-7301904a27e0}" done="0">
    <x18tc:text xml:space="preserve">https://www.microcenter.com/product/687888/asus-rog-strix-g16-g614jir-ms96-16-gaming-laptop-computer-eclipse-gray</x18tc:text>
    <x18tc:extLst>
      <ext uri="{F7C98A9C-CBB3-438F-8F68-D28B6AF4A901}">
        <xltc2:checksum/>
        <xltc2:hyperlink startIndex="0" length="113" url="https://www.microcenter.com/product/687888/asus-rog-strix-g16-g614jir-ms96-16-gaming-laptop-computer-eclipse-gray"/>
      </ext>
    </x18tc:extLst>
  </x18tc:threadedComment>
  <x18tc:threadedComment ref="C28" dT="2024-12-26T19:14:46.00" personId="{a5d43f6d-3c72-4414-b012-8f52ef50acc4}" id="{9b0e718c-0365-4093-baaf-e0fa7da9b37c}" done="0">
    <x18tc:text xml:space="preserve">https://www.ebay.com/itm/116416168707?mkevt=1&amp;mkcid=1&amp;mkrid=711-53200-19255-0&amp;campid=5338204639&amp;toolid=10049&amp;customid=1735228804913-16-1735228804913</x18tc:text>
    <x18tc:extLst>
      <ext uri="{F7C98A9C-CBB3-438F-8F68-D28B6AF4A901}">
        <xltc2:checksum/>
        <xltc2:hyperlink startIndex="0" length="148" url="https://www.ebay.com/itm/116416168707?mkevt=1&amp;mkcid=1&amp;mkrid=711-53200-19255-0&amp;campid=5338204639&amp;toolid=10049&amp;customid=1735228804913-16-1735228804913"/>
      </ext>
    </x18tc:extLst>
  </x18tc:threadedComment>
  <x18tc:threadedComment ref="H47" dT="2025-04-05T22:11:15.00" personId="{a5d43f6d-3c72-4414-b012-8f52ef50acc4}" id="{d2f94c9a-e85c-4b9a-9682-e6739d8691bb}" done="0">
    <x18tc:text xml:space="preserve">Agregué 170.16 para programas y configuración inicial</x18tc:text>
  </x18tc:threadedComment>
  <x18tc:threadedComment ref="G47" dT="2025-04-05T22:12:41.00" personId="{a5d43f6d-3c72-4414-b012-8f52ef50acc4}" id="{616b902d-cc34-427e-813f-1f8078181c0e}" done="0">
    <x18tc:text xml:space="preserve">https://drive.google.com/file/d/1oDtfb1GfENilvY48pK-KrgJW3CkwR1CH/view?usp=sharing</x18tc:text>
    <x18tc:extLst>
      <ext uri="{F7C98A9C-CBB3-438F-8F68-D28B6AF4A901}">
        <xltc2:checksum/>
        <xltc2:hyperlink startIndex="0" length="82" url="https://drive.google.com/file/d/1oDtfb1GfENilvY48pK-KrgJW3CkwR1CH/view?usp=sharing"/>
      </ext>
    </x18tc:extLst>
  </x18tc:threadedComment>
  <x18tc:threadedComment ref="C52" dT="2025-04-11T01:28:54.00" personId="{4df2d6c4-e43e-4f2e-b623-d90f458472ff}" id="{0adf9c5b-8216-4cc1-87e6-5d7d0d781d08}" done="0">
    <x18tc:text xml:space="preserve">https://www.bestbuy.com/site/asus-rog-zephyrus-g14-14-oled-3k-120hz-gaming-laptop-amd-ryzen-9-8945hs-16gb-lpddr5x-nvidia-geforce-rtx-4060-1tb-ssd-platinum-white/6570270.p?skuId=6570270</x18tc:text>
    <x18tc:extLst>
      <ext uri="{F7C98A9C-CBB3-438F-8F68-D28B6AF4A901}">
        <xltc2:checksum/>
        <xltc2:hyperlink startIndex="0" length="184" url="https://www.bestbuy.com/site/asus-rog-zephyrus-g14-14-oled-3k-120hz-gaming-laptop-amd-ryzen-9-8945hs-16gb-lpddr5x-nvidia-geforce-rtx-4060-1tb-ssd-platinum-white/6570270.p?skuId=6570270"/>
      </ext>
    </x18tc:extLst>
  </x18tc:threadedComment>
  <x18tc:threadedComment ref="G57" dT="2025-04-13T19:17:28.00" personId="{d8e4f5ad-b65d-4160-a56f-197530fb7eb1}" id="{9b144275-93b8-48c1-9040-d531ff4bc533}" done="0">
    <x18tc:text xml:space="preserve">https://drive.google.com/file/d/1PRl-ESzLfXHXXnt5bKyO9t9pXfXlrfnB/view?usp=drive_link</x18tc:text>
    <x18tc:extLst>
      <ext uri="{F7C98A9C-CBB3-438F-8F68-D28B6AF4A901}">
        <xltc2:checksum/>
        <xltc2:hyperlink startIndex="0" length="85" url="https://drive.google.com/file/d/1PRl-ESzLfXHXXnt5bKyO9t9pXfXlrfnB/view?usp=drive_link"/>
      </ext>
    </x18tc:extLst>
  </x18tc:threadedComment>
  <x18tc:threadedComment ref="C57" dT="2025-04-13T19:24:30.00" personId="{d8e4f5ad-b65d-4160-a56f-197530fb7eb1}" id="{f1fa2d95-8426-4d0f-8561-fac0b2936f0a}" done="0">
    <x18tc:text xml:space="preserve">https://www.bhphotovideo.com/c/search?q=LENOVO%20LEGION</x18tc:text>
    <x18tc:extLst>
      <ext uri="{F7C98A9C-CBB3-438F-8F68-D28B6AF4A901}">
        <xltc2:checksum/>
        <xltc2:hyperlink startIndex="0" length="55" url="https://www.bhphotovideo.com/c/search?q=LENOVO%20LEGION"/>
      </ext>
    </x18tc:extLst>
  </x18tc:threadedComment>
  <x18tc:threadedComment ref="C36" dT="2025-01-30T20:36:30.00" personId="{4df2d6c4-e43e-4f2e-b623-d90f458472ff}" id="{e34ccffb-1202-4e01-a808-7589974a44dd}" done="0">
    <x18tc:text xml:space="preserve">https://www.ebay.com/itm/326138511415?_skw=4060&amp;itmmeta=01JGZR9Q1EQJYBJNW647YYSC4P&amp;hash=item4bef5ec037:g:AocAAOSwVC1m9CZ-</x18tc:text>
    <x18tc:extLst>
      <ext uri="{F7C98A9C-CBB3-438F-8F68-D28B6AF4A901}">
        <xltc2:checksum/>
        <xltc2:hyperlink startIndex="0" length="121" url="https://www.ebay.com/itm/326138511415?_skw=4060&amp;itmmeta=01JGZR9Q1EQJYBJNW647YYSC4P&amp;hash=item4bef5ec037:g:AocAAOSwVC1m9CZ-"/>
      </ext>
    </x18tc:extLst>
  </x18tc:threadedComment>
  <x18tc:threadedComment ref="G36" dT="2025-01-30T20:37:27.00" personId="{4df2d6c4-e43e-4f2e-b623-d90f458472ff}" id="{b6ec6a9c-db1f-432b-8942-4d865633bfe5}" done="0">
    <x18tc:text xml:space="preserve">https://drive.google.com/file/d/1zjYfbHbgmOswqETWVbwW45xkiUu4F4At/view?usp=drive_link</x18tc:text>
    <x18tc:extLst>
      <ext uri="{F7C98A9C-CBB3-438F-8F68-D28B6AF4A901}">
        <xltc2:checksum/>
        <xltc2:hyperlink startIndex="0" length="85" url="https://drive.google.com/file/d/1zjYfbHbgmOswqETWVbwW45xkiUu4F4At/view?usp=drive_link"/>
      </ext>
    </x18tc:extLst>
  </x18tc:threadedComment>
  <x18tc:threadedComment ref="G58" dT="2025-04-17T01:17:38.00" personId="{4df2d6c4-e43e-4f2e-b623-d90f458472ff}" id="{2e8aa97f-ab24-4223-8340-52316ad0f4c1}" done="0">
    <x18tc:text xml:space="preserve">https://drive.google.com/file/d/1Rh0NOslKxOo4B5jktlReoKAcXuhic63X/view?usp=drive_link</x18tc:text>
    <x18tc:extLst>
      <ext uri="{F7C98A9C-CBB3-438F-8F68-D28B6AF4A901}">
        <xltc2:checksum/>
        <xltc2:hyperlink startIndex="0" length="85" url="https://drive.google.com/file/d/1Rh0NOslKxOo4B5jktlReoKAcXuhic63X/view?usp=drive_link"/>
      </ext>
    </x18tc:extLst>
  </x18tc:threadedComment>
  <x18tc:threadedComment ref="C41" dT="2025-03-13T22:09:49.00" personId="{3f0937fc-adcb-4464-acb3-412a6cbb9391}" id="{d810c250-0b30-4b9e-af28-07738f3cd0a8}" done="0">
    <x18tc:text xml:space="preserve">https://www.ebay.com/itm/296628904443?_skw=4060&amp;itmmeta=01JMY2M6D8GMVED59HN60BHHX7&amp;hash=item451075e1fb:g:pH0AAOSwechnK6fZ</x18tc:text>
    <x18tc:extLst>
      <ext uri="{F7C98A9C-CBB3-438F-8F68-D28B6AF4A901}">
        <xltc2:checksum/>
        <xltc2:hyperlink startIndex="0" length="121" url="https://www.ebay.com/itm/296628904443?_skw=4060&amp;itmmeta=01JMY2M6D8GMVED59HN60BHHX7&amp;hash=item451075e1fb:g:pH0AAOSwechnK6fZ"/>
      </ext>
    </x18tc:extLst>
  </x18tc:threadedComment>
  <x18tc:threadedComment ref="C47" dT="2025-04-05T22:09:19.00" personId="{a5d43f6d-3c72-4414-b012-8f52ef50acc4}" id="{67fe66a9-9882-41ed-9571-1c488a297603}" done="0">
    <x18tc:text xml:space="preserve">https://www.ebay.com/itm/205363813807?_skw=acer+nitro&amp;epid=11069541088&amp;itmmeta=01JR3MMXCFZBY0SQ2T0ZCDKZZA&amp;hash=item2fd0a31daf:g:1IcAAeSw3thnq~PS</x18tc:text>
    <x18tc:extLst>
      <ext uri="{F7C98A9C-CBB3-438F-8F68-D28B6AF4A901}">
        <xltc2:checksum/>
        <xltc2:hyperlink startIndex="0" length="144" url="https://www.ebay.com/itm/205363813807?_skw=acer+nitro&amp;epid=11069541088&amp;itmmeta=01JR3MMXCFZBY0SQ2T0ZCDKZZA&amp;hash=item2fd0a31daf:g:1IcAAeSw3thnq~PS"/>
      </ext>
    </x18tc:extLst>
  </x18tc:threadedComment>
  <x18tc:threadedComment ref="C48" dT="2025-04-06T01:59:38.00" personId="{4df2d6c4-e43e-4f2e-b623-d90f458472ff}" id="{84058442-e2ae-4ac2-8181-8b486adb8617}" done="0">
    <x18tc:text xml:space="preserve">https://www.microcenter.com/product/677514/asus-rog-strix-g16-g614jvr-es96-16-gaming-laptop-computer-eclipse-gray</x18tc:text>
    <x18tc:extLst>
      <ext uri="{F7C98A9C-CBB3-438F-8F68-D28B6AF4A901}">
        <xltc2:checksum/>
        <xltc2:hyperlink startIndex="0" length="113" url="https://www.microcenter.com/product/677514/asus-rog-strix-g16-g614jvr-es96-16-gaming-laptop-computer-eclipse-gray"/>
      </ext>
    </x18tc:extLst>
  </x18tc:threadedComment>
  <x18tc:threadedComment ref="G40" dT="2025-03-01T20:18:36.00" personId="{4df2d6c4-e43e-4f2e-b623-d90f458472ff}" id="{6a85323b-5cb4-46c7-ad96-73f6ef3f4f24}" done="0">
    <x18tc:text xml:space="preserve">https://drive.google.com/file/d/1nHfqQ6mstKfF_90SjLsVIHKWIQGJzvKl/view?usp=drive_link</x18tc:text>
    <x18tc:extLst>
      <ext uri="{F7C98A9C-CBB3-438F-8F68-D28B6AF4A901}">
        <xltc2:checksum/>
        <xltc2:hyperlink startIndex="0" length="85" url="https://drive.google.com/file/d/1nHfqQ6mstKfF_90SjLsVIHKWIQGJzvKl/view?usp=drive_link"/>
      </ext>
    </x18tc:extLst>
  </x18tc:threadedComment>
  <x18tc:threadedComment ref="C40" dT="2025-03-01T20:16:23.00" personId="{4df2d6c4-e43e-4f2e-b623-d90f458472ff}" id="{1c992e3d-23d1-4c56-a9e8-a6c8ea9be97e}" done="0">
    <x18tc:text xml:space="preserve">https://www.amazon.com/ASUS-Port%C3%A1til-juegos-Strix-pantalla/dp/B0CRDCXRK2/ref=sr_1_2_sspa?__mk_es_US=%C3%85M%C3%85%C5%BD%C3%95%C3%91&amp;crid=NZISEQG4GLEN&amp;dib=eyJ2IjoiMSJ9.iqCQfNDrL1q9Afgwx9MVv_vrsPS740UnnQqL1Iwyh6AYej6SxQBHZlYnomcAIbOhUPcHcVFq87AUk2rPVnMMTIK63V8lI8VKSstRILDmesGEsqF9dGqrgaC9HHt8znG3j3OUMbcpYAgftIRlYEg_s-44KgT6B43kmqFFHbyT4lYwLLeXC1JJYSnjYoUDZWyMvorKHMDT6bRogbFxFHY_816siM6G2AWgR09Ag-6v9V_A7V4CWAqcLcHqH-w1CTqbsTfOpytd2MOVgO1xDrSkK4pUROZigAQjELrub8K1BGQ.64im2pntDzm786Jejbz7Nr2Cb4N0cUJE-RCMWxSCzZc&amp;dib_tag=se&amp;keywords=laptop%2Bgaming&amp;qid=1740473849&amp;s=electronics&amp;sprefix=laptop%2Bgamin%2Celectronics%2C216&amp;sr=1-2-spons&amp;sp_csd=d2lkZ2V0TmFtZT1zcF9hdGY&amp;th=1</x18tc:text>
    <x18tc:extLst>
      <ext uri="{F7C98A9C-CBB3-438F-8F68-D28B6AF4A901}">
        <xltc2:checksum/>
        <xltc2:hyperlink startIndex="0" length="672" url="https://www.amazon.com/ASUS-Port%C3%A1til-juegos-Strix-pantalla/dp/B0CRDCXRK2/ref=sr_1_2_sspa?__mk_es_US=%C3%85M%C3%85%C5%BD%C3%95%C3%91&amp;crid=NZISEQG4GLEN&amp;dib=eyJ2IjoiMSJ9.iqCQfNDrL1q9Afgwx9MVv_vrsPS740UnnQqL1Iwyh6AYej6SxQBHZlYnomcAIbOhUPcHcVFq87AUk2rPVnMMTIK63V8lI8VKSstRILDmesGEsqF9dGqrgaC9HHt8znG3j3OUMbcpYAgftIRlYEg_s-44KgT6B43kmqFFHbyT4lYwLLeXC1JJYSnjYoUDZWyMvorKHMDT6bRogbFxFHY_816siM6G2AWgR09Ag-6v9V_A7V4CWAqcLcHqH-w1CTqbsTfOpytd2MOVgO1xDrSkK4pUROZigAQjELrub8K1BGQ.64im2pntDzm786Jejbz7Nr2Cb4N0cUJE-RCMWxSCzZc&amp;dib_tag=se&amp;keywords=laptop%2Bgaming&amp;qid=1740473849&amp;s=electronics&amp;sprefix=laptop%2Bgamin%2Celectronics%2C216&amp;sr=1-2-spons&amp;sp_csd=d2lkZ2V0TmFtZT1zcF9hdGY&amp;th=1"/>
      </ext>
    </x18tc:extLst>
  </x18tc:threadedComment>
  <x18tc:threadedComment ref="G20" dT="2024-12-12T03:46:16.00" personId="{a5d43f6d-3c72-4414-b012-8f52ef50acc4}" id="{521af660-b1c8-4663-b0a3-fc02ff14c7dd}" done="0">
    <x18tc:text xml:space="preserve">https://drive.google.com/file/d/17pIjrSINgWSxiH0x9BxHYnop6s7sKWPg/view?usp=drive_link</x18tc:text>
    <x18tc:extLst>
      <ext uri="{F7C98A9C-CBB3-438F-8F68-D28B6AF4A901}">
        <xltc2:checksum/>
        <xltc2:hyperlink startIndex="0" length="85" url="https://drive.google.com/file/d/17pIjrSINgWSxiH0x9BxHYnop6s7sKWPg/view?usp=drive_link"/>
      </ext>
    </x18tc:extLst>
  </x18tc:threadedComment>
  <x18tc:threadedComment ref="I20" dT="2024-12-12T03:46:48.00" personId="{a5d43f6d-3c72-4414-b012-8f52ef50acc4}" id="{79f016fe-5765-478e-97a3-62b79e229818}" done="0">
    <x18tc:text xml:space="preserve">El monto total a pagar es de 8799 soles, le agregué 200 soles para envío y por las dudas</x18tc:text>
  </x18tc:threadedComment>
  <x18tc:threadedComment ref="G37" dT="2025-02-04T23:33:00.00" personId="{a5d43f6d-3c72-4414-b012-8f52ef50acc4}" id="{6ac58544-df89-4e94-87b8-f68bdc59498a}" done="0">
    <x18tc:text xml:space="preserve">2499 se adicionará mañana
https://drive.google.com/file/d/1cFdmI8D3BQkgDpSWDh6hVUFE2sqTcj_i/view?usp=drive_link
https://drive.google.com/file/d/1cGGV5IQ3fNKZfoyr-X6d-Vr9I-7HPJ6a/view?usp=drive_link</x18tc:text>
    <x18tc:extLst>
      <ext uri="{F7C98A9C-CBB3-438F-8F68-D28B6AF4A901}">
        <xltc2:checksum/>
        <xltc2:hyperlink startIndex="26" length="85" url="https://drive.google.com/file/d/1cFdmI8D3BQkgDpSWDh6hVUFE2sqTcj_i/view?usp=drive_link"/>
        <xltc2:hyperlink startIndex="112" length="85" url="https://drive.google.com/file/d/1cGGV5IQ3fNKZfoyr-X6d-Vr9I-7HPJ6a/view?usp=drive_link"/>
      </ext>
    </x18tc:extLst>
  </x18tc:threadedComment>
  <x18tc:threadedComment ref="C19" dT="2024-12-11T00:48:00.00" personId="{a5d43f6d-3c72-4414-b012-8f52ef50acc4}" id="{129bc440-fb7c-42b6-b9e7-4c8b54a0ff06}" done="0">
    <x18tc:text xml:space="preserve">https://www.ebay.com/itm/335710254870?_skw=akienware+rtx+4090&amp;itmmeta=01JES3BPK12ZVA8657DM46GSYC&amp;hash=item4e29e3f716:g:i5AAAOSwfEFnFrNI&amp;itmprp=enc%3AAQAJAAAA0HoV3kP08IDx%2BKZ9MfhVJKnvxkIoHJVSK5CMLCrnDyrHvfI2OdBLx9mYgtoGj17OJoUxu8w6QEesoZSvsncixVNEViqhISVaoZQOd7LcRP6dc1EujaQhS4crkuHHo4ZFSgdrUPDczK3MPACdIGO0vXlYIWzMyVHwk6lcBHFoTHmZm6uexUxWqvnccpWSj9juJGx2GVSJaiYfI7WReLrmXA5tsQEFDOeh6rJPHfuR2eGxTck924jfZSXqp%2FAh48rwUizm1pUQREWZ6kCRlSuaHBM%3D%7Ctkp%3ABk9SR9TprqP2ZA</x18tc:text>
    <x18tc:extLst>
      <ext uri="{F7C98A9C-CBB3-438F-8F68-D28B6AF4A901}">
        <xltc2:checksum/>
        <xltc2:hyperlink startIndex="0" length="466" url="https://www.ebay.com/itm/335710254870?_skw=akienware+rtx+4090&amp;itmmeta=01JES3BPK12ZVA8657DM46GSYC&amp;hash=item4e29e3f716:g:i5AAAOSwfEFnFrNI&amp;itmprp=enc%3AAQAJAAAA0HoV3kP08IDx%2BKZ9MfhVJKnvxkIoHJVSK5CMLCrnDyrHvfI2OdBLx9mYgtoGj17OJoUxu8w6QEesoZSvsncixVNEViqhISVaoZQOd7LcRP6dc1EujaQhS4crkuHHo4ZFSgdrUPDczK3MPACdIGO0vXlYIWzMyVHwk6lcBHFoTHmZm6uexUxWqvnccpWSj9juJGx2GVSJaiYfI7WReLrmXA5tsQEFDOeh6rJPHfuR2eGxTck924jfZSXqp%2FAh48rwUizm1pUQREWZ6kCRlSuaHBM%3D%7Ctkp%3ABk9SR9TprqP2ZA"/>
      </ext>
    </x18tc:extLst>
  </x18tc:threadedComment>
  <x18tc:threadedComment ref="H37" dT="2025-02-04T23:33:30.00" personId="{a5d43f6d-3c72-4414-b012-8f52ef50acc4}" id="{ca241c02-50df-4167-bec1-8f49a1289440}" done="0">
    <x18tc:text xml:space="preserve">Se agregó 150 soles para envío</x18tc:text>
  </x18tc:threadedComment>
  <x18tc:threadedComment ref="G19" dT="2024-12-11T00:47:01.00" personId="{a5d43f6d-3c72-4414-b012-8f52ef50acc4}" id="{74f0dcf9-dbb4-4c20-9cd3-a2844778fa60}" done="0">
    <x18tc:text xml:space="preserve">https://drive.google.com/file/d/17MV7LTgqW9W7q1FIBGiQzadD9uGCczi6/view?usp=sharing</x18tc:text>
    <x18tc:extLst>
      <ext uri="{F7C98A9C-CBB3-438F-8F68-D28B6AF4A901}">
        <xltc2:checksum/>
        <xltc2:hyperlink startIndex="0" length="82" url="https://drive.google.com/file/d/17MV7LTgqW9W7q1FIBGiQzadD9uGCczi6/view?usp=sharing"/>
      </ext>
    </x18tc:extLst>
  </x18tc:threadedComment>
  <x18tc:threadedComment ref="G45" dT="2025-04-04T22:42:58.00" personId="{d8e4f5ad-b65d-4160-a56f-197530fb7eb1}" id="{3f87d7bb-14cd-4963-a040-86af9751eea7}" done="0">
    <x18tc:text xml:space="preserve">https://drive.google.com/file/d/1sJPAhvgWk3m3rYoxW91hOhDbg0ymIFoF/view?usp=drive_link</x18tc:text>
    <x18tc:extLst>
      <ext uri="{F7C98A9C-CBB3-438F-8F68-D28B6AF4A901}">
        <xltc2:checksum/>
        <xltc2:hyperlink startIndex="0" length="85" url="https://drive.google.com/file/d/1sJPAhvgWk3m3rYoxW91hOhDbg0ymIFoF/view?usp=drive_link"/>
      </ext>
    </x18tc:extLst>
  </x18tc:threadedComment>
  <x18tc:threadedComment ref="G45" dT="2025-04-04T22:43:20.00" personId="{d8e4f5ad-b65d-4160-a56f-197530fb7eb1}" id="{30cf8a2f-6889-4366-84cd-528b681f093c}" parentId="{3f87d7bb-14cd-4963-a040-86af9751eea7}">
    <x18tc:text xml:space="preserve">https://drive.google.com/file/d/1Ux1AXh32pvSIkjkQnn5r9Vk6uur-_bHs/view?usp=drive_link</x18tc:text>
    <x18tc:extLst>
      <ext uri="{F7C98A9C-CBB3-438F-8F68-D28B6AF4A901}">
        <xltc2:checksum/>
        <xltc2:hyperlink startIndex="0" length="85" url="https://drive.google.com/file/d/1Ux1AXh32pvSIkjkQnn5r9Vk6uur-_bHs/view?usp=drive_link"/>
      </ext>
    </x18tc:extLst>
  </x18tc:threadedComment>
  <x18tc:threadedComment ref="G45" dT="2025-04-04T22:43:34.00" personId="{d8e4f5ad-b65d-4160-a56f-197530fb7eb1}" id="{73095aab-5bcd-43d1-bcf1-6c7c278113ad}" parentId="{3f87d7bb-14cd-4963-a040-86af9751eea7}">
    <x18tc:text xml:space="preserve">https://drive.google.com/file/d/1kbnmA0_7eFxg1kLd2qbZwFSgzNRFrtwS/view?usp=drive_link</x18tc:text>
    <x18tc:extLst>
      <ext uri="{F7C98A9C-CBB3-438F-8F68-D28B6AF4A901}">
        <xltc2:checksum/>
        <xltc2:hyperlink startIndex="0" length="85" url="https://drive.google.com/file/d/1kbnmA0_7eFxg1kLd2qbZwFSgzNRFrtwS/view?usp=drive_link"/>
      </ext>
    </x18tc:extLst>
  </x18tc:threadedComment>
  <x18tc:threadedComment ref="G50" dT="2025-04-09T00:31:41.00" personId="{4df2d6c4-e43e-4f2e-b623-d90f458472ff}" id="{c259ef53-6a59-45b6-9d10-c8096eeb2c91}" done="0">
    <x18tc:text xml:space="preserve">https://drive.google.com/file/d/1vRN6QWTzNx70Fgid5gNwlWsUint3HIsj/view?usp=drive_link</x18tc:text>
    <x18tc:extLst>
      <ext uri="{F7C98A9C-CBB3-438F-8F68-D28B6AF4A901}">
        <xltc2:checksum/>
        <xltc2:hyperlink startIndex="0" length="85" url="https://drive.google.com/file/d/1vRN6QWTzNx70Fgid5gNwlWsUint3HIsj/view?usp=drive_link"/>
      </ext>
    </x18tc:extLst>
  </x18tc:threadedComment>
  <x18tc:threadedComment ref="C45" dT="2025-04-04T22:37:33.00" personId="{d8e4f5ad-b65d-4160-a56f-197530fb7eb1}" id="{5decf49f-94bd-43f9-82e9-f8be6afd1a8b}" done="0">
    <x18tc:text xml:space="preserve">https://www.newegg.com/asus-g614ju-ns73-16-0-intel-core-i7-13650hx-16gb-geforce-rtx-4050-512gb-pcie-gray/p/N82E16834236509?Item=N82E16834236509</x18tc:text>
    <x18tc:extLst>
      <ext uri="{F7C98A9C-CBB3-438F-8F68-D28B6AF4A901}">
        <xltc2:checksum/>
        <xltc2:hyperlink startIndex="0" length="143" url="https://www.newegg.com/asus-g614ju-ns73-16-0-intel-core-i7-13650hx-16gb-geforce-rtx-4050-512gb-pcie-gray/p/N82E16834236509?Item=N82E16834236509"/>
      </ext>
    </x18tc:extLst>
  </x18tc:threadedComment>
  <x18tc:threadedComment ref="C33" dT="2025-01-20T18:31:41.00" personId="{a5d43f6d-3c72-4414-b012-8f52ef50acc4}" id="{8558dadc-fc26-49ad-a771-f8634c84db5b}" done="0">
    <x18tc:text xml:space="preserve">https://www.amazon.com/-/es/Alienware-Rat%C3%B3n-juegos-inal%C3%A1mbrico-AW610M/dp/B07V83NMCV/ref=sr_1_3?__mk_es_US=%C3%85M%C3%85%C5%BD%C3%95%C3%91&amp;crid=171XVI5U5E8K5&amp;dib=eyJ2IjoiMSJ9.07ytkWLLzfGFp4Dlcka48sXmQk_xPGHa6xcDAnbNDoYUGuBlhUzrOHERPnpBojN9ml3-FpnQl7vFy8ulLN-hyUknvE35q0Ntj4opBFCn9kwQGOyOtoN9esdmGWbUn7XLO3AgaGeXhC_GpQO8raeaHOVPnZhpiqeNsrOmduhfe_CIj_b7_vIoDDB4piR8bfw-6dfXQzAUudI4UTdgZ7z9Wy-uMzKfZUZaE2oaNCLaqP0.qUfb5PMY-wZPkFGGOH1FTOOi5zuxwLUPH1D6Dqlf8xY&amp;dib_tag=se&amp;keywords=mouse%2Balienware&amp;qid=1734715324&amp;sprefix=mouse%2Balienware%2Caps%2C176&amp;sr=8-3&amp;th=1</x18tc:text>
    <x18tc:extLst>
      <ext uri="{F7C98A9C-CBB3-438F-8F68-D28B6AF4A901}">
        <xltc2:checksum/>
        <xltc2:hyperlink startIndex="0" length="566" url="https://www.amazon.com/-/es/Alienware-Rat%C3%B3n-juegos-inal%C3%A1mbrico-AW610M/dp/B07V83NMCV/ref=sr_1_3?__mk_es_US=%C3%85M%C3%85%C5%BD%C3%95%C3%91&amp;crid=171XVI5U5E8K5&amp;dib=eyJ2IjoiMSJ9.07ytkWLLzfGFp4Dlcka48sXmQk_xPGHa6xcDAnbNDoYUGuBlhUzrOHERPnpBojN9ml3-FpnQl7vFy8ulLN-hyUknvE35q0Ntj4opBFCn9kwQGOyOtoN9esdmGWbUn7XLO3AgaGeXhC_GpQO8raeaHOVPnZhpiqeNsrOmduhfe_CIj_b7_vIoDDB4piR8bfw-6dfXQzAUudI4UTdgZ7z9Wy-uMzKfZUZaE2oaNCLaqP0.qUfb5PMY-wZPkFGGOH1FTOOi5zuxwLUPH1D6Dqlf8xY&amp;dib_tag=se&amp;keywords=mouse%2Balienware&amp;qid=1734715324&amp;sprefix=mouse%2Balienware%2Caps%2C176&amp;sr=8-3&amp;th=1"/>
      </ext>
    </x18tc:extLst>
  </x18tc:threadedComment>
  <x18tc:threadedComment ref="G32" dT="2025-01-20T18:37:12.00" personId="{a5d43f6d-3c72-4414-b012-8f52ef50acc4}" id="{bd10725d-c86e-43a2-b3a0-3625fe5dd1bc}" done="0">
    <x18tc:text xml:space="preserve">https://drive.google.com/file/d/1t7gVGYPknAlbYBJOq_HD5_TtlFIuEQcM/view?usp=drive_link</x18tc:text>
    <x18tc:extLst>
      <ext uri="{F7C98A9C-CBB3-438F-8F68-D28B6AF4A901}">
        <xltc2:checksum/>
        <xltc2:hyperlink startIndex="0" length="85" url="https://drive.google.com/file/d/1t7gVGYPknAlbYBJOq_HD5_TtlFIuEQcM/view?usp=drive_link"/>
      </ext>
    </x18tc:extLst>
  </x18tc:threadedComment>
  <x18tc:threadedComment ref="G33" dT="2025-01-20T18:37:22.00" personId="{a5d43f6d-3c72-4414-b012-8f52ef50acc4}" id="{1a08ecd9-401d-4bc0-a536-6c634b5c6c24}" done="0">
    <x18tc:text xml:space="preserve">https://drive.google.com/file/d/1t7gVGYPknAlbYBJOq_HD5_TtlFIuEQcM/view?usp=drive_link</x18tc:text>
    <x18tc:extLst>
      <ext uri="{F7C98A9C-CBB3-438F-8F68-D28B6AF4A901}">
        <xltc2:checksum/>
        <xltc2:hyperlink startIndex="0" length="85" url="https://drive.google.com/file/d/1t7gVGYPknAlbYBJOq_HD5_TtlFIuEQcM/view?usp=drive_link"/>
      </ext>
    </x18tc:extLst>
  </x18tc:threadedComment>
  <x18tc:threadedComment ref="C24" dT="2024-12-20T18:02:42.00" personId="{a5d43f6d-3c72-4414-b012-8f52ef50acc4}" id="{17a3897c-6508-40a3-8e8d-4bdb55f724db}" done="0">
    <x18tc:text xml:space="preserve">https://www.ebay.com/itm/126210522764?_trkparms=amclksrc%3DITM%26aid%3D1110006%26algo%3DHOMESPLICE.SIM%26ao%3D1%26asc%3D277989%2C278303%2C277737%26meid%3Dac38b37c9f6a48f1a8b53cd0002d9517%26pid%3D101875%26rk%3D3%26rkt%3D4%26sd%3D396009736739%26itm%3D126210522764%26pmt%3D1%26noa%3D0%26pg%3D2332490%26algv%3DSimVIDwebV3WithCPCExpansionEmbeddingSearchQuerySemanticBroadMatchSingularityRecall%26brand%3DDell&amp;_trksid=p2332490.c101875.m1851&amp;itmprp=cksum%3A126210522764ac38b37c9f6a48f1a8b53cd0002d9517%7Cenc%3AAQAJAAABUNthdh9o32sOfKme0krmx3yc5y0DRWWwwpiraCEsA5rOcanQjqu91drTeDElZLF31uaWQXaQ2pNTl5IMyA1OfooQwqEcJUvtG9LvKPKHgcRzphx12iPvBSva61o%252BMhuWLxeWFjuWAD%252FI3YNtIgHnBXEa41xrZHq3HeVAIRBCo7NlMWRCiSPaSN%252BIHlhkPaZ1C2LTPv3B7hPrrCDm4DJct0n2%252FZZP90X4Pvb6%252FMsDMcpWx4wsLFE%252Fe%252FAtTkKr0Q5kkW9G5f2d5Gr4qLBVHiLhn1pgamhSD67WF1viYk3mDI%252FElIj5v306q4kQmlpoDOq8FkR6oI4vxOCVJr%252FVritk5rmGyYYI%252FiCSdyvi5zvssBGu0i2FpGlD9hJtKvsfOUbLECtJvBGXr5smWxQoq9Hb5ZSR70RXDmzmaTtgl6pij66LDI0kpXcBfDjR%252FnIMrS%252FvBg%253D%253D%7Campid%3APL_CLK%7Cclp%3A2332490&amp;itmmeta=01JFJHBFSS19ZC6FQ7Q304EM95</x18tc:text>
    <x18tc:extLst>
      <ext uri="{F7C98A9C-CBB3-438F-8F68-D28B6AF4A901}">
        <xltc2:checksum/>
        <xltc2:hyperlink startIndex="0" length="1087" url="https://www.ebay.com/itm/126210522764?_trkparms=amclksrc%3DITM%26aid%3D1110006%26algo%3DHOMESPLICE.SIM%26ao%3D1%26asc%3D277989%2C278303%2C277737%26meid%3Dac38b37c9f6a48f1a8b53cd0002d9517%26pid%3D101875%26rk%3D3%26rkt%3D4%26sd%3D396009736739%26itm%3D126210522764%26pmt%3D1%26noa%3D0%26pg%3D2332490%26algv%3DSimVIDwebV3WithCPCExpansionEmbeddingSearchQuerySemanticBroadMatchSingularityRecall%26brand%3DDell&amp;_trksid=p2332490.c101875.m1851&amp;itmprp=cksum%3A126210522764ac38b37c9f6a48f1a8b53cd0002d9517%7Cenc%3AAQAJAAABUNthdh9o32sOfKme0krmx3yc5y0DRWWwwpiraCEsA5rOcanQjqu91drTeDElZLF31uaWQXaQ2pNTl5IMyA1OfooQwqEcJUvtG9LvKPKHgcRzphx12iPvBSva61o%252BMhuWLxeWFjuWAD%252FI3YNtIgHnBXEa41xrZHq3HeVAIRBCo7NlMWRCiSPaSN%252BIHlhkPaZ1C2LTPv3B7hPrrCDm4DJct0n2%252FZZP90X4Pvb6%252FMsDMcpWx4wsLFE%252Fe%252FAtTkKr0Q5kkW9G5f2d5Gr4qLBVHiLhn1pgamhSD67WF1viYk3mDI%252FElIj5v306q4kQmlpoDOq8FkR6oI4vxOCVJr%252FVritk5rmGyYYI%252FiCSdyvi5zvssBGu0i2FpGlD9hJtKvsfOUbLECtJvBGXr5smWxQoq9Hb5ZSR70RXDmzmaTtgl6pij66LDI0kpXcBfDjR%252FnIMrS%252FvBg%253D%253D%7Campid%3APL_CLK%7Cclp%3A2332490&amp;itmmeta=01JFJHBFSS19ZC6FQ7Q304EM95"/>
      </ext>
    </x18tc:extLst>
  </x18tc:threadedComment>
  <x18tc:threadedComment ref="C25" dT="2024-12-20T18:02:51.00" personId="{a5d43f6d-3c72-4414-b012-8f52ef50acc4}" id="{2fc84a4d-741a-4d06-824b-a861d420b17b}" done="0">
    <x18tc:text xml:space="preserve">https://www.amazon.com/-/es/Alienware-Rat%C3%B3n-juegos-inal%C3%A1mbrico-AW610M/dp/B07V83NMCV/ref=sr_1_3?__mk_es_US=%C3%85M%C3%85%C5%BD%C3%95%C3%91&amp;crid=171XVI5U5E8K5&amp;dib=eyJ2IjoiMSJ9.07ytkWLLzfGFp4Dlcka48sXmQk_xPGHa6xcDAnbNDoYUGuBlhUzrOHERPnpBojN9ml3-FpnQl7vFy8ulLN-hyUknvE35q0Ntj4opBFCn9kwQGOyOtoN9esdmGWbUn7XLO3AgaGeXhC_GpQO8raeaHOVPnZhpiqeNsrOmduhfe_CIj_b7_vIoDDB4piR8bfw-6dfXQzAUudI4UTdgZ7z9Wy-uMzKfZUZaE2oaNCLaqP0.qUfb5PMY-wZPkFGGOH1FTOOi5zuxwLUPH1D6Dqlf8xY&amp;dib_tag=se&amp;keywords=mouse%2Balienware&amp;qid=1734715324&amp;sprefix=mouse%2Balienware%2Caps%2C176&amp;sr=8-3&amp;th=1</x18tc:text>
    <x18tc:extLst>
      <ext uri="{F7C98A9C-CBB3-438F-8F68-D28B6AF4A901}">
        <xltc2:checksum/>
        <xltc2:hyperlink startIndex="0" length="566" url="https://www.amazon.com/-/es/Alienware-Rat%C3%B3n-juegos-inal%C3%A1mbrico-AW610M/dp/B07V83NMCV/ref=sr_1_3?__mk_es_US=%C3%85M%C3%85%C5%BD%C3%95%C3%91&amp;crid=171XVI5U5E8K5&amp;dib=eyJ2IjoiMSJ9.07ytkWLLzfGFp4Dlcka48sXmQk_xPGHa6xcDAnbNDoYUGuBlhUzrOHERPnpBojN9ml3-FpnQl7vFy8ulLN-hyUknvE35q0Ntj4opBFCn9kwQGOyOtoN9esdmGWbUn7XLO3AgaGeXhC_GpQO8raeaHOVPnZhpiqeNsrOmduhfe_CIj_b7_vIoDDB4piR8bfw-6dfXQzAUudI4UTdgZ7z9Wy-uMzKfZUZaE2oaNCLaqP0.qUfb5PMY-wZPkFGGOH1FTOOi5zuxwLUPH1D6Dqlf8xY&amp;dib_tag=se&amp;keywords=mouse%2Balienware&amp;qid=1734715324&amp;sprefix=mouse%2Balienware%2Caps%2C176&amp;sr=8-3&amp;th=1"/>
      </ext>
    </x18tc:extLst>
  </x18tc:threadedComment>
  <x18tc:threadedComment ref="C29" dT="2024-12-28T22:28:59.00" personId="{a5d43f6d-3c72-4414-b012-8f52ef50acc4}" id="{6e2f3dc0-f905-4a94-91d9-3e33ff283f7e}" done="0">
    <x18tc:text xml:space="preserve">https://www.ebay.com/itm/204705621388?_skw=g14&amp;itmmeta=01JG7NMQ2C62N0APQP87JXAKFT&amp;hash=item2fa967e58c:g:t88AAOSwp05l~IQt</x18tc:text>
    <x18tc:extLst>
      <ext uri="{F7C98A9C-CBB3-438F-8F68-D28B6AF4A901}">
        <xltc2:checksum/>
        <xltc2:hyperlink startIndex="0" length="120" url="https://www.ebay.com/itm/204705621388?_skw=g14&amp;itmmeta=01JG7NMQ2C62N0APQP87JXAKFT&amp;hash=item2fa967e58c:g:t88AAOSwp05l~IQt"/>
      </ext>
    </x18tc:extLst>
  </x18tc:threadedComment>
  <x18tc:threadedComment ref="G29" dT="2024-12-28T22:28:46.00" personId="{a5d43f6d-3c72-4414-b012-8f52ef50acc4}" id="{dd08f65b-78ea-4287-ac46-35e29af8a70a}" done="0">
    <x18tc:text xml:space="preserve">https://drive.google.com/file/d/1m1QM_XpRvdVtoUMRuuvYVwosRjmWiVXu/view?usp=sharing</x18tc:text>
    <x18tc:extLst>
      <ext uri="{F7C98A9C-CBB3-438F-8F68-D28B6AF4A901}">
        <xltc2:checksum/>
        <xltc2:hyperlink startIndex="0" length="82" url="https://drive.google.com/file/d/1m1QM_XpRvdVtoUMRuuvYVwosRjmWiVXu/view?usp=sharing"/>
      </ext>
    </x18tc:extLst>
  </x18tc:threadedComment>
  <x18tc:threadedComment ref="C23" dT="2024-12-20T18:03:08.00" personId="{a5d43f6d-3c72-4414-b012-8f52ef50acc4}" id="{1417c0a8-5093-4864-be06-477384c944d3}" done="0">
    <x18tc:text xml:space="preserve">https://www.ebay.com/itm/196305939426?_skw=alienware+4070&amp;itmmeta=01JFGNTH2PZ9HR8G9W6H5QHDFF&amp;hash=item2db4beebe2:g:OzYAAOSwxMlnNOXu</x18tc:text>
    <x18tc:extLst>
      <ext uri="{F7C98A9C-CBB3-438F-8F68-D28B6AF4A901}">
        <xltc2:checksum/>
        <xltc2:hyperlink startIndex="0" length="131" url="https://www.ebay.com/itm/196305939426?_skw=alienware+4070&amp;itmmeta=01JFGNTH2PZ9HR8G9W6H5QHDFF&amp;hash=item2db4beebe2:g:OzYAAOSwxMlnNOXu"/>
      </ext>
    </x18tc:extLst>
  </x18tc:threadedComment>
  <x18tc:threadedComment ref="H32" dT="2025-01-20T18:30:00.00" personId="{a5d43f6d-3c72-4414-b012-8f52ef50acc4}" id="{4b9835f8-4230-4bdd-ac9e-6660bb996097}" done="0">
    <x18tc:text xml:space="preserve">Le agregué 300 soles para envío y algún regalito si se puede</x18tc:text>
  </x18tc:threadedComment>
  <x18tc:threadedComment ref="C32" dT="2025-01-20T18:30:52.00" personId="{a5d43f6d-3c72-4414-b012-8f52ef50acc4}" id="{f38f411d-a9ba-4f9c-87cd-efeb0c87c57e}" done="0">
    <x18tc:text xml:space="preserve">https://www.ebay.com/itm/226194132677?_skw=4090&amp;epid=7069449110&amp;itmmeta=01JJ24DHVZT7V9A7HVV25CYTPM&amp;hash=item34aa388ec5:g:mHUAAOSwVlFmbLtR</x18tc:text>
    <x18tc:extLst>
      <ext uri="{F7C98A9C-CBB3-438F-8F68-D28B6AF4A901}">
        <xltc2:checksum/>
        <xltc2:hyperlink startIndex="0" length="137" url="https://www.ebay.com/itm/226194132677?_skw=4090&amp;epid=7069449110&amp;itmmeta=01JJ24DHVZT7V9A7HVV25CYTPM&amp;hash=item34aa388ec5:g:mHUAAOSwVlFmbLtR"/>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7" dT="2025-05-17T17:43:01.00" personId="{d8e4f5ad-b65d-4160-a56f-197530fb7eb1}" id="{0037447b-0e9a-4cad-8fef-6ca22b530706}" done="0">
    <x18tc:text xml:space="preserve">https://www.bestbuy.com/site/asus-rog-strix-g18-18-2-5k-240hz-gaming-laptop-intel-core-ultra-9-hx-32gb-ram-nvidia-geforce-rtx-5080-2tb-ssd-eclipse-grey/6613958.p?skuId=6613958</x18tc:text>
    <x18tc:extLst>
      <ext uri="{F7C98A9C-CBB3-438F-8F68-D28B6AF4A901}">
        <xltc2:checksum/>
        <xltc2:hyperlink startIndex="0" length="175" url="https://www.bestbuy.com/site/asus-rog-strix-g18-18-2-5k-240hz-gaming-laptop-intel-core-ultra-9-hx-32gb-ram-nvidia-geforce-rtx-5080-2tb-ssd-eclipse-grey/6613958.p?skuId=6613958"/>
      </ext>
    </x18tc:extLst>
  </x18tc:threadedComment>
  <x18tc:threadedComment ref="C54" dT="2025-05-16T20:53:39.00" personId="{a5d43f6d-3c72-4414-b012-8f52ef50acc4}" id="{14a47bab-f573-4745-a48a-6d88477e361d}" done="0">
    <x18tc:text xml:space="preserve">https://www.amazon.com/teclado-compatible-Alienware-pulgadas-protector/dp/B0DDPZHFDX/ref=mp_s_a_1_3_maf_2?crid=1BAWYIXJ9FN6W&amp;dib=eyJ2IjoiMSJ9.qUa4juBhsQmR89eL14_YZgDlcRM008ZkuxdyhFR-rgJkh8TuSu0Yrb-alJwKb3e0Q4KJpRpjq8eOlESGcbtmQEGnDom29lDu3gsE78v_DrcvtmNZaH_O-lR-_jxVqyOT4Ie_SwpnODaFvzWRi6AX5LytdyVb_rzZP3VFeRmXt3-Rgmffuez8y7z1dsSip12MdV8oNYo27jTiEK6DMoO6vQ.XfeYMyYB3p1QF9c_PhLWgXqmUvE_f8t1GQVdkxNNzWo&amp;dib_tag=se&amp;keywords=protector%2Bde%2Bteclado%2Balienware%2Bx16&amp;qid=1747098090&amp;sprefix=%2Caps%2C363&amp;sr=8-3&amp;th=1</x18tc:text>
    <x18tc:extLst>
      <ext uri="{F7C98A9C-CBB3-438F-8F68-D28B6AF4A901}">
        <xltc2:checksum/>
        <xltc2:hyperlink startIndex="0" length="511" url="https://www.amazon.com/teclado-compatible-Alienware-pulgadas-protector/dp/B0DDPZHFDX/ref=mp_s_a_1_3_maf_2?crid=1BAWYIXJ9FN6W&amp;dib=eyJ2IjoiMSJ9.qUa4juBhsQmR89eL14_YZgDlcRM008ZkuxdyhFR-rgJkh8TuSu0Yrb-alJwKb3e0Q4KJpRpjq8eOlESGcbtmQEGnDom29lDu3gsE78v_DrcvtmNZaH_O-lR-_jxVqyOT4Ie_SwpnODaFvzWRi6AX5LytdyVb_rzZP3VFeRmXt3-Rgmffuez8y7z1dsSip12MdV8oNYo27jTiEK6DMoO6vQ.XfeYMyYB3p1QF9c_PhLWgXqmUvE_f8t1GQVdkxNNzWo&amp;dib_tag=se&amp;keywords=protector%2Bde%2Bteclado%2Balienware%2Bx16&amp;qid=1747098090&amp;sprefix=%2Caps%2C363&amp;sr=8-3&amp;th=1"/>
      </ext>
    </x18tc:extLst>
  </x18tc:threadedComment>
  <x18tc:threadedComment ref="J185" dT="2025-08-25T22:53:19.00" personId="{4df2d6c4-e43e-4f2e-b623-d90f458472ff}" id="{e7ff7402-dd03-47e6-8304-e037b7858201}" done="0">
    <x18tc:text xml:space="preserve">https://drive.google.com/file/d/1nfvKe0NuzMBZAMFNYUsmVvIwQABBzrp-/view?usp=drive_link</x18tc:text>
    <x18tc:extLst>
      <ext uri="{F7C98A9C-CBB3-438F-8F68-D28B6AF4A901}">
        <xltc2:checksum/>
        <xltc2:hyperlink startIndex="0" length="85" url="https://drive.google.com/file/d/1nfvKe0NuzMBZAMFNYUsmVvIwQABBzrp-/view?usp=drive_link"/>
      </ext>
    </x18tc:extLst>
  </x18tc:threadedComment>
  <x18tc:threadedComment ref="C55" dT="2025-05-16T20:53:28.00" personId="{a5d43f6d-3c72-4414-b012-8f52ef50acc4}" id="{2a7d2254-34d6-471f-87c1-2b32acc52675}" done="0">
    <x18tc:text xml:space="preserve">https://www.amazon.com/dp/B0D29GC96C?ref=cm_sw_r_cso_wa_mwn_dp_W49CBAW6WYFG9VTKTTNG&amp;ref_=cm_sw_r_cso_wa_mwn_dp_W49CBAW6WYFG9VTKTTNG&amp;social_share=cm_sw_r_cso_wa_mwn_dp_W49CBAW6WYFG9VTKTTNG&amp;previewDoh=1</x18tc:text>
    <x18tc:extLst>
      <ext uri="{F7C98A9C-CBB3-438F-8F68-D28B6AF4A901}">
        <xltc2:checksum/>
        <xltc2:hyperlink startIndex="0" length="200" url="https://www.amazon.com/dp/B0D29GC96C?ref=cm_sw_r_cso_wa_mwn_dp_W49CBAW6WYFG9VTKTTNG&amp;ref_=cm_sw_r_cso_wa_mwn_dp_W49CBAW6WYFG9VTKTTNG&amp;social_share=cm_sw_r_cso_wa_mwn_dp_W49CBAW6WYFG9VTKTTNG&amp;previewDoh=1"/>
      </ext>
    </x18tc:extLst>
  </x18tc:threadedComment>
  <x18tc:threadedComment ref="C495" dT="2026-01-22T00:05:23.00" personId="{a5d43f6d-3c72-4414-b012-8f52ef50acc4}" id="{c8f76937-5e48-4e56-9b96-76e3d1d05654}" done="0">
    <x18tc:text xml:space="preserve">https://www.ebay.com/itm/197737868679?_skw=laptop+gaming&amp;itmmeta=01KFHAZ1Y3WAM2HSA2SMD073PB&amp;hash=item2e0a186d87:g:qHUAAeSwhodpZnxV</x18tc:text>
    <x18tc:extLst>
      <ext uri="{F7C98A9C-CBB3-438F-8F68-D28B6AF4A901}">
        <xltc2:checksum/>
        <xltc2:hyperlink startIndex="0" length="130" url="https://www.ebay.com/itm/197737868679?_skw=laptop+gaming&amp;itmmeta=01KFHAZ1Y3WAM2HSA2SMD073PB&amp;hash=item2e0a186d87:g:qHUAAeSwhodpZnxV"/>
      </ext>
    </x18tc:extLst>
  </x18tc:threadedComment>
  <x18tc:threadedComment ref="L185" dT="2025-08-25T22:54:18.00" personId="{4df2d6c4-e43e-4f2e-b623-d90f458472ff}" id="{d695fddc-e66c-4cbf-ad29-38bbd662d17c}" done="0">
    <x18tc:text xml:space="preserve">https://drive.google.com/file/d/1HlPU8RA1CrMGomxOFmb_B8nBXcmIa6Kl/view?usp=drive_link</x18tc:text>
    <x18tc:extLst>
      <ext uri="{F7C98A9C-CBB3-438F-8F68-D28B6AF4A901}">
        <xltc2:checksum/>
        <xltc2:hyperlink startIndex="0" length="85" url="https://drive.google.com/file/d/1HlPU8RA1CrMGomxOFmb_B8nBXcmIa6Kl/view?usp=drive_link"/>
      </ext>
    </x18tc:extLst>
  </x18tc:threadedComment>
  <x18tc:threadedComment ref="C56" dT="2025-05-17T16:40:09.00" personId="{4df2d6c4-e43e-4f2e-b623-d90f458472ff}" id="{4a5417ca-8227-4173-b2a3-850a55b0be96}" done="0">
    <x18tc:text xml:space="preserve">https://www.ebay.com/itm/177043061277?_skw=laptop+gaming&amp;itmmeta=01JV3TWS4BWQC1KMCBWZXKQ1WK&amp;hash=item293896ba1d:g:HqEAAeSwfUdoC-BN</x18tc:text>
    <x18tc:extLst>
      <ext uri="{F7C98A9C-CBB3-438F-8F68-D28B6AF4A901}">
        <xltc2:checksum/>
        <xltc2:hyperlink startIndex="0" length="130" url="https://www.ebay.com/itm/177043061277?_skw=laptop+gaming&amp;itmmeta=01JV3TWS4BWQC1KMCBWZXKQ1WK&amp;hash=item293896ba1d:g:HqEAAeSwfUdoC-BN"/>
      </ext>
    </x18tc:extLst>
  </x18tc:threadedComment>
  <x18tc:threadedComment ref="A1" dT="2025-06-25T17:17:44.00" personId="{a5d43f6d-3c72-4414-b012-8f52ef50acc4}" id="{fb86e751-201c-412b-bf02-8174e18f2ab2}" done="0">
    <x18tc:text xml:space="preserve">https://drive.google.com/file/d/1smfpgca7tB-KnlR29_uawVjB5xqzFtVw/view?usp=drive_link
https://drive.google.com/file/d/13DkUaksQ4kEMbKbx5pbsvTDz7TXtEoxI/view?usp=drive_link
https://drive.google.com/file/d/15cT_pf9PhGVo0anNCx6eVoY4Ej70Niod/view?usp=drive_link
https://drive.google.com/file/d/1jcuvXzgcNLyN-8YPjNIRydLfARdrqsSR/view?usp=drive_link
Show less
Turn on screen reader support
To enable screen reader support, press Ctrl+Alt+Z To learn about keyboard shortcuts, press Ctrl+slash</x18tc:text>
    <x18tc:extLst>
      <ext uri="{F7C98A9C-CBB3-438F-8F68-D28B6AF4A901}">
        <xltc2:checksum/>
        <xltc2:hyperlink startIndex="0" length="85" url="https://drive.google.com/file/d/1smfpgca7tB-KnlR29_uawVjB5xqzFtVw/view?usp=drive_link"/>
        <xltc2:hyperlink startIndex="86" length="85" url="https://drive.google.com/file/d/13DkUaksQ4kEMbKbx5pbsvTDz7TXtEoxI/view?usp=drive_link"/>
        <xltc2:hyperlink startIndex="172" length="85" url="https://drive.google.com/file/d/15cT_pf9PhGVo0anNCx6eVoY4Ej70Niod/view?usp=drive_link"/>
        <xltc2:hyperlink startIndex="258" length="85" url="https://drive.google.com/file/d/1jcuvXzgcNLyN-8YPjNIRydLfARdrqsSR/view?usp=drive_link"/>
      </ext>
    </x18tc:extLst>
  </x18tc:threadedComment>
  <x18tc:threadedComment ref="C123" dT="2025-07-15T18:30:03.00" personId="{d8e4f5ad-b65d-4160-a56f-197530fb7eb1}" id="{a7c5905c-bcd0-4a61-9505-f455bccb0828}"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J59" dT="2025-05-17T23:50:30.00" personId="{a5d43f6d-3c72-4414-b012-8f52ef50acc4}" id="{302dc4f6-e176-4029-acf1-5b57c7df73db}" done="0">
    <x18tc:text xml:space="preserve">https://drive.google.com/file/d/1qgWF90HHKfBkcHsYDuhErH8kLuuXEWPS/view?usp=drive_link</x18tc:text>
    <x18tc:extLst>
      <ext uri="{F7C98A9C-CBB3-438F-8F68-D28B6AF4A901}">
        <xltc2:checksum/>
        <xltc2:hyperlink startIndex="0" length="85" url="https://drive.google.com/file/d/1qgWF90HHKfBkcHsYDuhErH8kLuuXEWPS/view?usp=drive_link"/>
      </ext>
    </x18tc:extLst>
  </x18tc:threadedComment>
  <x18tc:threadedComment ref="AF251" dT="2025-10-06T05:18:22.00" personId="{2ddfa542-8116-4937-a057-08470d7abaab}" id="{90d602a8-8a8e-4ef7-9e15-375f0df08a1e}" done="0">
    <x18tc:text xml:space="preserve">Venta final, fixit, boleta, voucher inicial</x18tc:text>
  </x18tc:threadedComment>
  <x18tc:threadedComment ref="AF274" dT="2025-11-04T06:15:25.00" personId="{2ddfa542-8116-4937-a057-08470d7abaab}" id="{c4afe990-2046-4e66-b84a-a3a08ad6c93a}" done="1">
    <x18tc:text xml:space="preserve">FIXIT</x18tc:text>
  </x18tc:threadedComment>
  <x18tc:threadedComment ref="K657" dT="2026-05-05T17:18:54.00" personId="{d8e4f5ad-b65d-4160-a56f-197530fb7eb1}" id="{1d442513-6af2-405f-8dfb-894a7b7db453}" done="0">
    <x18tc:text xml:space="preserve">https://drive.google.com/file/d/1tUfBF1sGTB_ctTM5CinHgEtzcqznO7ei/view?usp=drive_link</x18tc:text>
    <x18tc:extLst>
      <ext uri="{F7C98A9C-CBB3-438F-8F68-D28B6AF4A901}">
        <xltc2:checksum/>
        <xltc2:hyperlink startIndex="0" length="85" url="https://drive.google.com/file/d/1tUfBF1sGTB_ctTM5CinHgEtzcqznO7ei/view?usp=drive_link"/>
      </ext>
    </x18tc:extLst>
  </x18tc:threadedComment>
  <x18tc:threadedComment ref="K657" dT="2026-05-05T17:19:11.00" personId="{d8e4f5ad-b65d-4160-a56f-197530fb7eb1}" id="{89313ef2-a274-4e8d-90ba-504ca0633844}" parentId="{1d442513-6af2-405f-8dfb-894a7b7db453}">
    <x18tc:text xml:space="preserve">https://drive.google.com/file/d/1oJhSog7c1lHJ-74gyIxK__Ru-poOuh3U/view?usp=drive_link</x18tc:text>
    <x18tc:extLst>
      <ext uri="{F7C98A9C-CBB3-438F-8F68-D28B6AF4A901}">
        <xltc2:checksum/>
        <xltc2:hyperlink startIndex="0" length="85" url="https://drive.google.com/file/d/1oJhSog7c1lHJ-74gyIxK__Ru-poOuh3U/view?usp=drive_link"/>
      </ext>
    </x18tc:extLst>
  </x18tc:threadedComment>
  <x18tc:threadedComment ref="Q495" dT="2026-01-22T00:07:05.00" personId="{a5d43f6d-3c72-4414-b012-8f52ef50acc4}" id="{3f94eb6b-badb-4fbe-853c-629c8da0a3d1}" done="0">
    <x18tc:text xml:space="preserve">apertura + configuración inicial con formateo + eset nod 32 + windows 11 pro + office profesional plus 2024</x18tc:text>
  </x18tc:threadedComment>
  <x18tc:threadedComment ref="J57" dT="2025-05-17T17:49:56.00" personId="{d8e4f5ad-b65d-4160-a56f-197530fb7eb1}" id="{83ce44e2-a37a-4160-9c37-8dcf99a88a50}" done="0">
    <x18tc:text xml:space="preserve">https://drive.google.com/file/d/1pGgzcPcGSVnYBnw_gRuYF80BeRTk59Uj/view?usp=drive_link</x18tc:text>
    <x18tc:extLst>
      <ext uri="{F7C98A9C-CBB3-438F-8F68-D28B6AF4A901}">
        <xltc2:checksum/>
        <xltc2:hyperlink startIndex="0" length="85" url="https://drive.google.com/file/d/1pGgzcPcGSVnYBnw_gRuYF80BeRTk59Uj/view?usp=drive_link"/>
      </ext>
    </x18tc:extLst>
  </x18tc:threadedComment>
  <x18tc:threadedComment ref="J495" dT="2026-01-22T00:12:50.00" personId="{a5d43f6d-3c72-4414-b012-8f52ef50acc4}" id="{244ed047-4764-4d2a-b08a-4b0e8aff6827}" done="0">
    <x18tc:text xml:space="preserve">https://drive.google.com/file/d/1uSNLhaGk9RmQrE6bPxiZ67Czlp7b4Ju1/view?usp=drive_link</x18tc:text>
    <x18tc:extLst>
      <ext uri="{F7C98A9C-CBB3-438F-8F68-D28B6AF4A901}">
        <xltc2:checksum/>
        <xltc2:hyperlink startIndex="0" length="85" url="https://drive.google.com/file/d/1uSNLhaGk9RmQrE6bPxiZ67Czlp7b4Ju1/view?usp=drive_link"/>
      </ext>
    </x18tc:extLst>
  </x18tc:threadedComment>
  <x18tc:threadedComment ref="J767" dT="2026-05-28T20:58:30.00" personId="{d8e4f5ad-b65d-4160-a56f-197530fb7eb1}" id="{1a652796-7bcf-4b82-8c72-4c38ce894333}" done="0">
    <x18tc:text xml:space="preserve">https://drive.google.com/file/d/1d7yHEkOFtlYbLfgGX87Mb3_iSvTwVXhr/view?usp=drive_link</x18tc:text>
    <x18tc:extLst>
      <ext uri="{F7C98A9C-CBB3-438F-8F68-D28B6AF4A901}">
        <xltc2:checksum/>
        <xltc2:hyperlink startIndex="0" length="85" url="https://drive.google.com/file/d/1d7yHEkOFtlYbLfgGX87Mb3_iSvTwVXhr/view?usp=drive_link"/>
      </ext>
    </x18tc:extLst>
  </x18tc:threadedComment>
  <x18tc:threadedComment ref="J767" dT="2026-05-30T00:40:25.00" personId="{d8e4f5ad-b65d-4160-a56f-197530fb7eb1}" id="{042be5b7-9f92-4df9-b7a2-d25ea89effa3}" parentId="{1a652796-7bcf-4b82-8c72-4c38ce894333}">
    <x18tc:text xml:space="preserve">https://drive.google.com/file/d/1UopR9lOyNbeXxRjJo0Ra2rxb1VNzP7U9/view?usp=drive_link</x18tc:text>
    <x18tc:extLst>
      <ext uri="{F7C98A9C-CBB3-438F-8F68-D28B6AF4A901}">
        <xltc2:checksum/>
        <xltc2:hyperlink startIndex="0" length="85" url="https://drive.google.com/file/d/1UopR9lOyNbeXxRjJo0Ra2rxb1VNzP7U9/view?usp=drive_link"/>
      </ext>
    </x18tc:extLst>
  </x18tc:threadedComment>
  <x18tc:threadedComment ref="C163" dT="2025-08-08T21:30:20.00" personId="{4df2d6c4-e43e-4f2e-b623-d90f458472ff}" id="{c86b8aa3-4a7b-4d3b-beab-c9ef75cf4d35}" done="1">
    <x18tc:text xml:space="preserve">https://www.dell.com/en-us/shop/dell-laptops/alienware-18-area-51-gaming-laptop/spd/alienware-area-51-aa18250-gaming-laptop/useaa18250hbtshpxs</x18tc:text>
    <x18tc:extLst>
      <ext uri="{F7C98A9C-CBB3-438F-8F68-D28B6AF4A901}">
        <xltc2:checksum/>
        <xltc2:hyperlink startIndex="0" length="142" url="https://www.dell.com/en-us/shop/dell-laptops/alienware-18-area-51-gaming-laptop/spd/alienware-area-51-aa18250-gaming-laptop/useaa18250hbtshpxs"/>
      </ext>
    </x18tc:extLst>
  </x18tc:threadedComment>
  <x18tc:threadedComment ref="C769" dT="2026-05-29T23:53:44.00" personId="{80195d68-4e9b-4dc7-a031-ca5391c97d0f}" id="{b2d2031a-8e32-4275-93a2-2888b8e5d088}" done="0">
    <x18tc:text xml:space="preserve">https://www.amazon.com/Apple-Laptop-MacBook-2026-pulgadas/dp/B0GR114BV7/ref=sr_1_1_sspa?__mk_es_US=%C3%85M%C3%85%C5%BD%C3%95%C3%91&amp;crid=2WO013FN205JL&amp;dib=eyJ2IjoiMSJ9.YeU3G8niAgIoUALlYUhrCfST4bgzTqnvTR_m12vL1sFIr2iZtp0j6p3N77oz07MKZAMatT5aV1qCS5Nxwu929GGiTTHmZb4QfYKnoJEXNJR7ECDP3mRoxOstfALExH2nDmqZ0h0QLPOcmqQhtgoIW1eNhg8CIYu0L7B7YbgohmZlAM4329XNqddhDPm0dYFqrJg4JKIo-mU0nUX68kThEE_LM9TwfqiTLF_0TiS6wXLLSJl_Xdy5hSmtKFUUSriD5C5B30seaNwSEsLQdrwo_tpfO4csJvNLNq-PoocLFLY._5ZusdbP1LPg6TsPqMuJlplY8RQ0lWI7LOpJs-AT10Q&amp;dib_tag=se&amp;keywords=macbook%2Bair&amp;qid=1780098636&amp;s=electronics&amp;sprefix=macbook%2Bair%2B%2Celectronics%2C222&amp;sr=1-1-spons&amp;sp_csd=d2lkZ2V0TmFtZT1zcF9hdGY&amp;th=1</x18tc:text>
    <x18tc:extLst>
      <ext uri="{F7C98A9C-CBB3-438F-8F68-D28B6AF4A901}">
        <xltc2:checksum/>
        <xltc2:hyperlink startIndex="0" length="667" url="https://www.amazon.com/Apple-Laptop-MacBook-2026-pulgadas/dp/B0GR114BV7/ref=sr_1_1_sspa?__mk_es_US=%C3%85M%C3%85%C5%BD%C3%95%C3%91&amp;crid=2WO013FN205JL&amp;dib=eyJ2IjoiMSJ9.YeU3G8niAgIoUALlYUhrCfST4bgzTqnvTR_m12vL1sFIr2iZtp0j6p3N77oz07MKZAMatT5aV1qCS5Nxwu929GGiTTHmZb4QfYKnoJEXNJR7ECDP3mRoxOstfALExH2nDmqZ0h0QLPOcmqQhtgoIW1eNhg8CIYu0L7B7YbgohmZlAM4329XNqddhDPm0dYFqrJg4JKIo-mU0nUX68kThEE_LM9TwfqiTLF_0TiS6wXLLSJl_Xdy5hSmtKFUUSriD5C5B30seaNwSEsLQdrwo_tpfO4csJvNLNq-PoocLFLY._5ZusdbP1LPg6TsPqMuJlplY8RQ0lWI7LOpJs-AT10Q&amp;dib_tag=se&amp;keywords=macbook%2Bair&amp;qid=1780098636&amp;s=electronics&amp;sprefix=macbook%2Bair%2B%2Celectronics%2C222&amp;sr=1-1-spons&amp;sp_csd=d2lkZ2V0TmFtZT1zcF9hdGY&amp;th=1"/>
      </ext>
    </x18tc:extLst>
  </x18tc:threadedComment>
  <x18tc:threadedComment ref="J724" dT="2026-04-30T22:30:35.00" personId="{f9b224d0-ee33-4499-ae47-db5bcd2d0435}" id="{8c64cb3a-3956-431e-bb31-e5d5e88f68be}" done="0">
    <x18tc:text xml:space="preserve">https://drive.google.com/file/d/1Cmy_zldyBt7_O2nQMmc_dQVGgIcoaZqJ/view?usp=drive_link</x18tc:text>
    <x18tc:extLst>
      <ext uri="{F7C98A9C-CBB3-438F-8F68-D28B6AF4A901}">
        <xltc2:checksum/>
        <xltc2:hyperlink startIndex="0" length="85" url="https://drive.google.com/file/d/1Cmy_zldyBt7_O2nQMmc_dQVGgIcoaZqJ/view?usp=drive_link"/>
      </ext>
    </x18tc:extLst>
  </x18tc:threadedComment>
  <x18tc:threadedComment ref="AF646" dT="2026-04-26T18:19:39.00" personId="{2ddfa542-8116-4937-a057-08470d7abaab}" id="{55254315-9101-4c08-bcc5-33ac3eca0067}" done="1">
    <x18tc:text xml:space="preserve">venta final, excedentes, fixit</x18tc:text>
  </x18tc:threadedComment>
  <x18tc:threadedComment ref="K545" dT="2026-03-24T21:39:32.00" personId="{f9b224d0-ee33-4499-ae47-db5bcd2d0435}" id="{a080620b-96fe-48b1-9a0d-2d98d24eef8e}" done="0">
    <x18tc:text xml:space="preserve">https://drive.google.com/file/d/1zS21Ezb4J9BbSVipnpG2zReJrdAeE4ff/view?usp=drive_link</x18tc:text>
    <x18tc:extLst>
      <ext uri="{F7C98A9C-CBB3-438F-8F68-D28B6AF4A901}">
        <xltc2:checksum/>
        <xltc2:hyperlink startIndex="0" length="85" url="https://drive.google.com/file/d/1zS21Ezb4J9BbSVipnpG2zReJrdAeE4ff/view?usp=drive_link"/>
      </ext>
    </x18tc:extLst>
  </x18tc:threadedComment>
  <x18tc:threadedComment ref="L113" dT="2025-08-13T22:32:23.00" personId="{a5d43f6d-3c72-4414-b012-8f52ef50acc4}" id="{9f5e1bb3-5f67-4ebd-ae0d-8d4a4cedde7b}" done="0">
    <x18tc:text xml:space="preserve">https://drive.google.com/file/d/1PCd1-xIf9WE-0C6A0rPlKcMkhqxuHGYw/view?usp=drive_link</x18tc:text>
    <x18tc:extLst>
      <ext uri="{F7C98A9C-CBB3-438F-8F68-D28B6AF4A901}">
        <xltc2:checksum/>
        <xltc2:hyperlink startIndex="0" length="85" url="https://drive.google.com/file/d/1PCd1-xIf9WE-0C6A0rPlKcMkhqxuHGYw/view?usp=drive_link"/>
      </ext>
    </x18tc:extLst>
  </x18tc:threadedComment>
  <x18tc:threadedComment ref="C724" dT="2026-04-30T22:16:20.00" personId="{f9b224d0-ee33-4499-ae47-db5bcd2d0435}" id="{5a4a3de4-e2a1-41c4-a3df-0dd3d20e15bd}"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C109" dT="2025-07-06T18:57:24.00" personId="{a5d43f6d-3c72-4414-b012-8f52ef50acc4}" id="{a59efc37-43cf-4f37-9ba5-f8e4b879a331}" done="0">
    <x18tc:text xml:space="preserve">https://www.amazon.com/-/es/Port%C3%A1til-juegos-Strix-pantalla-Nebula/dp/B0CRCYJ8YV/</x18tc:text>
    <x18tc:extLst>
      <ext uri="{F7C98A9C-CBB3-438F-8F68-D28B6AF4A901}">
        <xltc2:checksum/>
        <xltc2:hyperlink startIndex="0" length="85" url="https://www.amazon.com/-/es/Port%C3%A1til-juegos-Strix-pantalla-Nebula/dp/B0CRCYJ8YV/"/>
      </ext>
    </x18tc:extLst>
  </x18tc:threadedComment>
  <x18tc:threadedComment ref="C231" dT="2025-09-13T17:32:39.00" personId="{4df2d6c4-e43e-4f2e-b623-d90f458472ff}" id="{84a6c3b1-2a2e-4c96-8a9f-c4d3387b6b3f}" done="0">
    <x18tc:text xml:space="preserve">https://www.ebay.com/itm/127152151087?_skw=scar+5090&amp;itmmeta=01K51WHN9B68HX4QFTCCDYCVWX&amp;hash=item1d9adbda2f:g:SuEAAOSwLf1oSfus&amp;itmprp=enc%3AAQAKAAAAwFkggFvd1GGDu0w3yXCmi1e5MZ8jIdve6y9h31opGAh2f5MQRECCPUThpqxRdH%2F5hIuqRKEo0pwGyUzMcvJY8Cy2rAJuhtAFa8Tk%2FKHwwztHdv1pgDVZMyrFaIgw%2FjegwYkCm3913V97ansgMaXYEwM3cdUMPsHV%2Fdz9xot3lShjtU0R15cv0mmCndJCvV61db01m7BnsOwS6ZJW5TYB3%2F4a5XWFPcgGTNsFzwN0l7KW%2FSrhhB%2F4Hc%2Fb%2BNCpdQ%2BBXA%3D%3D%7Ctkp%3ABk9SR-DUxryoZg</x18tc:text>
    <x18tc:extLst>
      <ext uri="{F7C98A9C-CBB3-438F-8F68-D28B6AF4A901}">
        <xltc2:checksum/>
        <xltc2:hyperlink startIndex="0" length="455" url="https://www.ebay.com/itm/127152151087?_skw=scar+5090&amp;itmmeta=01K51WHN9B68HX4QFTCCDYCVWX&amp;hash=item1d9adbda2f:g:SuEAAOSwLf1oSfus&amp;itmprp=enc%3AAQAKAAAAwFkggFvd1GGDu0w3yXCmi1e5MZ8jIdve6y9h31opGAh2f5MQRECCPUThpqxRdH%2F5hIuqRKEo0pwGyUzMcvJY8Cy2rAJuhtAFa8Tk%2FKHwwztHdv1pgDVZMyrFaIgw%2FjegwYkCm3913V97ansgMaXYEwM3cdUMPsHV%2Fdz9xot3lShjtU0R15cv0mmCndJCvV61db01m7BnsOwS6ZJW5TYB3%2F4a5XWFPcgGTNsFzwN0l7KW%2FSrhhB%2F4Hc%2Fb%2BNCpdQ%2BBXA%3D%3D%7Ctkp%3ABk9SR-DUxryoZg"/>
      </ext>
    </x18tc:extLst>
  </x18tc:threadedComment>
  <x18tc:threadedComment ref="T705" dT="2026-06-24T19:54:40.00" personId="{2ddfa542-8116-4937-a057-08470d7abaab}" id="{893a085d-66e1-4704-b7fc-c816799ba357}" done="0">
    <x18tc:text xml:space="preserve">se le saco el excedente por sobreprecio</x18tc:text>
  </x18tc:threadedComment>
  <x18tc:threadedComment ref="AI771" dT="2026-06-03T22:07:59.00" personId="{7d9bea4b-cfe7-4c29-b483-8e83a1c4f52a}" id="{25e512fd-cb03-4d46-8576-abc82f1b33da}" done="0">
    <x18tc:text xml:space="preserve">https://drive.google.com/file/d/1D3bSL7V2o6dat20u1XZD8ocNi0YHdsJg/view?usp=drive_link</x18tc:text>
    <x18tc:extLst>
      <ext uri="{F7C98A9C-CBB3-438F-8F68-D28B6AF4A901}">
        <xltc2:checksum/>
        <xltc2:hyperlink startIndex="0" length="85" url="https://drive.google.com/file/d/1D3bSL7V2o6dat20u1XZD8ocNi0YHdsJg/view?usp=drive_link"/>
      </ext>
    </x18tc:extLst>
  </x18tc:threadedComment>
  <x18tc:threadedComment ref="J193" dT="2025-08-25T22:47:49.00" personId="{d8e4f5ad-b65d-4160-a56f-197530fb7eb1}" id="{9df32a6b-3642-4147-93ea-e1cd6eb2c74c}" done="0">
    <x18tc:text xml:space="preserve">https://drive.google.com/file/d/1OIMfOM5-pCEc0AgJveaKyoV87iA9RCWF/view?usp=drive_link</x18tc:text>
    <x18tc:extLst>
      <ext uri="{F7C98A9C-CBB3-438F-8F68-D28B6AF4A901}">
        <xltc2:checksum/>
        <xltc2:hyperlink startIndex="0" length="85" url="https://drive.google.com/file/d/1OIMfOM5-pCEc0AgJveaKyoV87iA9RCWF/view?usp=drive_link"/>
      </ext>
    </x18tc:extLst>
  </x18tc:threadedComment>
  <x18tc:threadedComment ref="L170" dT="2025-08-25T22:52:15.00" personId="{a5d43f6d-3c72-4414-b012-8f52ef50acc4}" id="{cce71426-9700-42e5-a7b4-6edb88c74632}" done="0">
    <x18tc:text xml:space="preserve">https://drive.google.com/file/d/1fJJbatj9xYb669uHEqlRH_JGAzx6KXEl/view?usp=drive_link</x18tc:text>
    <x18tc:extLst>
      <ext uri="{F7C98A9C-CBB3-438F-8F68-D28B6AF4A901}">
        <xltc2:checksum/>
        <xltc2:hyperlink startIndex="0" length="85" url="https://drive.google.com/file/d/1fJJbatj9xYb669uHEqlRH_JGAzx6KXEl/view?usp=drive_link"/>
      </ext>
    </x18tc:extLst>
  </x18tc:threadedComment>
  <x18tc:threadedComment ref="L100" dT="2025-06-25T18:46:48.00" personId="{a5d43f6d-3c72-4414-b012-8f52ef50acc4}" id="{2629ba52-81b3-42ef-9014-be306e6b94c5}" done="0">
    <x18tc:text xml:space="preserve">https://drive.google.com/file/d/14zgzcbX5rscIPoiB6Dj6fXlCfefAlJtt/view?usp=drive_link
https://drive.google.com/file/d/1UZr8ug9Mux_jUcsTeBs1cL-1ypFB6Lag/view?usp=drive_link</x18tc:text>
    <x18tc:extLst>
      <ext uri="{F7C98A9C-CBB3-438F-8F68-D28B6AF4A901}">
        <xltc2:checksum/>
        <xltc2:hyperlink startIndex="0" length="85" url="https://drive.google.com/file/d/14zgzcbX5rscIPoiB6Dj6fXlCfefAlJtt/view?usp=drive_link"/>
        <xltc2:hyperlink startIndex="86" length="85" url="https://drive.google.com/file/d/1UZr8ug9Mux_jUcsTeBs1cL-1ypFB6Lag/view?usp=drive_link"/>
      </ext>
    </x18tc:extLst>
  </x18tc:threadedComment>
  <x18tc:threadedComment ref="C345" dT="2025-11-26T16:24:18.00" personId="{a5d43f6d-3c72-4414-b012-8f52ef50acc4}" id="{36b9d14b-45b1-4d67-9509-d8c2b260e5d4}" done="0">
    <x18tc:text xml:space="preserve">https://www.ebay.com/itm/297569202248?_skw=laptop+gaming&amp;itmmeta=01KB0DCEBH3J8XWK1M4B49T1FP&amp;hash=item454881b048:g:QHcAAeSwe1RpJxWZ</x18tc:text>
    <x18tc:extLst>
      <ext uri="{F7C98A9C-CBB3-438F-8F68-D28B6AF4A901}">
        <xltc2:checksum/>
        <xltc2:hyperlink startIndex="0" length="130" url="https://www.ebay.com/itm/297569202248?_skw=laptop+gaming&amp;itmmeta=01KB0DCEBH3J8XWK1M4B49T1FP&amp;hash=item454881b048:g:QHcAAeSwe1RpJxWZ"/>
      </ext>
    </x18tc:extLst>
  </x18tc:threadedComment>
  <x18tc:threadedComment ref="J231" dT="2025-09-13T17:35:12.00" personId="{4df2d6c4-e43e-4f2e-b623-d90f458472ff}" id="{dd646fb8-7255-40c2-bc2b-552a8a434713}" done="0">
    <x18tc:text xml:space="preserve">https://drive.google.com/file/d/1NTaZDoqHadJRSbFM4M7NTnzHUlX9YthT/view?usp=drive_link</x18tc:text>
    <x18tc:extLst>
      <ext uri="{F7C98A9C-CBB3-438F-8F68-D28B6AF4A901}">
        <xltc2:checksum/>
        <xltc2:hyperlink startIndex="0" length="85" url="https://drive.google.com/file/d/1NTaZDoqHadJRSbFM4M7NTnzHUlX9YthT/view?usp=drive_link"/>
      </ext>
    </x18tc:extLst>
  </x18tc:threadedComment>
  <x18tc:threadedComment ref="Q617" dT="2026-03-24T17:48:40.00" personId="{80195d68-4e9b-4dc7-a031-ca5391c97d0f}" id="{46d81491-714b-4c77-8246-8e8501346536}" done="0">
    <x18tc:text xml:space="preserve">apertura + config inicial+ revit+autocad+antivirus</x18tc:text>
  </x18tc:threadedComment>
  <x18tc:threadedComment ref="AI728" dT="2026-06-03T15:22:39.00" personId="{7d9bea4b-cfe7-4c29-b483-8e83a1c4f52a}" id="{d5b4158d-0852-4f2e-8b0a-82a91c968fb2}" done="0">
    <x18tc:text xml:space="preserve">https://drive.google.com/file/d/1lLPzHEK2BIlg75HN6jBTsNz-z06gkhLG/view?usp=drive_link</x18tc:text>
    <x18tc:extLst>
      <ext uri="{F7C98A9C-CBB3-438F-8F68-D28B6AF4A901}">
        <xltc2:checksum/>
        <xltc2:hyperlink startIndex="0" length="85" url="https://drive.google.com/file/d/1lLPzHEK2BIlg75HN6jBTsNz-z06gkhLG/view?usp=drive_link"/>
      </ext>
    </x18tc:extLst>
  </x18tc:threadedComment>
  <x18tc:threadedComment ref="C22" dT="2025-04-21T17:12:29.00" personId="{a5d43f6d-3c72-4414-b012-8f52ef50acc4}" id="{310a28f7-0e70-44ed-95b4-f1a1d7edcaf4}" done="0">
    <x18tc:text xml:space="preserve">https://www.bhphotovideo.com/c/product/1881482-REG/asus_g713pi_xb96_17_3_rog_strix_g17.html</x18tc:text>
    <x18tc:extLst>
      <ext uri="{F7C98A9C-CBB3-438F-8F68-D28B6AF4A901}">
        <xltc2:checksum/>
        <xltc2:hyperlink startIndex="0" length="91" url="https://www.bhphotovideo.com/c/product/1881482-REG/asus_g713pi_xb96_17_3_rog_strix_g17.html"/>
      </ext>
    </x18tc:extLst>
  </x18tc:threadedComment>
  <x18tc:threadedComment ref="J758" dT="2026-05-28T20:59:52.00" personId="{d8e4f5ad-b65d-4160-a56f-197530fb7eb1}" id="{d10e6bb5-8de4-4c54-96b7-95218ce183ab}" done="0">
    <x18tc:text xml:space="preserve">https://drive.google.com/file/d/15FUNrbN2aS1rXH0M3JuMAQNYOXcNxfIn/view?usp=drive_link</x18tc:text>
    <x18tc:extLst>
      <ext uri="{F7C98A9C-CBB3-438F-8F68-D28B6AF4A901}">
        <xltc2:checksum/>
        <xltc2:hyperlink startIndex="0" length="85" url="https://drive.google.com/file/d/15FUNrbN2aS1rXH0M3JuMAQNYOXcNxfIn/view?usp=drive_link"/>
      </ext>
    </x18tc:extLst>
  </x18tc:threadedComment>
  <x18tc:threadedComment ref="J636" dT="2026-03-24T17:14:10.00" personId="{f9b224d0-ee33-4499-ae47-db5bcd2d0435}" id="{27806ec8-bc31-46e6-94b8-f700e4a5f885}" done="0">
    <x18tc:text xml:space="preserve">https://drive.google.com/file/d/181W3JxnnZYaPvqXgtn7Zo8NYac-lLUIU/view?usp=drive_link</x18tc:text>
    <x18tc:extLst>
      <ext uri="{F7C98A9C-CBB3-438F-8F68-D28B6AF4A901}">
        <xltc2:checksum/>
        <xltc2:hyperlink startIndex="0" length="85" url="https://drive.google.com/file/d/181W3JxnnZYaPvqXgtn7Zo8NYac-lLUIU/view?usp=drive_link"/>
      </ext>
    </x18tc:extLst>
  </x18tc:threadedComment>
  <x18tc:threadedComment ref="C520" dT="2026-02-05T16:07:35.00" personId="{d8e4f5ad-b65d-4160-a56f-197530fb7eb1}" id="{efe60c92-c573-49f8-a073-78c018065b4d}"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L22" dT="2025-04-21T17:14:04.00" personId="{a5d43f6d-3c72-4414-b012-8f52ef50acc4}" id="{0eefb079-1008-4cb9-a10e-87bd0843bae5}" done="0">
    <x18tc:text xml:space="preserve">agregué 70 soles para configuración inicial. Quizás le pueda vender licencias después
Edit: le vendí 150 soles en licencia, se agregó al voucher final</x18tc:text>
  </x18tc:threadedComment>
  <x18tc:threadedComment ref="J757" dT="2026-05-28T20:59:51.00" personId="{d8e4f5ad-b65d-4160-a56f-197530fb7eb1}" id="{63403e66-9833-469e-a33c-01c59c8d3366}" done="0">
    <x18tc:text xml:space="preserve">https://drive.google.com/file/d/15FUNrbN2aS1rXH0M3JuMAQNYOXcNxfIn/view?usp=drive_link</x18tc:text>
    <x18tc:extLst>
      <ext uri="{F7C98A9C-CBB3-438F-8F68-D28B6AF4A901}">
        <xltc2:checksum/>
        <xltc2:hyperlink startIndex="0" length="85" url="https://drive.google.com/file/d/15FUNrbN2aS1rXH0M3JuMAQNYOXcNxfIn/view?usp=drive_link"/>
      </ext>
    </x18tc:extLst>
  </x18tc:threadedComment>
  <x18tc:threadedComment ref="C636" dT="2026-03-24T17:08:22.00" personId="{f9b224d0-ee33-4499-ae47-db5bcd2d0435}" id="{d1c7dbf9-f1ae-41f8-ad6c-f85199ec93a5}" done="0">
    <x18tc:text xml:space="preserve">https://www.costco.com/p/-/lenovo-legion-5i-16-gaming-laptop-intel-core-ultra-9-275hx-geforce-rtx-5060-wqxga-2560x1600-windows-11-home-32gb-ram-1tb-ssd/4000380973?langId=-1</x18tc:text>
    <x18tc:extLst>
      <ext uri="{F7C98A9C-CBB3-438F-8F68-D28B6AF4A901}">
        <xltc2:checksum/>
        <xltc2:hyperlink startIndex="0" length="172" url="https://www.costco.com/p/-/lenovo-legion-5i-16-gaming-laptop-intel-core-ultra-9-275hx-geforce-rtx-5060-wqxga-2560x1600-windows-11-home-32gb-ram-1tb-ssd/4000380973?langId=-1"/>
      </ext>
    </x18tc:extLst>
  </x18tc:threadedComment>
  <x18tc:threadedComment ref="J520" dT="2026-02-05T16:07:17.00" personId="{d8e4f5ad-b65d-4160-a56f-197530fb7eb1}" id="{6a1f49e2-8d90-46a0-a4dc-1902c10233cd}" done="0">
    <x18tc:text xml:space="preserve">https://drive.google.com/file/d/1ebaPGT3pEYOqbUU8a-uv3utH8rn0BNVL/view?usp=drive_link</x18tc:text>
    <x18tc:extLst>
      <ext uri="{F7C98A9C-CBB3-438F-8F68-D28B6AF4A901}">
        <xltc2:checksum/>
        <xltc2:hyperlink startIndex="0" length="85" url="https://drive.google.com/file/d/1ebaPGT3pEYOqbUU8a-uv3utH8rn0BNVL/view?usp=drive_link"/>
      </ext>
    </x18tc:extLst>
  </x18tc:threadedComment>
  <x18tc:threadedComment ref="K785" dT="2026-06-27T15:45:42.00" personId="{f9b224d0-ee33-4499-ae47-db5bcd2d0435}" id="{d6d32102-4d34-4187-9fec-dbec176c5ba6}" done="0">
    <x18tc:text xml:space="preserve">https://drive.google.com/file/d/1Dh-g0X0KIP4OfQavOmGv5TYD30McuQxX/view?usp=drive_link</x18tc:text>
    <x18tc:extLst>
      <ext uri="{F7C98A9C-CBB3-438F-8F68-D28B6AF4A901}">
        <xltc2:checksum/>
        <xltc2:hyperlink startIndex="0" length="85" url="https://drive.google.com/file/d/1Dh-g0X0KIP4OfQavOmGv5TYD30McuQxX/view?usp=drive_link"/>
      </ext>
    </x18tc:extLst>
  </x18tc:threadedComment>
  <x18tc:threadedComment ref="K785" dT="2026-06-27T15:47:22.00" personId="{f9b224d0-ee33-4499-ae47-db5bcd2d0435}" id="{e562e5b7-c732-4f0f-81bd-376ba7dac457}" parentId="{d6d32102-4d34-4187-9fec-dbec176c5ba6}">
    <x18tc:text xml:space="preserve">https://drive.google.com/file/d/1KgRdTiWXV2TupTZd_ljX8k3Jo95XUd_n/view?usp=drive_link</x18tc:text>
    <x18tc:extLst>
      <ext uri="{F7C98A9C-CBB3-438F-8F68-D28B6AF4A901}">
        <xltc2:checksum/>
        <xltc2:hyperlink startIndex="0" length="85" url="https://drive.google.com/file/d/1KgRdTiWXV2TupTZd_ljX8k3Jo95XUd_n/view?usp=drive_link"/>
      </ext>
    </x18tc:extLst>
  </x18tc:threadedComment>
  <x18tc:threadedComment ref="K785" dT="2026-06-27T15:48:41.00" personId="{f9b224d0-ee33-4499-ae47-db5bcd2d0435}" id="{bc1d9e91-2e76-4894-896a-002b09b87d51}" parentId="{d6d32102-4d34-4187-9fec-dbec176c5ba6}">
    <x18tc:text xml:space="preserve">https://drive.google.com/file/d/1V-uYuZVos69Q646yfytO-UxWoshj5Ub8/view?usp=drive_link</x18tc:text>
    <x18tc:extLst>
      <ext uri="{F7C98A9C-CBB3-438F-8F68-D28B6AF4A901}">
        <xltc2:checksum/>
        <xltc2:hyperlink startIndex="0" length="85" url="https://drive.google.com/file/d/1V-uYuZVos69Q646yfytO-UxWoshj5Ub8/view?usp=drive_link"/>
      </ext>
    </x18tc:extLst>
  </x18tc:threadedComment>
  <x18tc:threadedComment ref="K785" dT="2026-06-27T15:49:13.00" personId="{f9b224d0-ee33-4499-ae47-db5bcd2d0435}" id="{1a28fbe1-3da3-4801-81a2-6473052d5799}" parentId="{d6d32102-4d34-4187-9fec-dbec176c5ba6}">
    <x18tc:text xml:space="preserve">https://drive.google.com/file/d/1rALZkZ3SYHWyN1OdgndWVN_mb6k3hBNn/view?usp=drive_link</x18tc:text>
    <x18tc:extLst>
      <ext uri="{F7C98A9C-CBB3-438F-8F68-D28B6AF4A901}">
        <xltc2:checksum/>
        <xltc2:hyperlink startIndex="0" length="85" url="https://drive.google.com/file/d/1rALZkZ3SYHWyN1OdgndWVN_mb6k3hBNn/view?usp=drive_link"/>
      </ext>
    </x18tc:extLst>
  </x18tc:threadedComment>
  <x18tc:threadedComment ref="K785" dT="2026-06-27T15:50:59.00" personId="{f9b224d0-ee33-4499-ae47-db5bcd2d0435}" id="{43e2418e-f198-4aa5-a9ac-f2b74c707748}" parentId="{d6d32102-4d34-4187-9fec-dbec176c5ba6}">
    <x18tc:text xml:space="preserve">https://drive.google.com/file/d/1VfubxAWP5vb_2jD3jD2Z8rNXI7lFxv4_/view?usp=drive_link</x18tc:text>
    <x18tc:extLst>
      <ext uri="{F7C98A9C-CBB3-438F-8F68-D28B6AF4A901}">
        <xltc2:checksum/>
        <xltc2:hyperlink startIndex="0" length="85" url="https://drive.google.com/file/d/1VfubxAWP5vb_2jD3jD2Z8rNXI7lFxv4_/view?usp=drive_link"/>
      </ext>
    </x18tc:extLst>
  </x18tc:threadedComment>
  <x18tc:threadedComment ref="K785" dT="2026-06-27T15:51:45.00" personId="{f9b224d0-ee33-4499-ae47-db5bcd2d0435}" id="{a56903ee-c77c-4528-b652-d8cccb8cb153}" parentId="{d6d32102-4d34-4187-9fec-dbec176c5ba6}">
    <x18tc:text xml:space="preserve">https://drive.google.com/file/d/12UCAcnAUDgr8bmH_yXuO2-CFh3jMmKsv/view?usp=drive_link</x18tc:text>
    <x18tc:extLst>
      <ext uri="{F7C98A9C-CBB3-438F-8F68-D28B6AF4A901}">
        <xltc2:checksum/>
        <xltc2:hyperlink startIndex="0" length="85" url="https://drive.google.com/file/d/12UCAcnAUDgr8bmH_yXuO2-CFh3jMmKsv/view?usp=drive_link"/>
      </ext>
    </x18tc:extLst>
  </x18tc:threadedComment>
  <x18tc:threadedComment ref="K785" dT="2026-06-27T15:52:44.00" personId="{f9b224d0-ee33-4499-ae47-db5bcd2d0435}" id="{ccef5744-cccd-449d-b401-47f7f6076f04}" parentId="{d6d32102-4d34-4187-9fec-dbec176c5ba6}">
    <x18tc:text xml:space="preserve">https://drive.google.com/file/d/1Q03Dk2ynIFstHbB6SzS0zYwhVe5iGt05/view?usp=drive_link</x18tc:text>
    <x18tc:extLst>
      <ext uri="{F7C98A9C-CBB3-438F-8F68-D28B6AF4A901}">
        <xltc2:checksum/>
        <xltc2:hyperlink startIndex="0" length="85" url="https://drive.google.com/file/d/1Q03Dk2ynIFstHbB6SzS0zYwhVe5iGt05/view?usp=drive_link"/>
      </ext>
    </x18tc:extLst>
  </x18tc:threadedComment>
  <x18tc:threadedComment ref="K785" dT="2026-06-27T15:53:15.00" personId="{f9b224d0-ee33-4499-ae47-db5bcd2d0435}" id="{84e52ed9-3e0d-4c73-a645-4b24da709ea9}" parentId="{d6d32102-4d34-4187-9fec-dbec176c5ba6}">
    <x18tc:text xml:space="preserve">https://drive.google.com/file/d/14BZq1u-D7AHl9Lh030U6Qyyx58g1uEvn/view?usp=drive_link</x18tc:text>
    <x18tc:extLst>
      <ext uri="{F7C98A9C-CBB3-438F-8F68-D28B6AF4A901}">
        <xltc2:checksum/>
        <xltc2:hyperlink startIndex="0" length="85" url="https://drive.google.com/file/d/14BZq1u-D7AHl9Lh030U6Qyyx58g1uEvn/view?usp=drive_link"/>
      </ext>
    </x18tc:extLst>
  </x18tc:threadedComment>
  <x18tc:threadedComment ref="K753" dT="2026-06-03T22:31:33.00" personId="{d8e4f5ad-b65d-4160-a56f-197530fb7eb1}" id="{b347fc7b-33c4-4f05-a06e-94d56fc2fb25}" done="0">
    <x18tc:text xml:space="preserve">https://drive.google.com/file/d/1gaezE47w2DWPqga13V4ITquq-6aZ5LP_/view?usp=drive_link</x18tc:text>
    <x18tc:extLst>
      <ext uri="{F7C98A9C-CBB3-438F-8F68-D28B6AF4A901}">
        <xltc2:checksum/>
        <xltc2:hyperlink startIndex="0" length="85" url="https://drive.google.com/file/d/1gaezE47w2DWPqga13V4ITquq-6aZ5LP_/view?usp=drive_link"/>
      </ext>
    </x18tc:extLst>
  </x18tc:threadedComment>
  <x18tc:threadedComment ref="J116" dT="2025-07-11T00:35:31.00" personId="{d8e4f5ad-b65d-4160-a56f-197530fb7eb1}" id="{f6c27261-87c7-46ad-812a-05df14f01b50}" done="0">
    <x18tc:text xml:space="preserve">https://drive.google.com/file/d/17qOFJ1ybIY2XsjH3loogCCLfuEWixiqx/view?usp=drive_link</x18tc:text>
    <x18tc:extLst>
      <ext uri="{F7C98A9C-CBB3-438F-8F68-D28B6AF4A901}">
        <xltc2:checksum/>
        <xltc2:hyperlink startIndex="0" length="85" url="https://drive.google.com/file/d/17qOFJ1ybIY2XsjH3loogCCLfuEWixiqx/view?usp=drive_link"/>
      </ext>
    </x18tc:extLst>
  </x18tc:threadedComment>
  <x18tc:threadedComment ref="K745" dT="2026-06-03T17:34:24.00" personId="{d8e4f5ad-b65d-4160-a56f-197530fb7eb1}" id="{7d32da1d-0286-4b64-be25-407975f78b8c}" done="0">
    <x18tc:text xml:space="preserve">https://drive.google.com/file/d/1zYHmgofM4A8CKwzLp4wgHKABQz_fFjGX/view?usp=drive_link</x18tc:text>
    <x18tc:extLst>
      <ext uri="{F7C98A9C-CBB3-438F-8F68-D28B6AF4A901}">
        <xltc2:checksum/>
        <xltc2:hyperlink startIndex="0" length="85" url="https://drive.google.com/file/d/1zYHmgofM4A8CKwzLp4wgHKABQz_fFjGX/view?usp=drive_link"/>
      </ext>
    </x18tc:extLst>
  </x18tc:threadedComment>
  <x18tc:threadedComment ref="AI745" dT="2026-06-03T22:11:13.00" personId="{7d9bea4b-cfe7-4c29-b483-8e83a1c4f52a}" id="{5c48f021-5454-473f-85d2-dc26adf2d8ba}" done="0">
    <x18tc:text xml:space="preserve">https://drive.google.com/file/d/1MryE0CschSlw5OWyGLY4p-a73S2S8Gte/view?usp=drive_link</x18tc:text>
    <x18tc:extLst>
      <ext uri="{F7C98A9C-CBB3-438F-8F68-D28B6AF4A901}">
        <xltc2:checksum/>
        <xltc2:hyperlink startIndex="0" length="85" url="https://drive.google.com/file/d/1MryE0CschSlw5OWyGLY4p-a73S2S8Gte/view?usp=drive_link"/>
      </ext>
    </x18tc:extLst>
  </x18tc:threadedComment>
  <x18tc:threadedComment ref="L164" dT="2025-08-25T22:42:13.00" personId="{a5d43f6d-3c72-4414-b012-8f52ef50acc4}" id="{8e4ea392-d23e-4b0d-94c3-62999f6ea7ae}" done="0">
    <x18tc:text xml:space="preserve">https://drive.google.com/file/d/1XAHErJ-vF-Sfxf0TnLeTrK7mumOH9nou/view?usp=drive_link</x18tc:text>
    <x18tc:extLst>
      <ext uri="{F7C98A9C-CBB3-438F-8F68-D28B6AF4A901}">
        <xltc2:checksum/>
        <xltc2:hyperlink startIndex="0" length="85" url="https://drive.google.com/file/d/1XAHErJ-vF-Sfxf0TnLeTrK7mumOH9nou/view?usp=drive_link"/>
      </ext>
    </x18tc:extLst>
  </x18tc:threadedComment>
  <x18tc:threadedComment ref="K694" dT="2026-05-25T15:37:32.00" personId="{80195d68-4e9b-4dc7-a031-ca5391c97d0f}" id="{861cff43-3309-4b4a-8451-4a538e863a3b}" done="0">
    <x18tc:text xml:space="preserve">https://drive.google.com/file/d/1snBb9nmnr4pSX9aXX_T6g49YQFqbiZqE/view?usp=drive_link pago final + mouse + licencia</x18tc:text>
    <x18tc:extLst>
      <ext uri="{F7C98A9C-CBB3-438F-8F68-D28B6AF4A901}">
        <xltc2:checksum/>
        <xltc2:hyperlink startIndex="0" length="85" url="https://drive.google.com/file/d/1snBb9nmnr4pSX9aXX_T6g49YQFqbiZqE/view?usp=drive_link"/>
      </ext>
    </x18tc:extLst>
  </x18tc:threadedComment>
  <x18tc:threadedComment ref="K774" dT="2026-06-24T20:05:10.00" personId="{f9b224d0-ee33-4499-ae47-db5bcd2d0435}" id="{0054a9af-d99d-4c1f-aac6-4a8b4ad2e992}" done="0">
    <x18tc:text xml:space="preserve">https://drive.google.com/file/d/1DHNAAxJTvGfPwN95OEIH8yvfoNCS0Wul/view?usp=drive_link</x18tc:text>
    <x18tc:extLst>
      <ext uri="{F7C98A9C-CBB3-438F-8F68-D28B6AF4A901}">
        <xltc2:checksum/>
        <xltc2:hyperlink startIndex="0" length="85" url="https://drive.google.com/file/d/1DHNAAxJTvGfPwN95OEIH8yvfoNCS0Wul/view?usp=drive_link"/>
      </ext>
    </x18tc:extLst>
  </x18tc:threadedComment>
  <x18tc:threadedComment ref="C635" dT="2026-03-24T14:59:11.00" personId="{f9b224d0-ee33-4499-ae47-db5bcd2d0435}" id="{a8984b30-be29-44f1-8493-b5b8d4d5c339}" done="0">
    <x18tc:text xml:space="preserve">https://www.costco.com/p/-/lenovo-legion-5i-16-gaming-laptop-intel-core-ultra-9-275hx-geforce-rtx-5060-wqxga-2560x1600-windows-11-home-32gb-ram-1tb-ssd/4000380973?langId=-1</x18tc:text>
    <x18tc:extLst>
      <ext uri="{F7C98A9C-CBB3-438F-8F68-D28B6AF4A901}">
        <xltc2:checksum/>
        <xltc2:hyperlink startIndex="0" length="172" url="https://www.costco.com/p/-/lenovo-legion-5i-16-gaming-laptop-intel-core-ultra-9-275hx-geforce-rtx-5060-wqxga-2560x1600-windows-11-home-32gb-ram-1tb-ssd/4000380973?langId=-1"/>
      </ext>
    </x18tc:extLst>
  </x18tc:threadedComment>
  <x18tc:threadedComment ref="J261" dT="2025-10-04T18:45:05.00" personId="{d8e4f5ad-b65d-4160-a56f-197530fb7eb1}" id="{ff466c50-ec25-4507-8ba4-08774f9a9219}" done="0">
    <x18tc:text xml:space="preserve">https://drive.google.com/file/d/1JKbFE9BdR_26-gWbfUGvcxJjWVyA8_Hl/view?usp=drive_link</x18tc:text>
    <x18tc:extLst>
      <ext uri="{F7C98A9C-CBB3-438F-8F68-D28B6AF4A901}">
        <xltc2:checksum/>
        <xltc2:hyperlink startIndex="0" length="85" url="https://drive.google.com/file/d/1JKbFE9BdR_26-gWbfUGvcxJjWVyA8_Hl/view?usp=drive_link"/>
      </ext>
    </x18tc:extLst>
  </x18tc:threadedComment>
  <x18tc:threadedComment ref="V795" dT="2026-06-24T19:59:32.00" personId="{2ddfa542-8116-4937-a057-08470d7abaab}" id="{cee1e81d-ac06-472d-bf22-6b2f1c2d8c56}" done="0">
    <x18tc:text xml:space="preserve">lo rellenó  a nombre de su enamorad</x18tc:text>
  </x18tc:threadedComment>
  <x18tc:threadedComment ref="K570" dT="2026-03-04T23:30:52.00" personId="{f9b224d0-ee33-4499-ae47-db5bcd2d0435}" id="{dbe89d4b-08b8-479d-bdf3-270ed65d721a}" done="0">
    <x18tc:text xml:space="preserve">https://drive.google.com/file/d/1WZc0m4noRiqmcFDAgw1Ok9B4M4yjUluG/view?usp=drive_link</x18tc:text>
    <x18tc:extLst>
      <ext uri="{F7C98A9C-CBB3-438F-8F68-D28B6AF4A901}">
        <xltc2:checksum/>
        <xltc2:hyperlink startIndex="0" length="85" url="https://drive.google.com/file/d/1WZc0m4noRiqmcFDAgw1Ok9B4M4yjUluG/view?usp=drive_link"/>
      </ext>
    </x18tc:extLst>
  </x18tc:threadedComment>
  <x18tc:threadedComment ref="J260" dT="2025-10-04T18:45:47.00" personId="{d8e4f5ad-b65d-4160-a56f-197530fb7eb1}" id="{3fc2b0fb-f14e-47c8-a774-e270ebf35e8f}" done="0">
    <x18tc:text xml:space="preserve">https://drive.google.com/file/d/150cQA0OpAvoRJwozrk3fKvWiASd_O_vM/view?usp=drive_link</x18tc:text>
    <x18tc:extLst>
      <ext uri="{F7C98A9C-CBB3-438F-8F68-D28B6AF4A901}">
        <xltc2:checksum/>
        <xltc2:hyperlink startIndex="0" length="85" url="https://drive.google.com/file/d/150cQA0OpAvoRJwozrk3fKvWiASd_O_vM/view?usp=drive_link"/>
      </ext>
    </x18tc:extLst>
  </x18tc:threadedComment>
  <x18tc:threadedComment ref="AF759" dT="2026-06-24T07:47:30.00" personId="{2ddfa542-8116-4937-a057-08470d7abaab}" id="{60252079-62ec-4b2b-8071-10f2e68718b3}" done="0">
    <x18tc:text xml:space="preserve">Excedentes, vental final, fixit</x18tc:text>
  </x18tc:threadedComment>
  <x18tc:threadedComment ref="J635" dT="2026-03-24T15:03:30.00" personId="{f9b224d0-ee33-4499-ae47-db5bcd2d0435}" id="{7eb9abf6-e2cb-4d7f-a426-079df667e59c}" done="0">
    <x18tc:text xml:space="preserve">https://drive.google.com/file/d/1M1V-CSBPymHQdqLfoQUfiZ1q0oBo7pL-/view?usp=drive_link</x18tc:text>
    <x18tc:extLst>
      <ext uri="{F7C98A9C-CBB3-438F-8F68-D28B6AF4A901}">
        <xltc2:checksum/>
        <xltc2:hyperlink startIndex="0" length="85" url="https://drive.google.com/file/d/1M1V-CSBPymHQdqLfoQUfiZ1q0oBo7pL-/view?usp=drive_link"/>
      </ext>
    </x18tc:extLst>
  </x18tc:threadedComment>
  <x18tc:threadedComment ref="C586" dT="2026-03-04T23:36:42.00" personId="{4df2d6c4-e43e-4f2e-b623-d90f458472ff}" id="{e75d58e7-6cb2-46b5-aded-73a3cee9051a}"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242" dT="2025-10-04T19:59:40.00" personId="{d8e4f5ad-b65d-4160-a56f-197530fb7eb1}" id="{ea24e5f5-284e-4367-bf3b-a88b288b2da5}" done="0">
    <x18tc:text xml:space="preserve">https://drive.google.com/file/d/1a5kG632gvFgwqHevh4sCdwhI7H7HeUEV/view?usp=drive_link</x18tc:text>
    <x18tc:extLst>
      <ext uri="{F7C98A9C-CBB3-438F-8F68-D28B6AF4A901}">
        <xltc2:checksum/>
        <xltc2:hyperlink startIndex="0" length="85" url="https://drive.google.com/file/d/1a5kG632gvFgwqHevh4sCdwhI7H7HeUEV/view?usp=drive_link"/>
      </ext>
    </x18tc:extLst>
  </x18tc:threadedComment>
  <x18tc:threadedComment ref="L242" dT="2025-10-04T19:59:55.00" personId="{d8e4f5ad-b65d-4160-a56f-197530fb7eb1}" id="{2e9e7e94-450c-4323-b7f1-e73541be067f}" parentId="{ea24e5f5-284e-4367-bf3b-a88b288b2da5}">
    <x18tc:text xml:space="preserve">https://drive.google.com/file/d/1lFqLs0ABayfcy1gb6zyDOZrKMmvFW8dR/view?usp=drive_link</x18tc:text>
    <x18tc:extLst>
      <ext uri="{F7C98A9C-CBB3-438F-8F68-D28B6AF4A901}">
        <xltc2:checksum/>
        <xltc2:hyperlink startIndex="0" length="85" url="https://drive.google.com/file/d/1lFqLs0ABayfcy1gb6zyDOZrKMmvFW8dR/view?usp=drive_link"/>
      </ext>
    </x18tc:extLst>
  </x18tc:threadedComment>
  <x18tc:threadedComment ref="L124" dT="2025-08-08T20:04:43.00" personId="{d8e4f5ad-b65d-4160-a56f-197530fb7eb1}" id="{c24ecd5c-caed-4a91-a551-b1cc2cb36a87}" done="0">
    <x18tc:text xml:space="preserve">https://drive.google.com/file/d/14elcHTlo9JpAIeE_2aaU8MPHVt1S2vGh/view?usp=drive_link</x18tc:text>
    <x18tc:extLst>
      <ext uri="{F7C98A9C-CBB3-438F-8F68-D28B6AF4A901}">
        <xltc2:checksum/>
        <xltc2:hyperlink startIndex="0" length="85" url="https://drive.google.com/file/d/14elcHTlo9JpAIeE_2aaU8MPHVt1S2vGh/view?usp=drive_link"/>
      </ext>
    </x18tc:extLst>
  </x18tc:threadedComment>
  <x18tc:threadedComment ref="A1" dT="2025-06-25T17:17:05.00" personId="{a5d43f6d-3c72-4414-b012-8f52ef50acc4}" id="{8bd7f88e-a466-4687-8857-4ec696f8f54d}" done="0">
    <x18tc:text xml:space="preserve">https://drive.google.com/file/d/1nJEIdECvX8WAp3HtJfb7DVSwd3tVLu7o/view?usp=drive_link</x18tc:text>
    <x18tc:extLst>
      <ext uri="{F7C98A9C-CBB3-438F-8F68-D28B6AF4A901}">
        <xltc2:checksum/>
        <xltc2:hyperlink startIndex="0" length="85" url="https://drive.google.com/file/d/1nJEIdECvX8WAp3HtJfb7DVSwd3tVLu7o/view?usp=drive_link"/>
      </ext>
    </x18tc:extLst>
  </x18tc:threadedComment>
  <x18tc:threadedComment ref="T701" dT="2026-06-24T19:48:26.00" personId="{2ddfa542-8116-4937-a057-08470d7abaab}" id="{152a8005-01e7-4999-924d-937e52a631ac}" done="0">
    <x18tc:text xml:space="preserve">se le saco el excedente por sobreprecio</x18tc:text>
  </x18tc:threadedComment>
  <x18tc:threadedComment ref="L73" dT="2025-06-25T18:41:12.00" personId="{a5d43f6d-3c72-4414-b012-8f52ef50acc4}" id="{afd791e7-6cf4-4fc1-a1d6-61f122767406}" done="0">
    <x18tc:text xml:space="preserve">https://drive.google.com/file/d/1cTYbpZX34dt8_90791IF6bo-tD9XZQ8h/view?usp=drive_link</x18tc:text>
    <x18tc:extLst>
      <ext uri="{F7C98A9C-CBB3-438F-8F68-D28B6AF4A901}">
        <xltc2:checksum/>
        <xltc2:hyperlink startIndex="0" length="85" url="https://drive.google.com/file/d/1cTYbpZX34dt8_90791IF6bo-tD9XZQ8h/view?usp=drive_link"/>
      </ext>
    </x18tc:extLst>
  </x18tc:threadedComment>
  <x18tc:threadedComment ref="AI742" dT="2026-06-03T15:19:50.00" personId="{7d9bea4b-cfe7-4c29-b483-8e83a1c4f52a}" id="{e5f3de01-088d-461f-b81b-ef8396e7972f}" done="0">
    <x18tc:text xml:space="preserve">https://drive.google.com/file/d/1MhCVQAAI7FfPJMgIHga8lrP67jrLJS3f/view?usp=drive_link</x18tc:text>
    <x18tc:extLst>
      <ext uri="{F7C98A9C-CBB3-438F-8F68-D28B6AF4A901}">
        <xltc2:checksum/>
        <xltc2:hyperlink startIndex="0" length="85" url="https://drive.google.com/file/d/1MhCVQAAI7FfPJMgIHga8lrP67jrLJS3f/view?usp=drive_link"/>
      </ext>
    </x18tc:extLst>
  </x18tc:threadedComment>
  <x18tc:threadedComment ref="K543" dT="2026-03-04T23:28:12.00" personId="{f9b224d0-ee33-4499-ae47-db5bcd2d0435}" id="{060006a9-f615-4577-a6d7-a2ebdd68fb37}" done="0">
    <x18tc:text xml:space="preserve">https://drive.google.com/file/d/1ktW4G5BPm6vszWc9As8O5yaFAUh0o_BF/view?usp=drive_link</x18tc:text>
    <x18tc:extLst>
      <ext uri="{F7C98A9C-CBB3-438F-8F68-D28B6AF4A901}">
        <xltc2:checksum/>
        <xltc2:hyperlink startIndex="0" length="85" url="https://drive.google.com/file/d/1ktW4G5BPm6vszWc9As8O5yaFAUh0o_BF/view?usp=drive_link"/>
      </ext>
    </x18tc:extLst>
  </x18tc:threadedComment>
  <x18tc:threadedComment ref="AF227" dT="2025-10-04T20:20:35.00" personId="{2ddfa542-8116-4937-a057-08470d7abaab}" id="{20447a67-ba6e-4a39-8043-92e27e0909ea}" done="1">
    <x18tc:text xml:space="preserve">Fixis</x18tc:text>
  </x18tc:threadedComment>
  <x18tc:threadedComment ref="K785" dT="2026-06-27T15:41:55.00" personId="{f9b224d0-ee33-4499-ae47-db5bcd2d0435}" id="{619ff9d4-e9da-41b5-956a-64a3a59ecca3}" done="1">
    <x18tc:text xml:space="preserve">https://drive.google.com/file/d/1Dh-g0X0KIP4OfQavOmGv5TYD30McuQxX/view?usp=drive_link</x18tc:text>
    <x18tc:extLst>
      <ext uri="{F7C98A9C-CBB3-438F-8F68-D28B6AF4A901}">
        <xltc2:checksum/>
        <xltc2:hyperlink startIndex="0" length="85" url="https://drive.google.com/file/d/1Dh-g0X0KIP4OfQavOmGv5TYD30McuQxX/view?usp=drive_link"/>
      </ext>
    </x18tc:extLst>
  </x18tc:threadedComment>
  <x18tc:threadedComment ref="AF231" dT="2025-10-04T20:22:26.00" personId="{2ddfa542-8116-4937-a057-08470d7abaab}" id="{dc0a89f6-8fbc-4f92-bce1-e1c7ca730197}" done="0">
    <x18tc:text xml:space="preserve">venta final, fixit y boleta</x18tc:text>
  </x18tc:threadedComment>
  <x18tc:threadedComment ref="L121" dT="2025-08-08T20:06:16.00" personId="{d8e4f5ad-b65d-4160-a56f-197530fb7eb1}" id="{535ef6ed-d4a1-4595-b192-39bce10490ba}" done="0">
    <x18tc:text xml:space="preserve">https://drive.google.com/file/d/1xUf1-LqLsp4Ivc4zJ8Q6IyMYYPxeeK9I/view?usp=drive_link</x18tc:text>
    <x18tc:extLst>
      <ext uri="{F7C98A9C-CBB3-438F-8F68-D28B6AF4A901}">
        <xltc2:checksum/>
        <xltc2:hyperlink startIndex="0" length="85" url="https://drive.google.com/file/d/1xUf1-LqLsp4Ivc4zJ8Q6IyMYYPxeeK9I/view?usp=drive_link"/>
      </ext>
    </x18tc:extLst>
  </x18tc:threadedComment>
  <x18tc:threadedComment ref="W299" dT="2025-12-01T21:01:49.00" personId="{2ddfa542-8116-4937-a057-08470d7abaab}" id="{5754f9ca-6519-4996-85b4-69d6a6c4c66b}" done="0">
    <x18tc:text xml:space="preserve">https://drive.google.com/file/d/12UHovtg5ceHFMrGIwJ9YQHR4j9wjJNts/view?usp=drive_link</x18tc:text>
    <x18tc:extLst>
      <ext uri="{F7C98A9C-CBB3-438F-8F68-D28B6AF4A901}">
        <xltc2:checksum/>
        <xltc2:hyperlink startIndex="0" length="85" url="https://drive.google.com/file/d/12UHovtg5ceHFMrGIwJ9YQHR4j9wjJNts/view?usp=drive_link"/>
      </ext>
    </x18tc:extLst>
  </x18tc:threadedComment>
  <x18tc:threadedComment ref="AF753" dT="2026-05-25T05:36:54.00" personId="{2ddfa542-8116-4937-a057-08470d7abaab}" id="{a6370f37-5101-42d3-a9bd-29040d1c0013}" done="1">
    <x18tc:text xml:space="preserve">Pago final, Fixit, excedentes</x18tc:text>
  </x18tc:threadedComment>
  <x18tc:threadedComment ref="AI807" dT="2026-06-30T17:49:26.00" personId="{7d9bea4b-cfe7-4c29-b483-8e83a1c4f52a}" id="{e9082d14-4c53-4b61-becd-51e8fb584251}" done="0">
    <x18tc:text xml:space="preserve">https://drive.google.com/file/d/1wvlCE_pC_F3k-U-VVfA0sEUKSxzvknl3/view?usp=drive_link</x18tc:text>
    <x18tc:extLst>
      <ext uri="{F7C98A9C-CBB3-438F-8F68-D28B6AF4A901}">
        <xltc2:checksum/>
        <xltc2:hyperlink startIndex="0" length="85" url="https://drive.google.com/file/d/1wvlCE_pC_F3k-U-VVfA0sEUKSxzvknl3/view?usp=drive_link"/>
      </ext>
    </x18tc:extLst>
  </x18tc:threadedComment>
  <x18tc:threadedComment ref="T710" dT="2026-06-24T19:54:56.00" personId="{2ddfa542-8116-4937-a057-08470d7abaab}" id="{a3c58f4f-064d-4225-ba90-a52b236c8911}" done="0">
    <x18tc:text xml:space="preserve">se le saco el excedente por sobreprecio</x18tc:text>
  </x18tc:threadedComment>
  <x18tc:threadedComment ref="AI724" dT="2026-06-30T17:51:05.00" personId="{7d9bea4b-cfe7-4c29-b483-8e83a1c4f52a}" id="{f2d23a05-1c10-4714-b214-19f1061b2e94}" done="0">
    <x18tc:text xml:space="preserve">https://drive.google.com/file/d/1TMawmtqqjv87x-pSga3yo6IEQikxvuwQ/view?usp=drive_link</x18tc:text>
    <x18tc:extLst>
      <ext uri="{F7C98A9C-CBB3-438F-8F68-D28B6AF4A901}">
        <xltc2:checksum/>
        <xltc2:hyperlink startIndex="0" length="85" url="https://drive.google.com/file/d/1TMawmtqqjv87x-pSga3yo6IEQikxvuwQ/view?usp=drive_link"/>
      </ext>
    </x18tc:extLst>
  </x18tc:threadedComment>
  <x18tc:threadedComment ref="J96" dT="2025-06-18T00:36:59.00" personId="{d8e4f5ad-b65d-4160-a56f-197530fb7eb1}" id="{74743a73-1fc6-4f49-8395-ef6a22b389fa}" done="0">
    <x18tc:text xml:space="preserve">https://drive.google.com/file/d/1rT2b3sOY44eloEkuv43mVSVMRlCxzbY2/view?usp=drive_link</x18tc:text>
    <x18tc:extLst>
      <ext uri="{F7C98A9C-CBB3-438F-8F68-D28B6AF4A901}">
        <xltc2:checksum/>
        <xltc2:hyperlink startIndex="0" length="85" url="https://drive.google.com/file/d/1rT2b3sOY44eloEkuv43mVSVMRlCxzbY2/view?usp=drive_link"/>
      </ext>
    </x18tc:extLst>
  </x18tc:threadedComment>
  <x18tc:threadedComment ref="W367" dT="2025-12-01T21:38:19.00" personId="{2ddfa542-8116-4937-a057-08470d7abaab}" id="{8b5eeb09-3ea8-436d-8a54-cc3bc12d6527}" done="0">
    <x18tc:text xml:space="preserve">https://drive.google.com/file/d/1l7asw_s7Vy34lL8WltR0x2Voz-4gshsh/view?usp=drive_link</x18tc:text>
    <x18tc:extLst>
      <ext uri="{F7C98A9C-CBB3-438F-8F68-D28B6AF4A901}">
        <xltc2:checksum/>
        <xltc2:hyperlink startIndex="0" length="85" url="https://drive.google.com/file/d/1l7asw_s7Vy34lL8WltR0x2Voz-4gshsh/view?usp=drive_link"/>
      </ext>
    </x18tc:extLst>
  </x18tc:threadedComment>
  <x18tc:threadedComment ref="J392" dT="2025-12-05T17:45:01.00" personId="{d8e4f5ad-b65d-4160-a56f-197530fb7eb1}" id="{ff5c87cb-8774-41c4-8e07-952a628cdd0d}" done="0">
    <x18tc:text xml:space="preserve">https://drive.google.com/file/d/1kpeUu9ME-0ISOPzPGo-yUY0pDes278hN/view?usp=drive_link</x18tc:text>
    <x18tc:extLst>
      <ext uri="{F7C98A9C-CBB3-438F-8F68-D28B6AF4A901}">
        <xltc2:checksum/>
        <xltc2:hyperlink startIndex="0" length="85" url="https://drive.google.com/file/d/1kpeUu9ME-0ISOPzPGo-yUY0pDes278hN/view?usp=drive_link"/>
      </ext>
    </x18tc:extLst>
  </x18tc:threadedComment>
  <x18tc:threadedComment ref="J392" dT="2025-12-05T17:45:16.00" personId="{d8e4f5ad-b65d-4160-a56f-197530fb7eb1}" id="{63d7291c-7ba5-497d-be48-235619eae520}" parentId="{ff5c87cb-8774-41c4-8e07-952a628cdd0d}">
    <x18tc:text xml:space="preserve">https://drive.google.com/file/d/1-bBcPIfe_8ZDP5yVXjx9rGLZmqPJctDb/view?usp=drive_link</x18tc:text>
    <x18tc:extLst>
      <ext uri="{F7C98A9C-CBB3-438F-8F68-D28B6AF4A901}">
        <xltc2:checksum/>
        <xltc2:hyperlink startIndex="0" length="85" url="https://drive.google.com/file/d/1-bBcPIfe_8ZDP5yVXjx9rGLZmqPJctDb/view?usp=drive_link"/>
      </ext>
    </x18tc:extLst>
  </x18tc:threadedComment>
  <x18tc:threadedComment ref="J392" dT="2025-12-05T17:45:29.00" personId="{d8e4f5ad-b65d-4160-a56f-197530fb7eb1}" id="{9e8fdbf3-46f0-4b8c-8e74-b294ec72e7e1}" parentId="{ff5c87cb-8774-41c4-8e07-952a628cdd0d}">
    <x18tc:text xml:space="preserve">https://drive.google.com/file/d/1V5jHEZOnCgHS--dzNv79ztsR3OxHi0-g/view?usp=drive_link</x18tc:text>
    <x18tc:extLst>
      <ext uri="{F7C98A9C-CBB3-438F-8F68-D28B6AF4A901}">
        <xltc2:checksum/>
        <xltc2:hyperlink startIndex="0" length="85" url="https://drive.google.com/file/d/1V5jHEZOnCgHS--dzNv79ztsR3OxHi0-g/view?usp=drive_link"/>
      </ext>
    </x18tc:extLst>
  </x18tc:threadedComment>
  <x18tc:threadedComment ref="L191" dT="2025-09-13T16:16:01.00" personId="{a5d43f6d-3c72-4414-b012-8f52ef50acc4}" id="{0006882c-6800-4b88-9355-0222a3eba40b}" done="0">
    <x18tc:text xml:space="preserve">https://drive.google.com/file/d/1ErmssXxRp_KOn-FBF1sbup8fQnKXIVly/view?usp=drive_link</x18tc:text>
    <x18tc:extLst>
      <ext uri="{F7C98A9C-CBB3-438F-8F68-D28B6AF4A901}">
        <xltc2:checksum/>
        <xltc2:hyperlink startIndex="0" length="85" url="https://drive.google.com/file/d/1ErmssXxRp_KOn-FBF1sbup8fQnKXIVly/view?usp=drive_link"/>
      </ext>
    </x18tc:extLst>
  </x18tc:threadedComment>
  <x18tc:threadedComment ref="J384" dT="2025-12-02T00:36:36.00" personId="{4df2d6c4-e43e-4f2e-b623-d90f458472ff}" id="{aee425c9-d758-4794-a9d5-07a8e6b19fc3}" done="0">
    <x18tc:text xml:space="preserve">https://drive.google.com/file/d/1wITYlJ3Br8LFySM4Zh8kbiZEjpIsf8xs/view?usp=drive_link</x18tc:text>
    <x18tc:extLst>
      <ext uri="{F7C98A9C-CBB3-438F-8F68-D28B6AF4A901}">
        <xltc2:checksum/>
        <xltc2:hyperlink startIndex="0" length="85" url="https://drive.google.com/file/d/1wITYlJ3Br8LFySM4Zh8kbiZEjpIsf8xs/view?usp=drive_link"/>
      </ext>
    </x18tc:extLst>
  </x18tc:threadedComment>
  <x18tc:threadedComment ref="W382" dT="2025-12-01T23:35:11.00" personId="{2ddfa542-8116-4937-a057-08470d7abaab}" id="{0b811370-d526-46b5-83f0-0738fe328497}" done="0">
    <x18tc:text xml:space="preserve">https://drive.google.com/file/d/1x-8kUvk5rEpsechTUOnTaVsM1YCty5lH/view?usp=drive_link</x18tc:text>
    <x18tc:extLst>
      <ext uri="{F7C98A9C-CBB3-438F-8F68-D28B6AF4A901}">
        <xltc2:checksum/>
        <xltc2:hyperlink startIndex="0" length="85" url="https://drive.google.com/file/d/1x-8kUvk5rEpsechTUOnTaVsM1YCty5lH/view?usp=drive_link"/>
      </ext>
    </x18tc:extLst>
  </x18tc:threadedComment>
  <x18tc:threadedComment ref="W377" dT="2025-12-02T01:14:48.00" personId="{4df2d6c4-e43e-4f2e-b623-d90f458472ff}" id="{28e5ac68-ac40-4303-8b63-2f715ae6b9f2}" done="0">
    <x18tc:text xml:space="preserve">https://drive.google.com/file/d/1pPNSvkxD9NmB8pZz_8WOkvyeL0_GI2nq/view?usp=drive_link</x18tc:text>
    <x18tc:extLst>
      <ext uri="{F7C98A9C-CBB3-438F-8F68-D28B6AF4A901}">
        <xltc2:checksum/>
        <xltc2:hyperlink startIndex="0" length="85" url="https://drive.google.com/file/d/1pPNSvkxD9NmB8pZz_8WOkvyeL0_GI2nq/view?usp=drive_link"/>
      </ext>
    </x18tc:extLst>
  </x18tc:threadedComment>
  <x18tc:threadedComment ref="J564" dT="2026-02-23T19:22:36.00" personId="{68efe3e3-8b68-4e02-81e2-a29fa228b211}" id="{53545a6f-6ddd-4882-a1fa-5573bad3aaf3}" done="0">
    <x18tc:text xml:space="preserve">https://drive.google.com/file/d/1Lh87qgEUk2o6sOx8LhsYu4YWe-MPJlbJ/view?usp=drive_link</x18tc:text>
    <x18tc:extLst>
      <ext uri="{F7C98A9C-CBB3-438F-8F68-D28B6AF4A901}">
        <xltc2:checksum/>
        <xltc2:hyperlink startIndex="0" length="85" url="https://drive.google.com/file/d/1Lh87qgEUk2o6sOx8LhsYu4YWe-MPJlbJ/view?usp=drive_link"/>
      </ext>
    </x18tc:extLst>
  </x18tc:threadedComment>
  <x18tc:threadedComment ref="C749" dT="2026-05-19T00:02:56.00" personId="{4df2d6c4-e43e-4f2e-b623-d90f458472ff}" id="{106cd911-04ed-48c9-9095-f15d066be571}" done="0">
    <x18tc:text xml:space="preserve">https://www.ebay.com/itm/326796273689?_skw=ZEPHYRUS+g16&amp;itmmeta=01KRYQR6MTE8WXSGC08JVKV53D&amp;hash=item4c16936819:g:FgYAAeSwtppqC3Eu&amp;itmprp=enc%3AAQALAAAA8GfYFPkwiKCW4ZNSs2u11xAZ9LKD%2BMjI4GfnMeiBi3bYLl6XqpSbdc6cRFoYbicl2DPoYvw6nsNqAH9em1Vny2vybePiGHc6W3A9sH71CURznMMqZ9NNd1eTQTaXE7rXPl40Ads0jNDyjTTgV7cS1PmpIZsEJegkpWazI%2FOpc%2FJTLXyIE60ZQBQ7Ql3ZTovzCKUc2Yv3sS5DJSdLtEW5Ca5V5gk2sChqqJvvxTJOg3p6z%2F5yV%2FYWfQ6aQAwx82ii2P30UuivINrmeh4fVCdXViTOUf8bEaTlmwP43dlRfLQi5MLzssn0q%2BOz3Ca%2BBz39Sw%3D%3D%7Ctkp%3ABk9SR8zq4NfHZw</x18tc:text>
    <x18tc:extLst>
      <ext uri="{F7C98A9C-CBB3-438F-8F68-D28B6AF4A901}">
        <xltc2:checksum/>
        <xltc2:hyperlink startIndex="0" length="516" url="https://www.ebay.com/itm/326796273689?_skw=ZEPHYRUS+g16&amp;itmmeta=01KRYQR6MTE8WXSGC08JVKV53D&amp;hash=item4c16936819:g:FgYAAeSwtppqC3Eu&amp;itmprp=enc%3AAQALAAAA8GfYFPkwiKCW4ZNSs2u11xAZ9LKD%2BMjI4GfnMeiBi3bYLl6XqpSbdc6cRFoYbicl2DPoYvw6nsNqAH9em1Vny2vybePiGHc6W3A9sH71CURznMMqZ9NNd1eTQTaXE7rXPl40Ads0jNDyjTTgV7cS1PmpIZsEJegkpWazI%2FOpc%2FJTLXyIE60ZQBQ7Ql3ZTovzCKUc2Yv3sS5DJSdLtEW5Ca5V5gk2sChqqJvvxTJOg3p6z%2F5yV%2FYWfQ6aQAwx82ii2P30UuivINrmeh4fVCdXViTOUf8bEaTlmwP43dlRfLQi5MLzssn0q%2BOz3Ca%2BBz39Sw%3D%3D%7Ctkp%3ABk9SR8zq4NfHZw"/>
      </ext>
    </x18tc:extLst>
  </x18tc:threadedComment>
  <x18tc:threadedComment ref="Q565" dT="2026-02-23T20:15:50.00" personId="{a5d43f6d-3c72-4414-b012-8f52ef50acc4}" id="{83528c97-4d72-4338-8809-b97c84df23f7}" done="0">
    <x18tc:text xml:space="preserve">apertura + configuración iniical con formateo + eset nod 32 + windows 11 pro + office 2024</x18tc:text>
  </x18tc:threadedComment>
  <x18tc:threadedComment ref="C380" dT="2025-12-01T23:15:48.00" personId="{d8e4f5ad-b65d-4160-a56f-197530fb7eb1}" id="{c49ca94f-08b1-45d0-a14c-1e557fc6324d}" done="0">
    <x18tc:text xml:space="preserve">https://www.ebay.com/itm/306295101642</x18tc:text>
    <x18tc:extLst>
      <ext uri="{F7C98A9C-CBB3-438F-8F68-D28B6AF4A901}">
        <xltc2:checksum/>
        <xltc2:hyperlink startIndex="0" length="37" url="https://www.ebay.com/itm/306295101642"/>
      </ext>
    </x18tc:extLst>
  </x18tc:threadedComment>
  <x18tc:threadedComment ref="J565" dT="2026-02-23T20:14:42.00" personId="{a5d43f6d-3c72-4414-b012-8f52ef50acc4}" id="{47cc4af1-ea64-4075-a828-d6f731e88897}" done="0">
    <x18tc:text xml:space="preserve">https://drive.google.com/file/d/1HhkXxnuy1eVHzBxTs6BMsPhaWnyUbrdy/view?usp=drive_link</x18tc:text>
    <x18tc:extLst>
      <ext uri="{F7C98A9C-CBB3-438F-8F68-D28B6AF4A901}">
        <xltc2:checksum/>
        <xltc2:hyperlink startIndex="0" length="85" url="https://drive.google.com/file/d/1HhkXxnuy1eVHzBxTs6BMsPhaWnyUbrdy/view?usp=drive_link"/>
      </ext>
    </x18tc:extLst>
  </x18tc:threadedComment>
  <x18tc:threadedComment ref="K382" dT="2025-12-01T23:21:22.00" personId="{d8e4f5ad-b65d-4160-a56f-197530fb7eb1}" id="{a602c74a-0cec-41e5-91b0-e2415012c51e}" done="0">
    <x18tc:text xml:space="preserve">https://drive.google.com/file/d/1Y_3ZY3PiYD6gvmqjjyE0Qx5NHnGolKzZ/view?usp=drive_link</x18tc:text>
    <x18tc:extLst>
      <ext uri="{F7C98A9C-CBB3-438F-8F68-D28B6AF4A901}">
        <xltc2:checksum/>
        <xltc2:hyperlink startIndex="0" length="85" url="https://drive.google.com/file/d/1Y_3ZY3PiYD6gvmqjjyE0Qx5NHnGolKzZ/view?usp=drive_link"/>
      </ext>
    </x18tc:extLst>
  </x18tc:threadedComment>
  <x18tc:threadedComment ref="K382" dT="2026-01-08T00:28:36.00" personId="{d8e4f5ad-b65d-4160-a56f-197530fb7eb1}" id="{89274733-51a0-4500-80e9-11ce3f9ee14d}" parentId="{a602c74a-0cec-41e5-91b0-e2415012c51e}">
    <x18tc:text xml:space="preserve">https://drive.google.com/file/d/1lveELd1kwSvaXZoUfmIPCjG5SoofDgpG/view?usp=drive_link</x18tc:text>
    <x18tc:extLst>
      <ext uri="{F7C98A9C-CBB3-438F-8F68-D28B6AF4A901}">
        <xltc2:checksum/>
        <xltc2:hyperlink startIndex="0" length="85" url="https://drive.google.com/file/d/1lveELd1kwSvaXZoUfmIPCjG5SoofDgpG/view?usp=drive_link"/>
      </ext>
    </x18tc:extLst>
  </x18tc:threadedComment>
  <x18tc:threadedComment ref="AF740" dT="2026-05-25T05:36:28.00" personId="{2ddfa542-8116-4937-a057-08470d7abaab}" id="{c7a950af-9ca8-4db8-bfb3-f5436972e681}" done="1">
    <x18tc:text xml:space="preserve">Pago final, Fixit, excedentes</x18tc:text>
  </x18tc:threadedComment>
  <x18tc:threadedComment ref="J375" dT="2025-12-02T00:01:10.00" personId="{4df2d6c4-e43e-4f2e-b623-d90f458472ff}" id="{572dcb3b-6682-4ade-a101-f831d7584eb8}" done="0">
    <x18tc:text xml:space="preserve">https://drive.google.com/file/d/1k5eL5BTUsZ-xaQ9Ywx7umYHbAweyhVk9/view?usp=drive_link</x18tc:text>
    <x18tc:extLst>
      <ext uri="{F7C98A9C-CBB3-438F-8F68-D28B6AF4A901}">
        <xltc2:checksum/>
        <xltc2:hyperlink startIndex="0" length="85" url="https://drive.google.com/file/d/1k5eL5BTUsZ-xaQ9Ywx7umYHbAweyhVk9/view?usp=drive_link"/>
      </ext>
    </x18tc:extLst>
  </x18tc:threadedComment>
  <x18tc:threadedComment ref="C96" dT="2025-06-18T00:30:57.00" personId="{d8e4f5ad-b65d-4160-a56f-197530fb7eb1}" id="{4c06cf82-4112-4cf8-8643-a90090c282d0}" done="0">
    <x18tc:text xml:space="preserve">https://www.amazon.com/dp/B0DM6SHQTN?ref=cm_sw_r_cso_wa_apin_dp_16CT9B1ZNPA4DSRP485R&amp;ref_=cm_sw_r_cso_wa_apin_dp_16CT9B1ZNPA4DSRP485R&amp;social_share=cm_sw_r_cso_wa_apin_dp_16CT9B1ZNPA4DSRP485R&amp;titleSource=avft-a&amp;previewDoh=1&amp;th=1</x18tc:text>
    <x18tc:extLst>
      <ext uri="{F7C98A9C-CBB3-438F-8F68-D28B6AF4A901}">
        <xltc2:checksum/>
        <xltc2:hyperlink startIndex="0" length="227" url="https://www.amazon.com/dp/B0DM6SHQTN?ref=cm_sw_r_cso_wa_apin_dp_16CT9B1ZNPA4DSRP485R&amp;ref_=cm_sw_r_cso_wa_apin_dp_16CT9B1ZNPA4DSRP485R&amp;social_share=cm_sw_r_cso_wa_apin_dp_16CT9B1ZNPA4DSRP485R&amp;titleSource=avft-a&amp;previewDoh=1&amp;th=1"/>
      </ext>
    </x18tc:extLst>
  </x18tc:threadedComment>
  <x18tc:threadedComment ref="AF726" dT="2026-05-25T05:35:46.00" personId="{2ddfa542-8116-4937-a057-08470d7abaab}" id="{01e4f68f-2237-49b5-a10d-fbb6830f826b}" done="0">
    <x18tc:text xml:space="preserve">Pago final, Fixit, excedentes</x18tc:text>
  </x18tc:threadedComment>
  <x18tc:threadedComment ref="AF741" dT="2026-05-25T05:36:32.00" personId="{2ddfa542-8116-4937-a057-08470d7abaab}" id="{e9b6f34e-877d-43c5-b3f9-fc4e9af05086}" done="1">
    <x18tc:text xml:space="preserve">Pago final, Fixit, excedentes</x18tc:text>
  </x18tc:threadedComment>
  <x18tc:threadedComment ref="K376" dT="2025-12-02T00:11:24.00" personId="{4df2d6c4-e43e-4f2e-b623-d90f458472ff}" id="{dc62faeb-3978-4582-ad19-bc257c48459a}" done="0">
    <x18tc:text xml:space="preserve">https://drive.google.com/file/d/15nGZ4ssqQcoWAIMqwiZnnrxrctfJcocB/view?usp=drive_link</x18tc:text>
    <x18tc:extLst>
      <ext uri="{F7C98A9C-CBB3-438F-8F68-D28B6AF4A901}">
        <xltc2:checksum/>
        <xltc2:hyperlink startIndex="0" length="85" url="https://drive.google.com/file/d/15nGZ4ssqQcoWAIMqwiZnnrxrctfJcocB/view?usp=drive_link"/>
      </ext>
    </x18tc:extLst>
  </x18tc:threadedComment>
  <x18tc:threadedComment ref="AF727" dT="2026-05-25T05:35:49.00" personId="{2ddfa542-8116-4937-a057-08470d7abaab}" id="{17e4750d-0c0f-4349-86b8-dc49e7505993}" done="0">
    <x18tc:text xml:space="preserve">Pago final, Fixit, excedentes</x18tc:text>
  </x18tc:threadedComment>
  <x18tc:threadedComment ref="J374" dT="2025-12-01T23:39:11.00" personId="{4df2d6c4-e43e-4f2e-b623-d90f458472ff}" id="{7feece72-ce7a-4f9a-9978-3911a619b039}" done="0">
    <x18tc:text xml:space="preserve">https://drive.google.com/file/d/1HLizlzRXAX8R1DN48GAqzSn8KKLz8gqv/view?usp=drive_link</x18tc:text>
    <x18tc:extLst>
      <ext uri="{F7C98A9C-CBB3-438F-8F68-D28B6AF4A901}">
        <xltc2:checksum/>
        <xltc2:hyperlink startIndex="0" length="85" url="https://drive.google.com/file/d/1HLizlzRXAX8R1DN48GAqzSn8KKLz8gqv/view?usp=drive_link"/>
      </ext>
    </x18tc:extLst>
  </x18tc:threadedComment>
  <x18tc:threadedComment ref="AF739" dT="2026-05-25T05:36:20.00" personId="{2ddfa542-8116-4937-a057-08470d7abaab}" id="{8f242634-4525-42ae-b894-f1266e3ef690}" done="1">
    <x18tc:text xml:space="preserve">Pago final, Fixit, excedentes</x18tc:text>
  </x18tc:threadedComment>
  <x18tc:threadedComment ref="K374" dT="2025-12-01T23:40:49.00" personId="{4df2d6c4-e43e-4f2e-b623-d90f458472ff}" id="{c5b270ee-28de-47f6-80d2-8dcd70c6fef2}" done="0">
    <x18tc:text xml:space="preserve">https://drive.google.com/file/d/1CRig67D7Cgh1IrPI21o3UboDDXgeSYu9/view?usp=drive_link</x18tc:text>
    <x18tc:extLst>
      <ext uri="{F7C98A9C-CBB3-438F-8F68-D28B6AF4A901}">
        <xltc2:checksum/>
        <xltc2:hyperlink startIndex="0" length="85" url="https://drive.google.com/file/d/1CRig67D7Cgh1IrPI21o3UboDDXgeSYu9/view?usp=drive_link"/>
      </ext>
    </x18tc:extLst>
  </x18tc:threadedComment>
  <x18tc:threadedComment ref="J47" dT="2025-05-13T00:26:38.00" personId="{a5d43f6d-3c72-4414-b012-8f52ef50acc4}" id="{b56c7fbc-fecb-4550-88d2-162f59126cbc}" done="0">
    <x18tc:text xml:space="preserve">https://drive.google.com/file/d/1xkoPiHOe_TRvQPvqHmYZLBoD_p28jh9L/view?usp=drive_link</x18tc:text>
    <x18tc:extLst>
      <ext uri="{F7C98A9C-CBB3-438F-8F68-D28B6AF4A901}">
        <xltc2:checksum/>
        <xltc2:hyperlink startIndex="0" length="85" url="https://drive.google.com/file/d/1xkoPiHOe_TRvQPvqHmYZLBoD_p28jh9L/view?usp=drive_link"/>
      </ext>
    </x18tc:extLst>
  </x18tc:threadedComment>
  <x18tc:threadedComment ref="AF745" dT="2026-05-25T05:36:44.00" personId="{2ddfa542-8116-4937-a057-08470d7abaab}" id="{89cd6abf-5bdf-4a21-93fa-9ddaae1d2f0b}" done="1">
    <x18tc:text xml:space="preserve">Pago final, Fixit, excedentes</x18tc:text>
  </x18tc:threadedComment>
  <x18tc:threadedComment ref="J730" dT="2026-05-22T23:37:26.00" personId="{4df2d6c4-e43e-4f2e-b623-d90f458472ff}" id="{7182904a-ddd7-421b-8dae-d5133f4c0737}" done="0">
    <x18tc:text xml:space="preserve">https://drive.google.com/file/d/1Jy-hRpULtyiNzphHniRKZj7eoo9tbCiC/view?usp=drive_link</x18tc:text>
    <x18tc:extLst>
      <ext uri="{F7C98A9C-CBB3-438F-8F68-D28B6AF4A901}">
        <xltc2:checksum/>
        <xltc2:hyperlink startIndex="0" length="85" url="https://drive.google.com/file/d/1Jy-hRpULtyiNzphHniRKZj7eoo9tbCiC/view?usp=drive_link"/>
      </ext>
    </x18tc:extLst>
  </x18tc:threadedComment>
  <x18tc:threadedComment ref="J434" dT="2025-12-26T17:03:24.00" personId="{a5d43f6d-3c72-4414-b012-8f52ef50acc4}" id="{056d5b64-1572-4dec-93f0-83d5cb77210a}" done="0">
    <x18tc:text xml:space="preserve">https://drive.google.com/file/d/1T7-TYwA_S2yq8DZsN6un3_QmFxksnv9J/view?usp=drive_link</x18tc:text>
    <x18tc:extLst>
      <ext uri="{F7C98A9C-CBB3-438F-8F68-D28B6AF4A901}">
        <xltc2:checksum/>
        <xltc2:hyperlink startIndex="0" length="85" url="https://drive.google.com/file/d/1T7-TYwA_S2yq8DZsN6un3_QmFxksnv9J/view?usp=drive_link"/>
      </ext>
    </x18tc:extLst>
  </x18tc:threadedComment>
  <x18tc:threadedComment ref="C47" dT="2025-05-13T00:25:31.00" personId="{a5d43f6d-3c72-4414-b012-8f52ef50acc4}" id="{0fa0a57c-2378-4def-a099-bbaaa0a5a2e7}" done="0">
    <x18tc:text xml:space="preserve">https://www.amazon.com/-/es/protectora-compatible-Alienware-port%C3%A1tiles-X8323/dp/B0CHVKBFFT/ref=sr_1_3?__mk_es_US=%C3%85M%C3%85%C5%BD%C3%95%C3%91&amp;crid=3NC61J2VWCCI2&amp;dib=eyJ2IjoiMSJ9.-wnK0O_jggm7I01V9DIrYXR2yN5VqKMh14EVx__5wPVtuWoWo5DXiYNK9zZXRBC2tPTzzSyknz7O3yMXekyf2fpAFGYOpyutye0cpl0d9ap6L6F_Z7Fwm1J08CEvuGwRgrrgImlV1wdfQQFSad9TG2r70nGAt_nJ3p3jGnUX8fGIcaRr4XYlqeXIHlRehswB8ohOb6iAllvEG_0c1W7rBFTShF5apXDAJEpFFp6X2C4.kzZF155y2sqYiRdE3ygwebEO6gNIxMUbdcKL4nd92_c&amp;dib_tag=se&amp;keywords=alienware%2Bx16%2Bcarcasa%2Bdura&amp;qid=1747087190&amp;sprefix=alienware%2Bx16%2Bcarcasa%2Bdura%2Caps%2C357&amp;sr=8-3&amp;th=1</x18tc:text>
    <x18tc:extLst>
      <ext uri="{F7C98A9C-CBB3-438F-8F68-D28B6AF4A901}">
        <xltc2:checksum/>
        <xltc2:hyperlink startIndex="0" length="598" url="https://www.amazon.com/-/es/protectora-compatible-Alienware-port%C3%A1tiles-X8323/dp/B0CHVKBFFT/ref=sr_1_3?__mk_es_US=%C3%85M%C3%85%C5%BD%C3%95%C3%91&amp;crid=3NC61J2VWCCI2&amp;dib=eyJ2IjoiMSJ9.-wnK0O_jggm7I01V9DIrYXR2yN5VqKMh14EVx__5wPVtuWoWo5DXiYNK9zZXRBC2tPTzzSyknz7O3yMXekyf2fpAFGYOpyutye0cpl0d9ap6L6F_Z7Fwm1J08CEvuGwRgrrgImlV1wdfQQFSad9TG2r70nGAt_nJ3p3jGnUX8fGIcaRr4XYlqeXIHlRehswB8ohOb6iAllvEG_0c1W7rBFTShF5apXDAJEpFFp6X2C4.kzZF155y2sqYiRdE3ygwebEO6gNIxMUbdcKL4nd92_c&amp;dib_tag=se&amp;keywords=alienware%2Bx16%2Bcarcasa%2Bdura&amp;qid=1747087190&amp;sprefix=alienware%2Bx16%2Bcarcasa%2Bdura%2Caps%2C357&amp;sr=8-3&amp;th=1"/>
      </ext>
    </x18tc:extLst>
  </x18tc:threadedComment>
  <x18tc:threadedComment ref="AF733" dT="2026-05-25T05:36:01.00" personId="{2ddfa542-8116-4937-a057-08470d7abaab}" id="{4f437153-8929-41c1-9c33-79c1097d75f7}" done="1">
    <x18tc:text xml:space="preserve">Pago final, Fixit, excedentes</x18tc:text>
  </x18tc:threadedComment>
  <x18tc:threadedComment ref="AF746" dT="2026-05-25T05:36:48.00" personId="{2ddfa542-8116-4937-a057-08470d7abaab}" id="{34fd4692-b5ae-4143-a010-4c3fd4440c6f}" done="1">
    <x18tc:text xml:space="preserve">Pago final, Fixit, excedentes</x18tc:text>
  </x18tc:threadedComment>
  <x18tc:threadedComment ref="J391" dT="2025-12-26T17:12:59.00" personId="{a5d43f6d-3c72-4414-b012-8f52ef50acc4}" id="{1a800350-df18-451b-9b89-f8c87e9bbd13}" done="0">
    <x18tc:text xml:space="preserve">https://drive.google.com/file/d/1wz_xrIfNAGxcZC5xcJAKiX9CywKTzPii/view?usp=drive_link</x18tc:text>
    <x18tc:extLst>
      <ext uri="{F7C98A9C-CBB3-438F-8F68-D28B6AF4A901}">
        <xltc2:checksum/>
        <xltc2:hyperlink startIndex="0" length="85" url="https://drive.google.com/file/d/1wz_xrIfNAGxcZC5xcJAKiX9CywKTzPii/view?usp=drive_link"/>
      </ext>
    </x18tc:extLst>
  </x18tc:threadedComment>
  <x18tc:threadedComment ref="AF734" dT="2026-05-25T05:36:05.00" personId="{2ddfa542-8116-4937-a057-08470d7abaab}" id="{b14ec05e-f2c9-4762-99f6-9c5b56ac741e}" done="0">
    <x18tc:text xml:space="preserve">Pago final, Fixit, excedentes</x18tc:text>
  </x18tc:threadedComment>
  <x18tc:threadedComment ref="AF742" dT="2026-05-25T05:36:36.00" personId="{2ddfa542-8116-4937-a057-08470d7abaab}" id="{e4f6b9c2-d52c-4690-8450-aafcd990705a}" done="1">
    <x18tc:text xml:space="preserve">Pago final, Fixit, excedentes</x18tc:text>
  </x18tc:threadedComment>
  <x18tc:threadedComment ref="K377" dT="2025-12-02T00:20:12.00" personId="{4df2d6c4-e43e-4f2e-b623-d90f458472ff}" id="{cf3913a5-8981-4f14-b974-23271ac98f89}" done="0">
    <x18tc:text xml:space="preserve">https://drive.google.com/file/d/1a-Mo3VZMdNSERT9Rigclc0ahGzRR1TBP/view?usp=drive_link</x18tc:text>
    <x18tc:extLst>
      <ext uri="{F7C98A9C-CBB3-438F-8F68-D28B6AF4A901}">
        <xltc2:checksum/>
        <xltc2:hyperlink startIndex="0" length="85" url="https://drive.google.com/file/d/1a-Mo3VZMdNSERT9Rigclc0ahGzRR1TBP/view?usp=drive_link"/>
      </ext>
    </x18tc:extLst>
  </x18tc:threadedComment>
  <x18tc:threadedComment ref="C124" dT="2025-07-16T15:43:28.00" personId="{d8e4f5ad-b65d-4160-a56f-197530fb7eb1}" id="{83932ca7-fa1e-4f32-9cbc-2e3a7cb4ad62}" done="0">
    <x18tc:text xml:space="preserve">https://shop.asus.com/us/90nr0ls1-m003k0-rog-strix-scar-18-2025.html?config=90NR0LS1-M003K0</x18tc:text>
    <x18tc:extLst>
      <ext uri="{F7C98A9C-CBB3-438F-8F68-D28B6AF4A901}">
        <xltc2:checksum/>
        <xltc2:hyperlink startIndex="0" length="91" url="https://shop.asus.com/us/90nr0ls1-m003k0-rog-strix-scar-18-2025.html?config=90NR0LS1-M003K0"/>
      </ext>
    </x18tc:extLst>
  </x18tc:threadedComment>
  <x18tc:threadedComment ref="AF728" dT="2026-05-25T05:35:54.00" personId="{2ddfa542-8116-4937-a057-08470d7abaab}" id="{b9fa5207-25af-414b-a7b7-d3bdd4260690}" done="0">
    <x18tc:text xml:space="preserve">Pago final, Fixit, excedentes</x18tc:text>
  </x18tc:threadedComment>
  <x18tc:threadedComment ref="AF743" dT="2026-05-25T05:36:40.00" personId="{2ddfa542-8116-4937-a057-08470d7abaab}" id="{0cb0a324-4492-47df-a468-4d556c71b694}" done="1">
    <x18tc:text xml:space="preserve">Pago final, Fixit, excedentes</x18tc:text>
  </x18tc:threadedComment>
  <x18tc:threadedComment ref="J124" dT="2025-07-16T15:45:54.00" personId="{d8e4f5ad-b65d-4160-a56f-197530fb7eb1}" id="{94422e65-522c-4cf9-9ab2-afc85e2bd697}" done="0">
    <x18tc:text xml:space="preserve">https://drive.google.com/file/d/1id2w9KjrRb-RkvosLs9sWwPFQcGREwJD/view?usp=drive_link</x18tc:text>
    <x18tc:extLst>
      <ext uri="{F7C98A9C-CBB3-438F-8F68-D28B6AF4A901}">
        <xltc2:checksum/>
        <xltc2:hyperlink startIndex="0" length="85" url="https://drive.google.com/file/d/1id2w9KjrRb-RkvosLs9sWwPFQcGREwJD/view?usp=drive_link"/>
      </ext>
    </x18tc:extLst>
  </x18tc:threadedComment>
  <x18tc:threadedComment ref="AF732" dT="2026-05-25T05:35:57.00" personId="{2ddfa542-8116-4937-a057-08470d7abaab}" id="{e2dca70b-d324-4c71-9bac-2273a772334d}" done="1">
    <x18tc:text xml:space="preserve">Pago final, Fixit, excedentes</x18tc:text>
  </x18tc:threadedComment>
  <x18tc:threadedComment ref="AF702" dT="2026-05-25T05:08:21.00" personId="{2ddfa542-8116-4937-a057-08470d7abaab}" id="{de42a81b-6421-48d2-850e-c673a9c3356d}" done="0">
    <x18tc:text xml:space="preserve">Pago final, Fixit, excedentes</x18tc:text>
  </x18tc:threadedComment>
  <x18tc:threadedComment ref="AF718" dT="2026-05-25T05:09:20.00" personId="{2ddfa542-8116-4937-a057-08470d7abaab}" id="{832b20bc-f61d-43f0-b52d-37b6f9e36fca}" done="0">
    <x18tc:text xml:space="preserve">Pago final, Fixit, excedentes</x18tc:text>
  </x18tc:threadedComment>
  <x18tc:threadedComment ref="AI736" dT="2026-06-30T18:00:33.00" personId="{7d9bea4b-cfe7-4c29-b483-8e83a1c4f52a}" id="{2181be49-2a95-45a6-b579-c18394848006}" done="0">
    <x18tc:text xml:space="preserve">https://drive.google.com/file/d/1GEC6ehYhYljtE2zDAhc4j4oX_qHhWigc/view?usp=drive_link</x18tc:text>
    <x18tc:extLst>
      <ext uri="{F7C98A9C-CBB3-438F-8F68-D28B6AF4A901}">
        <xltc2:checksum/>
        <xltc2:hyperlink startIndex="0" length="85" url="https://drive.google.com/file/d/1GEC6ehYhYljtE2zDAhc4j4oX_qHhWigc/view?usp=drive_link"/>
      </ext>
    </x18tc:extLst>
  </x18tc:threadedComment>
  <x18tc:threadedComment ref="J122" dT="2025-07-15T18:21:41.00" personId="{a5d43f6d-3c72-4414-b012-8f52ef50acc4}" id="{d2af370e-6347-4b49-b480-b5c4f6b3c5bb}" done="0">
    <x18tc:text xml:space="preserve">https://drive.google.com/file/d/1HNFgkds2IfZGKRXljB-CYxyo7_sUXbV9/view?usp=drive_link</x18tc:text>
    <x18tc:extLst>
      <ext uri="{F7C98A9C-CBB3-438F-8F68-D28B6AF4A901}">
        <xltc2:checksum/>
        <xltc2:hyperlink startIndex="0" length="85" url="https://drive.google.com/file/d/1HNFgkds2IfZGKRXljB-CYxyo7_sUXbV9/view?usp=drive_link"/>
      </ext>
    </x18tc:extLst>
  </x18tc:threadedComment>
  <x18tc:threadedComment ref="AF705" dT="2026-05-25T05:08:26.00" personId="{2ddfa542-8116-4937-a057-08470d7abaab}" id="{0634cb52-dee5-42ed-b77f-1d7cc49638e0}" done="1">
    <x18tc:text xml:space="preserve">Pago final, Fixit, excedentes</x18tc:text>
  </x18tc:threadedComment>
  <x18tc:threadedComment ref="AF719" dT="2026-05-25T05:09:24.00" personId="{2ddfa542-8116-4937-a057-08470d7abaab}" id="{3e4836fd-408e-4e70-a92f-0454a866c806}" done="0">
    <x18tc:text xml:space="preserve">Pago final, Fixit, excedentes</x18tc:text>
  </x18tc:threadedComment>
  <x18tc:threadedComment ref="N47" dT="2025-05-13T00:27:42.00" personId="{a5d43f6d-3c72-4414-b012-8f52ef50acc4}" id="{1693a439-7d53-423f-b92c-1acd4bd8c5fb}" done="0">
    <x18tc:text xml:space="preserve">le coticé con 45.99 xd</x18tc:text>
  </x18tc:threadedComment>
  <x18tc:threadedComment ref="AI764" dT="2026-06-30T18:01:44.00" personId="{7d9bea4b-cfe7-4c29-b483-8e83a1c4f52a}" id="{cc78066f-3045-4536-b850-f37cfd78cb7a}" done="0">
    <x18tc:text xml:space="preserve">https://drive.google.com/file/d/1ANXuEGwiBy9XSYf6OiLtwq7-EF9HHMz3/view?usp=drive_link</x18tc:text>
    <x18tc:extLst>
      <ext uri="{F7C98A9C-CBB3-438F-8F68-D28B6AF4A901}">
        <xltc2:checksum/>
        <xltc2:hyperlink startIndex="0" length="85" url="https://drive.google.com/file/d/1ANXuEGwiBy9XSYf6OiLtwq7-EF9HHMz3/view?usp=drive_link"/>
      </ext>
    </x18tc:extLst>
  </x18tc:threadedComment>
  <x18tc:threadedComment ref="K730" dT="2026-05-22T23:37:11.00" personId="{4df2d6c4-e43e-4f2e-b623-d90f458472ff}" id="{523d244a-1d72-46b0-8ba3-fa940668fa8e}" done="0">
    <x18tc:text xml:space="preserve">https://drive.google.com/file/d/1CZsDKWDZJwl5iHA71CDzW7F0q0RsYrtK/view?usp=drive_link</x18tc:text>
    <x18tc:extLst>
      <ext uri="{F7C98A9C-CBB3-438F-8F68-D28B6AF4A901}">
        <xltc2:checksum/>
        <xltc2:hyperlink startIndex="0" length="85" url="https://drive.google.com/file/d/1CZsDKWDZJwl5iHA71CDzW7F0q0RsYrtK/view?usp=drive_link"/>
      </ext>
    </x18tc:extLst>
  </x18tc:threadedComment>
  <x18tc:threadedComment ref="L215" dT="2025-09-22T23:52:25.00" personId="{a5d43f6d-3c72-4414-b012-8f52ef50acc4}" id="{08bfa64b-96c2-4812-bd86-f456033f4959}" done="0">
    <x18tc:text xml:space="preserve">https://drive.google.com/file/d/1OLNskYGYQVkgM-whp9Kd0ezfl6UHAqUZ/view?usp=drive_link</x18tc:text>
    <x18tc:extLst>
      <ext uri="{F7C98A9C-CBB3-438F-8F68-D28B6AF4A901}">
        <xltc2:checksum/>
        <xltc2:hyperlink startIndex="0" length="85" url="https://drive.google.com/file/d/1OLNskYGYQVkgM-whp9Kd0ezfl6UHAqUZ/view?usp=drive_link"/>
      </ext>
    </x18tc:extLst>
  </x18tc:threadedComment>
  <x18tc:threadedComment ref="AF643" dT="2026-04-26T18:17:08.00" personId="{2ddfa542-8116-4937-a057-08470d7abaab}" id="{b66a7e52-12a6-4b16-9db8-309c99285a3f}" done="1">
    <x18tc:text xml:space="preserve">venta final, excedentes, fixit</x18tc:text>
  </x18tc:threadedComment>
  <x18tc:threadedComment ref="AF701" dT="2026-05-25T05:08:16.00" personId="{2ddfa542-8116-4937-a057-08470d7abaab}" id="{dcf4e459-50d9-4b78-be35-859a3a9fa55b}" done="1">
    <x18tc:text xml:space="preserve">Pago final, Fixit, excedentes</x18tc:text>
  </x18tc:threadedComment>
  <x18tc:threadedComment ref="K676" dT="2026-05-22T23:29:07.00" personId="{4df2d6c4-e43e-4f2e-b623-d90f458472ff}" id="{86429cca-6a37-4d40-9048-fe92b72df2d7}" done="0">
    <x18tc:text xml:space="preserve">https://drive.google.com/file/d/16S55TSxq-G_EQuJJMNgI5B8qtlBPxbmR/view?usp=drive_link</x18tc:text>
    <x18tc:extLst>
      <ext uri="{F7C98A9C-CBB3-438F-8F68-D28B6AF4A901}">
        <xltc2:checksum/>
        <xltc2:hyperlink startIndex="0" length="85" url="https://drive.google.com/file/d/16S55TSxq-G_EQuJJMNgI5B8qtlBPxbmR/view?usp=drive_link"/>
      </ext>
    </x18tc:extLst>
  </x18tc:threadedComment>
  <x18tc:threadedComment ref="K676" dT="2026-05-22T23:29:26.00" personId="{4df2d6c4-e43e-4f2e-b623-d90f458472ff}" id="{c98b66ff-4d74-49ed-9b6e-7ccc1c8708ae}" parentId="{86429cca-6a37-4d40-9048-fe92b72df2d7}">
    <x18tc:text xml:space="preserve">https://drive.google.com/file/d/1-C703qICAW5ynCoLAwzhLDzD8qDQAit-/view?usp=drive_link</x18tc:text>
    <x18tc:extLst>
      <ext uri="{F7C98A9C-CBB3-438F-8F68-D28B6AF4A901}">
        <xltc2:checksum/>
        <xltc2:hyperlink startIndex="0" length="85" url="https://drive.google.com/file/d/1-C703qICAW5ynCoLAwzhLDzD8qDQAit-/view?usp=drive_link"/>
      </ext>
    </x18tc:extLst>
  </x18tc:threadedComment>
  <x18tc:threadedComment ref="AF716" dT="2026-05-25T05:09:03.00" personId="{2ddfa542-8116-4937-a057-08470d7abaab}" id="{2bfe0d85-8c42-457c-a1a5-4f624fce3472}" done="0">
    <x18tc:text xml:space="preserve">Pago final, Fixit, excedentes</x18tc:text>
  </x18tc:threadedComment>
  <x18tc:threadedComment ref="AF640" dT="2026-04-26T18:14:12.00" personId="{2ddfa542-8116-4937-a057-08470d7abaab}" id="{2fe9137b-c0b2-4297-96c0-7f644e83dda5}" done="1">
    <x18tc:text xml:space="preserve">venta final, excedentes, fixit</x18tc:text>
  </x18tc:threadedComment>
  <x18tc:threadedComment ref="AF710" dT="2026-05-25T05:08:38.00" personId="{2ddfa542-8116-4937-a057-08470d7abaab}" id="{246fb257-57da-4421-b905-1941fb693b48}" done="1">
    <x18tc:text xml:space="preserve">Pago final, Fixit, excedentes</x18tc:text>
  </x18tc:threadedComment>
  <x18tc:threadedComment ref="J239" dT="2025-09-22T20:44:34.00" personId="{d8e4f5ad-b65d-4160-a56f-197530fb7eb1}" id="{5a469a80-f847-45d9-9d3d-b4a4e85d63fb}" done="0">
    <x18tc:text xml:space="preserve">https://drive.google.com/file/d/1dksQUzpt0RKYp5GuzRepOVormVu9gjPW/view?usp=drive_link</x18tc:text>
    <x18tc:extLst>
      <ext uri="{F7C98A9C-CBB3-438F-8F68-D28B6AF4A901}">
        <xltc2:checksum/>
        <xltc2:hyperlink startIndex="0" length="85" url="https://drive.google.com/file/d/1dksQUzpt0RKYp5GuzRepOVormVu9gjPW/view?usp=drive_link"/>
      </ext>
    </x18tc:extLst>
  </x18tc:threadedComment>
  <x18tc:threadedComment ref="K587" dT="2026-03-25T00:19:15.00" personId="{d8e4f5ad-b65d-4160-a56f-197530fb7eb1}" id="{13ac66bd-db31-4f65-844b-53fb2b87e99a}" done="0">
    <x18tc:text xml:space="preserve">https://drive.google.com/file/d/1960pShx46zFET0xzol18xUBH9LiQOb5X/view?usp=drive_link</x18tc:text>
    <x18tc:extLst>
      <ext uri="{F7C98A9C-CBB3-438F-8F68-D28B6AF4A901}">
        <xltc2:checksum/>
        <xltc2:hyperlink startIndex="0" length="85" url="https://drive.google.com/file/d/1960pShx46zFET0xzol18xUBH9LiQOb5X/view?usp=drive_link"/>
      </ext>
    </x18tc:extLst>
  </x18tc:threadedComment>
  <x18tc:threadedComment ref="AF711" dT="2026-05-25T05:08:42.00" personId="{2ddfa542-8116-4937-a057-08470d7abaab}" id="{7fe7cd3a-9dd9-49a8-8192-8d124f30b4cf}" done="0">
    <x18tc:text xml:space="preserve">Pago final, Fixit, excedentes</x18tc:text>
  </x18tc:threadedComment>
  <x18tc:threadedComment ref="C591" dT="2026-03-07T17:47:18.00" personId="{4df2d6c4-e43e-4f2e-b623-d90f458472ff}" id="{fbf0cc61-8f06-4f83-ba44-9205ba30be4e}"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187" dT="2025-09-22T23:35:07.00" personId="{a5d43f6d-3c72-4414-b012-8f52ef50acc4}" id="{613f1ae2-f462-48ec-a7c6-788dd5eb4638}" done="0">
    <x18tc:text xml:space="preserve">https://drive.google.com/file/d/1rn3ml-TyEThvu7XOieBXgNpeiuyrlIwH/view?usp=drive_link</x18tc:text>
    <x18tc:extLst>
      <ext uri="{F7C98A9C-CBB3-438F-8F68-D28B6AF4A901}">
        <xltc2:checksum/>
        <xltc2:hyperlink startIndex="0" length="85" url="https://drive.google.com/file/d/1rn3ml-TyEThvu7XOieBXgNpeiuyrlIwH/view?usp=drive_link"/>
      </ext>
    </x18tc:extLst>
  </x18tc:threadedComment>
  <x18tc:threadedComment ref="AF725" dT="2026-05-25T05:35:40.00" personId="{2ddfa542-8116-4937-a057-08470d7abaab}" id="{89e43f4c-5f53-4406-8203-3431b4cd71fa}" done="0">
    <x18tc:text xml:space="preserve">Pago final, Fixit, excedentes</x18tc:text>
  </x18tc:threadedComment>
  <x18tc:threadedComment ref="K613" dT="2026-03-25T00:16:31.00" personId="{d8e4f5ad-b65d-4160-a56f-197530fb7eb1}" id="{1f48a6de-f873-45f6-a958-856736965426}" done="0">
    <x18tc:text xml:space="preserve">https://drive.google.com/file/d/15x0pLXmAA3lVqpNRBWullMbc2w9yr_wV/view?usp=drive_link</x18tc:text>
    <x18tc:extLst>
      <ext uri="{F7C98A9C-CBB3-438F-8F68-D28B6AF4A901}">
        <xltc2:checksum/>
        <xltc2:hyperlink startIndex="0" length="85" url="https://drive.google.com/file/d/15x0pLXmAA3lVqpNRBWullMbc2w9yr_wV/view?usp=drive_link"/>
      </ext>
    </x18tc:extLst>
  </x18tc:threadedComment>
  <x18tc:threadedComment ref="J314" dT="2025-11-18T15:37:33.00" personId="{d8e4f5ad-b65d-4160-a56f-197530fb7eb1}" id="{f2b55a92-0080-4ed2-8003-730af27660f5}" done="0">
    <x18tc:text xml:space="preserve">https://drive.google.com/file/d/1jOny2iY_2geeBRlVPyTlJlPW-i5opE18/view?usp=drive_link</x18tc:text>
    <x18tc:extLst>
      <ext uri="{F7C98A9C-CBB3-438F-8F68-D28B6AF4A901}">
        <xltc2:checksum/>
        <xltc2:hyperlink startIndex="0" length="85" url="https://drive.google.com/file/d/1jOny2iY_2geeBRlVPyTlJlPW-i5opE18/view?usp=drive_link"/>
      </ext>
    </x18tc:extLst>
  </x18tc:threadedComment>
  <x18tc:threadedComment ref="J314" dT="2025-11-18T15:37:57.00" personId="{d8e4f5ad-b65d-4160-a56f-197530fb7eb1}" id="{ab25af9a-f95f-47d0-956b-81339e0fcdc7}" parentId="{f2b55a92-0080-4ed2-8003-730af27660f5}">
    <x18tc:text xml:space="preserve">https://drive.google.com/file/d/1rulo0zb9U5egEC4IBgzX-MAV0Pe1p2av/view?usp=drive_link</x18tc:text>
    <x18tc:extLst>
      <ext uri="{F7C98A9C-CBB3-438F-8F68-D28B6AF4A901}">
        <xltc2:checksum/>
        <xltc2:hyperlink startIndex="0" length="85" url="https://drive.google.com/file/d/1rulo0zb9U5egEC4IBgzX-MAV0Pe1p2av/view?usp=drive_link"/>
      </ext>
    </x18tc:extLst>
  </x18tc:threadedComment>
  <x18tc:threadedComment ref="L219" dT="2025-09-25T02:16:38.00" personId="{4df2d6c4-e43e-4f2e-b623-d90f458472ff}" id="{27278a41-9cac-4c63-b882-95341081ce45}" done="0">
    <x18tc:text xml:space="preserve">https://drive.google.com/file/d/1u80daO20HmU7OI3RxsIFNhz0IF70exKm/view?usp=drive_link</x18tc:text>
    <x18tc:extLst>
      <ext uri="{F7C98A9C-CBB3-438F-8F68-D28B6AF4A901}">
        <xltc2:checksum/>
        <xltc2:hyperlink startIndex="0" length="85" url="https://drive.google.com/file/d/1u80daO20HmU7OI3RxsIFNhz0IF70exKm/view?usp=drive_link"/>
      </ext>
    </x18tc:extLst>
  </x18tc:threadedComment>
  <x18tc:threadedComment ref="AF706" dT="2026-05-25T05:08:30.00" personId="{2ddfa542-8116-4937-a057-08470d7abaab}" id="{70ddf027-518b-4192-8486-0359712308a5}" done="0">
    <x18tc:text xml:space="preserve">Pago final, Fixit, excedentes</x18tc:text>
  </x18tc:threadedComment>
  <x18tc:threadedComment ref="W199" dT="2025-09-22T20:10:03.00" personId="{d8e4f5ad-b65d-4160-a56f-197530fb7eb1}" id="{a6a3423d-9f6e-4923-bcac-429daea3bc86}" done="0">
    <x18tc:text xml:space="preserve">https://drive.google.com/file/d/12vOg9TPRYRvR3FBdkMpqjgX4VVr0UWji/view?usp=drive_link</x18tc:text>
    <x18tc:extLst>
      <ext uri="{F7C98A9C-CBB3-438F-8F68-D28B6AF4A901}">
        <xltc2:checksum/>
        <xltc2:hyperlink startIndex="0" length="85" url="https://drive.google.com/file/d/12vOg9TPRYRvR3FBdkMpqjgX4VVr0UWji/view?usp=drive_link"/>
      </ext>
    </x18tc:extLst>
  </x18tc:threadedComment>
  <x18tc:threadedComment ref="AF720" dT="2026-05-25T05:09:29.00" personId="{2ddfa542-8116-4937-a057-08470d7abaab}" id="{b4120423-401c-462e-bff1-f19397a9d8bf}" done="0">
    <x18tc:text xml:space="preserve">Pago final, Fixit, excedentes</x18tc:text>
  </x18tc:threadedComment>
  <x18tc:threadedComment ref="W331" dT="2025-12-01T21:28:14.00" personId="{2ddfa542-8116-4937-a057-08470d7abaab}" id="{32811aa5-1048-49c0-9839-782cd8a4980c}" done="0">
    <x18tc:text xml:space="preserve">https://drive.google.com/file/d/1DR7l6w3pJiR4wefmRwKyYbstCdmQTyTE/view?usp=drive_link</x18tc:text>
    <x18tc:extLst>
      <ext uri="{F7C98A9C-CBB3-438F-8F68-D28B6AF4A901}">
        <xltc2:checksum/>
        <xltc2:hyperlink startIndex="0" length="85" url="https://drive.google.com/file/d/1DR7l6w3pJiR4wefmRwKyYbstCdmQTyTE/view?usp=drive_link"/>
      </ext>
    </x18tc:extLst>
  </x18tc:threadedComment>
  <x18tc:threadedComment ref="AF709" dT="2026-05-25T05:08:34.00" personId="{2ddfa542-8116-4937-a057-08470d7abaab}" id="{a6a54c55-1691-464e-9c3f-7732f2381504}" done="0">
    <x18tc:text xml:space="preserve">Pago final, Fixit, excedentes</x18tc:text>
  </x18tc:threadedComment>
  <x18tc:threadedComment ref="L199" dT="2025-09-22T20:40:26.00" personId="{d8e4f5ad-b65d-4160-a56f-197530fb7eb1}" id="{c2cbef50-fd11-42ef-afd1-d28c598bbac4}" done="0">
    <x18tc:text xml:space="preserve">https://drive.google.com/file/d/1wKZzgsCuUEArfPAx5wL7Juru6GqkKiCu/view?usp=drive_link</x18tc:text>
    <x18tc:extLst>
      <ext uri="{F7C98A9C-CBB3-438F-8F68-D28B6AF4A901}">
        <xltc2:checksum/>
        <xltc2:hyperlink startIndex="0" length="85" url="https://drive.google.com/file/d/1wKZzgsCuUEArfPAx5wL7Juru6GqkKiCu/view?usp=drive_link"/>
      </ext>
    </x18tc:extLst>
  </x18tc:threadedComment>
  <x18tc:threadedComment ref="C122" dT="2025-07-15T18:17:19.00" personId="{a5d43f6d-3c72-4414-b012-8f52ef50acc4}" id="{6b0f61d5-8631-4cf0-b2c6-b2bc19208bd0}"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S377" dT="2025-12-02T00:21:29.00" personId="{4df2d6c4-e43e-4f2e-b623-d90f458472ff}" id="{b4679318-2dcc-46c9-9adb-e9d08eb8cd86}" done="0">
    <x18tc:text xml:space="preserve">https://drive.google.com/file/d/1-o9cfBigKQpFJoupNzing_qvIVphaT7N/view?usp=drive_link</x18tc:text>
    <x18tc:extLst>
      <ext uri="{F7C98A9C-CBB3-438F-8F68-D28B6AF4A901}">
        <xltc2:checksum/>
        <xltc2:hyperlink startIndex="0" length="85" url="https://drive.google.com/file/d/1-o9cfBigKQpFJoupNzing_qvIVphaT7N/view?usp=drive_link"/>
      </ext>
    </x18tc:extLst>
  </x18tc:threadedComment>
  <x18tc:threadedComment ref="J633" dT="2026-03-25T00:13:25.00" personId="{d8e4f5ad-b65d-4160-a56f-197530fb7eb1}" id="{894e9ee3-cbcd-4993-95e7-e7040fc8075d}" done="0">
    <x18tc:text xml:space="preserve">https://drive.google.com/file/d/1cD_U-jGuLkzYkKoEjT4AmWtoA3PeHgLr/view?usp=drive_link</x18tc:text>
    <x18tc:extLst>
      <ext uri="{F7C98A9C-CBB3-438F-8F68-D28B6AF4A901}">
        <xltc2:checksum/>
        <xltc2:hyperlink startIndex="0" length="85" url="https://drive.google.com/file/d/1cD_U-jGuLkzYkKoEjT4AmWtoA3PeHgLr/view?usp=drive_link"/>
      </ext>
    </x18tc:extLst>
  </x18tc:threadedComment>
  <x18tc:threadedComment ref="J222" dT="2025-09-07T05:11:30.00" personId="{d8e4f5ad-b65d-4160-a56f-197530fb7eb1}" id="{a6d96ed1-1b79-4ce5-9367-3a26bdd781b8}" done="0">
    <x18tc:text xml:space="preserve">https://drive.google.com/file/d/1CX0nEPMRodOuZTW2L9PA-tfv26VzP8YE/view?usp=drive_link</x18tc:text>
    <x18tc:extLst>
      <ext uri="{F7C98A9C-CBB3-438F-8F68-D28B6AF4A901}">
        <xltc2:checksum/>
        <xltc2:hyperlink startIndex="0" length="85" url="https://drive.google.com/file/d/1CX0nEPMRodOuZTW2L9PA-tfv26VzP8YE/view?usp=drive_link"/>
      </ext>
    </x18tc:extLst>
  </x18tc:threadedComment>
  <x18tc:threadedComment ref="K678" dT="2026-05-28T20:44:07.00" personId="{d8e4f5ad-b65d-4160-a56f-197530fb7eb1}" id="{754382fa-06fb-4035-9435-4f2445cb09cf}" done="0">
    <x18tc:text xml:space="preserve">https://drive.google.com/file/d/1zmBaGW8aXeD1WCrviY6ZapGKtaK6K-uR/view?usp=drive_link</x18tc:text>
    <x18tc:extLst>
      <ext uri="{F7C98A9C-CBB3-438F-8F68-D28B6AF4A901}">
        <xltc2:checksum/>
        <xltc2:hyperlink startIndex="0" length="85" url="https://drive.google.com/file/d/1zmBaGW8aXeD1WCrviY6ZapGKtaK6K-uR/view?usp=drive_link"/>
      </ext>
    </x18tc:extLst>
  </x18tc:threadedComment>
  <x18tc:threadedComment ref="K644" dT="2026-05-22T23:14:11.00" personId="{4df2d6c4-e43e-4f2e-b623-d90f458472ff}" id="{b2a550af-6b8b-4d55-93f9-a69cf3031d1d}" done="0">
    <x18tc:text xml:space="preserve">https://drive.google.com/file/d/1N1hZRqokmIgfLNZtlAh7k4b77piGk53u/view?usp=drive_link</x18tc:text>
    <x18tc:extLst>
      <ext uri="{F7C98A9C-CBB3-438F-8F68-D28B6AF4A901}">
        <xltc2:checksum/>
        <xltc2:hyperlink startIndex="0" length="85" url="https://drive.google.com/file/d/1N1hZRqokmIgfLNZtlAh7k4b77piGk53u/view?usp=drive_link"/>
      </ext>
    </x18tc:extLst>
  </x18tc:threadedComment>
  <x18tc:threadedComment ref="J378" dT="2025-12-02T00:28:33.00" personId="{4df2d6c4-e43e-4f2e-b623-d90f458472ff}" id="{78382249-9081-4855-90b1-4527896acedd}" done="0">
    <x18tc:text xml:space="preserve">https://drive.google.com/file/d/14X4IV6qx8hliR6R8Nlfxss38J3JZmhQC/view?usp=drive_link</x18tc:text>
    <x18tc:extLst>
      <ext uri="{F7C98A9C-CBB3-438F-8F68-D28B6AF4A901}">
        <xltc2:checksum/>
        <xltc2:hyperlink startIndex="0" length="85" url="https://drive.google.com/file/d/14X4IV6qx8hliR6R8Nlfxss38J3JZmhQC/view?usp=drive_link"/>
      </ext>
    </x18tc:extLst>
  </x18tc:threadedComment>
  <x18tc:threadedComment ref="L194" dT="2025-08-26T21:59:03.00" personId="{d8e4f5ad-b65d-4160-a56f-197530fb7eb1}" id="{15906765-b01d-4d7e-ba97-4482a1f45f7d}" done="0">
    <x18tc:text xml:space="preserve">https://drive.google.com/file/d/10Y7D_WNEhFIvmuMF7YPMJq77lNY7fP7-/view?usp=drive_link</x18tc:text>
    <x18tc:extLst>
      <ext uri="{F7C98A9C-CBB3-438F-8F68-D28B6AF4A901}">
        <xltc2:checksum/>
        <xltc2:hyperlink startIndex="0" length="85" url="https://drive.google.com/file/d/10Y7D_WNEhFIvmuMF7YPMJq77lNY7fP7-/view?usp=drive_link"/>
      </ext>
    </x18tc:extLst>
  </x18tc:threadedComment>
  <x18tc:threadedComment ref="J634" dT="2026-03-25T00:13:01.00" personId="{d8e4f5ad-b65d-4160-a56f-197530fb7eb1}" id="{5866db35-7b38-4e0f-b5dc-fbfe51964073}" done="0">
    <x18tc:text xml:space="preserve">https://drive.google.com/file/d/1Mw-63nz9yQ8LwyW-ba9cs5EQEMPk42MM/view?usp=drive_link</x18tc:text>
    <x18tc:extLst>
      <ext uri="{F7C98A9C-CBB3-438F-8F68-D28B6AF4A901}">
        <xltc2:checksum/>
        <xltc2:hyperlink startIndex="0" length="85" url="https://drive.google.com/file/d/1Mw-63nz9yQ8LwyW-ba9cs5EQEMPk42MM/view?usp=drive_link"/>
      </ext>
    </x18tc:extLst>
  </x18tc:threadedComment>
  <x18tc:threadedComment ref="Q650" dT="2026-05-22T23:09:59.00" personId="{4df2d6c4-e43e-4f2e-b623-d90f458472ff}" id="{f643b733-5c9f-4982-b839-e9322a270fe6}" done="0">
    <x18tc:text xml:space="preserve">se completo con 64 soles del cliente Carlos durand</x18tc:text>
  </x18tc:threadedComment>
  <x18tc:threadedComment ref="Q650" dT="2026-05-25T11:21:53.00" personId="{2ddfa542-8116-4937-a057-08470d7abaab}" id="{dbd6f731-9b01-4ac2-8f6a-5879b693162e}" parentId="{f643b733-5c9f-4982-b839-e9322a270fe6}">
    <x18tc:text xml:space="preserve">FILA 628</x18tc:text>
  </x18tc:threadedComment>
  <x18tc:threadedComment ref="A1" dT="2026-03-07T17:53:15.00" personId="{4df2d6c4-e43e-4f2e-b623-d90f458472ff}" id="{53e2cf8a-4831-46ab-bc65-64e9609e22a7}" done="1">
    <x18tc:text xml:space="preserve">pendiente</x18tc:text>
  </x18tc:threadedComment>
  <x18tc:threadedComment ref="C564" dT="2026-02-23T19:19:42.00" personId="{68efe3e3-8b68-4e02-81e2-a29fa228b211}" id="{be04e9b9-60a2-4219-baff-8fb0097dbc99}" done="0">
    <x18tc:text xml:space="preserve">https://www.ebay.com/itm/306295101642?_skw=laptop+gaming&amp;itmmeta=01KHN5TN0YTS8ZE0N59P36NP49&amp;hash=item47509c58ca:g:NAAAAeSwEvtoK4mm</x18tc:text>
    <x18tc:extLst>
      <ext uri="{F7C98A9C-CBB3-438F-8F68-D28B6AF4A901}">
        <xltc2:checksum/>
        <xltc2:hyperlink startIndex="0" length="130" url="https://www.ebay.com/itm/306295101642?_skw=laptop+gaming&amp;itmmeta=01KHN5TN0YTS8ZE0N59P36NP49&amp;hash=item47509c58ca:g:NAAAAeSwEvtoK4mm"/>
      </ext>
    </x18tc:extLst>
  </x18tc:threadedComment>
  <x18tc:threadedComment ref="K650" dT="2026-05-22T23:12:44.00" personId="{4df2d6c4-e43e-4f2e-b623-d90f458472ff}" id="{ef80c1e3-5677-4e0a-8a8d-70b596a79edf}" done="0">
    <x18tc:text xml:space="preserve">https://drive.google.com/file/d/1L8LxLy-FQn6HKfLgoxalvkLyvkHyqr9k/view?usp=drive_link</x18tc:text>
    <x18tc:extLst>
      <ext uri="{F7C98A9C-CBB3-438F-8F68-D28B6AF4A901}">
        <xltc2:checksum/>
        <xltc2:hyperlink startIndex="0" length="85" url="https://drive.google.com/file/d/1L8LxLy-FQn6HKfLgoxalvkLyvkHyqr9k/view?usp=drive_link"/>
      </ext>
    </x18tc:extLst>
  </x18tc:threadedComment>
  <x18tc:threadedComment ref="J435" dT="2025-12-26T18:10:28.00" personId="{a5d43f6d-3c72-4414-b012-8f52ef50acc4}" id="{30b60144-e6e9-4754-91bf-691f41c5df54}" done="0">
    <x18tc:text xml:space="preserve">https://drive.google.com/file/d/1rAFiWKNiSCoAIxvBccnmJMygduKPni8o/view?usp=drive_link
https://drive.google.com/file/d/1JaAUHlpIQxR8SH9LLWcJf4MrUbYZhhG0/view?usp=drive_link
https://drive.google.com/file/d/1zp94xDIHVrFjbzIT4PlXjE1km4265asW/view?usp=drive_link</x18tc:text>
    <x18tc:extLst>
      <ext uri="{F7C98A9C-CBB3-438F-8F68-D28B6AF4A901}">
        <xltc2:checksum/>
        <xltc2:hyperlink startIndex="0" length="85" url="https://drive.google.com/file/d/1rAFiWKNiSCoAIxvBccnmJMygduKPni8o/view?usp=drive_link"/>
        <xltc2:hyperlink startIndex="86" length="85" url="https://drive.google.com/file/d/1JaAUHlpIQxR8SH9LLWcJf4MrUbYZhhG0/view?usp=drive_link"/>
        <xltc2:hyperlink startIndex="172" length="85" url="https://drive.google.com/file/d/1zp94xDIHVrFjbzIT4PlXjE1km4265asW/view?usp=drive_link"/>
      </ext>
    </x18tc:extLst>
  </x18tc:threadedComment>
  <x18tc:threadedComment ref="W219" dT="2025-09-25T02:28:58.00" personId="{4df2d6c4-e43e-4f2e-b623-d90f458472ff}" id="{914e0161-5423-4b3f-bdc0-f20d4c0c5d7d}" done="0">
    <x18tc:text xml:space="preserve">https://drive.google.com/file/d/1PvLVEBeGSQDVzWh1CyKWu5gmIy9Txf8v/view?usp=drive_link</x18tc:text>
    <x18tc:extLst>
      <ext uri="{F7C98A9C-CBB3-438F-8F68-D28B6AF4A901}">
        <xltc2:checksum/>
        <xltc2:hyperlink startIndex="0" length="85" url="https://drive.google.com/file/d/1PvLVEBeGSQDVzWh1CyKWu5gmIy9Txf8v/view?usp=drive_link"/>
      </ext>
    </x18tc:extLst>
  </x18tc:threadedComment>
  <x18tc:threadedComment ref="W317" dT="2025-11-25T17:01:08.00" personId="{d8e4f5ad-b65d-4160-a56f-197530fb7eb1}" id="{b9d2e1e6-c5b0-48a4-b81f-3a7b2ebdeaf8}" done="0">
    <x18tc:text xml:space="preserve">DNI Carlos Mellado Martinez 40422866</x18tc:text>
  </x18tc:threadedComment>
  <x18tc:threadedComment ref="W317" dT="2025-11-25T19:30:30.00" personId="{2ddfa542-8116-4937-a057-08470d7abaab}" id="{35d3f9b0-4cb5-4e14-9915-37df903f23cb}" parentId="{b9d2e1e6-c5b0-48a4-b81f-3a7b2ebdeaf8}">
    <x18tc:text xml:space="preserve">https://drive.google.com/file/d/1p2qfAZ19RFBzKeyyLhX4s2Uo8q_rBcvG/view?usp=drive_link</x18tc:text>
    <x18tc:extLst>
      <ext uri="{F7C98A9C-CBB3-438F-8F68-D28B6AF4A901}">
        <xltc2:checksum/>
        <xltc2:hyperlink startIndex="0" length="85" url="https://drive.google.com/file/d/1p2qfAZ19RFBzKeyyLhX4s2Uo8q_rBcvG/view?usp=drive_link"/>
      </ext>
    </x18tc:extLst>
  </x18tc:threadedComment>
  <x18tc:threadedComment ref="W317" dT="2025-12-03T00:44:26.00" personId="{2ddfa542-8116-4937-a057-08470d7abaab}" id="{badc4933-7ce6-4920-85c3-6c24bdc9b86c}" parentId="{b9d2e1e6-c5b0-48a4-b81f-3a7b2ebdeaf8}">
    <x18tc:text xml:space="preserve">https://drive.google.com/file/d/1UF0VqZmgu3yy-LnwYwzyihsEX26lSxBw/view?usp=drive_link</x18tc:text>
    <x18tc:extLst>
      <ext uri="{F7C98A9C-CBB3-438F-8F68-D28B6AF4A901}">
        <xltc2:checksum/>
        <xltc2:hyperlink startIndex="0" length="85" url="https://drive.google.com/file/d/1UF0VqZmgu3yy-LnwYwzyihsEX26lSxBw/view?usp=drive_link"/>
      </ext>
    </x18tc:extLst>
  </x18tc:threadedComment>
  <x18tc:threadedComment ref="J233" dT="2025-09-14T00:52:57.00" personId="{4df2d6c4-e43e-4f2e-b623-d90f458472ff}" id="{b0be4b50-4921-4760-bfa9-21bb07c9e30d}" done="0">
    <x18tc:text xml:space="preserve">https://drive.google.com/file/d/1wsRvUa7yUXKj-jSTa4Ful00j--1w0gdi/view?usp=drive_link</x18tc:text>
    <x18tc:extLst>
      <ext uri="{F7C98A9C-CBB3-438F-8F68-D28B6AF4A901}">
        <xltc2:checksum/>
        <xltc2:hyperlink startIndex="0" length="85" url="https://drive.google.com/file/d/1wsRvUa7yUXKj-jSTa4Ful00j--1w0gdi/view?usp=drive_link"/>
      </ext>
    </x18tc:extLst>
  </x18tc:threadedComment>
  <x18tc:threadedComment ref="L183" dT="2025-08-26T22:23:06.00" personId="{d8e4f5ad-b65d-4160-a56f-197530fb7eb1}" id="{661977d0-858d-46ee-a6f4-979c969f78c5}" done="0">
    <x18tc:text xml:space="preserve">https://drive.google.com/file/d/14DCiOpeNIpbULM-NIjFo5_SCk4xIrouC/view?usp=drive_link</x18tc:text>
    <x18tc:extLst>
      <ext uri="{F7C98A9C-CBB3-438F-8F68-D28B6AF4A901}">
        <xltc2:checksum/>
        <xltc2:hyperlink startIndex="0" length="85" url="https://drive.google.com/file/d/14DCiOpeNIpbULM-NIjFo5_SCk4xIrouC/view?usp=drive_link"/>
      </ext>
    </x18tc:extLst>
  </x18tc:threadedComment>
  <x18tc:threadedComment ref="AF737" dT="2026-05-25T05:36:13.00" personId="{2ddfa542-8116-4937-a057-08470d7abaab}" id="{92a5fe35-b53f-47ba-bada-f5cae7a4f6c8}" done="0">
    <x18tc:text xml:space="preserve">Pago final, Fixit, excedentes</x18tc:text>
  </x18tc:threadedComment>
  <x18tc:threadedComment ref="K535" dT="2026-03-07T22:17:12.00" personId="{f9b224d0-ee33-4499-ae47-db5bcd2d0435}" id="{32aba9d5-238c-43ae-ab4a-0eadf5e36df3}" done="0">
    <x18tc:text xml:space="preserve">https://drive.google.com/file/d/1aflHk_QIskeB2f9NgsUrNX9apU-v6vtz/view?usp=drive_link
https://drive.google.com/file/d/1kQtFCta-Ge8Ql7l14R4oMRzrs8kdT0FB/view?usp=drive_link</x18tc:text>
    <x18tc:extLst>
      <ext uri="{F7C98A9C-CBB3-438F-8F68-D28B6AF4A901}">
        <xltc2:checksum/>
        <xltc2:hyperlink startIndex="0" length="85" url="https://drive.google.com/file/d/1aflHk_QIskeB2f9NgsUrNX9apU-v6vtz/view?usp=drive_link"/>
        <xltc2:hyperlink startIndex="86" length="85" url="https://drive.google.com/file/d/1kQtFCta-Ge8Ql7l14R4oMRzrs8kdT0FB/view?usp=drive_link"/>
      </ext>
    </x18tc:extLst>
  </x18tc:threadedComment>
  <x18tc:threadedComment ref="AF722" dT="2026-05-25T05:07:33.00" personId="{2ddfa542-8116-4937-a057-08470d7abaab}" id="{08fafae5-6bbd-452a-83cc-1f1643e84256}" done="0">
    <x18tc:text xml:space="preserve">Pago final, Fixit, excedentes</x18tc:text>
  </x18tc:threadedComment>
  <x18tc:threadedComment ref="J232" dT="2025-09-14T00:08:10.00" personId="{a5d43f6d-3c72-4414-b012-8f52ef50acc4}" id="{cbfccef2-59bb-40dc-82c4-644e93a3b74b}" done="0">
    <x18tc:text xml:space="preserve">https://drive.google.com/file/d/17JH21H2MX0yU78Ke44EgmSKhyZAdYdmO/view?usp=drive_link
https://drive.google.com/file/d/1MHs_FYCUbZllsJDfrYnojV8tIcS-PCEy/view?usp=drive_link</x18tc:text>
    <x18tc:extLst>
      <ext uri="{F7C98A9C-CBB3-438F-8F68-D28B6AF4A901}">
        <xltc2:checksum/>
        <xltc2:hyperlink startIndex="0" length="85" url="https://drive.google.com/file/d/17JH21H2MX0yU78Ke44EgmSKhyZAdYdmO/view?usp=drive_link"/>
        <xltc2:hyperlink startIndex="86" length="85" url="https://drive.google.com/file/d/1MHs_FYCUbZllsJDfrYnojV8tIcS-PCEy/view?usp=drive_link"/>
      </ext>
    </x18tc:extLst>
  </x18tc:threadedComment>
  <x18tc:threadedComment ref="Z155" dT="2025-08-26T23:05:18.00" personId="{d8e4f5ad-b65d-4160-a56f-197530fb7eb1}" id="{c2aec279-96a8-4ab0-9066-c46c758f1ebf}" done="0">
    <x18tc:text xml:space="preserve">https://drive.google.com/file/d/18-_1OFy4R4zsex8oH03XabGJ8RSsqHuh/view</x18tc:text>
    <x18tc:extLst>
      <ext uri="{F7C98A9C-CBB3-438F-8F68-D28B6AF4A901}">
        <xltc2:checksum/>
        <xltc2:hyperlink startIndex="0" length="70" url="https://drive.google.com/file/d/18-_1OFy4R4zsex8oH03XabGJ8RSsqHuh/view"/>
      </ext>
    </x18tc:extLst>
  </x18tc:threadedComment>
  <x18tc:threadedComment ref="J637" dT="2026-03-24T23:45:29.00" personId="{f9b224d0-ee33-4499-ae47-db5bcd2d0435}" id="{2d077560-037b-431f-81c8-43e74d084525}" done="0">
    <x18tc:text xml:space="preserve">https://drive.google.com/file/d/1j_JwfzG1kr5S4-fF13wfBio9lnrzcBsC/view?usp=drive_link</x18tc:text>
    <x18tc:extLst>
      <ext uri="{F7C98A9C-CBB3-438F-8F68-D28B6AF4A901}">
        <xltc2:checksum/>
        <xltc2:hyperlink startIndex="0" length="85" url="https://drive.google.com/file/d/1j_JwfzG1kr5S4-fF13wfBio9lnrzcBsC/view?usp=drive_link"/>
      </ext>
    </x18tc:extLst>
  </x18tc:threadedComment>
  <x18tc:threadedComment ref="AF738" dT="2026-05-25T05:36:16.00" personId="{2ddfa542-8116-4937-a057-08470d7abaab}" id="{8acc188d-9ebb-486f-adda-eb0fbae733af}" done="0">
    <x18tc:text xml:space="preserve">Pago final, Fixit, excedentes</x18tc:text>
  </x18tc:threadedComment>
  <x18tc:threadedComment ref="K631" dT="2026-05-22T23:03:20.00" personId="{4df2d6c4-e43e-4f2e-b623-d90f458472ff}" id="{85e9e924-96a1-4025-9c5c-b2dee553f532}" done="0">
    <x18tc:text xml:space="preserve">https://drive.google.com/file/d/1V6_S9eJHcfk_YRUOCZuFjc4PtAIMrwF9/view?usp=drive_link</x18tc:text>
    <x18tc:extLst>
      <ext uri="{F7C98A9C-CBB3-438F-8F68-D28B6AF4A901}">
        <xltc2:checksum/>
        <xltc2:hyperlink startIndex="0" length="85" url="https://drive.google.com/file/d/1V6_S9eJHcfk_YRUOCZuFjc4PtAIMrwF9/view?usp=drive_link"/>
      </ext>
    </x18tc:extLst>
  </x18tc:threadedComment>
  <x18tc:threadedComment ref="W291" dT="2025-12-01T20:47:44.00" personId="{2ddfa542-8116-4937-a057-08470d7abaab}" id="{425e8ce6-e953-4f29-97c9-c540240038d5}" done="0">
    <x18tc:text xml:space="preserve">https://drive.google.com/file/d/1rKGVhccyNKFBUapA3KfuKnrTgDk1Q43m/view?usp=drive_link</x18tc:text>
    <x18tc:extLst>
      <ext uri="{F7C98A9C-CBB3-438F-8F68-D28B6AF4A901}">
        <xltc2:checksum/>
        <xltc2:hyperlink startIndex="0" length="85" url="https://drive.google.com/file/d/1rKGVhccyNKFBUapA3KfuKnrTgDk1Q43m/view?usp=drive_link"/>
      </ext>
    </x18tc:extLst>
  </x18tc:threadedComment>
  <x18tc:threadedComment ref="AF721" dT="2026-05-25T05:08:07.00" personId="{2ddfa542-8116-4937-a057-08470d7abaab}" id="{3a6eaffc-4e25-4a2a-95a9-3aa8b4cbda74}" done="0">
    <x18tc:text xml:space="preserve">Pago final, Fixit, excedentes</x18tc:text>
  </x18tc:threadedComment>
  <x18tc:threadedComment ref="C385" dT="2025-12-01T21:35:37.00" personId="{d8e4f5ad-b65d-4160-a56f-197530fb7eb1}" id="{35dd8e1d-9af3-4861-852d-c1dba8e9f347}"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C637" dT="2026-03-24T23:41:59.00" personId="{f9b224d0-ee33-4499-ae47-db5bcd2d0435}" id="{f5e89956-9dd8-4e5c-9ff3-856a7e90237a}"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AI743" dT="2026-06-09T23:09:11.00" personId="{7d9bea4b-cfe7-4c29-b483-8e83a1c4f52a}" id="{861c2542-c27b-417a-bb1c-219f2b3bb812}" done="0">
    <x18tc:text xml:space="preserve">https://drive.google.com/file/d/1BJWbw6z5qITn-tcGt84Y9bQHq9fiInPi/view?usp=drive_link</x18tc:text>
    <x18tc:extLst>
      <ext uri="{F7C98A9C-CBB3-438F-8F68-D28B6AF4A901}">
        <xltc2:checksum/>
        <xltc2:hyperlink startIndex="0" length="85" url="https://drive.google.com/file/d/1BJWbw6z5qITn-tcGt84Y9bQHq9fiInPi/view?usp=drive_link"/>
      </ext>
    </x18tc:extLst>
  </x18tc:threadedComment>
  <x18tc:threadedComment ref="K373" dT="2025-12-02T00:29:16.00" personId="{4df2d6c4-e43e-4f2e-b623-d90f458472ff}" id="{e7f175b6-5daa-48ce-baab-f9364c77d993}" done="0">
    <x18tc:text xml:space="preserve">https://drive.google.com/file/d/1FRfuXRserAx6PjOz3h-pmvqlGk7GeA0R/view?usp=drive_link</x18tc:text>
    <x18tc:extLst>
      <ext uri="{F7C98A9C-CBB3-438F-8F68-D28B6AF4A901}">
        <xltc2:checksum/>
        <xltc2:hyperlink startIndex="0" length="85" url="https://drive.google.com/file/d/1FRfuXRserAx6PjOz3h-pmvqlGk7GeA0R/view?usp=drive_link"/>
      </ext>
    </x18tc:extLst>
  </x18tc:threadedComment>
  <x18tc:threadedComment ref="K605" dT="2026-03-25T00:10:24.00" personId="{d8e4f5ad-b65d-4160-a56f-197530fb7eb1}" id="{5a79a45f-9855-43d7-a231-3cece64e1ab1}" done="0">
    <x18tc:text xml:space="preserve">https://drive.google.com/file/d/1ha6jWFCDysYZSuQRPhpOuBt-DP61H-6A/view?usp=drive_link</x18tc:text>
    <x18tc:extLst>
      <ext uri="{F7C98A9C-CBB3-438F-8F68-D28B6AF4A901}">
        <xltc2:checksum/>
        <xltc2:hyperlink startIndex="0" length="85" url="https://drive.google.com/file/d/1ha6jWFCDysYZSuQRPhpOuBt-DP61H-6A/view?usp=drive_link"/>
      </ext>
    </x18tc:extLst>
  </x18tc:threadedComment>
  <x18tc:threadedComment ref="AF735" dT="2026-05-25T05:36:09.00" personId="{2ddfa542-8116-4937-a057-08470d7abaab}" id="{cec1340c-0ca1-4bd6-99db-0d238d97a301}" done="0">
    <x18tc:text xml:space="preserve">Pago final, Fixit, excedentes</x18tc:text>
  </x18tc:threadedComment>
  <x18tc:threadedComment ref="J242" dT="2025-09-25T00:42:44.00" personId="{d8e4f5ad-b65d-4160-a56f-197530fb7eb1}" id="{9134f67f-ebd5-4179-9d28-02ce4fee8c7c}" done="0">
    <x18tc:text xml:space="preserve">https://drive.google.com/file/d/1V2TGtq3ra4VWl7kGhb7d8bIpwUeUIw3m/view?usp=drive_link</x18tc:text>
    <x18tc:extLst>
      <ext uri="{F7C98A9C-CBB3-438F-8F68-D28B6AF4A901}">
        <xltc2:checksum/>
        <xltc2:hyperlink startIndex="0" length="85" url="https://drive.google.com/file/d/1V2TGtq3ra4VWl7kGhb7d8bIpwUeUIw3m/view?usp=drive_link"/>
      </ext>
    </x18tc:extLst>
  </x18tc:threadedComment>
  <x18tc:threadedComment ref="W272" dT="2025-12-01T20:08:06.00" personId="{2ddfa542-8116-4937-a057-08470d7abaab}" id="{6b15cc00-ee26-4730-8633-4f75122b5c43}" done="0">
    <x18tc:text xml:space="preserve">https://drive.google.com/file/d/1DLdG-iveZnB_BaXIUrC9lpe1n_0EQ_mX/view?usp=drive_link</x18tc:text>
    <x18tc:extLst>
      <ext uri="{F7C98A9C-CBB3-438F-8F68-D28B6AF4A901}">
        <xltc2:checksum/>
        <xltc2:hyperlink startIndex="0" length="85" url="https://drive.google.com/file/d/1DLdG-iveZnB_BaXIUrC9lpe1n_0EQ_mX/view?usp=drive_link"/>
      </ext>
    </x18tc:extLst>
  </x18tc:threadedComment>
  <x18tc:threadedComment ref="Z169" dT="2025-08-26T23:07:27.00" personId="{d8e4f5ad-b65d-4160-a56f-197530fb7eb1}" id="{5486e13e-336e-4454-907f-c96718625391}" done="0">
    <x18tc:text xml:space="preserve">https://drive.google.com/file/d/1Q4C0GQV_DmG-Nc8gudqxnqPgJxpvNA6K/view?usp=drive_link</x18tc:text>
    <x18tc:extLst>
      <ext uri="{F7C98A9C-CBB3-438F-8F68-D28B6AF4A901}">
        <xltc2:checksum/>
        <xltc2:hyperlink startIndex="0" length="85" url="https://drive.google.com/file/d/1Q4C0GQV_DmG-Nc8gudqxnqPgJxpvNA6K/view?usp=drive_link"/>
      </ext>
    </x18tc:extLst>
  </x18tc:threadedComment>
  <x18tc:threadedComment ref="K585" dT="2026-03-25T00:04:54.00" personId="{d8e4f5ad-b65d-4160-a56f-197530fb7eb1}" id="{0c371c09-c10a-4f3c-88c2-9c42c5489903}" done="0">
    <x18tc:text xml:space="preserve">https://drive.google.com/file/d/1mKjcuHKlVrj0-smR7aFbH950btF256KT/view?usp=drive_link</x18tc:text>
    <x18tc:extLst>
      <ext uri="{F7C98A9C-CBB3-438F-8F68-D28B6AF4A901}">
        <xltc2:checksum/>
        <xltc2:hyperlink startIndex="0" length="85" url="https://drive.google.com/file/d/1mKjcuHKlVrj0-smR7aFbH950btF256KT/view?usp=drive_link"/>
      </ext>
    </x18tc:extLst>
  </x18tc:threadedComment>
  <x18tc:threadedComment ref="AF244" dT="2025-10-04T20:57:01.00" personId="{2ddfa542-8116-4937-a057-08470d7abaab}" id="{55096e12-df79-4065-9eb8-b6eb90ed6b18}" done="0">
    <x18tc:text xml:space="preserve">Venta final, fixit, boleta</x18tc:text>
  </x18tc:threadedComment>
  <x18tc:threadedComment ref="J444" dT="2025-12-28T02:04:34.00" personId="{a5d43f6d-3c72-4414-b012-8f52ef50acc4}" id="{5a4def72-3d4d-4231-b8aa-6926e5399a22}" done="0">
    <x18tc:text xml:space="preserve">https://drive.google.com/file/d/1orImcePTBt3jrFzkWwEmrSABDFgTewzD/view?usp=drive_link</x18tc:text>
    <x18tc:extLst>
      <ext uri="{F7C98A9C-CBB3-438F-8F68-D28B6AF4A901}">
        <xltc2:checksum/>
        <xltc2:hyperlink startIndex="0" length="85" url="https://drive.google.com/file/d/1orImcePTBt3jrFzkWwEmrSABDFgTewzD/view?usp=drive_link"/>
      </ext>
    </x18tc:extLst>
  </x18tc:threadedComment>
  <x18tc:threadedComment ref="O291" dT="2025-11-25T20:03:42.00" personId="{a5d43f6d-3c72-4414-b012-8f52ef50acc4}" id="{31a49965-1cd0-48f0-8abb-96a54d0e6814}" done="0">
    <x18tc:text xml:space="preserve">75 es para mouse y audifonos</x18tc:text>
  </x18tc:threadedComment>
  <x18tc:threadedComment ref="J249" dT="2025-10-04T21:17:46.00" personId="{4df2d6c4-e43e-4f2e-b623-d90f458472ff}" id="{b387fe55-6349-45f4-bb70-c4478ee5d92f}" done="0">
    <x18tc:text xml:space="preserve">https://drive.google.com/file/d/1aUTqland9F80UCMrStXJogUhY-TnaUDj/view?usp=drive_link</x18tc:text>
    <x18tc:extLst>
      <ext uri="{F7C98A9C-CBB3-438F-8F68-D28B6AF4A901}">
        <xltc2:checksum/>
        <xltc2:hyperlink startIndex="0" length="85" url="https://drive.google.com/file/d/1aUTqland9F80UCMrStXJogUhY-TnaUDj/view?usp=drive_link"/>
      </ext>
    </x18tc:extLst>
  </x18tc:threadedComment>
  <x18tc:threadedComment ref="J446" dT="2025-12-28T02:05:06.00" personId="{a5d43f6d-3c72-4414-b012-8f52ef50acc4}" id="{21ecfaf2-871a-419f-9bd8-cb56b7b63edb}" done="0">
    <x18tc:text xml:space="preserve">https://drive.google.com/file/d/1tGoi_rnBJTCQznVUbhROuBceYd5DYuK4/view?usp=drive_link</x18tc:text>
    <x18tc:extLst>
      <ext uri="{F7C98A9C-CBB3-438F-8F68-D28B6AF4A901}">
        <xltc2:checksum/>
        <xltc2:hyperlink startIndex="0" length="85" url="https://drive.google.com/file/d/1tGoi_rnBJTCQznVUbhROuBceYd5DYuK4/view?usp=drive_link"/>
      </ext>
    </x18tc:extLst>
  </x18tc:threadedComment>
  <x18tc:threadedComment ref="J404" dT="2025-12-27T21:50:19.00" personId="{d8e4f5ad-b65d-4160-a56f-197530fb7eb1}" id="{166b4d0f-a1fb-4dfc-8804-7a3373bceb10}" done="0">
    <x18tc:text xml:space="preserve">https://drive.google.com/file/d/1bGmZGqYJbClytjySPRt3y3rSQwcVvSVb/view?usp=drive_link</x18tc:text>
    <x18tc:extLst>
      <ext uri="{F7C98A9C-CBB3-438F-8F68-D28B6AF4A901}">
        <xltc2:checksum/>
        <xltc2:hyperlink startIndex="0" length="85" url="https://drive.google.com/file/d/1bGmZGqYJbClytjySPRt3y3rSQwcVvSVb/view?usp=drive_link"/>
      </ext>
    </x18tc:extLst>
  </x18tc:threadedComment>
  <x18tc:threadedComment ref="J404" dT="2025-12-27T21:50:56.00" personId="{d8e4f5ad-b65d-4160-a56f-197530fb7eb1}" id="{ddf9d86e-76e1-4832-9a7d-b17ddccbc88f}" parentId="{166b4d0f-a1fb-4dfc-8804-7a3373bceb10}">
    <x18tc:text xml:space="preserve">https://drive.google.com/file/d/12_SRMUrgaYT1E_RhFKjVrEJr991kSXGN/view?usp=drive_link</x18tc:text>
    <x18tc:extLst>
      <ext uri="{F7C98A9C-CBB3-438F-8F68-D28B6AF4A901}">
        <xltc2:checksum/>
        <xltc2:hyperlink startIndex="0" length="85" url="https://drive.google.com/file/d/12_SRMUrgaYT1E_RhFKjVrEJr991kSXGN/view?usp=drive_link"/>
      </ext>
    </x18tc:extLst>
  </x18tc:threadedComment>
  <x18tc:threadedComment ref="K291" dT="2025-11-25T20:03:10.00" personId="{a5d43f6d-3c72-4414-b012-8f52ef50acc4}" id="{e78db958-eaf7-4e72-98ad-9ab22897890f}" done="0">
    <x18tc:text xml:space="preserve">https://drive.google.com/file/d/1pHlyI18B0exquqsVJlwbOI2M3e7xDp0G/view?usp=drive_link</x18tc:text>
    <x18tc:extLst>
      <ext uri="{F7C98A9C-CBB3-438F-8F68-D28B6AF4A901}">
        <xltc2:checksum/>
        <xltc2:hyperlink startIndex="0" length="85" url="https://drive.google.com/file/d/1pHlyI18B0exquqsVJlwbOI2M3e7xDp0G/view?usp=drive_link"/>
      </ext>
    </x18tc:extLst>
  </x18tc:threadedComment>
  <x18tc:threadedComment ref="N421" dT="2025-12-27T21:21:20.00" personId="{2ddfa542-8116-4937-a057-08470d7abaab}" id="{73ac36da-e20e-4102-a0bc-d164608ebc18}" done="0">
    <x18tc:text xml:space="preserve">lo copie de uno similar, porque estaba 1500 antes</x18tc:text>
  </x18tc:threadedComment>
  <x18tc:threadedComment ref="AF249" dT="2025-10-04T21:31:05.00" personId="{2ddfa542-8116-4937-a057-08470d7abaab}" id="{ec5c9aca-1135-42b1-a887-8a2380195b2b}" done="0">
    <x18tc:text xml:space="preserve">Venta final, fixit, boleta</x18tc:text>
  </x18tc:threadedComment>
  <x18tc:threadedComment ref="W385" dT="2025-12-20T20:39:26.00" personId="{2ddfa542-8116-4937-a057-08470d7abaab}" id="{bf67b48e-e42b-43e6-b4dd-d5880491a879}" done="0">
    <x18tc:text xml:space="preserve">https://drive.google.com/file/d/14rAfQJDpoyslogRlHjqOti5LIn-e93sr/view?usp=drive_link</x18tc:text>
    <x18tc:extLst>
      <ext uri="{F7C98A9C-CBB3-438F-8F68-D28B6AF4A901}">
        <xltc2:checksum/>
        <xltc2:hyperlink startIndex="0" length="85" url="https://drive.google.com/file/d/14rAfQJDpoyslogRlHjqOti5LIn-e93sr/view?usp=drive_link"/>
      </ext>
    </x18tc:extLst>
  </x18tc:threadedComment>
  <x18tc:threadedComment ref="C341" dT="2025-11-26T00:57:15.00" personId="{d8e4f5ad-b65d-4160-a56f-197530fb7eb1}" id="{3dcf90f3-8d2f-416c-91ac-ce1eaa5af7d8}" done="0">
    <x18tc:text xml:space="preserve">https://www.amazon.com/ASUS-Gaming-Laptop-Nebula-Display/dp/B0DW1X5YCQ/?th=1</x18tc:text>
    <x18tc:extLst>
      <ext uri="{F7C98A9C-CBB3-438F-8F68-D28B6AF4A901}">
        <xltc2:checksum/>
        <xltc2:hyperlink startIndex="0" length="76" url="https://www.amazon.com/ASUS-Gaming-Laptop-Nebula-Display/dp/B0DW1X5YCQ/?th=1"/>
      </ext>
    </x18tc:extLst>
  </x18tc:threadedComment>
  <x18tc:threadedComment ref="C677" dT="2026-04-11T19:22:10.00" personId="{a5d43f6d-3c72-4414-b012-8f52ef50acc4}" id="{3861963f-90bb-487b-99ad-f12534d4b35c}" done="0">
    <x18tc:text xml:space="preserve">https://www.microcenter.com/product/698178/lenovo-legion-5-15ahp10-153-gaming-laptop-computer-eclipse-black</x18tc:text>
    <x18tc:extLst>
      <ext uri="{F7C98A9C-CBB3-438F-8F68-D28B6AF4A901}">
        <xltc2:checksum/>
        <xltc2:hyperlink startIndex="0" length="107" url="https://www.microcenter.com/product/698178/lenovo-legion-5-15ahp10-153-gaming-laptop-computer-eclipse-black"/>
      </ext>
    </x18tc:extLst>
  </x18tc:threadedComment>
  <x18tc:threadedComment ref="J442" dT="2025-12-27T23:24:38.00" personId="{d8e4f5ad-b65d-4160-a56f-197530fb7eb1}" id="{c87510d7-e784-4148-b0f8-af0ab48d3419}" done="0">
    <x18tc:text xml:space="preserve">https://drive.google.com/file/d/1FkqKbxpcEf5a2B4vmx8y3i004HEiV_Ma/view?usp=drive_link</x18tc:text>
    <x18tc:extLst>
      <ext uri="{F7C98A9C-CBB3-438F-8F68-D28B6AF4A901}">
        <xltc2:checksum/>
        <xltc2:hyperlink startIndex="0" length="85" url="https://drive.google.com/file/d/1FkqKbxpcEf5a2B4vmx8y3i004HEiV_Ma/view?usp=drive_link"/>
      </ext>
    </x18tc:extLst>
  </x18tc:threadedComment>
  <x18tc:threadedComment ref="J677" dT="2026-04-11T19:25:02.00" personId="{a5d43f6d-3c72-4414-b012-8f52ef50acc4}" id="{ba2869e3-c266-403a-8b14-35e6456253e7}" done="0">
    <x18tc:text xml:space="preserve">https://drive.google.com/file/d/1RYLotWbVDYoFV4Dt0L7vMTSZUgAgXVue/view?usp=drive_link</x18tc:text>
    <x18tc:extLst>
      <ext uri="{F7C98A9C-CBB3-438F-8F68-D28B6AF4A901}">
        <xltc2:checksum/>
        <xltc2:hyperlink startIndex="0" length="85" url="https://drive.google.com/file/d/1RYLotWbVDYoFV4Dt0L7vMTSZUgAgXVue/view?usp=drive_link"/>
      </ext>
    </x18tc:extLst>
  </x18tc:threadedComment>
  <x18tc:threadedComment ref="J440" dT="2025-12-28T00:08:42.00" personId="{d8e4f5ad-b65d-4160-a56f-197530fb7eb1}" id="{6005f0f8-be04-4473-8263-a234a8687aaf}" done="0">
    <x18tc:text xml:space="preserve">https://drive.google.com/file/d/1nNmfQSR3VFY3V1rfX2LKTS4yytRMiaZR/view?usp=drive_link</x18tc:text>
    <x18tc:extLst>
      <ext uri="{F7C98A9C-CBB3-438F-8F68-D28B6AF4A901}">
        <xltc2:checksum/>
        <xltc2:hyperlink startIndex="0" length="85" url="https://drive.google.com/file/d/1nNmfQSR3VFY3V1rfX2LKTS4yytRMiaZR/view?usp=drive_link"/>
      </ext>
    </x18tc:extLst>
  </x18tc:threadedComment>
  <x18tc:threadedComment ref="L223" dT="2025-09-09T00:56:49.00" personId="{4df2d6c4-e43e-4f2e-b623-d90f458472ff}" id="{7158b2bb-2d86-4f9d-a044-e0f157fe5486}" done="1">
    <x18tc:text xml:space="preserve">https://drive.google.com/file/d/19cboDrUxtcp_ioK_p6reGPWqTT12swW1/view?usp=drive_link</x18tc:text>
    <x18tc:extLst>
      <ext uri="{F7C98A9C-CBB3-438F-8F68-D28B6AF4A901}">
        <xltc2:checksum/>
        <xltc2:hyperlink startIndex="0" length="85" url="https://drive.google.com/file/d/19cboDrUxtcp_ioK_p6reGPWqTT12swW1/view?usp=drive_link"/>
      </ext>
    </x18tc:extLst>
  </x18tc:threadedComment>
  <x18tc:threadedComment ref="F380" dT="2025-12-20T16:26:21.00" personId="{2ddfa542-8116-4937-a057-08470d7abaab}" id="{eed5aed2-d8a2-450a-a7fd-823c25a10d78}" done="0">
    <x18tc:text xml:space="preserve">se cambió por otra laptop a pedido del cliente</x18tc:text>
  </x18tc:threadedComment>
  <x18tc:threadedComment ref="AF242" dT="2025-10-04T20:54:32.00" personId="{2ddfa542-8116-4937-a057-08470d7abaab}" id="{997e4235-0656-479c-8822-3e064c2d4da2}" done="1">
    <x18tc:text xml:space="preserve">fixit</x18tc:text>
  </x18tc:threadedComment>
  <x18tc:threadedComment ref="W243" dT="2025-10-16T17:41:55.00" personId="{d8e4f5ad-b65d-4160-a56f-197530fb7eb1}" id="{6e4f8489-e182-4111-bedc-4b55e2e88f94}" done="0">
    <x18tc:text xml:space="preserve">https://drive.google.com/file/d/1dk2BgJ1ofXPM8udhHORh1lUSFwMAzXB1/view?usp=drive_link</x18tc:text>
    <x18tc:extLst>
      <ext uri="{F7C98A9C-CBB3-438F-8F68-D28B6AF4A901}">
        <xltc2:checksum/>
        <xltc2:hyperlink startIndex="0" length="85" url="https://drive.google.com/file/d/1dk2BgJ1ofXPM8udhHORh1lUSFwMAzXB1/view?usp=drive_link"/>
      </ext>
    </x18tc:extLst>
  </x18tc:threadedComment>
  <x18tc:threadedComment ref="J441" dT="2025-12-27T23:22:41.00" personId="{d8e4f5ad-b65d-4160-a56f-197530fb7eb1}" id="{cda5334a-97fe-4ce4-a785-7da01301b38a}" done="0">
    <x18tc:text xml:space="preserve">https://drive.google.com/file/d/1YRd97M0Vb8Dcrmvic651uDoFPAcatqlQ/view?usp=drive_link</x18tc:text>
    <x18tc:extLst>
      <ext uri="{F7C98A9C-CBB3-438F-8F68-D28B6AF4A901}">
        <xltc2:checksum/>
        <xltc2:hyperlink startIndex="0" length="85" url="https://drive.google.com/file/d/1YRd97M0Vb8Dcrmvic651uDoFPAcatqlQ/view?usp=drive_link"/>
      </ext>
    </x18tc:extLst>
  </x18tc:threadedComment>
  <x18tc:threadedComment ref="AF758" dT="2026-06-22T07:25:07.00" personId="{2ddfa542-8116-4937-a057-08470d7abaab}" id="{0fb3e68a-346e-4987-9198-220cf5407613}" done="0">
    <x18tc:text xml:space="preserve">Excedentes, vental final, fixit</x18tc:text>
  </x18tc:threadedComment>
  <x18tc:threadedComment ref="K639" dT="2026-04-11T22:11:29.00" personId="{d8e4f5ad-b65d-4160-a56f-197530fb7eb1}" id="{6a21ced1-7b29-4632-9981-35a8f0d48aa0}" done="0">
    <x18tc:text xml:space="preserve">https://drive.google.com/file/d/1fAoB0_Xl0xcfp0cW1ld3g0cnaNi_KysA/view?usp=drive_link</x18tc:text>
    <x18tc:extLst>
      <ext uri="{F7C98A9C-CBB3-438F-8F68-D28B6AF4A901}">
        <xltc2:checksum/>
        <xltc2:hyperlink startIndex="0" length="85" url="https://drive.google.com/file/d/1fAoB0_Xl0xcfp0cW1ld3g0cnaNi_KysA/view?usp=drive_link"/>
      </ext>
    </x18tc:extLst>
  </x18tc:threadedComment>
  <x18tc:threadedComment ref="AF255" dT="2025-10-04T21:53:57.00" personId="{2ddfa542-8116-4937-a057-08470d7abaab}" id="{b3e53c5e-a7e2-430a-9ee7-a4f93dcaa68c}" done="1">
    <x18tc:text xml:space="preserve">Venta final, fixit, boleta</x18tc:text>
  </x18tc:threadedComment>
  <x18tc:threadedComment ref="J224" dT="2025-09-09T00:56:01.00" personId="{4df2d6c4-e43e-4f2e-b623-d90f458472ff}" id="{0aeec25d-6037-455f-b370-bccf4e5f67b7}" done="0">
    <x18tc:text xml:space="preserve">https://drive.google.com/file/d/1oyojsKrIcbiC0JtlFN1cxy1VVFiYlc51/view?usp=drive_link</x18tc:text>
    <x18tc:extLst>
      <ext uri="{F7C98A9C-CBB3-438F-8F68-D28B6AF4A901}">
        <xltc2:checksum/>
        <xltc2:hyperlink startIndex="0" length="85" url="https://drive.google.com/file/d/1oyojsKrIcbiC0JtlFN1cxy1VVFiYlc51/view?usp=drive_link"/>
      </ext>
    </x18tc:extLst>
  </x18tc:threadedComment>
  <x18tc:threadedComment ref="AF765" dT="2026-06-22T07:25:11.00" personId="{2ddfa542-8116-4937-a057-08470d7abaab}" id="{93c212e6-dc4d-44f6-90fe-52f3a0e593c0}" done="0">
    <x18tc:text xml:space="preserve">Excedentes, vental final, fixit</x18tc:text>
  </x18tc:threadedComment>
  <x18tc:threadedComment ref="L236" dT="2025-10-04T22:31:14.00" personId="{d8e4f5ad-b65d-4160-a56f-197530fb7eb1}" id="{5003c9b7-146c-45f1-bf01-cd9fb08d550e}" done="0">
    <x18tc:text xml:space="preserve">https://drive.google.com/file/d/1k7FDS3mJcvP9eUCuHGHTcP9ug9MiC0z4/view?usp=drive_link</x18tc:text>
    <x18tc:extLst>
      <ext uri="{F7C98A9C-CBB3-438F-8F68-D28B6AF4A901}">
        <xltc2:checksum/>
        <xltc2:hyperlink startIndex="0" length="85" url="https://drive.google.com/file/d/1k7FDS3mJcvP9eUCuHGHTcP9ug9MiC0z4/view?usp=drive_link"/>
      </ext>
    </x18tc:extLst>
  </x18tc:threadedComment>
  <x18tc:threadedComment ref="W152" dT="2025-08-30T01:05:37.00" personId="{d8e4f5ad-b65d-4160-a56f-197530fb7eb1}" id="{4eb823b1-ed0f-4085-9574-7e23c81a8655}" done="0">
    <x18tc:text xml:space="preserve">https://drive.google.com/file/d/19VvSwBtqRTmG8y3Lcxt8KUhv8Ov0L0d4/view?usp=drive_link</x18tc:text>
    <x18tc:extLst>
      <ext uri="{F7C98A9C-CBB3-438F-8F68-D28B6AF4A901}">
        <xltc2:checksum/>
        <xltc2:hyperlink startIndex="0" length="85" url="https://drive.google.com/file/d/19VvSwBtqRTmG8y3Lcxt8KUhv8Ov0L0d4/view?usp=drive_link"/>
      </ext>
    </x18tc:extLst>
  </x18tc:threadedComment>
  <x18tc:threadedComment ref="C446" dT="2025-12-28T02:03:25.00" personId="{a5d43f6d-3c72-4414-b012-8f52ef50acc4}" id="{36d1b074-e952-494a-a2cc-5331ce22dc65}" done="0">
    <x18tc:text xml:space="preserve">https://www.bhphotovideo.com/c/product/1875948-REG/lenovo_83f5001bus_16_legion_pro_7i.html</x18tc:text>
    <x18tc:extLst>
      <ext uri="{F7C98A9C-CBB3-438F-8F68-D28B6AF4A901}">
        <xltc2:checksum/>
        <xltc2:hyperlink startIndex="0" length="90" url="https://www.bhphotovideo.com/c/product/1875948-REG/lenovo_83f5001bus_16_legion_pro_7i.html"/>
      </ext>
    </x18tc:extLst>
  </x18tc:threadedComment>
  <x18tc:threadedComment ref="AF757" dT="2026-06-22T07:25:03.00" personId="{2ddfa542-8116-4937-a057-08470d7abaab}" id="{495f1958-4128-451c-a795-ca1485f8d158}" done="0">
    <x18tc:text xml:space="preserve">Excedentes, vental final, fixit</x18tc:text>
  </x18tc:threadedComment>
  <x18tc:threadedComment ref="AF253" dT="2025-10-04T21:41:29.00" personId="{2ddfa542-8116-4937-a057-08470d7abaab}" id="{3e145ca5-dc64-4759-a7a5-f89b7abfb98f}" done="1">
    <x18tc:text xml:space="preserve">solo dni</x18tc:text>
  </x18tc:threadedComment>
  <x18tc:threadedComment ref="W396" dT="2025-12-27T20:33:00.00" personId="{2ddfa542-8116-4937-a057-08470d7abaab}" id="{34540cab-4a8e-4a93-a4a4-91ebaa9c7a6f}" done="0">
    <x18tc:text xml:space="preserve">https://drive.google.com/file/d/1XEnktLT5FYoEe6ZGF3NPHjJQ5Fk3-2ru/view?usp=drive_link</x18tc:text>
    <x18tc:extLst>
      <ext uri="{F7C98A9C-CBB3-438F-8F68-D28B6AF4A901}">
        <xltc2:checksum/>
        <xltc2:hyperlink startIndex="0" length="85" url="https://drive.google.com/file/d/1XEnktLT5FYoEe6ZGF3NPHjJQ5Fk3-2ru/view?usp=drive_link"/>
      </ext>
    </x18tc:extLst>
  </x18tc:threadedComment>
  <x18tc:threadedComment ref="AF234" dT="2025-10-04T21:50:27.00" personId="{2ddfa542-8116-4937-a057-08470d7abaab}" id="{586f45c8-3928-408d-baa5-f0c3aafc151f}" done="0">
    <x18tc:text xml:space="preserve">Venta final, fixit, boleta</x18tc:text>
  </x18tc:threadedComment>
  <x18tc:threadedComment ref="L329" dT="2025-12-13T18:10:59.00" personId="{a5d43f6d-3c72-4414-b012-8f52ef50acc4}" id="{812ace86-55f4-4cbf-9f7e-b71576a47677}" done="1">
    <x18tc:text xml:space="preserve">Joselyn, recuerda luego aumentar la garantía</x18tc:text>
  </x18tc:threadedComment>
  <x18tc:threadedComment ref="AF254" dT="2025-10-04T21:53:52.00" personId="{2ddfa542-8116-4937-a057-08470d7abaab}" id="{d48999e5-2bd0-4a01-ba67-e374461b4710}" done="1">
    <x18tc:text xml:space="preserve">Venta final, fixit, boleta</x18tc:text>
  </x18tc:threadedComment>
  <x18tc:threadedComment ref="N33" dT="2025-04-30T03:41:47.00" personId="{a5d43f6d-3c72-4414-b012-8f52ef50acc4}" id="{ca6c0d27-ca3f-4db3-9769-60fe6481f466}" done="0">
    <x18tc:text xml:space="preserve">Aumenta por el envío</x18tc:text>
  </x18tc:threadedComment>
  <x18tc:threadedComment ref="K762" dT="2026-06-02T18:26:42.00" personId="{f9b224d0-ee33-4499-ae47-db5bcd2d0435}" id="{474bb012-8349-4680-bf9a-2cc38655c953}" done="0">
    <x18tc:text xml:space="preserve">https://drive.google.com/file/d/1YGxDEt04UtaiD70p5dqXWmWkyFfQ70V9/view?usp=drive_link</x18tc:text>
    <x18tc:extLst>
      <ext uri="{F7C98A9C-CBB3-438F-8F68-D28B6AF4A901}">
        <xltc2:checksum/>
        <xltc2:hyperlink startIndex="0" length="85" url="https://drive.google.com/file/d/1YGxDEt04UtaiD70p5dqXWmWkyFfQ70V9/view?usp=drive_link"/>
      </ext>
    </x18tc:extLst>
  </x18tc:threadedComment>
  <x18tc:threadedComment ref="K762" dT="2026-06-19T15:27:25.00" personId="{f9b224d0-ee33-4499-ae47-db5bcd2d0435}" id="{02fbce2f-26d2-4db4-81dd-77f66c25ebac}" parentId="{474bb012-8349-4680-bf9a-2cc38655c953}">
    <x18tc:text xml:space="preserve">https://drive.google.com/file/d/1EGTrFcA678kQFiVzkFAWcsDLlHFzkRa9/view?usp=drive_link</x18tc:text>
    <x18tc:extLst>
      <ext uri="{F7C98A9C-CBB3-438F-8F68-D28B6AF4A901}">
        <xltc2:checksum/>
        <xltc2:hyperlink startIndex="0" length="85" url="https://drive.google.com/file/d/1EGTrFcA678kQFiVzkFAWcsDLlHFzkRa9/view?usp=drive_link"/>
      </ext>
    </x18tc:extLst>
  </x18tc:threadedComment>
  <x18tc:threadedComment ref="K762" dT="2026-06-19T15:28:18.00" personId="{f9b224d0-ee33-4499-ae47-db5bcd2d0435}" id="{fa0c747a-fed0-4825-96e2-0d551de6a595}" parentId="{474bb012-8349-4680-bf9a-2cc38655c953}">
    <x18tc:text xml:space="preserve">https://drive.google.com/file/d/1XA1bXzC6VZiqWoBS-mivuQnUtsAhfDcY/view?usp=drive_link</x18tc:text>
    <x18tc:extLst>
      <ext uri="{F7C98A9C-CBB3-438F-8F68-D28B6AF4A901}">
        <xltc2:checksum/>
        <xltc2:hyperlink startIndex="0" length="85" url="https://drive.google.com/file/d/1XA1bXzC6VZiqWoBS-mivuQnUtsAhfDcY/view?usp=drive_link"/>
      </ext>
    </x18tc:extLst>
  </x18tc:threadedComment>
  <x18tc:threadedComment ref="K467" dT="2026-01-25T00:42:32.00" personId="{4df2d6c4-e43e-4f2e-b623-d90f458472ff}" id="{49b14d09-16a7-48ec-997f-800483c2eb90}" done="0">
    <x18tc:text xml:space="preserve">https://drive.google.com/file/d/1sPKbOHgf27NE6_WVnDsz6gSiL7DbvAZW/view?usp=drive_link</x18tc:text>
    <x18tc:extLst>
      <ext uri="{F7C98A9C-CBB3-438F-8F68-D28B6AF4A901}">
        <xltc2:checksum/>
        <xltc2:hyperlink startIndex="0" length="85" url="https://drive.google.com/file/d/1sPKbOHgf27NE6_WVnDsz6gSiL7DbvAZW/view?usp=drive_link"/>
      </ext>
    </x18tc:extLst>
  </x18tc:threadedComment>
  <x18tc:threadedComment ref="K467" dT="2026-01-25T00:42:54.00" personId="{4df2d6c4-e43e-4f2e-b623-d90f458472ff}" id="{18fb1876-5366-4144-aeae-0c4cf45e48e0}" parentId="{49b14d09-16a7-48ec-997f-800483c2eb90}">
    <x18tc:text xml:space="preserve">https://drive.google.com/file/d/1QCYtCoh8HLVxcD7hMrrLYVaU1a_2isCH/view?usp=drive_link</x18tc:text>
    <x18tc:extLst>
      <ext uri="{F7C98A9C-CBB3-438F-8F68-D28B6AF4A901}">
        <xltc2:checksum/>
        <xltc2:hyperlink startIndex="0" length="85" url="https://drive.google.com/file/d/1QCYtCoh8HLVxcD7hMrrLYVaU1a_2isCH/view?usp=drive_link"/>
      </ext>
    </x18tc:extLst>
  </x18tc:threadedComment>
  <x18tc:threadedComment ref="J12" dT="2025-05-23T16:54:18.00" personId="{d8e4f5ad-b65d-4160-a56f-197530fb7eb1}" id="{d519b8bc-5c46-43d5-8939-a731c828738e}" done="0">
    <x18tc:text xml:space="preserve">https://drive.google.com/file/d/10tM6nDW6xYTKe4xj2GQfqYOdp7diSX3H/view?usp=drive_link</x18tc:text>
    <x18tc:extLst>
      <ext uri="{F7C98A9C-CBB3-438F-8F68-D28B6AF4A901}">
        <xltc2:checksum/>
        <xltc2:hyperlink startIndex="0" length="85" url="https://drive.google.com/file/d/10tM6nDW6xYTKe4xj2GQfqYOdp7diSX3H/view?usp=drive_link"/>
      </ext>
    </x18tc:extLst>
  </x18tc:threadedComment>
  <x18tc:threadedComment ref="C43" dT="2025-05-10T22:34:48.00" personId="{d8e4f5ad-b65d-4160-a56f-197530fb7eb1}" id="{eeeda732-4c1d-4a11-8375-a5177fe1547a}" done="0">
    <x18tc:text xml:space="preserve">https://www.ebay.com/itm/177043061277?_skw=4060&amp;itmmeta=01JTJAWCH04K3N2SAB72M2SK8B&amp;hash=item293896ba1d:g:HqEAAeSwfUdoC-BN</x18tc:text>
    <x18tc:extLst>
      <ext uri="{F7C98A9C-CBB3-438F-8F68-D28B6AF4A901}">
        <xltc2:checksum/>
        <xltc2:hyperlink startIndex="0" length="121" url="https://www.ebay.com/itm/177043061277?_skw=4060&amp;itmmeta=01JTJAWCH04K3N2SAB72M2SK8B&amp;hash=item293896ba1d:g:HqEAAeSwfUdoC-BN"/>
      </ext>
    </x18tc:extLst>
  </x18tc:threadedComment>
  <x18tc:threadedComment ref="K444" dT="2026-01-25T00:37:43.00" personId="{a5d43f6d-3c72-4414-b012-8f52ef50acc4}" id="{9bad49a6-b845-485a-bc25-e17fd01fb6ef}" done="0">
    <x18tc:text xml:space="preserve">https://drive.google.com/file/d/1gcC-2I6tdyNrDj4H5GYCrPZUWm7uVUac/view?usp=drive_link</x18tc:text>
    <x18tc:extLst>
      <ext uri="{F7C98A9C-CBB3-438F-8F68-D28B6AF4A901}">
        <xltc2:checksum/>
        <xltc2:hyperlink startIndex="0" length="85" url="https://drive.google.com/file/d/1gcC-2I6tdyNrDj4H5GYCrPZUWm7uVUac/view?usp=drive_link"/>
      </ext>
    </x18tc:extLst>
  </x18tc:threadedComment>
  <x18tc:threadedComment ref="L12" dT="2025-05-23T16:56:25.00" personId="{d8e4f5ad-b65d-4160-a56f-197530fb7eb1}" id="{9acf0f97-88fc-423b-9430-fa5145b1e44e}" done="0">
    <x18tc:text xml:space="preserve">https://drive.google.com/file/d/1mJeSo22INmpzPIv94SE-Iiyd9Elrs2X1/view?usp=drive_link</x18tc:text>
    <x18tc:extLst>
      <ext uri="{F7C98A9C-CBB3-438F-8F68-D28B6AF4A901}">
        <xltc2:checksum/>
        <xltc2:hyperlink startIndex="0" length="85" url="https://drive.google.com/file/d/1mJeSo22INmpzPIv94SE-Iiyd9Elrs2X1/view?usp=drive_link"/>
      </ext>
    </x18tc:extLst>
  </x18tc:threadedComment>
  <x18tc:threadedComment ref="AI774" dT="2026-06-24T23:03:18.00" personId="{7d9bea4b-cfe7-4c29-b483-8e83a1c4f52a}" id="{0038a181-f6ce-42c6-99ca-dae527b8a959}" done="0">
    <x18tc:text xml:space="preserve">https://drive.google.com/file/d/1NMBpadZxQqsmt38RzjRiA3dFLa2hF7V-/view?usp=drive_link</x18tc:text>
    <x18tc:extLst>
      <ext uri="{F7C98A9C-CBB3-438F-8F68-D28B6AF4A901}">
        <xltc2:checksum/>
        <xltc2:hyperlink startIndex="0" length="85" url="https://drive.google.com/file/d/1NMBpadZxQqsmt38RzjRiA3dFLa2hF7V-/view?usp=drive_link"/>
      </ext>
    </x18tc:extLst>
  </x18tc:threadedComment>
  <x18tc:threadedComment ref="AF751" dT="2026-06-22T07:45:57.00" personId="{2ddfa542-8116-4937-a057-08470d7abaab}" id="{0bb90c43-5d3b-490a-9cbb-5d7a6741281a}" done="0">
    <x18tc:text xml:space="preserve">excedentes, voucher final, fixit</x18tc:text>
  </x18tc:threadedComment>
  <x18tc:threadedComment ref="A1" dT="2025-05-23T16:07:04.00" personId="{4df2d6c4-e43e-4f2e-b623-d90f458472ff}" id="{80b7dbc1-9190-421f-a512-7c45c9b65cce}" done="0">
    <x18tc:text xml:space="preserve">https://www.walmart.com/ip/ASUS-ROG-Strix-G16-16-inch-QHD-Nebula-240Hz-Gaming-Laptop-Intel-Core-i9-13980HX-NVIDIA-GeForce-RTX-4070-16GB-DDR5-1TB-SSD-Eclipse-Gray-2023/5136011874?filters=%5B%7B%22intent%22%3A%22retailer%22%2C%22values%22%3A%5B%22Walmart%22%5D%7D%5D&amp;classType=REGULAR&amp;athbdg=L1103&amp;from=/search</x18tc:text>
    <x18tc:extLst>
      <ext uri="{F7C98A9C-CBB3-438F-8F68-D28B6AF4A901}">
        <xltc2:checksum/>
        <xltc2:hyperlink startIndex="0" length="308" url="https://www.walmart.com/ip/ASUS-ROG-Strix-G16-16-inch-QHD-Nebula-240Hz-Gaming-Laptop-Intel-Core-i9-13980HX-NVIDIA-GeForce-RTX-4070-16GB-DDR5-1TB-SSD-Eclipse-Gray-2023/5136011874?filters=%5B%7B%22intent%22%3A%22retailer%22%2C%22values%22%3A%5B%22Walmart%22%5D%7D%5D&amp;classType=REGULAR&amp;athbdg=L1103&amp;from=/search"/>
      </ext>
    </x18tc:extLst>
  </x18tc:threadedComment>
  <x18tc:threadedComment ref="J16" dT="2025-05-23T16:58:28.00" personId="{d8e4f5ad-b65d-4160-a56f-197530fb7eb1}" id="{25930959-c1aa-498c-adba-4da2041f980c}" done="0">
    <x18tc:text xml:space="preserve">https://drive.google.com/file/d/1j9ca5TJjR5NNTYa6znAXXLNS-2t3HQ4A/view?usp=drive_link</x18tc:text>
    <x18tc:extLst>
      <ext uri="{F7C98A9C-CBB3-438F-8F68-D28B6AF4A901}">
        <xltc2:checksum/>
        <xltc2:hyperlink startIndex="0" length="85" url="https://drive.google.com/file/d/1j9ca5TJjR5NNTYa6znAXXLNS-2t3HQ4A/view?usp=drive_link"/>
      </ext>
    </x18tc:extLst>
  </x18tc:threadedComment>
  <x18tc:threadedComment ref="AI770" dT="2026-06-24T23:04:54.00" personId="{7d9bea4b-cfe7-4c29-b483-8e83a1c4f52a}" id="{473d82bb-cc00-4a62-acb7-1907c42821c7}" done="0">
    <x18tc:text xml:space="preserve">https://drive.google.com/file/d/1hLJaZZMdvMfd6KnqUJXeocNkKOc2VdE4/view?usp=drive_link</x18tc:text>
    <x18tc:extLst>
      <ext uri="{F7C98A9C-CBB3-438F-8F68-D28B6AF4A901}">
        <xltc2:checksum/>
        <xltc2:hyperlink startIndex="0" length="85" url="https://drive.google.com/file/d/1hLJaZZMdvMfd6KnqUJXeocNkKOc2VdE4/view?usp=drive_link"/>
      </ext>
    </x18tc:extLst>
  </x18tc:threadedComment>
  <x18tc:threadedComment ref="C67" dT="2025-05-23T16:15:56.00" personId="{4df2d6c4-e43e-4f2e-b623-d90f458472ff}" id="{7fc2337c-ade8-42ab-bf19-9afb1cc5ac6a}" done="0">
    <x18tc:text xml:space="preserve">https://www.microcenter.com/product/687888/asus-rog-strix-g16-g614jir-ms96-16-gaming-laptop-computer-eclipse-gray</x18tc:text>
    <x18tc:extLst>
      <ext uri="{F7C98A9C-CBB3-438F-8F68-D28B6AF4A901}">
        <xltc2:checksum/>
        <xltc2:hyperlink startIndex="0" length="113" url="https://www.microcenter.com/product/687888/asus-rog-strix-g16-g614jir-ms96-16-gaming-laptop-computer-eclipse-gray"/>
      </ext>
    </x18tc:extLst>
  </x18tc:threadedComment>
  <x18tc:threadedComment ref="K454" dT="2026-01-25T00:23:02.00" personId="{4df2d6c4-e43e-4f2e-b623-d90f458472ff}" id="{f4e04bd2-a8d9-47c8-bee9-18e2be44e007}" done="0">
    <x18tc:text xml:space="preserve">https://drive.google.com/file/d/1Ted_zyzlCjb6dgyJdKUiBZf243SXZqxO/view?usp=drive_link</x18tc:text>
    <x18tc:extLst>
      <ext uri="{F7C98A9C-CBB3-438F-8F68-D28B6AF4A901}">
        <xltc2:checksum/>
        <xltc2:hyperlink startIndex="0" length="85" url="https://drive.google.com/file/d/1Ted_zyzlCjb6dgyJdKUiBZf243SXZqxO/view?usp=drive_link"/>
      </ext>
    </x18tc:extLst>
  </x18tc:threadedComment>
  <x18tc:threadedComment ref="K454" dT="2026-01-25T00:23:36.00" personId="{4df2d6c4-e43e-4f2e-b623-d90f458472ff}" id="{e6a1a531-4388-464c-9b60-3456a524a6f6}" parentId="{f4e04bd2-a8d9-47c8-bee9-18e2be44e007}">
    <x18tc:text xml:space="preserve">https://drive.google.com/file/d/1wB3iCzLYQ8L98Vym-oCjDdCGZHKf3QqJ/view?usp=drive_link</x18tc:text>
    <x18tc:extLst>
      <ext uri="{F7C98A9C-CBB3-438F-8F68-D28B6AF4A901}">
        <xltc2:checksum/>
        <xltc2:hyperlink startIndex="0" length="85" url="https://drive.google.com/file/d/1wB3iCzLYQ8L98Vym-oCjDdCGZHKf3QqJ/view?usp=drive_link"/>
      </ext>
    </x18tc:extLst>
  </x18tc:threadedComment>
  <x18tc:threadedComment ref="AF787" dT="2026-06-22T07:39:51.00" personId="{2ddfa542-8116-4937-a057-08470d7abaab}" id="{cfb28ac7-b578-487c-8afe-abf49ac826b3}" done="0">
    <x18tc:text xml:space="preserve">Excedentes, vental final, fixit</x18tc:text>
  </x18tc:threadedComment>
  <x18tc:threadedComment ref="K453" dT="2026-01-25T00:16:28.00" personId="{4df2d6c4-e43e-4f2e-b623-d90f458472ff}" id="{34637084-6afe-4121-8feb-d6d10b1b858a}" done="0">
    <x18tc:text xml:space="preserve">https://drive.google.com/file/d/1wB3iCzLYQ8L98Vym-oCjDdCGZHKf3QqJ/view?usp=drive_link</x18tc:text>
    <x18tc:extLst>
      <ext uri="{F7C98A9C-CBB3-438F-8F68-D28B6AF4A901}">
        <xltc2:checksum/>
        <xltc2:hyperlink startIndex="0" length="85" url="https://drive.google.com/file/d/1wB3iCzLYQ8L98Vym-oCjDdCGZHKf3QqJ/view?usp=drive_link"/>
      </ext>
    </x18tc:extLst>
  </x18tc:threadedComment>
  <x18tc:threadedComment ref="L16" dT="2025-05-23T17:02:45.00" personId="{d8e4f5ad-b65d-4160-a56f-197530fb7eb1}" id="{bfdbd0c6-f62f-45ff-8162-7096270ab50c}" done="0">
    <x18tc:text xml:space="preserve">https://drive.google.com/file/d/1w3BI3ymcnT50Pm5qaE-DHIXbiFyxbHiH/view?usp=drive_link</x18tc:text>
    <x18tc:extLst>
      <ext uri="{F7C98A9C-CBB3-438F-8F68-D28B6AF4A901}">
        <xltc2:checksum/>
        <xltc2:hyperlink startIndex="0" length="85" url="https://drive.google.com/file/d/1w3BI3ymcnT50Pm5qaE-DHIXbiFyxbHiH/view?usp=drive_link"/>
      </ext>
    </x18tc:extLst>
  </x18tc:threadedComment>
  <x18tc:threadedComment ref="AF754" dT="2026-06-22T07:42:50.00" personId="{2ddfa542-8116-4937-a057-08470d7abaab}" id="{a5ac8140-e8ac-42e8-a302-567160fc9d4f}" done="0">
    <x18tc:text xml:space="preserve">excedentes, voucher final, fixit</x18tc:text>
  </x18tc:threadedComment>
  <x18tc:threadedComment ref="K445" dT="2026-01-25T00:14:00.00" personId="{4df2d6c4-e43e-4f2e-b623-d90f458472ff}" id="{5c139ddb-8962-4dbe-a815-905dd9e92344}" done="0">
    <x18tc:text xml:space="preserve">https://drive.google.com/file/d/1S21jtSi_pnCw_Zeq42zZxQC-_4vr5xjf/view?usp=drive_link</x18tc:text>
    <x18tc:extLst>
      <ext uri="{F7C98A9C-CBB3-438F-8F68-D28B6AF4A901}">
        <xltc2:checksum/>
        <xltc2:hyperlink startIndex="0" length="85" url="https://drive.google.com/file/d/1S21jtSi_pnCw_Zeq42zZxQC-_4vr5xjf/view?usp=drive_link"/>
      </ext>
    </x18tc:extLst>
  </x18tc:threadedComment>
  <x18tc:threadedComment ref="J277" dT="2025-10-23T01:16:59.00" personId="{4df2d6c4-e43e-4f2e-b623-d90f458472ff}" id="{c5d60fe8-959c-4d98-897b-b103cf3dd23c}" done="0">
    <x18tc:text xml:space="preserve">https://drive.google.com/file/d/1p7n-OpRpNDXruK_QEZjQA1p74mprZ-P8/view?usp=drive_link</x18tc:text>
    <x18tc:extLst>
      <ext uri="{F7C98A9C-CBB3-438F-8F68-D28B6AF4A901}">
        <xltc2:checksum/>
        <xltc2:hyperlink startIndex="0" length="85" url="https://drive.google.com/file/d/1p7n-OpRpNDXruK_QEZjQA1p74mprZ-P8/view?usp=drive_link"/>
      </ext>
    </x18tc:extLst>
  </x18tc:threadedComment>
  <x18tc:threadedComment ref="K779" dT="2026-06-08T22:22:42.00" personId="{f9b224d0-ee33-4499-ae47-db5bcd2d0435}" id="{4b3af3e8-8c16-41d3-9c86-3a21692379a4}" done="0">
    <x18tc:text xml:space="preserve">https://drive.google.com/file/d/1zeoX4RvpQcw5EFJI7muAUl_mDHzJlfHU/view?usp=drive_link</x18tc:text>
    <x18tc:extLst>
      <ext uri="{F7C98A9C-CBB3-438F-8F68-D28B6AF4A901}">
        <xltc2:checksum/>
        <xltc2:hyperlink startIndex="0" length="85" url="https://drive.google.com/file/d/1zeoX4RvpQcw5EFJI7muAUl_mDHzJlfHU/view?usp=drive_link"/>
      </ext>
    </x18tc:extLst>
  </x18tc:threadedComment>
  <x18tc:threadedComment ref="K435" dT="2026-01-25T00:09:44.00" personId="{a5d43f6d-3c72-4414-b012-8f52ef50acc4}" id="{2e41bbec-4cf8-45ea-a6a0-dc2d8050154d}" done="0">
    <x18tc:text xml:space="preserve">https://drive.google.com/file/d/1YRBCtCD5GHRZOjXIDl4kPfGGskAui_zy/view?usp=drive_link</x18tc:text>
    <x18tc:extLst>
      <ext uri="{F7C98A9C-CBB3-438F-8F68-D28B6AF4A901}">
        <xltc2:checksum/>
        <xltc2:hyperlink startIndex="0" length="85" url="https://drive.google.com/file/d/1YRBCtCD5GHRZOjXIDl4kPfGGskAui_zy/view?usp=drive_link"/>
      </ext>
    </x18tc:extLst>
  </x18tc:threadedComment>
  <x18tc:threadedComment ref="W134" dT="2025-08-30T01:06:22.00" personId="{4df2d6c4-e43e-4f2e-b623-d90f458472ff}" id="{d3393c1c-deff-4f8a-a6ae-eda37e7eb6fc}" done="0">
    <x18tc:text xml:space="preserve">https://drive.google.com/file/d/1gCEAQpfVe_Gg-hGxquqhbOsN7st82Y7N/view?usp=drive_link</x18tc:text>
    <x18tc:extLst>
      <ext uri="{F7C98A9C-CBB3-438F-8F68-D28B6AF4A901}">
        <xltc2:checksum/>
        <xltc2:hyperlink startIndex="0" length="85" url="https://drive.google.com/file/d/1gCEAQpfVe_Gg-hGxquqhbOsN7st82Y7N/view?usp=drive_link"/>
      </ext>
    </x18tc:extLst>
  </x18tc:threadedComment>
  <x18tc:threadedComment ref="AF786" dT="2026-06-22T07:39:48.00" personId="{2ddfa542-8116-4937-a057-08470d7abaab}" id="{ae024c77-167d-40ec-a56a-239f7af4aa2a}" done="0">
    <x18tc:text xml:space="preserve">Excedentes, vental final, fixit</x18tc:text>
  </x18tc:threadedComment>
  <x18tc:threadedComment ref="W154" dT="2025-08-30T01:11:29.00" personId="{4df2d6c4-e43e-4f2e-b623-d90f458472ff}" id="{ec84bd9a-67a5-4131-9ca0-bcd3a1da13fc}" done="0">
    <x18tc:text xml:space="preserve">https://drive.google.com/file/d/11q1mbPpfk36Zqz7FJPdML5nBGZeTg872/view?usp=sharing</x18tc:text>
    <x18tc:extLst>
      <ext uri="{F7C98A9C-CBB3-438F-8F68-D28B6AF4A901}">
        <xltc2:checksum/>
        <xltc2:hyperlink startIndex="0" length="82" url="https://drive.google.com/file/d/11q1mbPpfk36Zqz7FJPdML5nBGZeTg872/view?usp=sharing"/>
      </ext>
    </x18tc:extLst>
  </x18tc:threadedComment>
  <x18tc:threadedComment ref="AF748" dT="2026-06-22T07:24:55.00" personId="{2ddfa542-8116-4937-a057-08470d7abaab}" id="{fde4540f-9461-4993-8498-b36151a3d3dc}" done="0">
    <x18tc:text xml:space="preserve">Excedentes, vental final, fixit</x18tc:text>
  </x18tc:threadedComment>
  <x18tc:threadedComment ref="L93" dT="2025-06-25T20:26:48.00" personId="{d8e4f5ad-b65d-4160-a56f-197530fb7eb1}" id="{cc61d8cf-d8bc-48fb-a57a-f01134923918}" done="0">
    <x18tc:text xml:space="preserve">https://drive.google.com/file/d/14F41XHxVgGX8Zn5HHt1xH9SfV3kIaBQ4/view?usp=drive_link</x18tc:text>
    <x18tc:extLst>
      <ext uri="{F7C98A9C-CBB3-438F-8F68-D28B6AF4A901}">
        <xltc2:checksum/>
        <xltc2:hyperlink startIndex="0" length="85" url="https://drive.google.com/file/d/14F41XHxVgGX8Zn5HHt1xH9SfV3kIaBQ4/view?usp=drive_link"/>
      </ext>
    </x18tc:extLst>
  </x18tc:threadedComment>
  <x18tc:threadedComment ref="D279" dT="2025-10-24T00:06:57.00" personId="{a5d43f6d-3c72-4414-b012-8f52ef50acc4}" id="{2553e6e2-f4ff-4d70-b3ba-4a27b25b4061}" done="0">
    <x18tc:text xml:space="preserve">Ruc: 20601708311
Reenviado
Razon social: Constructora y Consultora QMED Eirl
Reenviado
Correo: constructora.qmed@gmail.com</x18tc:text>
  </x18tc:threadedComment>
  <x18tc:threadedComment ref="W125" dT="2025-08-30T00:54:23.00" personId="{4df2d6c4-e43e-4f2e-b623-d90f458472ff}" id="{922229fa-5174-4bd6-b163-fdd0e347d9ab}" done="1">
    <x18tc:text xml:space="preserve">https://drive.google.com/file/d/13AS9GC3ASCGFLqtNYsCnTAwGNR7iBQCS/view?usp=drive_link</x18tc:text>
    <x18tc:extLst>
      <ext uri="{F7C98A9C-CBB3-438F-8F68-D28B6AF4A901}">
        <xltc2:checksum/>
        <xltc2:hyperlink startIndex="0" length="85" url="https://drive.google.com/file/d/13AS9GC3ASCGFLqtNYsCnTAwGNR7iBQCS/view?usp=drive_link"/>
      </ext>
    </x18tc:extLst>
  </x18tc:threadedComment>
  <x18tc:threadedComment ref="C678" dT="2026-04-11T20:43:15.00" personId="{d8e4f5ad-b65d-4160-a56f-197530fb7eb1}" id="{bd6f0679-ed44-4aff-9035-004be9223d1c}" done="0">
    <x18tc:text xml:space="preserve">https://www.bhphotovideo.com/c/product/1883233-REG/lenovo_83f0001uus_15_1_legion_5i_gaming.html</x18tc:text>
    <x18tc:extLst>
      <ext uri="{F7C98A9C-CBB3-438F-8F68-D28B6AF4A901}">
        <xltc2:checksum/>
        <xltc2:hyperlink startIndex="0" length="95" url="https://www.bhphotovideo.com/c/product/1883233-REG/lenovo_83f0001uus_15_1_legion_5i_gaming.html"/>
      </ext>
    </x18tc:extLst>
  </x18tc:threadedComment>
  <x18tc:threadedComment ref="W133" dT="2025-08-30T01:36:04.00" personId="{4df2d6c4-e43e-4f2e-b623-d90f458472ff}" id="{988559be-4fd6-4545-ae14-d9989acdcbc9}" done="0">
    <x18tc:text xml:space="preserve">https://drive.google.com/file/d/1hwNhLH7b6UHAZkm0N9EsupUE8Dy7s85-/view?usp=drive_link</x18tc:text>
    <x18tc:extLst>
      <ext uri="{F7C98A9C-CBB3-438F-8F68-D28B6AF4A901}">
        <xltc2:checksum/>
        <xltc2:hyperlink startIndex="0" length="85" url="https://drive.google.com/file/d/1hwNhLH7b6UHAZkm0N9EsupUE8Dy7s85-/view?usp=drive_link"/>
      </ext>
    </x18tc:extLst>
  </x18tc:threadedComment>
  <x18tc:threadedComment ref="AF785" dT="2026-06-22T07:39:44.00" personId="{2ddfa542-8116-4937-a057-08470d7abaab}" id="{66a60304-b02c-43e8-b9f8-095d00a4eca3}" done="0">
    <x18tc:text xml:space="preserve">Excedentes, vental final, fixit</x18tc:text>
  </x18tc:threadedComment>
  <x18tc:threadedComment ref="AF752" dT="2026-06-22T07:24:59.00" personId="{2ddfa542-8116-4937-a057-08470d7abaab}" id="{196146df-7b98-4b09-982f-09ee562e10c8}" done="0">
    <x18tc:text xml:space="preserve">Excedentes, vental final, fixit</x18tc:text>
  </x18tc:threadedComment>
  <x18tc:threadedComment ref="Z208" dT="2025-09-03T17:19:12.00" personId="{d8e4f5ad-b65d-4160-a56f-197530fb7eb1}" id="{c34751ef-161a-43f1-bd33-387ec00327c0}" done="0">
    <x18tc:text xml:space="preserve">https://drive.google.com/file/d/1lwui-O9Ot-aL-l_hOfratp3mvwihlkKv/view?usp=drive_link</x18tc:text>
    <x18tc:extLst>
      <ext uri="{F7C98A9C-CBB3-438F-8F68-D28B6AF4A901}">
        <xltc2:checksum/>
        <xltc2:hyperlink startIndex="0" length="85" url="https://drive.google.com/file/d/1lwui-O9Ot-aL-l_hOfratp3mvwihlkKv/view?usp=drive_link"/>
      </ext>
    </x18tc:extLst>
  </x18tc:threadedComment>
  <x18tc:threadedComment ref="W138" dT="2025-08-30T01:41:44.00" personId="{4df2d6c4-e43e-4f2e-b623-d90f458472ff}" id="{843a7e4b-a9b0-42a2-baf8-41b67afe70b5}" done="0">
    <x18tc:text xml:space="preserve">https://drive.google.com/file/d/1aw4uYITj5lH3cFNkL2NdEnWlhRAqgI5_/view?usp=drive_link</x18tc:text>
    <x18tc:extLst>
      <ext uri="{F7C98A9C-CBB3-438F-8F68-D28B6AF4A901}">
        <xltc2:checksum/>
        <xltc2:hyperlink startIndex="0" length="85" url="https://drive.google.com/file/d/1aw4uYITj5lH3cFNkL2NdEnWlhRAqgI5_/view?usp=drive_link"/>
      </ext>
    </x18tc:extLst>
  </x18tc:threadedComment>
  <x18tc:threadedComment ref="AF776" dT="2026-06-22T07:33:23.00" personId="{2ddfa542-8116-4937-a057-08470d7abaab}" id="{f9fd0a45-c206-4506-8574-ca9766303b58}" done="0">
    <x18tc:text xml:space="preserve">Excedentes, vental final, fixit</x18tc:text>
  </x18tc:threadedComment>
  <x18tc:threadedComment ref="D279" dT="2025-10-24T00:06:45.00" personId="{a5d43f6d-3c72-4414-b012-8f52ef50acc4}" id="{8389c7e2-f1f2-4ef4-91fd-e349a20e2fbe}" done="1">
    <x18tc:text xml:space="preserve">Ruc: 20601708311
Reenviado
Razon social: Constructora y Consultora QMED Eirl
Reenviado
Correo: constructora.qmed@gmail.com</x18tc:text>
  </x18tc:threadedComment>
  <x18tc:threadedComment ref="AG380" dT="2026-01-09T22:55:57.00" personId="{2ddfa542-8116-4937-a057-08470d7abaab}" id="{8a730033-7ec6-420d-80b6-aa4b8ba7666b}" done="0">
    <x18tc:text xml:space="preserve">No excedente</x18tc:text>
  </x18tc:threadedComment>
  <x18tc:threadedComment ref="J439" dT="2025-12-28T00:09:46.00" personId="{d8e4f5ad-b65d-4160-a56f-197530fb7eb1}" id="{75e3190e-f5d5-4a51-a714-94fecf5a27b9}" done="0">
    <x18tc:text xml:space="preserve">https://drive.google.com/file/d/1Ad21VKCF7Vzr23pJ9uu48RfPD6TDBYgk/view?usp=drive_link</x18tc:text>
    <x18tc:extLst>
      <ext uri="{F7C98A9C-CBB3-438F-8F68-D28B6AF4A901}">
        <xltc2:checksum/>
        <xltc2:hyperlink startIndex="0" length="85" url="https://drive.google.com/file/d/1Ad21VKCF7Vzr23pJ9uu48RfPD6TDBYgk/view?usp=drive_link"/>
      </ext>
    </x18tc:extLst>
  </x18tc:threadedComment>
  <x18tc:threadedComment ref="J439" dT="2025-12-28T00:10:05.00" personId="{d8e4f5ad-b65d-4160-a56f-197530fb7eb1}" id="{00341ab5-20d7-40d0-a51d-ecf4bd87af74}" parentId="{75e3190e-f5d5-4a51-a714-94fecf5a27b9}">
    <x18tc:text xml:space="preserve">https://drive.google.com/file/d/1ropeYCBxXkICph7kxpBYk3MN3SBAjoiy/view?usp=drive_link</x18tc:text>
    <x18tc:extLst>
      <ext uri="{F7C98A9C-CBB3-438F-8F68-D28B6AF4A901}">
        <xltc2:checksum/>
        <xltc2:hyperlink startIndex="0" length="85" url="https://drive.google.com/file/d/1ropeYCBxXkICph7kxpBYk3MN3SBAjoiy/view?usp=drive_link"/>
      </ext>
    </x18tc:extLst>
  </x18tc:threadedComment>
  <x18tc:threadedComment ref="W194" dT="2025-08-30T01:31:10.00" personId="{d8e4f5ad-b65d-4160-a56f-197530fb7eb1}" id="{245baa38-e46e-47bb-a2db-9f0b10036eec}" done="0">
    <x18tc:text xml:space="preserve">https://drive.google.com/file/d/1e5Ywm6FCr3L6I4HqPLZcNA0OeBdgwAMV/view?usp=drive_link</x18tc:text>
    <x18tc:extLst>
      <ext uri="{F7C98A9C-CBB3-438F-8F68-D28B6AF4A901}">
        <xltc2:checksum/>
        <xltc2:hyperlink startIndex="0" length="85" url="https://drive.google.com/file/d/1e5Ywm6FCr3L6I4HqPLZcNA0OeBdgwAMV/view?usp=drive_link"/>
      </ext>
    </x18tc:extLst>
  </x18tc:threadedComment>
  <x18tc:threadedComment ref="AF784" dT="2026-06-22T07:33:25.00" personId="{2ddfa542-8116-4937-a057-08470d7abaab}" id="{4b594a34-c069-43fc-aeb4-9b994ca1244b}" done="0">
    <x18tc:text xml:space="preserve">Excedentes, vental final, fixit</x18tc:text>
  </x18tc:threadedComment>
  <x18tc:threadedComment ref="D280" dT="2025-10-24T00:05:55.00" personId="{a5d43f6d-3c72-4414-b012-8f52ef50acc4}" id="{431d141d-47df-4379-b871-14f3ecf372ed}" done="0">
    <x18tc:text xml:space="preserve">Luis George Espíritu Baldeón
72558386
982283940
georgeespiritub@gmail.com
Bcp</x18tc:text>
  </x18tc:threadedComment>
  <x18tc:threadedComment ref="W202" dT="2025-08-30T00:38:24.00" personId="{d8e4f5ad-b65d-4160-a56f-197530fb7eb1}" id="{670e2665-c04f-4ace-9cbc-46cd7c604506}" done="0">
    <x18tc:text xml:space="preserve">https://drive.google.com/file/d/19z2dRGDspS1GYiShC-K6KGAqAHQn0PPt/view?usp=drive_link</x18tc:text>
    <x18tc:extLst>
      <ext uri="{F7C98A9C-CBB3-438F-8F68-D28B6AF4A901}">
        <xltc2:checksum/>
        <xltc2:hyperlink startIndex="0" length="85" url="https://drive.google.com/file/d/19z2dRGDspS1GYiShC-K6KGAqAHQn0PPt/view?usp=drive_link"/>
      </ext>
    </x18tc:extLst>
  </x18tc:threadedComment>
  <x18tc:threadedComment ref="W157" dT="2025-08-30T01:31:15.00" personId="{4df2d6c4-e43e-4f2e-b623-d90f458472ff}" id="{1ab86195-2ba3-4e2c-aa29-d9bd4f14f09c}" done="0">
    <x18tc:text xml:space="preserve">https://drive.google.com/file/d/1bg4-hcPbT40a8zvxKHhaQfoKItIVv_HB/view?usp=drive_link</x18tc:text>
    <x18tc:extLst>
      <ext uri="{F7C98A9C-CBB3-438F-8F68-D28B6AF4A901}">
        <xltc2:checksum/>
        <xltc2:hyperlink startIndex="0" length="85" url="https://drive.google.com/file/d/1bg4-hcPbT40a8zvxKHhaQfoKItIVv_HB/view?usp=drive_link"/>
      </ext>
    </x18tc:extLst>
  </x18tc:threadedComment>
  <x18tc:threadedComment ref="AF772" dT="2026-06-22T07:33:08.00" personId="{2ddfa542-8116-4937-a057-08470d7abaab}" id="{4862bf36-9d42-458a-8611-8fa870d9aff3}" done="0">
    <x18tc:text xml:space="preserve">Excedentes, vental final, fixit</x18tc:text>
  </x18tc:threadedComment>
  <x18tc:threadedComment ref="J467" dT="2026-01-25T00:43:42.00" personId="{4df2d6c4-e43e-4f2e-b623-d90f458472ff}" id="{b1258987-11b3-47ee-a5c9-a96098506076}" done="0">
    <x18tc:text xml:space="preserve">https://drive.google.com/file/d/1O_B3ilN1dWvVBRRN11d55LHrFKhl1f1L/view?usp=drive_link</x18tc:text>
    <x18tc:extLst>
      <ext uri="{F7C98A9C-CBB3-438F-8F68-D28B6AF4A901}">
        <xltc2:checksum/>
        <xltc2:hyperlink startIndex="0" length="85" url="https://drive.google.com/file/d/1O_B3ilN1dWvVBRRN11d55LHrFKhl1f1L/view?usp=drive_link"/>
      </ext>
    </x18tc:extLst>
  </x18tc:threadedComment>
  <x18tc:threadedComment ref="J280" dT="2025-10-24T00:04:14.00" personId="{a5d43f6d-3c72-4414-b012-8f52ef50acc4}" id="{66e46336-bb6a-49ff-b874-d43467bab41e}" done="0">
    <x18tc:text xml:space="preserve">https://drive.google.com/file/d/1xbzSbrf9qEUlxdWyXLjOTPLK0JWszbUK/view?usp=drive_link</x18tc:text>
    <x18tc:extLst>
      <ext uri="{F7C98A9C-CBB3-438F-8F68-D28B6AF4A901}">
        <xltc2:checksum/>
        <xltc2:hyperlink startIndex="0" length="85" url="https://drive.google.com/file/d/1xbzSbrf9qEUlxdWyXLjOTPLK0JWszbUK/view?usp=drive_link"/>
      </ext>
    </x18tc:extLst>
  </x18tc:threadedComment>
  <x18tc:threadedComment ref="AI738" dT="2026-06-24T23:01:50.00" personId="{7d9bea4b-cfe7-4c29-b483-8e83a1c4f52a}" id="{e343d22e-bbce-4e86-aa60-d3a24041131d}" done="0">
    <x18tc:text xml:space="preserve">https://drive.google.com/file/d/1eq8Dq1OZ1aObImcBfv37PVO4aXLE8GBq/view?usp=drive_link</x18tc:text>
    <x18tc:extLst>
      <ext uri="{F7C98A9C-CBB3-438F-8F68-D28B6AF4A901}">
        <xltc2:checksum/>
        <xltc2:hyperlink startIndex="0" length="85" url="https://drive.google.com/file/d/1eq8Dq1OZ1aObImcBfv37PVO4aXLE8GBq/view?usp=drive_link"/>
      </ext>
    </x18tc:extLst>
  </x18tc:threadedComment>
  <x18tc:threadedComment ref="C45" dT="2025-05-10T23:00:02.00" personId="{4df2d6c4-e43e-4f2e-b623-d90f458472ff}" id="{c8c3fe4b-f538-4808-b4d7-4a14706de946}" done="0">
    <x18tc:text xml:space="preserve">https://www.bestbuy.com/site/asus-rog-strix-g16-16-fhd-165hz-gaming-laptop-amd-ryzen-9-hx-16gb-ram-nvidia-geforce-rtx-5070-ti-1tb-ssd-eclipse-grey/6613956.p?skuId=6613956</x18tc:text>
    <x18tc:extLst>
      <ext uri="{F7C98A9C-CBB3-438F-8F68-D28B6AF4A901}">
        <xltc2:checksum/>
        <xltc2:hyperlink startIndex="0" length="170" url="https://www.bestbuy.com/site/asus-rog-strix-g16-16-fhd-165hz-gaming-laptop-amd-ryzen-9-hx-16gb-ram-nvidia-geforce-rtx-5070-ti-1tb-ssd-eclipse-grey/6613956.p?skuId=6613956"/>
      </ext>
    </x18tc:extLst>
  </x18tc:threadedComment>
  <x18tc:threadedComment ref="AF774" dT="2026-06-22T07:33:19.00" personId="{2ddfa542-8116-4937-a057-08470d7abaab}" id="{e7060f05-8886-453d-95b4-be08b97bebcc}" done="0">
    <x18tc:text xml:space="preserve">Excedentes, vental final, fixit</x18tc:text>
  </x18tc:threadedComment>
  <x18tc:threadedComment ref="W166" dT="2025-08-30T01:21:16.00" personId="{4df2d6c4-e43e-4f2e-b623-d90f458472ff}" id="{3032d387-7929-4633-8ed7-2be613d9539e}" done="0">
    <x18tc:text xml:space="preserve">https://drive.google.com/file/d/1uXGbTCFw3U4NEGAJEkbN7w4QLHWGRCNY/view?usp=drive_link</x18tc:text>
    <x18tc:extLst>
      <ext uri="{F7C98A9C-CBB3-438F-8F68-D28B6AF4A901}">
        <xltc2:checksum/>
        <xltc2:hyperlink startIndex="0" length="85" url="https://drive.google.com/file/d/1uXGbTCFw3U4NEGAJEkbN7w4QLHWGRCNY/view?usp=drive_link"/>
      </ext>
    </x18tc:extLst>
  </x18tc:threadedComment>
  <x18tc:threadedComment ref="L43" dT="2025-05-23T16:45:14.00" personId="{d8e4f5ad-b65d-4160-a56f-197530fb7eb1}" id="{89c2c6a0-6bef-40b6-8f8f-96671237390b}" done="0">
    <x18tc:text xml:space="preserve">https://drive.google.com/file/d/1iZ4pp1UucM_IY8j5G4gMvhVli0X8-_k3/view?usp=drive_link</x18tc:text>
    <x18tc:extLst>
      <ext uri="{F7C98A9C-CBB3-438F-8F68-D28B6AF4A901}">
        <xltc2:checksum/>
        <xltc2:hyperlink startIndex="0" length="85" url="https://drive.google.com/file/d/1iZ4pp1UucM_IY8j5G4gMvhVli0X8-_k3/view?usp=drive_link"/>
      </ext>
    </x18tc:extLst>
  </x18tc:threadedComment>
  <x18tc:threadedComment ref="J11" dT="2025-05-23T16:49:55.00" personId="{d8e4f5ad-b65d-4160-a56f-197530fb7eb1}" id="{e46b8b78-ab2a-449e-8afe-635bb523c602}" done="0">
    <x18tc:text xml:space="preserve">https://drive.google.com/file/d/1pxXohjlqJwdeUbtts3MisArT92wKrKSD/view?usp=drive_link</x18tc:text>
    <x18tc:extLst>
      <ext uri="{F7C98A9C-CBB3-438F-8F68-D28B6AF4A901}">
        <xltc2:checksum/>
        <xltc2:hyperlink startIndex="0" length="85" url="https://drive.google.com/file/d/1pxXohjlqJwdeUbtts3MisArT92wKrKSD/view?usp=drive_link"/>
      </ext>
    </x18tc:extLst>
  </x18tc:threadedComment>
  <x18tc:threadedComment ref="AF770" dT="2026-06-22T07:28:07.00" personId="{2ddfa542-8116-4937-a057-08470d7abaab}" id="{6674c591-302c-489b-b7f9-f8079977682e}" done="1">
    <x18tc:text xml:space="preserve">Excedentes, vental final, fixit</x18tc:text>
  </x18tc:threadedComment>
  <x18tc:threadedComment ref="M279" dT="2025-10-23T22:51:12.00" personId="{a5d43f6d-3c72-4414-b012-8f52ef50acc4}" id="{7488ce31-a172-4579-a131-6bc716a58674}" done="0">
    <x18tc:text xml:space="preserve">no se ha colocado el precio de compra todavía en el sheet</x18tc:text>
  </x18tc:threadedComment>
  <x18tc:threadedComment ref="L11" dT="2025-05-23T16:51:21.00" personId="{d8e4f5ad-b65d-4160-a56f-197530fb7eb1}" id="{912c7464-cb4e-421d-8c63-457d6bd5f905}" done="0">
    <x18tc:text xml:space="preserve">https://drive.google.com/file/d/1uIVLEoyHKPxtnjD1BPNEN7jVJLM5rWay/view?usp=drive_link</x18tc:text>
    <x18tc:extLst>
      <ext uri="{F7C98A9C-CBB3-438F-8F68-D28B6AF4A901}">
        <xltc2:checksum/>
        <xltc2:hyperlink startIndex="0" length="85" url="https://drive.google.com/file/d/1uIVLEoyHKPxtnjD1BPNEN7jVJLM5rWay/view?usp=drive_link"/>
      </ext>
    </x18tc:extLst>
  </x18tc:threadedComment>
  <x18tc:threadedComment ref="J43" dT="2025-05-10T22:42:40.00" personId="{d8e4f5ad-b65d-4160-a56f-197530fb7eb1}" id="{411ee2fb-413a-4553-aa9e-c0b74d743e6f}" done="0">
    <x18tc:text xml:space="preserve">https://drive.google.com/file/d/12nkbiukyqlIGRwLM3Flr6b5nR68cCftf/view?usp=drive_link</x18tc:text>
    <x18tc:extLst>
      <ext uri="{F7C98A9C-CBB3-438F-8F68-D28B6AF4A901}">
        <xltc2:checksum/>
        <xltc2:hyperlink startIndex="0" length="85" url="https://drive.google.com/file/d/12nkbiukyqlIGRwLM3Flr6b5nR68cCftf/view?usp=drive_link"/>
      </ext>
    </x18tc:extLst>
  </x18tc:threadedComment>
  <x18tc:threadedComment ref="AF236" dT="2025-10-04T20:24:19.00" personId="{2ddfa542-8116-4937-a057-08470d7abaab}" id="{81f20615-03d0-485c-a871-a056d44b6d95}" done="1">
    <x18tc:text xml:space="preserve">fixit</x18tc:text>
  </x18tc:threadedComment>
  <x18tc:threadedComment ref="K437" dT="2026-01-25T00:05:08.00" personId="{4df2d6c4-e43e-4f2e-b623-d90f458472ff}" id="{744fc181-c364-4e78-b016-baa97c769f22}" done="0">
    <x18tc:text xml:space="preserve">https://drive.google.com/file/d/1kJlmjO7CacrpEMQPhnEUNmhwoDhHyFmU/view?usp=drive_link</x18tc:text>
    <x18tc:extLst>
      <ext uri="{F7C98A9C-CBB3-438F-8F68-D28B6AF4A901}">
        <xltc2:checksum/>
        <xltc2:hyperlink startIndex="0" length="85" url="https://drive.google.com/file/d/1kJlmjO7CacrpEMQPhnEUNmhwoDhHyFmU/view?usp=drive_link"/>
      </ext>
    </x18tc:extLst>
  </x18tc:threadedComment>
  <x18tc:threadedComment ref="J776" dT="2026-06-03T21:55:17.00" personId="{d8e4f5ad-b65d-4160-a56f-197530fb7eb1}" id="{ebd576f0-5720-4740-a185-1e2d037d605b}" done="0">
    <x18tc:text xml:space="preserve">https://drive.google.com/file/d/1cgKHzE5gaf_WpcsGBAjj_ImyJAlKwjQF/view?usp=drive_link</x18tc:text>
    <x18tc:extLst>
      <ext uri="{F7C98A9C-CBB3-438F-8F68-D28B6AF4A901}">
        <xltc2:checksum/>
        <xltc2:hyperlink startIndex="0" length="85" url="https://drive.google.com/file/d/1cgKHzE5gaf_WpcsGBAjj_ImyJAlKwjQF/view?usp=drive_link"/>
      </ext>
    </x18tc:extLst>
  </x18tc:threadedComment>
  <x18tc:threadedComment ref="J776" dT="2026-06-04T22:10:14.00" personId="{d8e4f5ad-b65d-4160-a56f-197530fb7eb1}" id="{0338bd01-8361-4992-b762-fe5d593ce0e4}" parentId="{ebd576f0-5720-4740-a185-1e2d037d605b}">
    <x18tc:text xml:space="preserve">https://drive.google.com/file/d/1J9-wsmByuifuq5szwHG4iUHjauGJZwSj/view?usp=drive_link</x18tc:text>
    <x18tc:extLst>
      <ext uri="{F7C98A9C-CBB3-438F-8F68-D28B6AF4A901}">
        <xltc2:checksum/>
        <xltc2:hyperlink startIndex="0" length="85" url="https://drive.google.com/file/d/1J9-wsmByuifuq5szwHG4iUHjauGJZwSj/view?usp=drive_link"/>
      </ext>
    </x18tc:extLst>
  </x18tc:threadedComment>
  <x18tc:threadedComment ref="J776" dT="2026-06-26T22:12:54.00" personId="{d8e4f5ad-b65d-4160-a56f-197530fb7eb1}" id="{f0b357c2-e18d-4d29-839d-9faef42bb35d}" parentId="{ebd576f0-5720-4740-a185-1e2d037d605b}">
    <x18tc:text xml:space="preserve">https://drive.google.com/file/d/1dGnAcivWad6nN0D1X59ZzRIyBy6u3awY/view?usp=drive_link</x18tc:text>
    <x18tc:extLst>
      <ext uri="{F7C98A9C-CBB3-438F-8F68-D28B6AF4A901}">
        <xltc2:checksum/>
        <xltc2:hyperlink startIndex="0" length="85" url="https://drive.google.com/file/d/1dGnAcivWad6nN0D1X59ZzRIyBy6u3awY/view?usp=drive_link"/>
      </ext>
    </x18tc:extLst>
  </x18tc:threadedComment>
  <x18tc:threadedComment ref="J776" dT="2026-06-26T22:13:44.00" personId="{d8e4f5ad-b65d-4160-a56f-197530fb7eb1}" id="{61e890b7-57c7-4a19-b16d-e404ec8f4896}" parentId="{ebd576f0-5720-4740-a185-1e2d037d605b}">
    <x18tc:text xml:space="preserve">https://drive.google.com/file/d/1dGnAcivWad6nN0D1X59ZzRIyBy6u3awY/view?usp=drive_link</x18tc:text>
    <x18tc:extLst>
      <ext uri="{F7C98A9C-CBB3-438F-8F68-D28B6AF4A901}">
        <xltc2:checksum/>
        <xltc2:hyperlink startIndex="0" length="85" url="https://drive.google.com/file/d/1dGnAcivWad6nN0D1X59ZzRIyBy6u3awY/view?usp=drive_link"/>
      </ext>
    </x18tc:extLst>
  </x18tc:threadedComment>
  <x18tc:threadedComment ref="J714" dT="2026-04-28T21:40:35.00" personId="{d8e4f5ad-b65d-4160-a56f-197530fb7eb1}" id="{f39c6e7b-6933-40fe-b354-7fcf11b7a358}" done="0">
    <x18tc:text xml:space="preserve">https://drive.google.com/file/d/19LnDZWXX0_DvOEiEHOxNM0TBZgM-3gea/view?usp=drive_link</x18tc:text>
    <x18tc:extLst>
      <ext uri="{F7C98A9C-CBB3-438F-8F68-D28B6AF4A901}">
        <xltc2:checksum/>
        <xltc2:hyperlink startIndex="0" length="85" url="https://drive.google.com/file/d/19LnDZWXX0_DvOEiEHOxNM0TBZgM-3gea/view?usp=drive_link"/>
      </ext>
    </x18tc:extLst>
  </x18tc:threadedComment>
  <x18tc:threadedComment ref="J714" dT="2026-04-28T21:40:50.00" personId="{d8e4f5ad-b65d-4160-a56f-197530fb7eb1}" id="{48ea6d2c-21e8-469d-9078-de9fca1ffab5}" parentId="{f39c6e7b-6933-40fe-b354-7fcf11b7a358}">
    <x18tc:text xml:space="preserve">https://drive.google.com/file/d/1TStQhBzT0V3AqBTF9fLsrpM3FmHQhc1g/view?usp=drive_link</x18tc:text>
    <x18tc:extLst>
      <ext uri="{F7C98A9C-CBB3-438F-8F68-D28B6AF4A901}">
        <xltc2:checksum/>
        <xltc2:hyperlink startIndex="0" length="85" url="https://drive.google.com/file/d/1TStQhBzT0V3AqBTF9fLsrpM3FmHQhc1g/view?usp=drive_link"/>
      </ext>
    </x18tc:extLst>
  </x18tc:threadedComment>
  <x18tc:threadedComment ref="K443" dT="2026-01-25T00:04:26.00" personId="{4df2d6c4-e43e-4f2e-b623-d90f458472ff}" id="{eb86a348-5ebb-44f6-9ece-64a9e69ab0e2}" done="0">
    <x18tc:text xml:space="preserve">https://drive.google.com/file/d/1eO-sYKpBg11UNNG3LLVU8Qixke7MExlH/view?usp=drive_link</x18tc:text>
    <x18tc:extLst>
      <ext uri="{F7C98A9C-CBB3-438F-8F68-D28B6AF4A901}">
        <xltc2:checksum/>
        <xltc2:hyperlink startIndex="0" length="85" url="https://drive.google.com/file/d/1eO-sYKpBg11UNNG3LLVU8Qixke7MExlH/view?usp=drive_link"/>
      </ext>
    </x18tc:extLst>
  </x18tc:threadedComment>
  <x18tc:threadedComment ref="C671" dT="2026-04-10T17:47:46.00" personId="{4df2d6c4-e43e-4f2e-b623-d90f458472ff}" id="{53c48ddc-17a3-4687-87a6-3ecb0e89b362}"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T775" dT="2026-06-03T23:26:12.00" personId="{d8e4f5ad-b65d-4160-a56f-197530fb7eb1}" id="{042ae6d6-95f8-4c95-8be2-b57e07e44206}" done="0">
    <x18tc:text xml:space="preserve">MOUSE+ AUDIFONO</x18tc:text>
  </x18tc:threadedComment>
  <x18tc:threadedComment ref="C803" dT="2026-06-24T23:29:58.00" personId="{d8e4f5ad-b65d-4160-a56f-197530fb7eb1}" id="{bed74fd2-1420-4329-9b17-06045a995fb7}" done="0">
    <x18tc:text xml:space="preserve">https://www.ebay.com/itm/205565391274?_skw=alienware&amp;epid=21081456107&amp;itmmeta=01KTCTGSGR6VZCD27GVRYMPSNE&amp;hash=item2fdca6f1aa:g:ehsAAeSw5AhqEzGp&amp;itmprp=enc%3AAQALAAAA0GfYFPkwiKCW4ZNSs2u11xAhOzVOZoK1lG%2B%2BaXtIV8WJ%2Be53VW0YazljH3TsHC0OOPEoKPXNSkH3pp0M4X8c4n7JqcNQNZN2QeHLnneA7r7jOtMo%2FcO98SkdKMnfaVJz%2F5w7kDlO7b3FVINac2hrud3QFMN3k1DBQcBT%2BFuGUSzQHfbSuXYLXSXTcqGOwI2rrOg9EORTNG2GKNpl20GNz1KLem%2Fh%2FDbbUlouIbYRLLWySN6CWkoafrj9EDannty1XzUm3M1Ve32%2BsTpSqpfet3Y%3D%7Ctkp%3ABk9SR8CYw5rTZw</x18tc:text>
    <x18tc:extLst>
      <ext uri="{F7C98A9C-CBB3-438F-8F68-D28B6AF4A901}">
        <xltc2:checksum/>
        <xltc2:hyperlink startIndex="0" length="488" url="https://www.ebay.com/itm/205565391274?_skw=alienware&amp;epid=21081456107&amp;itmmeta=01KTCTGSGR6VZCD27GVRYMPSNE&amp;hash=item2fdca6f1aa:g:ehsAAeSw5AhqEzGp&amp;itmprp=enc%3AAQALAAAA0GfYFPkwiKCW4ZNSs2u11xAhOzVOZoK1lG%2B%2BaXtIV8WJ%2Be53VW0YazljH3TsHC0OOPEoKPXNSkH3pp0M4X8c4n7JqcNQNZN2QeHLnneA7r7jOtMo%2FcO98SkdKMnfaVJz%2F5w7kDlO7b3FVINac2hrud3QFMN3k1DBQcBT%2BFuGUSzQHfbSuXYLXSXTcqGOwI2rrOg9EORTNG2GKNpl20GNz1KLem%2Fh%2FDbbUlouIbYRLLWySN6CWkoafrj9EDannty1XzUm3M1Ve32%2BsTpSqpfet3Y%3D%7Ctkp%3ABk9SR8CYw5rTZw"/>
      </ext>
    </x18tc:extLst>
  </x18tc:threadedComment>
  <x18tc:threadedComment ref="W421" dT="2025-12-27T18:01:31.00" personId="{2ddfa542-8116-4937-a057-08470d7abaab}" id="{6da34fff-b910-4040-8958-74c6e5f6aa3b}" done="0">
    <x18tc:text xml:space="preserve">https://drive.google.com/file/d/16NTUQ0Tv61uMABLis1PbaE3NUWK3He3r/view?usp=drive_link</x18tc:text>
    <x18tc:extLst>
      <ext uri="{F7C98A9C-CBB3-438F-8F68-D28B6AF4A901}">
        <xltc2:checksum/>
        <xltc2:hyperlink startIndex="0" length="85" url="https://drive.google.com/file/d/16NTUQ0Tv61uMABLis1PbaE3NUWK3He3r/view?usp=drive_link"/>
      </ext>
    </x18tc:extLst>
  </x18tc:threadedComment>
  <x18tc:threadedComment ref="U775" dT="2026-06-03T23:25:59.00" personId="{d8e4f5ad-b65d-4160-a56f-197530fb7eb1}" id="{f39ce49f-5a28-4209-b8a6-9eb5fc3b7911}" done="0">
    <x18tc:text xml:space="preserve">SOPORTE</x18tc:text>
  </x18tc:threadedComment>
  <x18tc:threadedComment ref="J234" dT="2025-10-04T20:30:53.00" personId="{4df2d6c4-e43e-4f2e-b623-d90f458472ff}" id="{b3b3e6bc-c6af-4220-a422-f1da5f5c41db}" done="0">
    <x18tc:text xml:space="preserve">https://drive.google.com/file/d/1BmMdaynzJziagPEtrQvnhOgqwh5lmKER/view?usp=drive_link</x18tc:text>
    <x18tc:extLst>
      <ext uri="{F7C98A9C-CBB3-438F-8F68-D28B6AF4A901}">
        <xltc2:checksum/>
        <xltc2:hyperlink startIndex="0" length="85" url="https://drive.google.com/file/d/1BmMdaynzJziagPEtrQvnhOgqwh5lmKER/view?usp=drive_link"/>
      </ext>
    </x18tc:extLst>
  </x18tc:threadedComment>
  <x18tc:threadedComment ref="K438" dT="2025-12-27T18:05:45.00" personId="{a5d43f6d-3c72-4414-b012-8f52ef50acc4}" id="{5fbdefba-470c-416b-ae8b-9bc224baba3d}" done="0">
    <x18tc:text xml:space="preserve">https://drive.google.com/file/d/15VcuzkdXUecQXZaMNI-PyssLwGknjLIt/view?usp=drive_link</x18tc:text>
    <x18tc:extLst>
      <ext uri="{F7C98A9C-CBB3-438F-8F68-D28B6AF4A901}">
        <xltc2:checksum/>
        <xltc2:hyperlink startIndex="0" length="85" url="https://drive.google.com/file/d/15VcuzkdXUecQXZaMNI-PyssLwGknjLIt/view?usp=drive_link"/>
      </ext>
    </x18tc:extLst>
  </x18tc:threadedComment>
  <x18tc:threadedComment ref="J640" dT="2026-03-26T23:47:21.00" personId="{d8e4f5ad-b65d-4160-a56f-197530fb7eb1}" id="{603e4b2b-eb02-4d02-9aa9-df3bab7289b2}" done="0">
    <x18tc:text xml:space="preserve">https://drive.google.com/file/d/1Vpk19BprATduPYdJ8oHECgvI72LcEM5z/view?usp=drive_link</x18tc:text>
    <x18tc:extLst>
      <ext uri="{F7C98A9C-CBB3-438F-8F68-D28B6AF4A901}">
        <xltc2:checksum/>
        <xltc2:hyperlink startIndex="0" length="85" url="https://drive.google.com/file/d/1Vpk19BprATduPYdJ8oHECgvI72LcEM5z/view?usp=drive_link"/>
      </ext>
    </x18tc:extLst>
  </x18tc:threadedComment>
  <x18tc:threadedComment ref="C715" dT="2026-04-28T21:14:28.00" personId="{d8e4f5ad-b65d-4160-a56f-197530fb7eb1}" id="{699e90e6-33da-4fa9-b98c-83767f5165c5}"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J641" dT="2026-03-26T23:47:38.00" personId="{d8e4f5ad-b65d-4160-a56f-197530fb7eb1}" id="{eff211b9-e1c0-46af-802c-eb7e33f0b371}" done="0">
    <x18tc:text xml:space="preserve">https://drive.google.com/file/d/1zvuwDja7_rKuAAXP1m0sVoaaj9FfAT2I/view?usp=drive_link</x18tc:text>
    <x18tc:extLst>
      <ext uri="{F7C98A9C-CBB3-438F-8F68-D28B6AF4A901}">
        <xltc2:checksum/>
        <xltc2:hyperlink startIndex="0" length="85" url="https://drive.google.com/file/d/1zvuwDja7_rKuAAXP1m0sVoaaj9FfAT2I/view?usp=drive_link"/>
      </ext>
    </x18tc:extLst>
  </x18tc:threadedComment>
  <x18tc:threadedComment ref="J66" dT="2025-05-22T20:57:09.00" personId="{a5d43f6d-3c72-4414-b012-8f52ef50acc4}" id="{8eea20cc-d59d-4df0-a14e-11de466a9397}" done="0">
    <x18tc:text xml:space="preserve">https://drive.google.com/file/d/1_X5nH76FkCsrpqinDdd9lvUEyE_uPUMN/view?usp=drive_link</x18tc:text>
    <x18tc:extLst>
      <ext uri="{F7C98A9C-CBB3-438F-8F68-D28B6AF4A901}">
        <xltc2:checksum/>
        <xltc2:hyperlink startIndex="0" length="85" url="https://drive.google.com/file/d/1_X5nH76FkCsrpqinDdd9lvUEyE_uPUMN/view?usp=drive_link"/>
      </ext>
    </x18tc:extLst>
  </x18tc:threadedComment>
  <x18tc:threadedComment ref="J438" dT="2025-12-27T16:49:59.00" personId="{a5d43f6d-3c72-4414-b012-8f52ef50acc4}" id="{969adcfd-08e6-4e01-9d31-832dd2cb9a9c}" done="0">
    <x18tc:text xml:space="preserve">https://drive.google.com/file/d/1dtgzx2dtnKs6tZdin_eQWg9dPb8NbNBn/view?usp=drive_link</x18tc:text>
    <x18tc:extLst>
      <ext uri="{F7C98A9C-CBB3-438F-8F68-D28B6AF4A901}">
        <xltc2:checksum/>
        <xltc2:hyperlink startIndex="0" length="85" url="https://drive.google.com/file/d/1dtgzx2dtnKs6tZdin_eQWg9dPb8NbNBn/view?usp=drive_link"/>
      </ext>
    </x18tc:extLst>
  </x18tc:threadedComment>
  <x18tc:threadedComment ref="K610" dT="2026-03-26T23:48:02.00" personId="{d8e4f5ad-b65d-4160-a56f-197530fb7eb1}" id="{3ca8e273-b914-4bf5-bd68-673eb46084d6}" done="0">
    <x18tc:text xml:space="preserve">https://drive.google.com/file/d/107BPhOOuQPD5XHDf17lRXUubMa0PEyUl/view?usp=drive_link</x18tc:text>
    <x18tc:extLst>
      <ext uri="{F7C98A9C-CBB3-438F-8F68-D28B6AF4A901}">
        <xltc2:checksum/>
        <xltc2:hyperlink startIndex="0" length="85" url="https://drive.google.com/file/d/107BPhOOuQPD5XHDf17lRXUubMa0PEyUl/view?usp=drive_link"/>
      </ext>
    </x18tc:extLst>
  </x18tc:threadedComment>
  <x18tc:threadedComment ref="C66" dT="2025-05-22T20:59:34.00" personId="{a5d43f6d-3c72-4414-b012-8f52ef50acc4}" id="{6a33e23e-e8fc-48b4-a617-d3bcf1fe8132}"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715" dT="2026-04-28T21:40:05.00" personId="{d8e4f5ad-b65d-4160-a56f-197530fb7eb1}" id="{07f21ada-ee42-4020-9108-aa7476e821e9}" done="0">
    <x18tc:text xml:space="preserve">https://drive.google.com/file/d/14wlrkFjrCkZJYp_VPis596D9fm4vs8mm/view?usp=drive_link</x18tc:text>
    <x18tc:extLst>
      <ext uri="{F7C98A9C-CBB3-438F-8F68-D28B6AF4A901}">
        <xltc2:checksum/>
        <xltc2:hyperlink startIndex="0" length="85" url="https://drive.google.com/file/d/14wlrkFjrCkZJYp_VPis596D9fm4vs8mm/view?usp=drive_link"/>
      </ext>
    </x18tc:extLst>
  </x18tc:threadedComment>
  <x18tc:threadedComment ref="W125" dT="2025-08-30T00:57:48.00" personId="{4df2d6c4-e43e-4f2e-b623-d90f458472ff}" id="{bc9f44fd-1cd2-4586-a409-788615b1ca53}" done="0">
    <x18tc:text xml:space="preserve">https://drive.google.com/file/d/19jobRcQoggi0DI1FnEEnTuBNi4wm47ZU/view?usp=drive_link</x18tc:text>
    <x18tc:extLst>
      <ext uri="{F7C98A9C-CBB3-438F-8F68-D28B6AF4A901}">
        <xltc2:checksum/>
        <xltc2:hyperlink startIndex="0" length="85" url="https://drive.google.com/file/d/19jobRcQoggi0DI1FnEEnTuBNi4wm47ZU/view?usp=drive_link"/>
      </ext>
    </x18tc:extLst>
  </x18tc:threadedComment>
  <x18tc:threadedComment ref="C315" dT="2025-11-18T18:28:32.00" personId="{a5d43f6d-3c72-4414-b012-8f52ef50acc4}" id="{002d30ed-42a8-4553-ab8e-0aacb0090de6}" done="0">
    <x18tc:text xml:space="preserve">https://www.ebay.com/itm/127157824843?_skw=rog+flow&amp;itmmeta=01KABXXBZGRAX9F247QY9EPAQW&amp;hash=item1d9b326d4b:g:2jcAAeSwiVZpA8J1</x18tc:text>
    <x18tc:extLst>
      <ext uri="{F7C98A9C-CBB3-438F-8F68-D28B6AF4A901}">
        <xltc2:checksum/>
        <xltc2:hyperlink startIndex="0" length="125" url="https://www.ebay.com/itm/127157824843?_skw=rog+flow&amp;itmmeta=01KABXXBZGRAX9F247QY9EPAQW&amp;hash=item1d9b326d4b:g:2jcAAeSwiVZpA8J1"/>
      </ext>
    </x18tc:extLst>
  </x18tc:threadedComment>
  <x18tc:threadedComment ref="W189" dT="2025-08-30T01:42:52.00" personId="{d8e4f5ad-b65d-4160-a56f-197530fb7eb1}" id="{6b0be50f-1030-41cf-889b-5269a4741fdf}" done="0">
    <x18tc:text xml:space="preserve">https://drive.google.com/file/d/1AeVJD0B6jak12bfcIdEIPUOj8upNRnBn/view?usp=drive_link</x18tc:text>
    <x18tc:extLst>
      <ext uri="{F7C98A9C-CBB3-438F-8F68-D28B6AF4A901}">
        <xltc2:checksum/>
        <xltc2:hyperlink startIndex="0" length="85" url="https://drive.google.com/file/d/1AeVJD0B6jak12bfcIdEIPUOj8upNRnBn/view?usp=drive_link"/>
      </ext>
    </x18tc:extLst>
  </x18tc:threadedComment>
  <x18tc:threadedComment ref="W126" dT="2025-08-30T00:58:37.00" personId="{4df2d6c4-e43e-4f2e-b623-d90f458472ff}" id="{ca86a7d6-38bc-4cfc-81cb-61f409b8b03d}" done="0">
    <x18tc:text xml:space="preserve">https://drive.google.com/file/d/1GFmlHcUGFofhijfk9rDh_OFjN09c7PFq/view?usp=drive_link</x18tc:text>
    <x18tc:extLst>
      <ext uri="{F7C98A9C-CBB3-438F-8F68-D28B6AF4A901}">
        <xltc2:checksum/>
        <xltc2:hyperlink startIndex="0" length="85" url="https://drive.google.com/file/d/1GFmlHcUGFofhijfk9rDh_OFjN09c7PFq/view?usp=drive_link"/>
      </ext>
    </x18tc:extLst>
  </x18tc:threadedComment>
  <x18tc:threadedComment ref="A1" dT="2025-05-20T23:39:42.00" personId="{d8e4f5ad-b65d-4160-a56f-197530fb7eb1}" id="{4d5cacc7-45a1-4c28-90e2-8a15084e3c50}" done="0">
    <x18tc:text xml:space="preserve">https://drive.google.com/file/d/1851lD9JD7Q3UNob4KNtm5PTvn6EWVCrw/view?usp=drive_link</x18tc:text>
    <x18tc:extLst>
      <ext uri="{F7C98A9C-CBB3-438F-8F68-D28B6AF4A901}">
        <xltc2:checksum/>
        <xltc2:hyperlink startIndex="0" length="85" url="https://drive.google.com/file/d/1851lD9JD7Q3UNob4KNtm5PTvn6EWVCrw/view?usp=drive_link"/>
      </ext>
    </x18tc:extLst>
  </x18tc:threadedComment>
  <x18tc:threadedComment ref="K741" dT="2026-06-03T20:15:21.00" personId="{f9b224d0-ee33-4499-ae47-db5bcd2d0435}" id="{f55468fa-c815-4517-b913-93e0ccb50e90}" done="0">
    <x18tc:text xml:space="preserve">https://drive.google.com/file/d/1nok2qRhfChgLS4d6P7nH9iZzU7g-7Iy-/view?usp=drive_link</x18tc:text>
    <x18tc:extLst>
      <ext uri="{F7C98A9C-CBB3-438F-8F68-D28B6AF4A901}">
        <xltc2:checksum/>
        <xltc2:hyperlink startIndex="0" length="85" url="https://drive.google.com/file/d/1nok2qRhfChgLS4d6P7nH9iZzU7g-7Iy-/view?usp=drive_link"/>
      </ext>
    </x18tc:extLst>
  </x18tc:threadedComment>
  <x18tc:threadedComment ref="K741" dT="2026-06-22T04:29:06.00" personId="{2ddfa542-8116-4937-a057-08470d7abaab}" id="{2a5fc8f4-12c3-4170-a54e-a9d8dfd1bd35}" parentId="{f55468fa-c815-4517-b913-93e0ccb50e90}">
    <x18tc:text xml:space="preserve">se le devolvio 1k</x18tc:text>
  </x18tc:threadedComment>
  <x18tc:threadedComment ref="K771" dT="2026-06-03T18:00:26.00" personId="{f9b224d0-ee33-4499-ae47-db5bcd2d0435}" id="{704f2dd7-81ce-47ab-8861-8829f8f4105a}" done="0">
    <x18tc:text xml:space="preserve">https://drive.google.com/file/d/1uWBlUSqHRi_Sxid_H-M_LP4VAPLlJkq3/view?usp=drive_link</x18tc:text>
    <x18tc:extLst>
      <ext uri="{F7C98A9C-CBB3-438F-8F68-D28B6AF4A901}">
        <xltc2:checksum/>
        <xltc2:hyperlink startIndex="0" length="85" url="https://drive.google.com/file/d/1uWBlUSqHRi_Sxid_H-M_LP4VAPLlJkq3/view?usp=drive_link"/>
      </ext>
    </x18tc:extLst>
  </x18tc:threadedComment>
  <x18tc:threadedComment ref="K771" dT="2026-06-03T20:59:53.00" personId="{f9b224d0-ee33-4499-ae47-db5bcd2d0435}" id="{671ca835-d74d-4c0b-8820-39d4ac423a19}" parentId="{704f2dd7-81ce-47ab-8861-8829f8f4105a}">
    <x18tc:text xml:space="preserve">https://drive.google.com/file/d/17OoJ3KACgCpWz_Ft10HI46GfDKAOe7mP/view?usp=drive_link</x18tc:text>
    <x18tc:extLst>
      <ext uri="{F7C98A9C-CBB3-438F-8F68-D28B6AF4A901}">
        <xltc2:checksum/>
        <xltc2:hyperlink startIndex="0" length="85" url="https://drive.google.com/file/d/17OoJ3KACgCpWz_Ft10HI46GfDKAOe7mP/view?usp=drive_link"/>
      </ext>
    </x18tc:extLst>
  </x18tc:threadedComment>
  <x18tc:threadedComment ref="A1" dT="2025-05-20T23:38:31.00" personId="{d8e4f5ad-b65d-4160-a56f-197530fb7eb1}" id="{1bf9b062-5a4e-47e8-b6a8-f0ccfab5ae41}" done="0">
    <x18tc:text xml:space="preserve">https://www.ebay.com/itm/127113153538?_skw=laptop+rtx&amp;itmmeta=01JVPA77F8KHRK83FP5M8BN2D4&amp;hash=item1d9888cc02:g:SBgAAeSw8idoKsPG</x18tc:text>
    <x18tc:extLst>
      <ext uri="{F7C98A9C-CBB3-438F-8F68-D28B6AF4A901}">
        <xltc2:checksum/>
        <xltc2:hyperlink startIndex="0" length="127" url="https://www.ebay.com/itm/127113153538?_skw=laptop+rtx&amp;itmmeta=01JVPA77F8KHRK83FP5M8BN2D4&amp;hash=item1d9888cc02:g:SBgAAeSw8idoKsPG"/>
      </ext>
    </x18tc:extLst>
  </x18tc:threadedComment>
  <x18tc:threadedComment ref="J481" dT="2026-01-13T21:23:24.00" personId="{d8e4f5ad-b65d-4160-a56f-197530fb7eb1}" id="{3f431230-df7b-4365-bdfe-d54d00ae5513}" done="0">
    <x18tc:text xml:space="preserve">https://drive.google.com/file/d/15hqdLW67QkanWjgvEACLIzlMb7G8EapZ/view?usp=drive_link</x18tc:text>
    <x18tc:extLst>
      <ext uri="{F7C98A9C-CBB3-438F-8F68-D28B6AF4A901}">
        <xltc2:checksum/>
        <xltc2:hyperlink startIndex="0" length="85" url="https://drive.google.com/file/d/15hqdLW67QkanWjgvEACLIzlMb7G8EapZ/view?usp=drive_link"/>
      </ext>
    </x18tc:extLst>
  </x18tc:threadedComment>
  <x18tc:threadedComment ref="C33" dT="2025-04-30T03:20:25.00" personId="{a5d43f6d-3c72-4414-b012-8f52ef50acc4}" id="{42e80272-8bf1-47e5-89b9-55971c2511c4}" done="0">
    <x18tc:text xml:space="preserve">https://www.excaliberpc.com/805357/msi-pulse-16-ai-c1vgkg-065us.html#</x18tc:text>
    <x18tc:extLst>
      <ext uri="{F7C98A9C-CBB3-438F-8F68-D28B6AF4A901}">
        <xltc2:checksum/>
        <xltc2:hyperlink startIndex="0" length="69" url="https://www.excaliberpc.com/805357/msi-pulse-16-ai-c1vgkg-065us.html#"/>
      </ext>
    </x18tc:extLst>
  </x18tc:threadedComment>
  <x18tc:threadedComment ref="J482" dT="2026-01-13T21:23:09.00" personId="{d8e4f5ad-b65d-4160-a56f-197530fb7eb1}" id="{bb4ff88a-aa51-4d3c-a65a-1f962fca8012}" done="0">
    <x18tc:text xml:space="preserve">https://drive.google.com/file/d/19UwwdXmfIpgn-_jP14tNH1AZpFRXPNY8/view?usp=drive_link</x18tc:text>
    <x18tc:extLst>
      <ext uri="{F7C98A9C-CBB3-438F-8F68-D28B6AF4A901}">
        <xltc2:checksum/>
        <xltc2:hyperlink startIndex="0" length="85" url="https://drive.google.com/file/d/19UwwdXmfIpgn-_jP14tNH1AZpFRXPNY8/view?usp=drive_link"/>
      </ext>
    </x18tc:extLst>
  </x18tc:threadedComment>
  <x18tc:threadedComment ref="AC106" dT="2025-07-22T21:05:40.00" personId="{a5d43f6d-3c72-4414-b012-8f52ef50acc4}" id="{4a0a1e65-726b-406a-8e92-471d0a662edc}" done="0">
    <x18tc:text xml:space="preserve">me indican que hubo un retraso, por que esa la envie con otra persona, con quién estoy trabajando, y me dice que llega el 26, creo que el 27 estara acá, por que en si ya llegó al almacén, estaba programada para el 17 en Lima</x18tc:text>
  </x18tc:threadedComment>
  <x18tc:threadedComment ref="W415" dT="2025-12-27T17:56:48.00" personId="{2ddfa542-8116-4937-a057-08470d7abaab}" id="{3fc7c64b-a776-46bb-8dca-ad7b53efd919}" done="0">
    <x18tc:text xml:space="preserve">https://drive.google.com/file/d/1e0alxxKW01mENCV4CkRLVQLu3RLKqecx/view?usp=drive_link</x18tc:text>
    <x18tc:extLst>
      <ext uri="{F7C98A9C-CBB3-438F-8F68-D28B6AF4A901}">
        <xltc2:checksum/>
        <xltc2:hyperlink startIndex="0" length="85" url="https://drive.google.com/file/d/1e0alxxKW01mENCV4CkRLVQLu3RLKqecx/view?usp=drive_link"/>
      </ext>
    </x18tc:extLst>
  </x18tc:threadedComment>
  <x18tc:threadedComment ref="L99" dT="2025-06-25T18:37:09.00" personId="{a5d43f6d-3c72-4414-b012-8f52ef50acc4}" id="{7335ec66-0067-4e75-bf09-3964829b358a}" done="0">
    <x18tc:text xml:space="preserve">https://drive.google.com/file/d/1Gc9ZOL3ZsZZvl0dGpmtN_MhngVxoGPLG/view?usp=drive_link
https://drive.google.com/file/d/1Rczi7fxP8cWGs3qwWzGH1rkTa0TNnYDL/view?usp=drive_link</x18tc:text>
    <x18tc:extLst>
      <ext uri="{F7C98A9C-CBB3-438F-8F68-D28B6AF4A901}">
        <xltc2:checksum/>
        <xltc2:hyperlink startIndex="0" length="85" url="https://drive.google.com/file/d/1Gc9ZOL3ZsZZvl0dGpmtN_MhngVxoGPLG/view?usp=drive_link"/>
        <xltc2:hyperlink startIndex="86" length="85" url="https://drive.google.com/file/d/1Rczi7fxP8cWGs3qwWzGH1rkTa0TNnYDL/view?usp=drive_link"/>
      </ext>
    </x18tc:extLst>
  </x18tc:threadedComment>
  <x18tc:threadedComment ref="L33" dT="2025-04-30T03:22:23.00" personId="{a5d43f6d-3c72-4414-b012-8f52ef50acc4}" id="{eb6c1527-0b11-4e85-b25d-52134a6b3552}" done="0">
    <x18tc:text xml:space="preserve">aumenté 280 soles para licencias, etc</x18tc:text>
  </x18tc:threadedComment>
  <x18tc:threadedComment ref="L33" dT="2025-05-31T23:30:56.00" personId="{a5d43f6d-3c72-4414-b012-8f52ef50acc4}" id="{b3b4a4c5-807e-4a5a-8d4c-22ffdbfcfee3}" parentId="{eb6c1527-0b11-4e85-b25d-52134a6b3552}">
    <x18tc:text xml:space="preserve">https://drive.google.com/file/d/1M90Ek8xeFXjsQzu1p0Glr-O56pR8xc4w/view?usp=drive_link
https://drive.google.com/file/d/1mMBtobop3V3AGRittPWT1cEDOiZ2zCZ3/view?usp=drive_link</x18tc:text>
    <x18tc:extLst>
      <ext uri="{F7C98A9C-CBB3-438F-8F68-D28B6AF4A901}">
        <xltc2:checksum/>
        <xltc2:hyperlink startIndex="0" length="85" url="https://drive.google.com/file/d/1M90Ek8xeFXjsQzu1p0Glr-O56pR8xc4w/view?usp=drive_link"/>
        <xltc2:hyperlink startIndex="86" length="85" url="https://drive.google.com/file/d/1mMBtobop3V3AGRittPWT1cEDOiZ2zCZ3/view?usp=drive_link"/>
      </ext>
    </x18tc:extLst>
  </x18tc:threadedComment>
  <x18tc:threadedComment ref="K645" dT="2026-03-28T21:49:29.00" personId="{d8e4f5ad-b65d-4160-a56f-197530fb7eb1}" id="{37cbbdf4-4a91-4fb9-a14d-8071b84442a1}" done="0">
    <x18tc:text xml:space="preserve">https://drive.google.com/file/d/1BWR8DmDe1iUkm_vu3TAIE_Ga7vc2rdQD/view?usp=drive_link</x18tc:text>
    <x18tc:extLst>
      <ext uri="{F7C98A9C-CBB3-438F-8F68-D28B6AF4A901}">
        <xltc2:checksum/>
        <xltc2:hyperlink startIndex="0" length="85" url="https://drive.google.com/file/d/1BWR8DmDe1iUkm_vu3TAIE_Ga7vc2rdQD/view?usp=drive_link"/>
      </ext>
    </x18tc:extLst>
  </x18tc:threadedComment>
  <x18tc:threadedComment ref="J480" dT="2026-01-13T21:23:37.00" personId="{d8e4f5ad-b65d-4160-a56f-197530fb7eb1}" id="{4c41ae29-bf7f-4d5b-b471-7316c5f6b2a9}" done="0">
    <x18tc:text xml:space="preserve">https://drive.google.com/file/d/1lr4wHpFL0psQQt_JYEPVdgOWDn-o9PXN/view?usp=drive_link</x18tc:text>
    <x18tc:extLst>
      <ext uri="{F7C98A9C-CBB3-438F-8F68-D28B6AF4A901}">
        <xltc2:checksum/>
        <xltc2:hyperlink startIndex="0" length="85" url="https://drive.google.com/file/d/1lr4wHpFL0psQQt_JYEPVdgOWDn-o9PXN/view?usp=drive_link"/>
      </ext>
    </x18tc:extLst>
  </x18tc:threadedComment>
  <x18tc:threadedComment ref="J775" dT="2026-06-03T20:50:18.00" personId="{d8e4f5ad-b65d-4160-a56f-197530fb7eb1}" id="{8a9ca085-e292-41e0-9492-278525ae8df2}" done="0">
    <x18tc:text xml:space="preserve">https://drive.google.com/file/d/1ewghLlVpTwE4n9y3jFm40AKkQin4mulE/view?usp=drive_link</x18tc:text>
    <x18tc:extLst>
      <ext uri="{F7C98A9C-CBB3-438F-8F68-D28B6AF4A901}">
        <xltc2:checksum/>
        <xltc2:hyperlink startIndex="0" length="85" url="https://drive.google.com/file/d/1ewghLlVpTwE4n9y3jFm40AKkQin4mulE/view?usp=drive_link"/>
      </ext>
    </x18tc:extLst>
  </x18tc:threadedComment>
  <x18tc:threadedComment ref="J775" dT="2026-06-03T23:22:58.00" personId="{d8e4f5ad-b65d-4160-a56f-197530fb7eb1}" id="{c17d091e-fafe-4a33-8adb-9c5fb6a002e8}" parentId="{8a9ca085-e292-41e0-9492-278525ae8df2}">
    <x18tc:text xml:space="preserve">https://drive.google.com/file/d/1gBhnCZV25f9mXQcbcRNOGdUtSG6e3kA-/view?usp=drive_link</x18tc:text>
    <x18tc:extLst>
      <ext uri="{F7C98A9C-CBB3-438F-8F68-D28B6AF4A901}">
        <xltc2:checksum/>
        <xltc2:hyperlink startIndex="0" length="85" url="https://drive.google.com/file/d/1gBhnCZV25f9mXQcbcRNOGdUtSG6e3kA-/view?usp=drive_link"/>
      </ext>
    </x18tc:extLst>
  </x18tc:threadedComment>
  <x18tc:threadedComment ref="J227" dT="2025-09-10T22:38:33.00" personId="{a5d43f6d-3c72-4414-b012-8f52ef50acc4}" id="{9c2620d5-37ad-4f07-9985-948dcee00071}" done="0">
    <x18tc:text xml:space="preserve">https://drive.google.com/file/d/1nNc3tZZ-KkvsOqZYZKA7Yia0dAO8AXgh/view?usp=drive_link</x18tc:text>
    <x18tc:extLst>
      <ext uri="{F7C98A9C-CBB3-438F-8F68-D28B6AF4A901}">
        <xltc2:checksum/>
        <xltc2:hyperlink startIndex="0" length="85" url="https://drive.google.com/file/d/1nNc3tZZ-KkvsOqZYZKA7Yia0dAO8AXgh/view?usp=drive_link"/>
      </ext>
    </x18tc:extLst>
  </x18tc:threadedComment>
  <x18tc:threadedComment ref="W304" dT="2025-11-15T00:41:06.00" personId="{d8e4f5ad-b65d-4160-a56f-197530fb7eb1}" id="{1ecc8c8a-dd59-4ca9-866a-5b62357f9f06}" done="0">
    <x18tc:text xml:space="preserve">https://drive.google.com/file/d/18anC0To20hbU_1rkPKUVrxkjktd7pTrS/view?usp=drive_link</x18tc:text>
    <x18tc:extLst>
      <ext uri="{F7C98A9C-CBB3-438F-8F68-D28B6AF4A901}">
        <xltc2:checksum/>
        <xltc2:hyperlink startIndex="0" length="85" url="https://drive.google.com/file/d/18anC0To20hbU_1rkPKUVrxkjktd7pTrS/view?usp=drive_link"/>
      </ext>
    </x18tc:extLst>
  </x18tc:threadedComment>
  <x18tc:threadedComment ref="J58" dT="2025-05-21T01:15:19.00" personId="{a5d43f6d-3c72-4414-b012-8f52ef50acc4}" id="{6877e3ed-3611-49e2-9ec6-37103b4456e7}" done="0">
    <x18tc:text xml:space="preserve">https://drive.google.com/file/d/1IEiFupqevOorDEl4niIw7m92cGR5IHp9/view?usp=drive_link</x18tc:text>
    <x18tc:extLst>
      <ext uri="{F7C98A9C-CBB3-438F-8F68-D28B6AF4A901}">
        <xltc2:checksum/>
        <xltc2:hyperlink startIndex="0" length="85" url="https://drive.google.com/file/d/1IEiFupqevOorDEl4niIw7m92cGR5IHp9/view?usp=drive_link"/>
      </ext>
    </x18tc:extLst>
  </x18tc:threadedComment>
  <x18tc:threadedComment ref="C227" dT="2025-09-10T22:37:16.00" personId="{a5d43f6d-3c72-4414-b012-8f52ef50acc4}" id="{1c33e36d-4c80-453d-b681-0475085b5f70}" done="0">
    <x18tc:text xml:space="preserve">https://www.ebay.com/itm/388165827342?_skw=5080&amp;epid=13079624892&amp;itmmeta=01K4TKXQX36SHGEZDVXP0TAJR5&amp;hash=item5a607c7b0e:g:EUkAAeSwEbJn581h</x18tc:text>
    <x18tc:extLst>
      <ext uri="{F7C98A9C-CBB3-438F-8F68-D28B6AF4A901}">
        <xltc2:checksum/>
        <xltc2:hyperlink startIndex="0" length="138" url="https://www.ebay.com/itm/388165827342?_skw=5080&amp;epid=13079624892&amp;itmmeta=01K4TKXQX36SHGEZDVXP0TAJR5&amp;hash=item5a607c7b0e:g:EUkAAeSwEbJn581h"/>
      </ext>
    </x18tc:extLst>
  </x18tc:threadedComment>
  <x18tc:threadedComment ref="K501" dT="2026-02-02T22:08:31.00" personId="{a5d43f6d-3c72-4414-b012-8f52ef50acc4}" id="{c9292db4-ee87-4d5d-9092-c1c1fdf04ff4}" done="0">
    <x18tc:text xml:space="preserve">https://drive.google.com/file/d/1rSbesSk0PikFLvXKKikIaYW8KaNzzYDL/view?usp=drive_link</x18tc:text>
    <x18tc:extLst>
      <ext uri="{F7C98A9C-CBB3-438F-8F68-D28B6AF4A901}">
        <xltc2:checksum/>
        <xltc2:hyperlink startIndex="0" length="85" url="https://drive.google.com/file/d/1rSbesSk0PikFLvXKKikIaYW8KaNzzYDL/view?usp=drive_link"/>
      </ext>
    </x18tc:extLst>
  </x18tc:threadedComment>
  <x18tc:threadedComment ref="W409" dT="2025-12-27T17:49:55.00" personId="{2ddfa542-8116-4937-a057-08470d7abaab}" id="{a2ab7228-6244-4198-b540-66c2c7c3daf6}" done="0">
    <x18tc:text xml:space="preserve">https://drive.google.com/file/d/1FbcCC6GBZozAwEW4Fh2QaZWb1RGZu96Q/view?usp=drive_link</x18tc:text>
    <x18tc:extLst>
      <ext uri="{F7C98A9C-CBB3-438F-8F68-D28B6AF4A901}">
        <xltc2:checksum/>
        <xltc2:hyperlink startIndex="0" length="85" url="https://drive.google.com/file/d/1FbcCC6GBZozAwEW4Fh2QaZWb1RGZu96Q/view?usp=drive_link"/>
      </ext>
    </x18tc:extLst>
  </x18tc:threadedComment>
  <x18tc:threadedComment ref="W401" dT="2025-12-20T20:47:09.00" personId="{2ddfa542-8116-4937-a057-08470d7abaab}" id="{371bde9a-8bdb-4389-b776-ba739c244f23}" done="0">
    <x18tc:text xml:space="preserve">https://drive.google.com/file/d/1yiI25L5nqoMXhP-cL7hlUhYaHHBCujGB/view?usp=drive_link</x18tc:text>
    <x18tc:extLst>
      <ext uri="{F7C98A9C-CBB3-438F-8F68-D28B6AF4A901}">
        <xltc2:checksum/>
        <xltc2:hyperlink startIndex="0" length="85" url="https://drive.google.com/file/d/1yiI25L5nqoMXhP-cL7hlUhYaHHBCujGB/view?usp=drive_link"/>
      </ext>
    </x18tc:extLst>
  </x18tc:threadedComment>
  <x18tc:threadedComment ref="M35" dT="2025-05-21T00:57:45.00" personId="{a5d43f6d-3c72-4414-b012-8f52ef50acc4}" id="{cae17399-7200-4f41-931c-a8e814095f0c}" done="0">
    <x18tc:text xml:space="preserve">https://drive.google.com/file/d/1eVDdvt99scBCvLeK7iHgky3QekFdLUEh/view?usp=drive_link</x18tc:text>
    <x18tc:extLst>
      <ext uri="{F7C98A9C-CBB3-438F-8F68-D28B6AF4A901}">
        <xltc2:checksum/>
        <xltc2:hyperlink startIndex="0" length="85" url="https://drive.google.com/file/d/1eVDdvt99scBCvLeK7iHgky3QekFdLUEh/view?usp=drive_link"/>
      </ext>
    </x18tc:extLst>
  </x18tc:threadedComment>
  <x18tc:threadedComment ref="J305" dT="2025-11-17T22:47:14.00" personId="{d8e4f5ad-b65d-4160-a56f-197530fb7eb1}" id="{8034424a-3b9c-4316-bf7d-a3df2927ca30}" done="0">
    <x18tc:text xml:space="preserve">https://drive.google.com/file/d/1_rsA_VWS1rWGwo8GJblF0r44UMhxbzib/view?usp=drive_link</x18tc:text>
    <x18tc:extLst>
      <ext uri="{F7C98A9C-CBB3-438F-8F68-D28B6AF4A901}">
        <xltc2:checksum/>
        <xltc2:hyperlink startIndex="0" length="85" url="https://drive.google.com/file/d/1_rsA_VWS1rWGwo8GJblF0r44UMhxbzib/view?usp=drive_link"/>
      </ext>
    </x18tc:extLst>
  </x18tc:threadedComment>
  <x18tc:threadedComment ref="J806" dT="2026-06-27T04:29:03.00" personId="{d8e4f5ad-b65d-4160-a56f-197530fb7eb1}" id="{1e6460d2-d773-4f28-81a7-b22044cfa8d6}" done="0">
    <x18tc:text xml:space="preserve">https://drive.google.com/file/d/1-sRZLM4hUKR7r3id521oMWopDFODW7C7/view?usp=drive_link</x18tc:text>
    <x18tc:extLst>
      <ext uri="{F7C98A9C-CBB3-438F-8F68-D28B6AF4A901}">
        <xltc2:checksum/>
        <xltc2:hyperlink startIndex="0" length="85" url="https://drive.google.com/file/d/1-sRZLM4hUKR7r3id521oMWopDFODW7C7/view?usp=drive_link"/>
      </ext>
    </x18tc:extLst>
  </x18tc:threadedComment>
  <x18tc:threadedComment ref="C422" dT="2025-12-20T20:43:51.00" personId="{a5d43f6d-3c72-4414-b012-8f52ef50acc4}" id="{0a194813-640a-4f49-9bf5-3bca00dff771}"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J762" dT="2026-05-26T22:06:33.00" personId="{f9b224d0-ee33-4499-ae47-db5bcd2d0435}" id="{086e45ec-d2fa-4ec3-9779-adc080ac3834}" done="0">
    <x18tc:text xml:space="preserve">https://drive.google.com/file/d/13yDz-zU87FcEjjhg2mMm7GDSnEecfO18/view?usp=drive_link</x18tc:text>
    <x18tc:extLst>
      <ext uri="{F7C98A9C-CBB3-438F-8F68-D28B6AF4A901}">
        <xltc2:checksum/>
        <xltc2:hyperlink startIndex="0" length="85" url="https://drive.google.com/file/d/13yDz-zU87FcEjjhg2mMm7GDSnEecfO18/view?usp=drive_link"/>
      </ext>
    </x18tc:extLst>
  </x18tc:threadedComment>
  <x18tc:threadedComment ref="C445" dT="2025-12-28T01:26:00.00" personId="{4df2d6c4-e43e-4f2e-b623-d90f458472ff}" id="{9c126063-1dda-417f-a99e-3cdf2cd8829f}" done="0">
    <x18tc:text xml:space="preserve">https://www.ebay.com/itm/205756001751?_skw=laptop+gaming&amp;itmmeta=01KD51PGBNT5H4CTGDQ0PQSTV2&amp;hash=item2fe8036dd7:g:M1QAAeSwZxlpRwPv</x18tc:text>
    <x18tc:extLst>
      <ext uri="{F7C98A9C-CBB3-438F-8F68-D28B6AF4A901}">
        <xltc2:checksum/>
        <xltc2:hyperlink startIndex="0" length="130" url="https://www.ebay.com/itm/205756001751?_skw=laptop+gaming&amp;itmmeta=01KD51PGBNT5H4CTGDQ0PQSTV2&amp;hash=item2fe8036dd7:g:M1QAAeSwZxlpRwPv"/>
      </ext>
    </x18tc:extLst>
  </x18tc:threadedComment>
  <x18tc:threadedComment ref="J422" dT="2025-12-20T20:46:29.00" personId="{a5d43f6d-3c72-4414-b012-8f52ef50acc4}" id="{f94c5112-2530-44e5-949a-2bc2be7c18de}" done="0">
    <x18tc:text xml:space="preserve">https://drive.google.com/file/d/1hrNVMtFuaVwCqYYL9TzJkxE2zF9OsTK7/view?usp=drive_link</x18tc:text>
    <x18tc:extLst>
      <ext uri="{F7C98A9C-CBB3-438F-8F68-D28B6AF4A901}">
        <xltc2:checksum/>
        <xltc2:hyperlink startIndex="0" length="85" url="https://drive.google.com/file/d/1hrNVMtFuaVwCqYYL9TzJkxE2zF9OsTK7/view?usp=drive_link"/>
      </ext>
    </x18tc:extLst>
  </x18tc:threadedComment>
  <x18tc:threadedComment ref="C787" dT="2026-06-12T15:35:03.00" personId="{f9b224d0-ee33-4499-ae47-db5bcd2d0435}" id="{2e20f614-d14d-4ab1-ab9f-26a723763b86}" done="0">
    <x18tc:text xml:space="preserve">https://www.bhphotovideo.com/c/product/1875949-REG/lenovo_83f50052us_16_legion_pro_7.html</x18tc:text>
    <x18tc:extLst>
      <ext uri="{F7C98A9C-CBB3-438F-8F68-D28B6AF4A901}">
        <xltc2:checksum/>
        <xltc2:hyperlink startIndex="0" length="89" url="https://www.bhphotovideo.com/c/product/1875949-REG/lenovo_83f50052us_16_legion_pro_7.html"/>
      </ext>
    </x18tc:extLst>
  </x18tc:threadedComment>
  <x18tc:threadedComment ref="J307" dT="2025-11-14T22:23:11.00" personId="{a5d43f6d-3c72-4414-b012-8f52ef50acc4}" id="{f273f515-fe37-4755-8c18-3dfc2eaf8404}" done="0">
    <x18tc:text xml:space="preserve">https://drive.google.com/file/d/1xFb8CFdM4zFP1KyOKJh0rgCqh-HzoKp6/view?usp=drive_link</x18tc:text>
    <x18tc:extLst>
      <ext uri="{F7C98A9C-CBB3-438F-8F68-D28B6AF4A901}">
        <xltc2:checksum/>
        <xltc2:hyperlink startIndex="0" length="85" url="https://drive.google.com/file/d/1xFb8CFdM4zFP1KyOKJh0rgCqh-HzoKp6/view?usp=drive_link"/>
      </ext>
    </x18tc:extLst>
  </x18tc:threadedComment>
  <x18tc:threadedComment ref="C307" dT="2025-11-14T22:21:08.00" personId="{a5d43f6d-3c72-4414-b012-8f52ef50acc4}" id="{64edd04a-3039-49ba-8a95-229b1fcafae1}" done="0">
    <x18tc:text xml:space="preserve">https://www.bestbuy.com/product/lenovo-legion-pro-5-16-2-5k-gaming-laptop-amd-ryzen-9-8945hx-nvidia-geforce-rtx-5060-16gb-memory-1tb-ssd-eclipse-black/JJGSH8VF2H/sku/6619247</x18tc:text>
    <x18tc:extLst>
      <ext uri="{F7C98A9C-CBB3-438F-8F68-D28B6AF4A901}">
        <xltc2:checksum/>
        <xltc2:hyperlink startIndex="0" length="173" url="https://www.bestbuy.com/product/lenovo-legion-pro-5-16-2-5k-gaming-laptop-amd-ryzen-9-8945hx-nvidia-geforce-rtx-5060-16gb-memory-1tb-ssd-eclipse-black/JJGSH8VF2H/sku/6619247"/>
      </ext>
    </x18tc:extLst>
  </x18tc:threadedComment>
  <x18tc:threadedComment ref="J548" dT="2026-02-18T17:11:58.00" personId="{d8e4f5ad-b65d-4160-a56f-197530fb7eb1}" id="{32929003-9406-47bd-9352-c316fb85f4d4}" done="0">
    <x18tc:text xml:space="preserve">https://drive.google.com/file/d/11JX4ijCWC_vJh1Xr_6gp5JoDPyS3ccGF/view?usp=drive_link</x18tc:text>
    <x18tc:extLst>
      <ext uri="{F7C98A9C-CBB3-438F-8F68-D28B6AF4A901}">
        <xltc2:checksum/>
        <xltc2:hyperlink startIndex="0" length="85" url="https://drive.google.com/file/d/11JX4ijCWC_vJh1Xr_6gp5JoDPyS3ccGF/view?usp=drive_link"/>
      </ext>
    </x18tc:extLst>
  </x18tc:threadedComment>
  <x18tc:threadedComment ref="W293" dT="2025-11-22T00:49:54.00" personId="{2ddfa542-8116-4937-a057-08470d7abaab}" id="{00453222-19f1-471d-b483-3a6db395b2b9}" done="0">
    <x18tc:text xml:space="preserve">https://drive.google.com/file/d/1cim-XS_YJk6Rx7bl6FbqAbsPQRP_6SGL/view?usp=drive_link</x18tc:text>
    <x18tc:extLst>
      <ext uri="{F7C98A9C-CBB3-438F-8F68-D28B6AF4A901}">
        <xltc2:checksum/>
        <xltc2:hyperlink startIndex="0" length="85" url="https://drive.google.com/file/d/1cim-XS_YJk6Rx7bl6FbqAbsPQRP_6SGL/view?usp=drive_link"/>
      </ext>
    </x18tc:extLst>
  </x18tc:threadedComment>
  <x18tc:threadedComment ref="K507" dT="2026-02-18T17:11:11.00" personId="{d8e4f5ad-b65d-4160-a56f-197530fb7eb1}" id="{12f503f5-d6c6-4b6d-be1a-4a691d6a7798}" done="0">
    <x18tc:text xml:space="preserve">https://drive.google.com/file/d/15nT1cK9SALfpQae5Dbzwo_yj3-J-UnQN/view?usp=drive_link</x18tc:text>
    <x18tc:extLst>
      <ext uri="{F7C98A9C-CBB3-438F-8F68-D28B6AF4A901}">
        <xltc2:checksum/>
        <xltc2:hyperlink startIndex="0" length="85" url="https://drive.google.com/file/d/15nT1cK9SALfpQae5Dbzwo_yj3-J-UnQN/view?usp=drive_link"/>
      </ext>
    </x18tc:extLst>
  </x18tc:threadedComment>
  <x18tc:threadedComment ref="W389" dT="2025-12-27T17:22:50.00" personId="{2ddfa542-8116-4937-a057-08470d7abaab}" id="{a88ed5c0-23c0-45ae-925a-8a2cb2dcb93a}" done="0">
    <x18tc:text xml:space="preserve">https://drive.google.com/file/d/160mHRda6wnaH7AWBWTTYuTDzt6hMkvo2/view?usp=drive_link</x18tc:text>
    <x18tc:extLst>
      <ext uri="{F7C98A9C-CBB3-438F-8F68-D28B6AF4A901}">
        <xltc2:checksum/>
        <xltc2:hyperlink startIndex="0" length="85" url="https://drive.google.com/file/d/160mHRda6wnaH7AWBWTTYuTDzt6hMkvo2/view?usp=drive_link"/>
      </ext>
    </x18tc:extLst>
  </x18tc:threadedComment>
  <x18tc:threadedComment ref="W298" dT="2025-11-22T00:49:36.00" personId="{2ddfa542-8116-4937-a057-08470d7abaab}" id="{d2bd03a6-982f-492d-8d2e-02d21b29a93a}" done="0">
    <x18tc:text xml:space="preserve">https://drive.google.com/file/d/1RB55U-8zDUyp6JpBkRL4NiTnBVeHUpCX/view?usp=drive_link</x18tc:text>
    <x18tc:extLst>
      <ext uri="{F7C98A9C-CBB3-438F-8F68-D28B6AF4A901}">
        <xltc2:checksum/>
        <xltc2:hyperlink startIndex="0" length="85" url="https://drive.google.com/file/d/1RB55U-8zDUyp6JpBkRL4NiTnBVeHUpCX/view?usp=drive_link"/>
      </ext>
    </x18tc:extLst>
  </x18tc:threadedComment>
  <x18tc:threadedComment ref="W426" dT="2025-12-27T18:18:16.00" personId="{2ddfa542-8116-4937-a057-08470d7abaab}" id="{1c10eb42-a6b9-472f-836a-fcba2d1b119e}" done="0">
    <x18tc:text xml:space="preserve">https://drive.google.com/file/d/1XQsFqayb_I2BtpBDQdAjVRGtbVTtuA4h/view?usp=drive_link</x18tc:text>
    <x18tc:extLst>
      <ext uri="{F7C98A9C-CBB3-438F-8F68-D28B6AF4A901}">
        <xltc2:checksum/>
        <xltc2:hyperlink startIndex="0" length="85" url="https://drive.google.com/file/d/1XQsFqayb_I2BtpBDQdAjVRGtbVTtuA4h/view?usp=drive_link"/>
      </ext>
    </x18tc:extLst>
  </x18tc:threadedComment>
  <x18tc:threadedComment ref="Q551" dT="2026-02-18T18:26:55.00" personId="{a5d43f6d-3c72-4414-b012-8f52ef50acc4}" id="{fbaa20a9-7eb0-4c5b-b4d5-152712382663}" done="0">
    <x18tc:text xml:space="preserve">apertura + configuración iniical con formateo + eset nod 32 + windows 11 pro + office 2024</x18tc:text>
  </x18tc:threadedComment>
  <x18tc:threadedComment ref="C670" dT="2026-04-10T15:45:36.00" personId="{80195d68-4e9b-4dc7-a031-ca5391c97d0f}" id="{52d0c795-d003-48d1-b626-42c2589e8fd2}"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C439" dT="2025-12-27T17:02:42.00" personId="{d8e4f5ad-b65d-4160-a56f-197530fb7eb1}" id="{ca0b0300-1b50-461b-8e74-a1e6774f1032}" done="0">
    <x18tc:text xml:space="preserve">https://www.ebay.com/itm/205756001751?_skw=laptop+gaming&amp;itmmeta=01KD51PGBNT5H4CTGDQ0PQSTV2&amp;hash=item2fe8036dd7:g:M1QAAeSwZxlpRwPv</x18tc:text>
    <x18tc:extLst>
      <ext uri="{F7C98A9C-CBB3-438F-8F68-D28B6AF4A901}">
        <xltc2:checksum/>
        <xltc2:hyperlink startIndex="0" length="130" url="https://www.ebay.com/itm/205756001751?_skw=laptop+gaming&amp;itmmeta=01KD51PGBNT5H4CTGDQ0PQSTV2&amp;hash=item2fe8036dd7:g:M1QAAeSwZxlpRwPv"/>
      </ext>
    </x18tc:extLst>
  </x18tc:threadedComment>
  <x18tc:threadedComment ref="J243" dT="2025-09-25T00:34:49.00" personId="{d8e4f5ad-b65d-4160-a56f-197530fb7eb1}" id="{70fc5a79-214f-46f2-865c-933f02aa71fe}" done="0">
    <x18tc:text xml:space="preserve">https://drive.google.com/file/d/1nArd-U39z6BbaVVaRQ26A2lRulCngMCv/view?usp=drive_link</x18tc:text>
    <x18tc:extLst>
      <ext uri="{F7C98A9C-CBB3-438F-8F68-D28B6AF4A901}">
        <xltc2:checksum/>
        <xltc2:hyperlink startIndex="0" length="85" url="https://drive.google.com/file/d/1nArd-U39z6BbaVVaRQ26A2lRulCngMCv/view?usp=drive_link"/>
      </ext>
    </x18tc:extLst>
  </x18tc:threadedComment>
  <x18tc:threadedComment ref="J551" dT="2026-02-18T18:26:10.00" personId="{a5d43f6d-3c72-4414-b012-8f52ef50acc4}" id="{00a7b95b-179b-4b7c-880a-57fcfd59245a}" done="0">
    <x18tc:text xml:space="preserve">https://drive.google.com/file/d/1AuqYIGOQXLEmzn8LRoLxfLirK3CBqpYg/view?usp=drive_link</x18tc:text>
    <x18tc:extLst>
      <ext uri="{F7C98A9C-CBB3-438F-8F68-D28B6AF4A901}">
        <xltc2:checksum/>
        <xltc2:hyperlink startIndex="0" length="85" url="https://drive.google.com/file/d/1AuqYIGOQXLEmzn8LRoLxfLirK3CBqpYg/view?usp=drive_link"/>
      </ext>
    </x18tc:extLst>
  </x18tc:threadedComment>
  <x18tc:threadedComment ref="W343" dT="2025-12-27T17:08:43.00" personId="{2ddfa542-8116-4937-a057-08470d7abaab}" id="{92606e6f-74a3-47c0-a817-fb8bf76f92a1}" done="0">
    <x18tc:text xml:space="preserve">https://drive.google.com/file/d/1-JBkiAEsy-uxqF8j13WdrFGg1iUnFgcD/view?usp=drive_link</x18tc:text>
    <x18tc:extLst>
      <ext uri="{F7C98A9C-CBB3-438F-8F68-D28B6AF4A901}">
        <xltc2:checksum/>
        <xltc2:hyperlink startIndex="0" length="85" url="https://drive.google.com/file/d/1-JBkiAEsy-uxqF8j13WdrFGg1iUnFgcD/view?usp=drive_link"/>
      </ext>
    </x18tc:extLst>
  </x18tc:threadedComment>
  <x18tc:threadedComment ref="Q713" dT="2026-04-27T18:40:21.00" personId="{a5d43f6d-3c72-4414-b012-8f52ef50acc4}" id="{baef62b5-061d-4fd2-abd8-d0edd61c41e1}" done="0">
    <x18tc:text xml:space="preserve">Configuración inicial con formateo + eset nod + office 2024</x18tc:text>
  </x18tc:threadedComment>
  <x18tc:threadedComment ref="W399" dT="2025-12-27T17:36:57.00" personId="{2ddfa542-8116-4937-a057-08470d7abaab}" id="{eb977d99-b482-46f5-a3a0-ae5bcc4418a9}" done="0">
    <x18tc:text xml:space="preserve">https://drive.google.com/file/d/1T92cW_BfxTF3gEM61pNWQPTRyF3RaSj3/view?usp=drive_link</x18tc:text>
    <x18tc:extLst>
      <ext uri="{F7C98A9C-CBB3-438F-8F68-D28B6AF4A901}">
        <xltc2:checksum/>
        <xltc2:hyperlink startIndex="0" length="85" url="https://drive.google.com/file/d/1T92cW_BfxTF3gEM61pNWQPTRyF3RaSj3/view?usp=drive_link"/>
      </ext>
    </x18tc:extLst>
  </x18tc:threadedComment>
  <x18tc:threadedComment ref="J550" dT="2026-02-18T16:48:04.00" personId="{80195d68-4e9b-4dc7-a031-ca5391c97d0f}" id="{7679ff60-a96f-44ca-9b44-71c8fb51a91d}" done="0">
    <x18tc:text xml:space="preserve">https://drive.google.com/file/d/1LbBU1j9po9tuJfJCEQZsSIlkOO_eje5T/view?usp=drive_link PAGO 1560
https://drive.google.com/file/d/1FUuU9VnpXKAWSHJX5tTllJwHJwZ1TPdd/view?usp=drive_link PAGO 500</x18tc:text>
    <x18tc:extLst>
      <ext uri="{F7C98A9C-CBB3-438F-8F68-D28B6AF4A901}">
        <xltc2:checksum/>
        <xltc2:hyperlink startIndex="0" length="85" url="https://drive.google.com/file/d/1LbBU1j9po9tuJfJCEQZsSIlkOO_eje5T/view?usp=drive_link"/>
        <xltc2:hyperlink startIndex="96" length="85" url="https://drive.google.com/file/d/1FUuU9VnpXKAWSHJX5tTllJwHJwZ1TPdd/view?usp=drive_link"/>
      </ext>
    </x18tc:extLst>
  </x18tc:threadedComment>
  <x18tc:threadedComment ref="J226" dT="2025-09-10T21:21:45.00" personId="{a5d43f6d-3c72-4414-b012-8f52ef50acc4}" id="{259545fb-9164-4ad3-b23f-c952b30cded7}" done="0">
    <x18tc:text xml:space="preserve">https://drive.google.com/file/d/1mhMKQq6k-bJtlhcLydkJmFgJNNbL0EIP/view?usp=drive_link</x18tc:text>
    <x18tc:extLst>
      <ext uri="{F7C98A9C-CBB3-438F-8F68-D28B6AF4A901}">
        <xltc2:checksum/>
        <xltc2:hyperlink startIndex="0" length="85" url="https://drive.google.com/file/d/1mhMKQq6k-bJtlhcLydkJmFgJNNbL0EIP/view?usp=drive_link"/>
      </ext>
    </x18tc:extLst>
  </x18tc:threadedComment>
  <x18tc:threadedComment ref="J713" dT="2026-04-27T18:34:56.00" personId="{a5d43f6d-3c72-4414-b012-8f52ef50acc4}" id="{da71041b-ad4b-4ae3-acfe-e6130de00ccb}" done="0">
    <x18tc:text xml:space="preserve">https://drive.google.com/file/d/1Vdpq44auBmYJbMNmdWHW5Odkppw5TXbC/view?usp=drive_link</x18tc:text>
    <x18tc:extLst>
      <ext uri="{F7C98A9C-CBB3-438F-8F68-D28B6AF4A901}">
        <xltc2:checksum/>
        <xltc2:hyperlink startIndex="0" length="85" url="https://drive.google.com/file/d/1Vdpq44auBmYJbMNmdWHW5Odkppw5TXbC/view?usp=drive_link"/>
      </ext>
    </x18tc:extLst>
  </x18tc:threadedComment>
  <x18tc:threadedComment ref="J313" dT="2025-11-17T22:39:57.00" personId="{d8e4f5ad-b65d-4160-a56f-197530fb7eb1}" id="{4a3f51a5-457b-4487-9f08-7ce0951d3af4}" done="0">
    <x18tc:text xml:space="preserve">https://drive.google.com/file/d/1daEMU4bJVtvGFMaUQVo5_BLim21sC5Vj/view?usp=drive_link</x18tc:text>
    <x18tc:extLst>
      <ext uri="{F7C98A9C-CBB3-438F-8F68-D28B6AF4A901}">
        <xltc2:checksum/>
        <xltc2:hyperlink startIndex="0" length="85" url="https://drive.google.com/file/d/1daEMU4bJVtvGFMaUQVo5_BLim21sC5Vj/view?usp=drive_link"/>
      </ext>
    </x18tc:extLst>
  </x18tc:threadedComment>
  <x18tc:threadedComment ref="J313" dT="2025-11-18T22:29:37.00" personId="{d8e4f5ad-b65d-4160-a56f-197530fb7eb1}" id="{101eabbf-e8ee-4346-8089-af7f47b5dfff}" parentId="{4a3f51a5-457b-4487-9f08-7ce0951d3af4}">
    <x18tc:text xml:space="preserve">https://drive.google.com/file/d/1e3XUgq_vLNaeOdrxsDGKsVeXtTELLWhO/view?usp=drive_link</x18tc:text>
    <x18tc:extLst>
      <ext uri="{F7C98A9C-CBB3-438F-8F68-D28B6AF4A901}">
        <xltc2:checksum/>
        <xltc2:hyperlink startIndex="0" length="85" url="https://drive.google.com/file/d/1e3XUgq_vLNaeOdrxsDGKsVeXtTELLWhO/view?usp=drive_link"/>
      </ext>
    </x18tc:extLst>
  </x18tc:threadedComment>
  <x18tc:threadedComment ref="J313" dT="2025-11-18T22:30:33.00" personId="{d8e4f5ad-b65d-4160-a56f-197530fb7eb1}" id="{adb96c03-d83b-495b-8ed2-d6f50a839476}" parentId="{4a3f51a5-457b-4487-9f08-7ce0951d3af4}">
    <x18tc:text xml:space="preserve">https://drive.google.com/file/d/1tINsdbTHY1zJTmhI0o0PRYC5nq2i4B7d/view?usp=drive_link</x18tc:text>
    <x18tc:extLst>
      <ext uri="{F7C98A9C-CBB3-438F-8F68-D28B6AF4A901}">
        <xltc2:checksum/>
        <xltc2:hyperlink startIndex="0" length="85" url="https://drive.google.com/file/d/1tINsdbTHY1zJTmhI0o0PRYC5nq2i4B7d/view?usp=drive_link"/>
      </ext>
    </x18tc:extLst>
  </x18tc:threadedComment>
  <x18tc:threadedComment ref="J173" dT="2025-08-14T22:50:23.00" personId="{a5d43f6d-3c72-4414-b012-8f52ef50acc4}" id="{4b8babaf-2b33-4670-9e11-49361c6c7087}" done="0">
    <x18tc:text xml:space="preserve">https://drive.google.com/file/d/1dLtCTVar6vVze-Wecwk4NI3tfM5UM4Sp/view?usp=drive_link</x18tc:text>
    <x18tc:extLst>
      <ext uri="{F7C98A9C-CBB3-438F-8F68-D28B6AF4A901}">
        <xltc2:checksum/>
        <xltc2:hyperlink startIndex="0" length="85" url="https://drive.google.com/file/d/1dLtCTVar6vVze-Wecwk4NI3tfM5UM4Sp/view?usp=drive_link"/>
      </ext>
    </x18tc:extLst>
  </x18tc:threadedComment>
  <x18tc:threadedComment ref="W400" dT="2025-12-27T17:41:42.00" personId="{2ddfa542-8116-4937-a057-08470d7abaab}" id="{0ff34ccc-fb6a-43c8-8099-eec3d3be4400}" done="0">
    <x18tc:text xml:space="preserve">https://drive.google.com/file/d/1DyJ3Y9WKuAgSQmaTyDTSoGtQYt6kYnWF/view?usp=drive_link</x18tc:text>
    <x18tc:extLst>
      <ext uri="{F7C98A9C-CBB3-438F-8F68-D28B6AF4A901}">
        <xltc2:checksum/>
        <xltc2:hyperlink startIndex="0" length="85" url="https://drive.google.com/file/d/1DyJ3Y9WKuAgSQmaTyDTSoGtQYt6kYnWF/view?usp=drive_link"/>
      </ext>
    </x18tc:extLst>
  </x18tc:threadedComment>
  <x18tc:threadedComment ref="C713" dT="2026-04-27T18:33:31.00" personId="{a5d43f6d-3c72-4414-b012-8f52ef50acc4}" id="{f2d3b2e5-158f-49d3-addc-10d4ef55db77}" done="0">
    <x18tc:text xml:space="preserve">https://www.bhphotovideo.com/c/product/1875946-REG/lenovo_83f00008us_15_1_legion_5i_gaming.html</x18tc:text>
    <x18tc:extLst>
      <ext uri="{F7C98A9C-CBB3-438F-8F68-D28B6AF4A901}">
        <xltc2:checksum/>
        <xltc2:hyperlink startIndex="0" length="95" url="https://www.bhphotovideo.com/c/product/1875946-REG/lenovo_83f00008us_15_1_legion_5i_gaming.html"/>
      </ext>
    </x18tc:extLst>
  </x18tc:threadedComment>
  <x18tc:threadedComment ref="W395" dT="2025-12-27T17:27:43.00" personId="{2ddfa542-8116-4937-a057-08470d7abaab}" id="{a899046a-0cd4-4c11-848a-feadedab07a5}" done="0">
    <x18tc:text xml:space="preserve">https://drive.google.com/file/d/1ArofLntI2JLcvh00bc0uwQtKJHs6H2Cd/view?usp=drive_link</x18tc:text>
    <x18tc:extLst>
      <ext uri="{F7C98A9C-CBB3-438F-8F68-D28B6AF4A901}">
        <xltc2:checksum/>
        <xltc2:hyperlink startIndex="0" length="85" url="https://drive.google.com/file/d/1ArofLntI2JLcvh00bc0uwQtKJHs6H2Cd/view?usp=drive_link"/>
      </ext>
    </x18tc:extLst>
  </x18tc:threadedComment>
  <x18tc:threadedComment ref="J594" dT="2026-03-09T17:22:10.00" personId="{80195d68-4e9b-4dc7-a031-ca5391c97d0f}" id="{afcf12e7-47cf-4743-bd18-418f0ce69f73}" done="0">
    <x18tc:text xml:space="preserve">https://drive.google.com/file/d/1nbyLRPlQMXOaKYaNrpkDFNk6X_FPMkcY/view?usp=drive_link</x18tc:text>
    <x18tc:extLst>
      <ext uri="{F7C98A9C-CBB3-438F-8F68-D28B6AF4A901}">
        <xltc2:checksum/>
        <xltc2:hyperlink startIndex="0" length="85" url="https://drive.google.com/file/d/1nbyLRPlQMXOaKYaNrpkDFNk6X_FPMkcY/view?usp=drive_link"/>
      </ext>
    </x18tc:extLst>
  </x18tc:threadedComment>
  <x18tc:threadedComment ref="W436" dT="2025-12-27T18:21:39.00" personId="{2ddfa542-8116-4937-a057-08470d7abaab}" id="{2da4537c-8b1a-4716-a03a-b85e26ccb6c7}" done="0">
    <x18tc:text xml:space="preserve">https://drive.google.com/file/d/1fpEkdKPQQKrY65gQNUBSz6x9QfzIqD4C/view?usp=drive_link</x18tc:text>
    <x18tc:extLst>
      <ext uri="{F7C98A9C-CBB3-438F-8F68-D28B6AF4A901}">
        <xltc2:checksum/>
        <xltc2:hyperlink startIndex="0" length="85" url="https://drive.google.com/file/d/1fpEkdKPQQKrY65gQNUBSz6x9QfzIqD4C/view?usp=drive_link"/>
      </ext>
    </x18tc:extLst>
  </x18tc:threadedComment>
  <x18tc:threadedComment ref="W396" dT="2025-12-27T17:32:14.00" personId="{2ddfa542-8116-4937-a057-08470d7abaab}" id="{e166efad-9c0f-4fea-a032-23c9f86aefd3}" done="1">
    <x18tc:text xml:space="preserve">https://drive.google.com/file/d/1XEnktLT5FYoEe6ZGF3NPHjJQ5Fk3-2ru/view?usp=drive_link</x18tc:text>
    <x18tc:extLst>
      <ext uri="{F7C98A9C-CBB3-438F-8F68-D28B6AF4A901}">
        <xltc2:checksum/>
        <xltc2:hyperlink startIndex="0" length="85" url="https://drive.google.com/file/d/1XEnktLT5FYoEe6ZGF3NPHjJQ5Fk3-2ru/view?usp=drive_link"/>
      </ext>
    </x18tc:extLst>
  </x18tc:threadedComment>
  <x18tc:threadedComment ref="C228" dT="2025-09-11T01:14:42.00" personId="{4df2d6c4-e43e-4f2e-b623-d90f458472ff}" id="{b908de7a-aad4-42eb-b79e-78f2070777ef}" done="0">
    <x18tc:text xml:space="preserve">https://www.amazon.com/-/es/GIGABYTE-2560x1600-GeForce-i7-14650HX-AKG-53USC64SH/dp/B0CW2BM5MV/ref=sr_1_1?__mk_es_US=%C3%85M%C3%85%C5%BD%C3%95%C3%91&amp;dib=eyJ2IjoiMSJ9.54TD-0R3LPmphC2IoGU2UMdZO7JdHMzccR7cgxmJGOZRDzdhZCFfIOtUsvaMZnBiaEroawf46MOLMPbtzEnBrf803oEzlySFxjc9-4eXPHOuYlqm5XTWQj1t3A8RiReXHAulQGVxEbSpWwDuEbcMF5J6X-mH6edtFM2RUoRCLug7RE-lnGFRxaW1cLf6gkXvSF-zLi9EKAyDz3Q-DbWBK2Hm59FpsdIqiSzvRN-5nSM.IP3h3xeCAKtkQ8SQm_e7agVz9D1z0Pg01od15gGZPjE&amp;dib_tag=se&amp;keywords=gigabyte%2Baorus&amp;qid=1757547372&amp;sr=8-1&amp;th=1</x18tc:text>
    <x18tc:extLst>
      <ext uri="{F7C98A9C-CBB3-438F-8F68-D28B6AF4A901}">
        <xltc2:checksum/>
        <xltc2:hyperlink startIndex="0" length="508" url="https://www.amazon.com/-/es/GIGABYTE-2560x1600-GeForce-i7-14650HX-AKG-53USC64SH/dp/B0CW2BM5MV/ref=sr_1_1?__mk_es_US=%C3%85M%C3%85%C5%BD%C3%95%C3%91&amp;dib=eyJ2IjoiMSJ9.54TD-0R3LPmphC2IoGU2UMdZO7JdHMzccR7cgxmJGOZRDzdhZCFfIOtUsvaMZnBiaEroawf46MOLMPbtzEnBrf803oEzlySFxjc9-4eXPHOuYlqm5XTWQj1t3A8RiReXHAulQGVxEbSpWwDuEbcMF5J6X-mH6edtFM2RUoRCLug7RE-lnGFRxaW1cLf6gkXvSF-zLi9EKAyDz3Q-DbWBK2Hm59FpsdIqiSzvRN-5nSM.IP3h3xeCAKtkQ8SQm_e7agVz9D1z0Pg01od15gGZPjE&amp;dib_tag=se&amp;keywords=gigabyte%2Baorus&amp;qid=1757547372&amp;sr=8-1&amp;th=1"/>
      </ext>
    </x18tc:extLst>
  </x18tc:threadedComment>
  <x18tc:threadedComment ref="Q594" dT="2026-03-09T17:21:13.00" personId="{80195d68-4e9b-4dc7-a031-ca5391c97d0f}" id="{b65dbd13-70fb-43f0-94d3-d6dc75c51fd4}" done="0">
    <x18tc:text xml:space="preserve">apertura+config inicial+ licencia office</x18tc:text>
  </x18tc:threadedComment>
  <x18tc:threadedComment ref="J655" dT="2026-04-04T22:33:14.00" personId="{f9b224d0-ee33-4499-ae47-db5bcd2d0435}" id="{f01a6f52-49b9-4e5e-8e29-ce5b10675c8b}" done="0">
    <x18tc:text xml:space="preserve">https://drive.google.com/file/d/1uiI1j-MNpLMWTfhe-IhlhW7acDYlKJGN/view?usp=drive_link</x18tc:text>
    <x18tc:extLst>
      <ext uri="{F7C98A9C-CBB3-438F-8F68-D28B6AF4A901}">
        <xltc2:checksum/>
        <xltc2:hyperlink startIndex="0" length="85" url="https://drive.google.com/file/d/1uiI1j-MNpLMWTfhe-IhlhW7acDYlKJGN/view?usp=drive_link"/>
      </ext>
    </x18tc:extLst>
  </x18tc:threadedComment>
  <x18tc:threadedComment ref="J459" dT="2026-01-02T16:24:29.00" personId="{a5d43f6d-3c72-4414-b012-8f52ef50acc4}" id="{dd457cd0-43c5-4de5-b68f-1c613e3e69da}" done="0">
    <x18tc:text xml:space="preserve">https://drive.google.com/file/d/1BRMhxyBTXpnISE-24oZBQbJkJ4VOo9CZ/view?usp=drive_link</x18tc:text>
    <x18tc:extLst>
      <ext uri="{F7C98A9C-CBB3-438F-8F68-D28B6AF4A901}">
        <xltc2:checksum/>
        <xltc2:hyperlink startIndex="0" length="85" url="https://drive.google.com/file/d/1BRMhxyBTXpnISE-24oZBQbJkJ4VOo9CZ/view?usp=drive_link"/>
      </ext>
    </x18tc:extLst>
  </x18tc:threadedComment>
  <x18tc:threadedComment ref="J228" dT="2025-09-11T00:48:17.00" personId="{4df2d6c4-e43e-4f2e-b623-d90f458472ff}" id="{80eabb5b-a522-4710-85f8-37a9a592a068}" done="1">
    <x18tc:text xml:space="preserve">https://drive.google.com/file/d/15lB5KMMYpHBEOGr1AucwQAGxpwISutlb/view?usp=drive_link</x18tc:text>
    <x18tc:extLst>
      <ext uri="{F7C98A9C-CBB3-438F-8F68-D28B6AF4A901}">
        <xltc2:checksum/>
        <xltc2:hyperlink startIndex="0" length="85" url="https://drive.google.com/file/d/15lB5KMMYpHBEOGr1AucwQAGxpwISutlb/view?usp=drive_link"/>
      </ext>
    </x18tc:extLst>
  </x18tc:threadedComment>
  <x18tc:threadedComment ref="L69" dT="2025-06-04T21:17:35.00" personId="{d8e4f5ad-b65d-4160-a56f-197530fb7eb1}" id="{244ee6c5-8028-4608-b361-b34f56671274}" done="0">
    <x18tc:text xml:space="preserve">https://drive.google.com/file/d/1LkH2Upv_8O55m0A4J9MT2-wPkyXz0Th5/view?usp=drive_link</x18tc:text>
    <x18tc:extLst>
      <ext uri="{F7C98A9C-CBB3-438F-8F68-D28B6AF4A901}">
        <xltc2:checksum/>
        <xltc2:hyperlink startIndex="0" length="85" url="https://drive.google.com/file/d/1LkH2Upv_8O55m0A4J9MT2-wPkyXz0Th5/view?usp=drive_link"/>
      </ext>
    </x18tc:extLst>
  </x18tc:threadedComment>
  <x18tc:threadedComment ref="L69" dT="2025-06-04T21:17:55.00" personId="{d8e4f5ad-b65d-4160-a56f-197530fb7eb1}" id="{52e1baf5-ab85-41a0-bfcf-63bdce8d94d8}" parentId="{244ee6c5-8028-4608-b361-b34f56671274}">
    <x18tc:text xml:space="preserve">https://drive.google.com/file/d/1UQNGv7liDE7d5aYqcGEtYAavhPZqfrdM/view?usp=drive_link</x18tc:text>
    <x18tc:extLst>
      <ext uri="{F7C98A9C-CBB3-438F-8F68-D28B6AF4A901}">
        <xltc2:checksum/>
        <xltc2:hyperlink startIndex="0" length="85" url="https://drive.google.com/file/d/1UQNGv7liDE7d5aYqcGEtYAavhPZqfrdM/view?usp=drive_link"/>
      </ext>
    </x18tc:extLst>
  </x18tc:threadedComment>
  <x18tc:threadedComment ref="J121" dT="2025-07-14T21:30:06.00" personId="{d8e4f5ad-b65d-4160-a56f-197530fb7eb1}" id="{11a5ff13-fd25-4a77-80ef-8b1d84ded040}" done="0">
    <x18tc:text xml:space="preserve">https://drive.google.com/file/d/1vIzoRV-EUC-RiyxT4fYwZnrw96Ma3pnD/view?usp=drive_link</x18tc:text>
    <x18tc:extLst>
      <ext uri="{F7C98A9C-CBB3-438F-8F68-D28B6AF4A901}">
        <xltc2:checksum/>
        <xltc2:hyperlink startIndex="0" length="85" url="https://drive.google.com/file/d/1vIzoRV-EUC-RiyxT4fYwZnrw96Ma3pnD/view?usp=drive_link"/>
      </ext>
    </x18tc:extLst>
  </x18tc:threadedComment>
  <x18tc:threadedComment ref="J121" dT="2025-07-14T21:30:22.00" personId="{d8e4f5ad-b65d-4160-a56f-197530fb7eb1}" id="{24a1f263-24d9-473a-b8e3-1f343052cefd}" parentId="{11a5ff13-fd25-4a77-80ef-8b1d84ded040}">
    <x18tc:text xml:space="preserve">https://drive.google.com/file/d/1IB5i1N10eHv91DC-KtdRrIH51yzwrQDM/view?usp=drive_link</x18tc:text>
    <x18tc:extLst>
      <ext uri="{F7C98A9C-CBB3-438F-8F68-D28B6AF4A901}">
        <xltc2:checksum/>
        <xltc2:hyperlink startIndex="0" length="85" url="https://drive.google.com/file/d/1IB5i1N10eHv91DC-KtdRrIH51yzwrQDM/view?usp=drive_link"/>
      </ext>
    </x18tc:extLst>
  </x18tc:threadedComment>
  <x18tc:threadedComment ref="L659" dT="2026-04-04T22:34:29.00" personId="{f9b224d0-ee33-4499-ae47-db5bcd2d0435}" id="{5c58c2c2-f380-44c9-b313-2578f0e71e77}" done="0">
    <x18tc:text xml:space="preserve">https://drive.google.com/file/d/1u_iObcpupup186Dea4Ztg_j45svt3SCg/view?usp=drive_link</x18tc:text>
    <x18tc:extLst>
      <ext uri="{F7C98A9C-CBB3-438F-8F68-D28B6AF4A901}">
        <xltc2:checksum/>
        <xltc2:hyperlink startIndex="0" length="85" url="https://drive.google.com/file/d/1u_iObcpupup186Dea4Ztg_j45svt3SCg/view?usp=drive_link"/>
      </ext>
    </x18tc:extLst>
  </x18tc:threadedComment>
  <x18tc:threadedComment ref="L659" dT="2026-04-04T22:34:46.00" personId="{f9b224d0-ee33-4499-ae47-db5bcd2d0435}" id="{0ea88f2c-4957-428a-8aa5-9cd1f36ef920}" parentId="{5c58c2c2-f380-44c9-b313-2578f0e71e77}">
    <x18tc:text xml:space="preserve">https://drive.google.com/file/d/1MDXAE8mb11L_gVeWJ8oti_zya903W0zs/view?usp=drive_link</x18tc:text>
    <x18tc:extLst>
      <ext uri="{F7C98A9C-CBB3-438F-8F68-D28B6AF4A901}">
        <xltc2:checksum/>
        <xltc2:hyperlink startIndex="0" length="85" url="https://drive.google.com/file/d/1MDXAE8mb11L_gVeWJ8oti_zya903W0zs/view?usp=drive_link"/>
      </ext>
    </x18tc:extLst>
  </x18tc:threadedComment>
  <x18tc:threadedComment ref="L53" dT="2025-06-04T21:20:39.00" personId="{d8e4f5ad-b65d-4160-a56f-197530fb7eb1}" id="{c70d2941-da88-4691-80b1-c4fb9b982618}" done="0">
    <x18tc:text xml:space="preserve">https://drive.google.com/file/d/1EAU8OJ8nufvR_Zy-SxQgI-6N4gKqIoru/view?usp=drive_link</x18tc:text>
    <x18tc:extLst>
      <ext uri="{F7C98A9C-CBB3-438F-8F68-D28B6AF4A901}">
        <xltc2:checksum/>
        <xltc2:hyperlink startIndex="0" length="85" url="https://drive.google.com/file/d/1EAU8OJ8nufvR_Zy-SxQgI-6N4gKqIoru/view?usp=drive_link"/>
      </ext>
    </x18tc:extLst>
  </x18tc:threadedComment>
  <x18tc:threadedComment ref="L53" dT="2025-06-04T21:20:51.00" personId="{d8e4f5ad-b65d-4160-a56f-197530fb7eb1}" id="{767d5cbd-a911-4e6d-b06e-d3fae0ddc50f}" parentId="{c70d2941-da88-4691-80b1-c4fb9b982618}">
    <x18tc:text xml:space="preserve">https://drive.google.com/file/d/14ScYrwPfLP1M8boVADDMpPxmuyQx17Ia/view?usp=drive_link</x18tc:text>
    <x18tc:extLst>
      <ext uri="{F7C98A9C-CBB3-438F-8F68-D28B6AF4A901}">
        <xltc2:checksum/>
        <xltc2:hyperlink startIndex="0" length="85" url="https://drive.google.com/file/d/14ScYrwPfLP1M8boVADDMpPxmuyQx17Ia/view?usp=drive_link"/>
      </ext>
    </x18tc:extLst>
  </x18tc:threadedComment>
  <x18tc:threadedComment ref="J656" dT="2026-04-04T22:33:20.00" personId="{f9b224d0-ee33-4499-ae47-db5bcd2d0435}" id="{eb193c9b-3960-4b4a-9485-3e515959ab65}" done="0">
    <x18tc:text xml:space="preserve">https://drive.google.com/file/d/1uiI1j-MNpLMWTfhe-IhlhW7acDYlKJGN/view?usp=drive_link</x18tc:text>
    <x18tc:extLst>
      <ext uri="{F7C98A9C-CBB3-438F-8F68-D28B6AF4A901}">
        <xltc2:checksum/>
        <xltc2:hyperlink startIndex="0" length="85" url="https://drive.google.com/file/d/1uiI1j-MNpLMWTfhe-IhlhW7acDYlKJGN/view?usp=drive_link"/>
      </ext>
    </x18tc:extLst>
  </x18tc:threadedComment>
  <x18tc:threadedComment ref="C574" dT="2026-02-28T00:21:47.00" personId="{4df2d6c4-e43e-4f2e-b623-d90f458472ff}" id="{0d0ac476-5ddc-4307-b1d2-c9034f638b88}" done="0">
    <x18tc:text xml:space="preserve">https://www.microcenter.com/product/702373/acer-predator-helios-16-ai-ph16-73-99hd-oled-16-gaming-laptop-computer-abyssal-black</x18tc:text>
    <x18tc:extLst>
      <ext uri="{F7C98A9C-CBB3-438F-8F68-D28B6AF4A901}">
        <xltc2:checksum/>
        <xltc2:hyperlink startIndex="0" length="127" url="https://www.microcenter.com/product/702373/acer-predator-helios-16-ai-ph16-73-99hd-oled-16-gaming-laptop-computer-abyssal-black"/>
      </ext>
    </x18tc:extLst>
  </x18tc:threadedComment>
  <x18tc:threadedComment ref="Q694" dT="2026-05-25T18:04:05.00" personId="{80195d68-4e9b-4dc7-a031-ca5391c97d0f}" id="{f2909e8f-09a9-448c-a043-9f40c8cb4cd8}" done="0">
    <x18tc:text xml:space="preserve">pago por la lincencia y mouse extra 85 soles</x18tc:text>
  </x18tc:threadedComment>
  <x18tc:threadedComment ref="C64" dT="2025-05-22T00:11:19.00" personId="{a5d43f6d-3c72-4414-b012-8f52ef50acc4}" id="{0934eb79-b221-4419-9839-624695d53acc}" done="0">
    <x18tc:text xml:space="preserve">https://www.walmart.com/ip/ASUS-ROG-Strix-G16-16-inch-QHD-Nebula-240Hz-Gaming-Laptop-Intel-Core-i9-13980HX-NVIDIA-GeForce-RTX-4070-16GB-DDR5-1TB-SSD-Eclipse-Gray-2023/5136011874?filters=%5B%7B%22intent%22%3A%22retailer%22%2C%22values%22%3A%5B%22Walmart%22%5D%7D%5D&amp;classType=REGULAR&amp;athbdg=L1103&amp;from=/search</x18tc:text>
    <x18tc:extLst>
      <ext uri="{F7C98A9C-CBB3-438F-8F68-D28B6AF4A901}">
        <xltc2:checksum/>
        <xltc2:hyperlink startIndex="0" length="308" url="https://www.walmart.com/ip/ASUS-ROG-Strix-G16-16-inch-QHD-Nebula-240Hz-Gaming-Laptop-Intel-Core-i9-13980HX-NVIDIA-GeForce-RTX-4070-16GB-DDR5-1TB-SSD-Eclipse-Gray-2023/5136011874?filters=%5B%7B%22intent%22%3A%22retailer%22%2C%22values%22%3A%5B%22Walmart%22%5D%7D%5D&amp;classType=REGULAR&amp;athbdg=L1103&amp;from=/search"/>
      </ext>
    </x18tc:extLst>
  </x18tc:threadedComment>
  <x18tc:threadedComment ref="F353" dT="2025-11-28T01:35:53.00" personId="{a5d43f6d-3c72-4414-b012-8f52ef50acc4}" id="{b4a197ba-3d95-4a25-b3b4-6057b5f65525}" done="0">
    <x18tc:text xml:space="preserve">compraron, falta que lo suban en el sheet</x18tc:text>
  </x18tc:threadedComment>
  <x18tc:threadedComment ref="F353" dT="2025-11-28T03:27:12.00" personId="{6afbe8df-a68a-4403-9951-ca8c0d21ef43}" id="{09115d30-bba0-4160-b777-0a24caf3aedf}" parentId="{b4a197ba-3d95-4a25-b3b4-6057b5f65525}">
    <x18tc:text xml:space="preserve">@yolinette152@gmail.com</x18tc:text>
    <x18tc:mentions>
      <x18tc:mention mentionpersonId="{175ceed9-6dd2-4dd9-a576-ccc719bb1072}" mentionId="{5624e67b-c497-4542-86af-5249081fc16b}" startIndex="0" length="23"/>
    </x18tc:mentions>
  </x18tc:threadedComment>
  <x18tc:threadedComment ref="C355" dT="2025-11-28T01:40:49.00" personId="{d8e4f5ad-b65d-4160-a56f-197530fb7eb1}" id="{20346789-ddb1-4a58-a31c-4fd52d100650}"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K616" dT="2026-04-04T18:27:09.00" personId="{f9b224d0-ee33-4499-ae47-db5bcd2d0435}" id="{9d9a596d-704c-4638-b5e8-3c2add4753c1}" done="0">
    <x18tc:text xml:space="preserve">https://drive.google.com/file/d/1CyF-8gcf4_PdhIe09AlDovuswz8vGM0J/view?usp=drive_link</x18tc:text>
    <x18tc:extLst>
      <ext uri="{F7C98A9C-CBB3-438F-8F68-D28B6AF4A901}">
        <xltc2:checksum/>
        <xltc2:hyperlink startIndex="0" length="85" url="https://drive.google.com/file/d/1CyF-8gcf4_PdhIe09AlDovuswz8vGM0J/view?usp=drive_link"/>
      </ext>
    </x18tc:extLst>
  </x18tc:threadedComment>
  <x18tc:threadedComment ref="K616" dT="2026-04-04T18:33:21.00" personId="{f9b224d0-ee33-4499-ae47-db5bcd2d0435}" id="{4ea95c20-7ead-4fb1-be9f-9c07c526545e}" parentId="{9d9a596d-704c-4638-b5e8-3c2add4753c1}">
    <x18tc:text xml:space="preserve">https://drive.google.com/file/d/1vzuTHZOsv4_csRww1uc4CH6WNg1Llezo/view?usp=drive_link</x18tc:text>
    <x18tc:extLst>
      <ext uri="{F7C98A9C-CBB3-438F-8F68-D28B6AF4A901}">
        <xltc2:checksum/>
        <xltc2:hyperlink startIndex="0" length="85" url="https://drive.google.com/file/d/1vzuTHZOsv4_csRww1uc4CH6WNg1Llezo/view?usp=drive_link"/>
      </ext>
    </x18tc:extLst>
  </x18tc:threadedComment>
  <x18tc:threadedComment ref="C121" dT="2025-07-14T21:21:08.00" personId="{d8e4f5ad-b65d-4160-a56f-197530fb7eb1}" id="{c41fa355-a443-4d6c-9854-78337bde4cb2}" done="0">
    <x18tc:text xml:space="preserve">https://www.amazon.com/dp/B0DW1WX8H2?tag=psuni-03-us-52937-20&amp;linkCode=osi&amp;th=1&amp;ascsubtag=6822e9ece1078f7da09e09a3</x18tc:text>
    <x18tc:extLst>
      <ext uri="{F7C98A9C-CBB3-438F-8F68-D28B6AF4A901}">
        <xltc2:checksum/>
        <xltc2:hyperlink startIndex="0" length="114" url="https://www.amazon.com/dp/B0DW1WX8H2?tag=psuni-03-us-52937-20&amp;linkCode=osi&amp;th=1&amp;ascsubtag=6822e9ece1078f7da09e09a3"/>
      </ext>
    </x18tc:extLst>
  </x18tc:threadedComment>
  <x18tc:threadedComment ref="J523" dT="2026-02-06T21:27:39.00" personId="{f9b224d0-ee33-4499-ae47-db5bcd2d0435}" id="{f3ab82e6-353b-43e3-b6e4-11a4d06143a5}" done="0">
    <x18tc:text xml:space="preserve">https://drive.google.com/file/d/1C9CjZIulVyaElqAbAex6kPBzsfnPOCMG/view?usp=drive_link</x18tc:text>
    <x18tc:extLst>
      <ext uri="{F7C98A9C-CBB3-438F-8F68-D28B6AF4A901}">
        <xltc2:checksum/>
        <xltc2:hyperlink startIndex="0" length="85" url="https://drive.google.com/file/d/1C9CjZIulVyaElqAbAex6kPBzsfnPOCMG/view?usp=drive_link"/>
      </ext>
    </x18tc:extLst>
  </x18tc:threadedComment>
  <x18tc:threadedComment ref="J514" dT="2026-02-06T21:52:21.00" personId="{80195d68-4e9b-4dc7-a031-ca5391c97d0f}" id="{ff9a2879-f9b5-426d-9e19-cb5a10f59eca}" done="0">
    <x18tc:text xml:space="preserve">https://drive.google.com/file/d/1rJSfGZigqoI_-19zzpHqhtKTD5TJ-5sv/view?usp=drive_link</x18tc:text>
    <x18tc:extLst>
      <ext uri="{F7C98A9C-CBB3-438F-8F68-D28B6AF4A901}">
        <xltc2:checksum/>
        <xltc2:hyperlink startIndex="0" length="85" url="https://drive.google.com/file/d/1rJSfGZigqoI_-19zzpHqhtKTD5TJ-5sv/view?usp=drive_link"/>
      </ext>
    </x18tc:extLst>
  </x18tc:threadedComment>
  <x18tc:threadedComment ref="J351" dT="2025-11-27T22:41:03.00" personId="{a5d43f6d-3c72-4414-b012-8f52ef50acc4}" id="{77aeb65e-7de2-4970-b948-e148cc887b5d}" done="0">
    <x18tc:text xml:space="preserve">https://drive.google.com/file/d/1bgSMBHbjVF_2JlLya2vUc1UZaajcZu2K/view?usp=drive_link</x18tc:text>
    <x18tc:extLst>
      <ext uri="{F7C98A9C-CBB3-438F-8F68-D28B6AF4A901}">
        <xltc2:checksum/>
        <xltc2:hyperlink startIndex="0" length="85" url="https://drive.google.com/file/d/1bgSMBHbjVF_2JlLya2vUc1UZaajcZu2K/view?usp=drive_link"/>
      </ext>
    </x18tc:extLst>
  </x18tc:threadedComment>
  <x18tc:threadedComment ref="J302" dT="2025-11-17T22:55:04.00" personId="{d8e4f5ad-b65d-4160-a56f-197530fb7eb1}" id="{b70194e7-e7f4-406d-925a-a2067a7a50ff}" done="0">
    <x18tc:text xml:space="preserve">https://drive.google.com/file/d/1bCttf7Dscxa8UczRqM6bNqwqATRfezNK/view?usp=drive_link</x18tc:text>
    <x18tc:extLst>
      <ext uri="{F7C98A9C-CBB3-438F-8F68-D28B6AF4A901}">
        <xltc2:checksum/>
        <xltc2:hyperlink startIndex="0" length="85" url="https://drive.google.com/file/d/1bCttf7Dscxa8UczRqM6bNqwqATRfezNK/view?usp=drive_link"/>
      </ext>
    </x18tc:extLst>
  </x18tc:threadedComment>
  <x18tc:threadedComment ref="J302" dT="2025-11-18T23:31:51.00" personId="{d8e4f5ad-b65d-4160-a56f-197530fb7eb1}" id="{4a79b346-516e-4160-bd0d-1a852170bfc6}" parentId="{b70194e7-e7f4-406d-925a-a2067a7a50ff}">
    <x18tc:text xml:space="preserve">https://drive.google.com/file/d/1r09uSsRhxZaseLu7oTVS5StUWqsQmFJK/view?usp=drive_link</x18tc:text>
    <x18tc:extLst>
      <ext uri="{F7C98A9C-CBB3-438F-8F68-D28B6AF4A901}">
        <xltc2:checksum/>
        <xltc2:hyperlink startIndex="0" length="85" url="https://drive.google.com/file/d/1r09uSsRhxZaseLu7oTVS5StUWqsQmFJK/view?usp=drive_link"/>
      </ext>
    </x18tc:extLst>
  </x18tc:threadedComment>
  <x18tc:threadedComment ref="J302" dT="2025-11-18T23:32:12.00" personId="{d8e4f5ad-b65d-4160-a56f-197530fb7eb1}" id="{e4d2e865-a402-4f29-9016-f3427a64d89c}" parentId="{b70194e7-e7f4-406d-925a-a2067a7a50ff}">
    <x18tc:text xml:space="preserve">https://drive.google.com/file/d/1Ec1a886c5LwC6yloacmnAKlZt837n4MD/view?usp=drive_link</x18tc:text>
    <x18tc:extLst>
      <ext uri="{F7C98A9C-CBB3-438F-8F68-D28B6AF4A901}">
        <xltc2:checksum/>
        <xltc2:hyperlink startIndex="0" length="85" url="https://drive.google.com/file/d/1Ec1a886c5LwC6yloacmnAKlZt837n4MD/view?usp=drive_link"/>
      </ext>
    </x18tc:extLst>
  </x18tc:threadedComment>
  <x18tc:threadedComment ref="J302" dT="2025-11-18T23:33:55.00" personId="{d8e4f5ad-b65d-4160-a56f-197530fb7eb1}" id="{c957cd3a-9573-4abe-9036-bbd7e527bde3}" parentId="{b70194e7-e7f4-406d-925a-a2067a7a50ff}">
    <x18tc:text xml:space="preserve">https://drive.google.com/file/d/1qPC-jUBj9IPHer7GTfVtB25mzF2HBgjH/view?usp=drive_link</x18tc:text>
    <x18tc:extLst>
      <ext uri="{F7C98A9C-CBB3-438F-8F68-D28B6AF4A901}">
        <xltc2:checksum/>
        <xltc2:hyperlink startIndex="0" length="85" url="https://drive.google.com/file/d/1qPC-jUBj9IPHer7GTfVtB25mzF2HBgjH/view?usp=drive_link"/>
      </ext>
    </x18tc:extLst>
  </x18tc:threadedComment>
  <x18tc:threadedComment ref="L295" dT="2025-11-17T20:55:09.00" personId="{a5d43f6d-3c72-4414-b012-8f52ef50acc4}" id="{d16de928-e000-4e02-9394-a31d2c3b8796}" done="0">
    <x18tc:text xml:space="preserve">https://drive.google.com/file/d/1zNYt5THgS9Syuna7FyYBDJtn59c3OKaI/view?usp=drive_link</x18tc:text>
    <x18tc:extLst>
      <ext uri="{F7C98A9C-CBB3-438F-8F68-D28B6AF4A901}">
        <xltc2:checksum/>
        <xltc2:hyperlink startIndex="0" length="85" url="https://drive.google.com/file/d/1zNYt5THgS9Syuna7FyYBDJtn59c3OKaI/view?usp=drive_link"/>
      </ext>
    </x18tc:extLst>
  </x18tc:threadedComment>
  <x18tc:threadedComment ref="C286" dT="2025-10-28T23:50:16.00" personId="{d8e4f5ad-b65d-4160-a56f-197530fb7eb1}" id="{5fdf8617-886f-4816-b36c-419f6bef6ab2}" done="0">
    <x18tc:text xml:space="preserve">https://www.microcenter.com/product/691907/asus-rog-strix-scar-16-g635lw-xs97-16-gaming-laptop-computer-off-black</x18tc:text>
    <x18tc:extLst>
      <ext uri="{F7C98A9C-CBB3-438F-8F68-D28B6AF4A901}">
        <xltc2:checksum/>
        <xltc2:hyperlink startIndex="0" length="113" url="https://www.microcenter.com/product/691907/asus-rog-strix-scar-16-g635lw-xs97-16-gaming-laptop-computer-off-black"/>
      </ext>
    </x18tc:extLst>
  </x18tc:threadedComment>
  <x18tc:threadedComment ref="J512" dT="2026-02-06T21:52:45.00" personId="{80195d68-4e9b-4dc7-a031-ca5391c97d0f}" id="{fb6fd4a1-450e-4270-9d27-f00565cf2885}" done="0">
    <x18tc:text xml:space="preserve">https://drive.google.com/file/d/1fbXnJ2a8MSJsV_Z_Z81cLtMqsYwdfuHL/view?usp=drive_link</x18tc:text>
    <x18tc:extLst>
      <ext uri="{F7C98A9C-CBB3-438F-8F68-D28B6AF4A901}">
        <xltc2:checksum/>
        <xltc2:hyperlink startIndex="0" length="85" url="https://drive.google.com/file/d/1fbXnJ2a8MSJsV_Z_Z81cLtMqsYwdfuHL/view?usp=drive_link"/>
      </ext>
    </x18tc:extLst>
  </x18tc:threadedComment>
  <x18tc:threadedComment ref="J304" dT="2025-11-17T22:52:18.00" personId="{d8e4f5ad-b65d-4160-a56f-197530fb7eb1}" id="{c89b8914-8c97-4429-83d8-045a40e77dd1}" done="0">
    <x18tc:text xml:space="preserve">https://drive.google.com/file/d/1ZkiBfK-6Oj0-adY9oCR6nl9ZKA7gxJ1d/view?usp=drive_link</x18tc:text>
    <x18tc:extLst>
      <ext uri="{F7C98A9C-CBB3-438F-8F68-D28B6AF4A901}">
        <xltc2:checksum/>
        <xltc2:hyperlink startIndex="0" length="85" url="https://drive.google.com/file/d/1ZkiBfK-6Oj0-adY9oCR6nl9ZKA7gxJ1d/view?usp=drive_link"/>
      </ext>
    </x18tc:extLst>
  </x18tc:threadedComment>
  <x18tc:threadedComment ref="C656" dT="2026-04-04T17:56:13.00" personId="{f9b224d0-ee33-4499-ae47-db5bcd2d0435}" id="{e49c679b-8e78-49b6-aa5b-471188567545}" done="0">
    <x18tc:text xml:space="preserve">https://www.amazon.com/-/es/Apple-Magic-Mouse-Superficie-multit%C3%A1ctil/dp/B0DL6WHJ1W/ref=sr_1_1?crid=O11LVEQM8XG0&amp;dib=eyJ2IjoiMSJ9.BmNEJ7KIQTTs9BwtQwz_v_wH4fHhSZ8DqnOBRnpFwbCeKL8b-qfbLoktFUxwBJu6e0MS_GUG-6fV4leCju1cExMBQiCe-v4jh6H8JwJVjqdKZdBImpz9aprePojgL1kCsTtn_lRoC0hYgvYZmh-_guyHSEFQwo3Rn7b2-17MKdiKL1w2zFigeHDa3rC2MhyEqeIi4exo5YkB7Dm2oaXQMZLtqM8Fy8CORaKO_KiHlOoowizHoPF4izu_kAl_PC_2_0xzvvEY6WN_s6RYSlCiCNqG_kX0HOezfvtWtbB2phI.uwbCArVPVsiCUflUbde2983XGCH4QBgErGQiO3zcnzI&amp;dib_tag=se&amp;keywords=apple%2Bmagic%2Bmouse&amp;qid=1775316834&amp;s=electronics&amp;sprefix=mouse%2Bapple%2Celectronics%2C326&amp;sr=1-1&amp;th=1</x18tc:text>
    <x18tc:extLst>
      <ext uri="{F7C98A9C-CBB3-438F-8F68-D28B6AF4A901}">
        <xltc2:checksum/>
        <xltc2:hyperlink startIndex="0" length="602" url="https://www.amazon.com/-/es/Apple-Magic-Mouse-Superficie-multit%C3%A1ctil/dp/B0DL6WHJ1W/ref=sr_1_1?crid=O11LVEQM8XG0&amp;dib=eyJ2IjoiMSJ9.BmNEJ7KIQTTs9BwtQwz_v_wH4fHhSZ8DqnOBRnpFwbCeKL8b-qfbLoktFUxwBJu6e0MS_GUG-6fV4leCju1cExMBQiCe-v4jh6H8JwJVjqdKZdBImpz9aprePojgL1kCsTtn_lRoC0hYgvYZmh-_guyHSEFQwo3Rn7b2-17MKdiKL1w2zFigeHDa3rC2MhyEqeIi4exo5YkB7Dm2oaXQMZLtqM8Fy8CORaKO_KiHlOoowizHoPF4izu_kAl_PC_2_0xzvvEY6WN_s6RYSlCiCNqG_kX0HOezfvtWtbB2phI.uwbCArVPVsiCUflUbde2983XGCH4QBgErGQiO3zcnzI&amp;dib_tag=se&amp;keywords=apple%2Bmagic%2Bmouse&amp;qid=1775316834&amp;s=electronics&amp;sprefix=mouse%2Bapple%2Celectronics%2C326&amp;sr=1-1&amp;th=1"/>
      </ext>
    </x18tc:extLst>
  </x18tc:threadedComment>
  <x18tc:threadedComment ref="D283" dT="2025-10-28T23:58:10.00" personId="{a5d43f6d-3c72-4414-b012-8f52ef50acc4}" id="{d5decf8e-6261-40c7-927d-a8dbd0648342}" done="0">
    <x18tc:text xml:space="preserve">Servicios MLTG 
20452761808
956926705
mltijero@yahoo.es</x18tc:text>
  </x18tc:threadedComment>
  <x18tc:threadedComment ref="AF789" dT="2026-06-23T01:44:20.00" personId="{2ddfa542-8116-4937-a057-08470d7abaab}" id="{4f489948-c8dc-4253-b97d-199ada4bf5b7}" done="0">
    <x18tc:text xml:space="preserve">excedente, fixit , venta final</x18tc:text>
  </x18tc:threadedComment>
  <x18tc:threadedComment ref="K520" dT="2026-03-03T21:22:48.00" personId="{d8e4f5ad-b65d-4160-a56f-197530fb7eb1}" id="{dcc368ea-dcc9-4f8f-be9d-f5094eeeca24}" done="0">
    <x18tc:text xml:space="preserve">https://drive.google.com/file/d/1nh53pFNAyQQA4Z1NSrRHOHOd6KwIyuzX/view?usp=drive_link</x18tc:text>
    <x18tc:extLst>
      <ext uri="{F7C98A9C-CBB3-438F-8F68-D28B6AF4A901}">
        <xltc2:checksum/>
        <xltc2:hyperlink startIndex="0" length="85" url="https://drive.google.com/file/d/1nh53pFNAyQQA4Z1NSrRHOHOd6KwIyuzX/view?usp=drive_link"/>
      </ext>
    </x18tc:extLst>
  </x18tc:threadedComment>
  <x18tc:threadedComment ref="AF788" dT="2026-06-23T01:44:16.00" personId="{2ddfa542-8116-4937-a057-08470d7abaab}" id="{f97c5427-1417-41bd-99f5-d83de8e27552}" done="0">
    <x18tc:text xml:space="preserve">excedente, fixit , venta final</x18tc:text>
  </x18tc:threadedComment>
  <x18tc:threadedComment ref="J524" dT="2026-02-06T21:50:01.00" personId="{80195d68-4e9b-4dc7-a031-ca5391c97d0f}" id="{9da5cef4-eb3a-4a53-a991-d4cfd2559802}" done="0">
    <x18tc:text xml:space="preserve">https://drive.google.com/file/d/1lXo1IB_MqUGgj78r4eLBRC1a3LeQzrvi/view?usp=drive_link ADELANTO
https://drive.google.com/file/d/1sJVnnJCaYzOxdqCH53jGj8uSzYUKTyfK/view?usp=drive_link PAGO FINAL</x18tc:text>
    <x18tc:extLst>
      <ext uri="{F7C98A9C-CBB3-438F-8F68-D28B6AF4A901}">
        <xltc2:checksum/>
        <xltc2:hyperlink startIndex="0" length="85" url="https://drive.google.com/file/d/1lXo1IB_MqUGgj78r4eLBRC1a3LeQzrvi/view?usp=drive_link"/>
        <xltc2:hyperlink startIndex="95" length="85" url="https://drive.google.com/file/d/1sJVnnJCaYzOxdqCH53jGj8uSzYUKTyfK/view?usp=drive_link"/>
      </ext>
    </x18tc:extLst>
  </x18tc:threadedComment>
  <x18tc:threadedComment ref="C352" dT="2025-11-27T23:23:21.00" personId="{a5d43f6d-3c72-4414-b012-8f52ef50acc4}" id="{d6f743d9-c4cb-40d1-a13c-e1497ff9e05a}" done="0">
    <x18tc:text xml:space="preserve">https://www.bhphotovideo.com/c/product/1875946-REG/lenovo_83f00008us_15_1_legion_5i_gaming.html</x18tc:text>
    <x18tc:extLst>
      <ext uri="{F7C98A9C-CBB3-438F-8F68-D28B6AF4A901}">
        <xltc2:checksum/>
        <xltc2:hyperlink startIndex="0" length="95" url="https://www.bhphotovideo.com/c/product/1875946-REG/lenovo_83f00008us_15_1_legion_5i_gaming.html"/>
      </ext>
    </x18tc:extLst>
  </x18tc:threadedComment>
  <x18tc:threadedComment ref="J312" dT="2025-11-17T22:38:11.00" personId="{d8e4f5ad-b65d-4160-a56f-197530fb7eb1}" id="{7b7a79e0-d28d-4717-a983-b1ef02569b26}" done="0">
    <x18tc:text xml:space="preserve">https://drive.google.com/file/d/1hLlPdKNsuoR2py_VO9_8qBstl1Vg_paK/view?usp=drive_link</x18tc:text>
    <x18tc:extLst>
      <ext uri="{F7C98A9C-CBB3-438F-8F68-D28B6AF4A901}">
        <xltc2:checksum/>
        <xltc2:hyperlink startIndex="0" length="85" url="https://drive.google.com/file/d/1hLlPdKNsuoR2py_VO9_8qBstl1Vg_paK/view?usp=drive_link"/>
      </ext>
    </x18tc:extLst>
  </x18tc:threadedComment>
  <x18tc:threadedComment ref="J312" dT="2025-11-17T22:38:27.00" personId="{d8e4f5ad-b65d-4160-a56f-197530fb7eb1}" id="{8ca45edc-1c6e-4028-9334-10e7e7c300d2}" parentId="{7b7a79e0-d28d-4717-a983-b1ef02569b26}">
    <x18tc:text xml:space="preserve">https://drive.google.com/file/d/1FdukR0eJ5VNZ2fc8IR2tUTQsHk7k4gvR/view?usp=drive_link</x18tc:text>
    <x18tc:extLst>
      <ext uri="{F7C98A9C-CBB3-438F-8F68-D28B6AF4A901}">
        <xltc2:checksum/>
        <xltc2:hyperlink startIndex="0" length="85" url="https://drive.google.com/file/d/1FdukR0eJ5VNZ2fc8IR2tUTQsHk7k4gvR/view?usp=drive_link"/>
      </ext>
    </x18tc:extLst>
  </x18tc:threadedComment>
  <x18tc:threadedComment ref="K416" dT="2026-01-02T16:10:39.00" personId="{a5d43f6d-3c72-4414-b012-8f52ef50acc4}" id="{cb8e843e-7eb6-4ca0-b50c-50a63f9809e1}" done="0">
    <x18tc:text xml:space="preserve">https://drive.google.com/file/d/1Nuh9abl03M4tKvNaX3zXP-xEBQ8gxJ1j/view?usp=drive_link
https://drive.google.com/file/d/1ADZlDqONv7vKC-gcdWuwy96YfmwF9tDN/view?usp=drive_link
https://drive.google.com/file/d/1EXd_g0uuqrfFFAHUw6sqQfRbse6VzF73/view?usp=drive_link
https://drive.google.com/file/d/18xEY9shOCD52zj7d_MXZU1nWzrjQllqN/view?usp=drive_link
https://drive.google.com/file/d/11xaWaq2lfM6QMR2gTKW-1iclBA8bcyyo/view?usp=drive_link</x18tc:text>
    <x18tc:extLst>
      <ext uri="{F7C98A9C-CBB3-438F-8F68-D28B6AF4A901}">
        <xltc2:checksum/>
        <xltc2:hyperlink startIndex="0" length="85" url="https://drive.google.com/file/d/1Nuh9abl03M4tKvNaX3zXP-xEBQ8gxJ1j/view?usp=drive_link"/>
        <xltc2:hyperlink startIndex="86" length="85" url="https://drive.google.com/file/d/1ADZlDqONv7vKC-gcdWuwy96YfmwF9tDN/view?usp=drive_link"/>
        <xltc2:hyperlink startIndex="172" length="85" url="https://drive.google.com/file/d/1EXd_g0uuqrfFFAHUw6sqQfRbse6VzF73/view?usp=drive_link"/>
        <xltc2:hyperlink startIndex="258" length="85" url="https://drive.google.com/file/d/18xEY9shOCD52zj7d_MXZU1nWzrjQllqN/view?usp=drive_link"/>
        <xltc2:hyperlink startIndex="344" length="85" url="https://drive.google.com/file/d/11xaWaq2lfM6QMR2gTKW-1iclBA8bcyyo/view?usp=drive_link"/>
      </ext>
    </x18tc:extLst>
  </x18tc:threadedComment>
  <x18tc:threadedComment ref="J286" dT="2025-10-29T01:20:15.00" personId="{d8e4f5ad-b65d-4160-a56f-197530fb7eb1}" id="{b30003a0-6d71-4250-bec9-cee23e23bedc}" done="0">
    <x18tc:text xml:space="preserve">https://drive.google.com/file/d/1Xjyh2uT56u39rZ8xJHobXp2ahQOtdZ2k/view?usp=drive_link</x18tc:text>
    <x18tc:extLst>
      <ext uri="{F7C98A9C-CBB3-438F-8F68-D28B6AF4A901}">
        <xltc2:checksum/>
        <xltc2:hyperlink startIndex="0" length="85" url="https://drive.google.com/file/d/1Xjyh2uT56u39rZ8xJHobXp2ahQOtdZ2k/view?usp=drive_link"/>
      </ext>
    </x18tc:extLst>
  </x18tc:threadedComment>
  <x18tc:threadedComment ref="L36" dT="2025-05-04T03:12:57.00" personId="{a5d43f6d-3c72-4414-b012-8f52ef50acc4}" id="{72694a77-a4b0-4d11-9336-55aaafee99e1}" done="0">
    <x18tc:text xml:space="preserve">se aumentó 78 soles para apertura</x18tc:text>
  </x18tc:threadedComment>
  <x18tc:threadedComment ref="J352" dT="2025-11-27T23:32:59.00" personId="{a5d43f6d-3c72-4414-b012-8f52ef50acc4}" id="{e81162ac-a700-4632-972b-c38700383c0d}" done="0">
    <x18tc:text xml:space="preserve">https://drive.google.com/file/d/1e_qJiraw6h5qD-P9BZFRXcBzG-_6IrnL/view?usp=drive_link</x18tc:text>
    <x18tc:extLst>
      <ext uri="{F7C98A9C-CBB3-438F-8F68-D28B6AF4A901}">
        <xltc2:checksum/>
        <xltc2:hyperlink startIndex="0" length="85" url="https://drive.google.com/file/d/1e_qJiraw6h5qD-P9BZFRXcBzG-_6IrnL/view?usp=drive_link"/>
      </ext>
    </x18tc:extLst>
  </x18tc:threadedComment>
  <x18tc:threadedComment ref="J549" dT="2026-02-18T17:02:02.00" personId="{d8e4f5ad-b65d-4160-a56f-197530fb7eb1}" id="{b983f11b-601a-44f1-a49a-6bbd36857dc1}" done="0">
    <x18tc:text xml:space="preserve">https://drive.google.com/file/d/1BRlrlyzyt3RTjcQCQ2vGsZd946DPvEOH/view?usp=drive_link</x18tc:text>
    <x18tc:extLst>
      <ext uri="{F7C98A9C-CBB3-438F-8F68-D28B6AF4A901}">
        <xltc2:checksum/>
        <xltc2:hyperlink startIndex="0" length="85" url="https://drive.google.com/file/d/1BRlrlyzyt3RTjcQCQ2vGsZd946DPvEOH/view?usp=drive_link"/>
      </ext>
    </x18tc:extLst>
  </x18tc:threadedComment>
  <x18tc:threadedComment ref="J549" dT="2026-02-18T17:02:21.00" personId="{d8e4f5ad-b65d-4160-a56f-197530fb7eb1}" id="{3aa567ab-3aa7-4ddc-90dd-c97cd40b7399}" parentId="{b983f11b-601a-44f1-a49a-6bbd36857dc1}">
    <x18tc:text xml:space="preserve">https://drive.google.com/file/d/1QNTEjTB6k3CcA8zPDdl_U7zfPPuHT98D/view?usp=drive_link</x18tc:text>
    <x18tc:extLst>
      <ext uri="{F7C98A9C-CBB3-438F-8F68-D28B6AF4A901}">
        <xltc2:checksum/>
        <xltc2:hyperlink startIndex="0" length="85" url="https://drive.google.com/file/d/1QNTEjTB6k3CcA8zPDdl_U7zfPPuHT98D/view?usp=drive_link"/>
      </ext>
    </x18tc:extLst>
  </x18tc:threadedComment>
  <x18tc:threadedComment ref="J549" dT="2026-02-18T17:02:31.00" personId="{d8e4f5ad-b65d-4160-a56f-197530fb7eb1}" id="{30b8d5f2-a25d-40bb-8d22-ad83cc75f664}" parentId="{b983f11b-601a-44f1-a49a-6bbd36857dc1}">
    <x18tc:text xml:space="preserve">https://drive.google.com/file/d/1YyGIC4QTRRVybcXhFneYzlC5ILo71JRH/view?usp=drive_link</x18tc:text>
    <x18tc:extLst>
      <ext uri="{F7C98A9C-CBB3-438F-8F68-D28B6AF4A901}">
        <xltc2:checksum/>
        <xltc2:hyperlink startIndex="0" length="85" url="https://drive.google.com/file/d/1YyGIC4QTRRVybcXhFneYzlC5ILo71JRH/view?usp=drive_link"/>
      </ext>
    </x18tc:extLst>
  </x18tc:threadedComment>
  <x18tc:threadedComment ref="L303" dT="2025-11-17T22:11:18.00" personId="{a5d43f6d-3c72-4414-b012-8f52ef50acc4}" id="{35126653-71cb-422d-9959-6d4ff3d12fe5}" done="0">
    <x18tc:text xml:space="preserve">https://drive.google.com/file/d/1AMuA8xGTcdwfSAdCnGi-ob3hwClC4sN-/view?usp=drive_link</x18tc:text>
    <x18tc:extLst>
      <ext uri="{F7C98A9C-CBB3-438F-8F68-D28B6AF4A901}">
        <xltc2:checksum/>
        <xltc2:hyperlink startIndex="0" length="85" url="https://drive.google.com/file/d/1AMuA8xGTcdwfSAdCnGi-ob3hwClC4sN-/view?usp=drive_link"/>
      </ext>
    </x18tc:extLst>
  </x18tc:threadedComment>
  <x18tc:threadedComment ref="K355" dT="2026-01-02T15:59:31.00" personId="{d8e4f5ad-b65d-4160-a56f-197530fb7eb1}" id="{ec45d486-b262-432f-be9b-46e1b16d356c}" done="0">
    <x18tc:text xml:space="preserve">https://drive.google.com/file/d/1qfAA2F2q4x-Ut8-40GRrJpsKFn3nCBzD/view?usp=drive_link</x18tc:text>
    <x18tc:extLst>
      <ext uri="{F7C98A9C-CBB3-438F-8F68-D28B6AF4A901}">
        <xltc2:checksum/>
        <xltc2:hyperlink startIndex="0" length="85" url="https://drive.google.com/file/d/1qfAA2F2q4x-Ut8-40GRrJpsKFn3nCBzD/view?usp=drive_link"/>
      </ext>
    </x18tc:extLst>
  </x18tc:threadedComment>
  <x18tc:threadedComment ref="AF596" dT="2026-03-22T06:19:54.00" personId="{2ddfa542-8116-4937-a057-08470d7abaab}" id="{6b242fa7-53c2-46a6-9d4c-5589ecadc06d}" done="1">
    <x18tc:text xml:space="preserve">falta fixit</x18tc:text>
  </x18tc:threadedComment>
  <x18tc:threadedComment ref="J445" dT="2026-01-01T04:36:28.00" personId="{4df2d6c4-e43e-4f2e-b623-d90f458472ff}" id="{2c11989d-8e60-4816-bd84-009ccd65ca9f}" done="0">
    <x18tc:text xml:space="preserve">https://drive.google.com/file/d/13wvAsE8rfkIG73ssTq3peLTfaKchXfNK/view?usp=drive_link</x18tc:text>
    <x18tc:extLst>
      <ext uri="{F7C98A9C-CBB3-438F-8F68-D28B6AF4A901}">
        <xltc2:checksum/>
        <xltc2:hyperlink startIndex="0" length="85" url="https://drive.google.com/file/d/13wvAsE8rfkIG73ssTq3peLTfaKchXfNK/view?usp=drive_link"/>
      </ext>
    </x18tc:extLst>
  </x18tc:threadedComment>
  <x18tc:threadedComment ref="J445" dT="2026-01-01T04:36:49.00" personId="{4df2d6c4-e43e-4f2e-b623-d90f458472ff}" id="{a32bb0b9-c268-42f2-9595-b334a07514c4}" parentId="{2c11989d-8e60-4816-bd84-009ccd65ca9f}">
    <x18tc:text xml:space="preserve">https://drive.google.com/file/d/1FJImJ_EpvRCGla4kQHtWCYAbLgK-f15u/view?usp=drive_link</x18tc:text>
    <x18tc:extLst>
      <ext uri="{F7C98A9C-CBB3-438F-8F68-D28B6AF4A901}">
        <xltc2:checksum/>
        <xltc2:hyperlink startIndex="0" length="85" url="https://drive.google.com/file/d/1FJImJ_EpvRCGla4kQHtWCYAbLgK-f15u/view?usp=drive_link"/>
      </ext>
    </x18tc:extLst>
  </x18tc:threadedComment>
  <x18tc:threadedComment ref="J445" dT="2026-01-01T04:37:12.00" personId="{4df2d6c4-e43e-4f2e-b623-d90f458472ff}" id="{96deb742-d3c2-4339-88b0-786aa8857e74}" parentId="{2c11989d-8e60-4816-bd84-009ccd65ca9f}">
    <x18tc:text xml:space="preserve">https://drive.google.com/file/d/1Zc_WmGxTY1d6vyGBJrn4CjiwWlyHXuwq/view?usp=drive_link</x18tc:text>
    <x18tc:extLst>
      <ext uri="{F7C98A9C-CBB3-438F-8F68-D28B6AF4A901}">
        <xltc2:checksum/>
        <xltc2:hyperlink startIndex="0" length="85" url="https://drive.google.com/file/d/1Zc_WmGxTY1d6vyGBJrn4CjiwWlyHXuwq/view?usp=drive_link"/>
      </ext>
    </x18tc:extLst>
  </x18tc:threadedComment>
  <x18tc:threadedComment ref="J445" dT="2026-01-01T04:37:33.00" personId="{4df2d6c4-e43e-4f2e-b623-d90f458472ff}" id="{81f6ea8f-f8a9-48bf-a8c4-711230f47a63}" parentId="{2c11989d-8e60-4816-bd84-009ccd65ca9f}">
    <x18tc:text xml:space="preserve">https://drive.google.com/file/d/1zmtgQnPhVz7ZbVhV5pe3BNu-zAsEUJY_/view?usp=drive_link</x18tc:text>
    <x18tc:extLst>
      <ext uri="{F7C98A9C-CBB3-438F-8F68-D28B6AF4A901}">
        <xltc2:checksum/>
        <xltc2:hyperlink startIndex="0" length="85" url="https://drive.google.com/file/d/1zmtgQnPhVz7ZbVhV5pe3BNu-zAsEUJY_/view?usp=drive_link"/>
      </ext>
    </x18tc:extLst>
  </x18tc:threadedComment>
  <x18tc:threadedComment ref="AF661" dT="2026-04-27T22:06:02.00" personId="{2ddfa542-8116-4937-a057-08470d7abaab}" id="{fd207cc7-d501-4ffe-b8a1-43db9649c1c4}" done="1">
    <x18tc:text xml:space="preserve">fixit, venta final, excedentes</x18tc:text>
  </x18tc:threadedComment>
  <x18tc:threadedComment ref="Q596" dT="2026-03-22T06:19:40.00" personId="{2ddfa542-8116-4937-a057-08470d7abaab}" id="{3503f40f-5543-4e2d-ba9d-d9c43904c52b}" done="1">
    <x18tc:text xml:space="preserve">FALTA PONER LO DE FIXIT</x18tc:text>
  </x18tc:threadedComment>
  <x18tc:threadedComment ref="J583" dT="2026-03-03T22:30:01.00" personId="{d8e4f5ad-b65d-4160-a56f-197530fb7eb1}" id="{14ad4021-3447-45ac-a8ae-25c52caf2c82}" done="0">
    <x18tc:text xml:space="preserve">https://drive.google.com/file/d/17P7fVOx4i8Ec_CENUzDPCeoJQB7c43LH/view?usp=drive_link</x18tc:text>
    <x18tc:extLst>
      <ext uri="{F7C98A9C-CBB3-438F-8F68-D28B6AF4A901}">
        <xltc2:checksum/>
        <xltc2:hyperlink startIndex="0" length="85" url="https://drive.google.com/file/d/17P7fVOx4i8Ec_CENUzDPCeoJQB7c43LH/view?usp=drive_link"/>
      </ext>
    </x18tc:extLst>
  </x18tc:threadedComment>
  <x18tc:threadedComment ref="L58" dT="2025-05-21T01:15:51.00" personId="{a5d43f6d-3c72-4414-b012-8f52ef50acc4}" id="{2b17a4c3-bad4-4863-a29d-7edef510c159}" done="0">
    <x18tc:text xml:space="preserve">https://drive.google.com/file/d/1IEiFupqevOorDEl4niIw7m92cGR5IHp9/view?usp=drive_link
https://drive.google.com/file/d/10xhUSyZLpAgVJ3vdbcBu8Lrg7X9_Vse1/view?usp=drive_link</x18tc:text>
    <x18tc:extLst>
      <ext uri="{F7C98A9C-CBB3-438F-8F68-D28B6AF4A901}">
        <xltc2:checksum/>
        <xltc2:hyperlink startIndex="0" length="85" url="https://drive.google.com/file/d/1IEiFupqevOorDEl4niIw7m92cGR5IHp9/view?usp=drive_link"/>
        <xltc2:hyperlink startIndex="86" length="85" url="https://drive.google.com/file/d/10xhUSyZLpAgVJ3vdbcBu8Lrg7X9_Vse1/view?usp=drive_link"/>
      </ext>
    </x18tc:extLst>
  </x18tc:threadedComment>
  <x18tc:threadedComment ref="J443" dT="2026-01-01T04:34:20.00" personId="{4df2d6c4-e43e-4f2e-b623-d90f458472ff}" id="{a283ce73-432f-415b-9bc2-623746ce5651}" done="0">
    <x18tc:text xml:space="preserve">https://drive.google.com/file/d/1GjR4kJ73d_kE2QJeAg44B3lDm5wMHF0Z/view?usp=drive_link</x18tc:text>
    <x18tc:extLst>
      <ext uri="{F7C98A9C-CBB3-438F-8F68-D28B6AF4A901}">
        <xltc2:checksum/>
        <xltc2:hyperlink startIndex="0" length="85" url="https://drive.google.com/file/d/1GjR4kJ73d_kE2QJeAg44B3lDm5wMHF0Z/view?usp=drive_link"/>
      </ext>
    </x18tc:extLst>
  </x18tc:threadedComment>
  <x18tc:threadedComment ref="AF655" dT="2026-04-27T21:58:28.00" personId="{2ddfa542-8116-4937-a057-08470d7abaab}" id="{c7a1250d-16b2-4321-b729-642b3f8300a1}" done="1">
    <x18tc:text xml:space="preserve">fixit, venta final, excedentes</x18tc:text>
  </x18tc:threadedComment>
  <x18tc:threadedComment ref="AI793" dT="2026-06-20T19:04:24.00" personId="{7d9bea4b-cfe7-4c29-b483-8e83a1c4f52a}" id="{dd3878ab-2801-4398-bc30-46eb2e3e7603}" done="0">
    <x18tc:text xml:space="preserve">https://drive.google.com/file/d/15L65wUvGq_kApir7KORRSYYD0PZ2TIkI/view?usp=drive_link</x18tc:text>
    <x18tc:extLst>
      <ext uri="{F7C98A9C-CBB3-438F-8F68-D28B6AF4A901}">
        <xltc2:checksum/>
        <xltc2:hyperlink startIndex="0" length="85" url="https://drive.google.com/file/d/15L65wUvGq_kApir7KORRSYYD0PZ2TIkI/view?usp=drive_link"/>
      </ext>
    </x18tc:extLst>
  </x18tc:threadedComment>
  <x18tc:threadedComment ref="Q658" dT="2026-04-04T20:15:53.00" personId="{80195d68-4e9b-4dc7-a031-ca5391c97d0f}" id="{545dded4-0958-4c91-93b8-a941ae358ecc}" done="0">
    <x18tc:text xml:space="preserve">apertura+configuracion inicial+antivirus</x18tc:text>
  </x18tc:threadedComment>
  <x18tc:threadedComment ref="J650" dT="2026-04-27T21:30:39.00" personId="{4df2d6c4-e43e-4f2e-b623-d90f458472ff}" id="{8acb279b-f0b9-46c6-bbbc-300ecb51438e}" done="0">
    <x18tc:text xml:space="preserve">https://drive.google.com/file/d/1pvFcX7fBC34uwlXZlRr7MDgv5OsZjrnd/view?usp=drive_link</x18tc:text>
    <x18tc:extLst>
      <ext uri="{F7C98A9C-CBB3-438F-8F68-D28B6AF4A901}">
        <xltc2:checksum/>
        <xltc2:hyperlink startIndex="0" length="85" url="https://drive.google.com/file/d/1pvFcX7fBC34uwlXZlRr7MDgv5OsZjrnd/view?usp=drive_link"/>
      </ext>
    </x18tc:extLst>
  </x18tc:threadedComment>
  <x18tc:threadedComment ref="L623" dT="2026-03-19T20:50:37.00" personId="{f9b224d0-ee33-4499-ae47-db5bcd2d0435}" id="{a6214403-4f71-4476-a486-dde1bf205135}" done="0">
    <x18tc:text xml:space="preserve">https://drive.google.com/file/d/1ziRiG-q9yJuno8PszfyNtvkQ7OCxNCVL/view?usp=drive_link</x18tc:text>
    <x18tc:extLst>
      <ext uri="{F7C98A9C-CBB3-438F-8F68-D28B6AF4A901}">
        <xltc2:checksum/>
        <xltc2:hyperlink startIndex="0" length="85" url="https://drive.google.com/file/d/1ziRiG-q9yJuno8PszfyNtvkQ7OCxNCVL/view?usp=drive_link"/>
      </ext>
    </x18tc:extLst>
  </x18tc:threadedComment>
  <x18tc:threadedComment ref="L623" dT="2026-03-19T20:51:00.00" personId="{f9b224d0-ee33-4499-ae47-db5bcd2d0435}" id="{6f9eea13-6ad9-4011-9fca-4f57f0bf3440}" parentId="{a6214403-4f71-4476-a486-dde1bf205135}">
    <x18tc:text xml:space="preserve">https://drive.google.com/file/d/19QPZ8GhzuxTQiuSNeE31DnNKupE5Zqyf/view?usp=drive_link</x18tc:text>
    <x18tc:extLst>
      <ext uri="{F7C98A9C-CBB3-438F-8F68-D28B6AF4A901}">
        <xltc2:checksum/>
        <xltc2:hyperlink startIndex="0" length="85" url="https://drive.google.com/file/d/19QPZ8GhzuxTQiuSNeE31DnNKupE5Zqyf/view?usp=drive_link"/>
      </ext>
    </x18tc:extLst>
  </x18tc:threadedComment>
  <x18tc:threadedComment ref="L623" dT="2026-03-19T20:51:18.00" personId="{f9b224d0-ee33-4499-ae47-db5bcd2d0435}" id="{090be6d9-7db4-4fa0-a1b9-2efdd825f0c0}" parentId="{a6214403-4f71-4476-a486-dde1bf205135}">
    <x18tc:text xml:space="preserve">https://drive.google.com/file/d/1CcBC2AloCZDZP4gelRkTZfyPFBXvHgim/view?usp=drive_link</x18tc:text>
    <x18tc:extLst>
      <ext uri="{F7C98A9C-CBB3-438F-8F68-D28B6AF4A901}">
        <xltc2:checksum/>
        <xltc2:hyperlink startIndex="0" length="85" url="https://drive.google.com/file/d/1CcBC2AloCZDZP4gelRkTZfyPFBXvHgim/view?usp=drive_link"/>
      </ext>
    </x18tc:extLst>
  </x18tc:threadedComment>
  <x18tc:threadedComment ref="L623" dT="2026-03-19T20:52:26.00" personId="{f9b224d0-ee33-4499-ae47-db5bcd2d0435}" id="{65ffc963-372b-4ff4-a4d0-1a342790865e}" parentId="{a6214403-4f71-4476-a486-dde1bf205135}">
    <x18tc:text xml:space="preserve">https://drive.google.com/file/d/1liBFSHi6CWi_4Q5hF_yoNgmFxpKK9ave/view?usp=drive_link</x18tc:text>
    <x18tc:extLst>
      <ext uri="{F7C98A9C-CBB3-438F-8F68-D28B6AF4A901}">
        <xltc2:checksum/>
        <xltc2:hyperlink startIndex="0" length="85" url="https://drive.google.com/file/d/1liBFSHi6CWi_4Q5hF_yoNgmFxpKK9ave/view?usp=drive_link"/>
      </ext>
    </x18tc:extLst>
  </x18tc:threadedComment>
  <x18tc:threadedComment ref="L623" dT="2026-03-19T20:53:11.00" personId="{f9b224d0-ee33-4499-ae47-db5bcd2d0435}" id="{cecb3f57-ce7e-4e35-afb3-90b2bc5170b1}" parentId="{a6214403-4f71-4476-a486-dde1bf205135}">
    <x18tc:text xml:space="preserve">https://drive.google.com/file/d/13-03BGjVwBu-raZxCbjycfFNlPyN4osd/view?usp=drive_link</x18tc:text>
    <x18tc:extLst>
      <ext uri="{F7C98A9C-CBB3-438F-8F68-D28B6AF4A901}">
        <xltc2:checksum/>
        <xltc2:hyperlink startIndex="0" length="85" url="https://drive.google.com/file/d/13-03BGjVwBu-raZxCbjycfFNlPyN4osd/view?usp=drive_link"/>
      </ext>
    </x18tc:extLst>
  </x18tc:threadedComment>
  <x18tc:threadedComment ref="AI727" dT="2026-06-20T19:02:59.00" personId="{7d9bea4b-cfe7-4c29-b483-8e83a1c4f52a}" id="{186bf180-4ff7-4b48-be47-9c49bf8f1798}" done="0">
    <x18tc:text xml:space="preserve">https://drive.google.com/file/d/1PyUb7G-OqkFFbIasJXTNK2x70u8zni6w/view?usp=drive_link</x18tc:text>
    <x18tc:extLst>
      <ext uri="{F7C98A9C-CBB3-438F-8F68-D28B6AF4A901}">
        <xltc2:checksum/>
        <xltc2:hyperlink startIndex="0" length="85" url="https://drive.google.com/file/d/1PyUb7G-OqkFFbIasJXTNK2x70u8zni6w/view?usp=drive_link"/>
      </ext>
    </x18tc:extLst>
  </x18tc:threadedComment>
  <x18tc:threadedComment ref="C658" dT="2026-04-04T20:11:33.00" personId="{80195d68-4e9b-4dc7-a031-ca5391c97d0f}" id="{9d220659-448c-41d0-937b-5f4c56f50d69}" done="1">
    <x18tc:text xml:space="preserve">https://www.bestbuy.com/product/lenovo-legion-7i-16-2-5k-oled-gaming-laptop-intel-core-ultra-9-275hx-2025-32gb-ram-nvidia-geforce-rtx-5070-1tb-ssd-glacier-white/JJGSH3Y5H9</x18tc:text>
    <x18tc:extLst>
      <ext uri="{F7C98A9C-CBB3-438F-8F68-D28B6AF4A901}">
        <xltc2:checksum/>
        <xltc2:hyperlink startIndex="0" length="171" url="https://www.bestbuy.com/product/lenovo-legion-7i-16-2-5k-oled-gaming-laptop-intel-core-ultra-9-275hx-2025-32gb-ram-nvidia-geforce-rtx-5070-1tb-ssd-glacier-white/JJGSH3Y5H9"/>
      </ext>
    </x18tc:extLst>
  </x18tc:threadedComment>
  <x18tc:threadedComment ref="J83" dT="2025-06-04T21:09:27.00" personId="{a5d43f6d-3c72-4414-b012-8f52ef50acc4}" id="{76be984d-87e4-4f8a-8944-a50a2b10d3f5}" done="0">
    <x18tc:text xml:space="preserve">https://drive.google.com/file/d/1e4h99ZshAY4zakdxIbCcHe8emG7vX4U7/view?usp=drive_link</x18tc:text>
    <x18tc:extLst>
      <ext uri="{F7C98A9C-CBB3-438F-8F68-D28B6AF4A901}">
        <xltc2:checksum/>
        <xltc2:hyperlink startIndex="0" length="85" url="https://drive.google.com/file/d/1e4h99ZshAY4zakdxIbCcHe8emG7vX4U7/view?usp=drive_link"/>
      </ext>
    </x18tc:extLst>
  </x18tc:threadedComment>
  <x18tc:threadedComment ref="Q653" dT="2026-04-04T20:16:40.00" personId="{80195d68-4e9b-4dc7-a031-ca5391c97d0f}" id="{920542bf-b986-43ef-a97e-a33e16b6944c}" done="0">
    <x18tc:text xml:space="preserve">apertura+configuracion inicial</x18tc:text>
  </x18tc:threadedComment>
  <x18tc:threadedComment ref="C351" dT="2025-11-27T22:38:07.00" personId="{a5d43f6d-3c72-4414-b012-8f52ef50acc4}" id="{4f277f71-2669-4415-9475-2e521e352531}" done="0">
    <x18tc:text xml:space="preserve">https://www.microcenter.com/product/692120/msi-raider-18-hx-ai-a2xwig-418us-18-gaming-laptop-computer-core-black#tab-reviews-bm</x18tc:text>
    <x18tc:extLst>
      <ext uri="{F7C98A9C-CBB3-438F-8F68-D28B6AF4A901}">
        <xltc2:checksum/>
        <xltc2:hyperlink startIndex="0" length="127" url="https://www.microcenter.com/product/692120/msi-raider-18-hx-ai-a2xwig-418us-18-gaming-laptop-computer-core-black#tab-reviews-bm"/>
      </ext>
    </x18tc:extLst>
  </x18tc:threadedComment>
  <x18tc:threadedComment ref="L283" dT="2025-10-29T00:22:18.00" personId="{a5d43f6d-3c72-4414-b012-8f52ef50acc4}" id="{66f167d7-3028-497c-9dac-982ffe2d1ce2}" done="0">
    <x18tc:text xml:space="preserve">https://drive.google.com/file/d/1MOSxokXKeTtOwqa14dzgWo9qQ3fQPQ8H/view?usp=drive_link</x18tc:text>
    <x18tc:extLst>
      <ext uri="{F7C98A9C-CBB3-438F-8F68-D28B6AF4A901}">
        <xltc2:checksum/>
        <xltc2:hyperlink startIndex="0" length="85" url="https://drive.google.com/file/d/1MOSxokXKeTtOwqa14dzgWo9qQ3fQPQ8H/view?usp=drive_link"/>
      </ext>
    </x18tc:extLst>
  </x18tc:threadedComment>
  <x18tc:threadedComment ref="C216" dT="2025-09-05T23:29:01.00" personId="{4df2d6c4-e43e-4f2e-b623-d90f458472ff}" id="{abe4c7be-3407-49d1-9a45-89ddcf15e35d}" done="0">
    <x18tc:text xml:space="preserve">https://www.ebay.com/itm/127157824843?_skw=rog+flow&amp;itmmeta=01K4DX0G6MYZ5NYFF8GNQ7385P&amp;hash=item1d9b326d4b:g:hagAAeSw569osTVC</x18tc:text>
    <x18tc:extLst>
      <ext uri="{F7C98A9C-CBB3-438F-8F68-D28B6AF4A901}">
        <xltc2:checksum/>
        <xltc2:hyperlink startIndex="0" length="125" url="https://www.ebay.com/itm/127157824843?_skw=rog+flow&amp;itmmeta=01K4DX0G6MYZ5NYFF8GNQ7385P&amp;hash=item1d9b326d4b:g:hagAAeSw569osTVC"/>
      </ext>
    </x18tc:extLst>
  </x18tc:threadedComment>
  <x18tc:threadedComment ref="L51" dT="2025-06-04T21:15:59.00" personId="{d8e4f5ad-b65d-4160-a56f-197530fb7eb1}" id="{7c10ed5a-4b1c-45ed-ae4a-d8259e8107fd}" done="0">
    <x18tc:text xml:space="preserve">https://drive.google.com/file/d/1dhdlodXRrp60qJfe8rJqEi0r8K8oCCjp/view?usp=drive_link</x18tc:text>
    <x18tc:extLst>
      <ext uri="{F7C98A9C-CBB3-438F-8F68-D28B6AF4A901}">
        <xltc2:checksum/>
        <xltc2:hyperlink startIndex="0" length="85" url="https://drive.google.com/file/d/1dhdlodXRrp60qJfe8rJqEi0r8K8oCCjp/view?usp=drive_link"/>
      </ext>
    </x18tc:extLst>
  </x18tc:threadedComment>
  <x18tc:threadedComment ref="Q479" dT="2026-01-12T17:53:06.00" personId="{a5d43f6d-3c72-4414-b012-8f52ef50acc4}" id="{2a3b8493-5969-4ea1-9e6f-12fdbdbb27f7}" done="0">
    <x18tc:text xml:space="preserve">apertura + configuración inicial con formateo + eset nod 32 + windows 11 pro + office profesional plus 2024</x18tc:text>
  </x18tc:threadedComment>
  <x18tc:threadedComment ref="Q651" dT="2026-04-04T20:16:23.00" personId="{80195d68-4e9b-4dc7-a031-ca5391c97d0f}" id="{7fb32115-0ddf-4ac8-8086-d3d18bf845b5}" done="0">
    <x18tc:text xml:space="preserve">apertura+configuracion inicial</x18tc:text>
  </x18tc:threadedComment>
  <x18tc:threadedComment ref="W351" dT="2025-11-27T22:38:55.00" personId="{a5d43f6d-3c72-4414-b012-8f52ef50acc4}" id="{8e4b3ff6-d8cc-46d5-9dd0-7854515e0ae2}" done="1">
    <x18tc:text xml:space="preserve">Nombre: JOSE ENRIQUE CORONADO INOÑAN
RUC: 20606284668
CORONADO INGENIERIA &amp; CONSTRUCCIÓN SAC
CELULAR:952828753
CORREO: coronado_topo@hotmail.com</x18tc:text>
  </x18tc:threadedComment>
  <x18tc:threadedComment ref="J215" dT="2025-09-05T22:21:51.00" personId="{a5d43f6d-3c72-4414-b012-8f52ef50acc4}" id="{e3b51649-4faf-4206-9066-f596eda35c5f}" done="0">
    <x18tc:text xml:space="preserve">https://drive.google.com/file/d/14hsuvXG4WHjaTEmYOvkoluidZXQQT6Rt/view?usp=drive_link</x18tc:text>
    <x18tc:extLst>
      <ext uri="{F7C98A9C-CBB3-438F-8F68-D28B6AF4A901}">
        <xltc2:checksum/>
        <xltc2:hyperlink startIndex="0" length="85" url="https://drive.google.com/file/d/14hsuvXG4WHjaTEmYOvkoluidZXQQT6Rt/view?usp=drive_link"/>
      </ext>
    </x18tc:extLst>
  </x18tc:threadedComment>
  <x18tc:threadedComment ref="C623" dT="2026-03-19T21:01:16.00" personId="{f9b224d0-ee33-4499-ae47-db5bcd2d0435}" id="{ab71e601-cb36-473c-be1f-d1329cd0adf0}" done="0">
    <x18tc:text xml:space="preserve">https://www.microcenter.com/product/704275/asus-rog-strix-g16-g615lw-cs94-16-gaming-laptop-computer-eclipse-gray</x18tc:text>
    <x18tc:extLst>
      <ext uri="{F7C98A9C-CBB3-438F-8F68-D28B6AF4A901}">
        <xltc2:checksum/>
        <xltc2:hyperlink startIndex="0" length="112" url="https://www.microcenter.com/product/704275/asus-rog-strix-g16-g615lw-cs94-16-gaming-laptop-computer-eclipse-gray"/>
      </ext>
    </x18tc:extLst>
  </x18tc:threadedComment>
  <x18tc:threadedComment ref="C125" dT="2025-07-17T02:58:00.00" personId="{4df2d6c4-e43e-4f2e-b623-d90f458472ff}" id="{3f976cd4-b73f-4853-ad2a-3e41edbcb9f6}" done="0">
    <x18tc:text xml:space="preserve">https://shop.asus.com/us/90nr0ls1-m003k0-rog-strix-scar-18-2025.html?config=90NR0LS1-M003K0</x18tc:text>
    <x18tc:extLst>
      <ext uri="{F7C98A9C-CBB3-438F-8F68-D28B6AF4A901}">
        <xltc2:checksum/>
        <xltc2:hyperlink startIndex="0" length="91" url="https://shop.asus.com/us/90nr0ls1-m003k0-rog-strix-scar-18-2025.html?config=90NR0LS1-M003K0"/>
      </ext>
    </x18tc:extLst>
  </x18tc:threadedComment>
  <x18tc:threadedComment ref="C479" dT="2026-01-12T17:38:44.00" personId="{a5d43f6d-3c72-4414-b012-8f52ef50acc4}" id="{2103f893-eab1-424b-8bee-23e55c3ea18a}" done="0">
    <x18tc:text xml:space="preserve">https://www.google.com/url?q=https://us-store.msi.com/Laptops/Gaming-Series/Vector-16-HX-AI-A2XWIG-420US&amp;sa=D&amp;source=editors&amp;ust=1768236322372991&amp;usg=AOvVaw1t4D9yPsgYK7CnwuXaEndT</x18tc:text>
    <x18tc:extLst>
      <ext uri="{F7C98A9C-CBB3-438F-8F68-D28B6AF4A901}">
        <xltc2:checksum/>
        <xltc2:hyperlink startIndex="0" length="178" url="https://www.google.com/url?q=https://us-store.msi.com/Laptops/Gaming-Series/Vector-16-HX-AI-A2XWIG-420US&amp;sa=D&amp;source=editors&amp;ust=1768236322372991&amp;usg=AOvVaw1t4D9yPsgYK7CnwuXaEndT"/>
      </ext>
    </x18tc:extLst>
  </x18tc:threadedComment>
  <x18tc:threadedComment ref="J479" dT="2026-01-12T17:46:46.00" personId="{a5d43f6d-3c72-4414-b012-8f52ef50acc4}" id="{43d7e595-8905-4c61-803e-5fd6ab3e2260}" done="0">
    <x18tc:text xml:space="preserve">https://drive.google.com/file/d/1-5vZlModJWY0e356AbYV2svPvdYFMbk5/view?usp=drive_link</x18tc:text>
    <x18tc:extLst>
      <ext uri="{F7C98A9C-CBB3-438F-8F68-D28B6AF4A901}">
        <xltc2:checksum/>
        <xltc2:hyperlink startIndex="0" length="85" url="https://drive.google.com/file/d/1-5vZlModJWY0e356AbYV2svPvdYFMbk5/view?usp=drive_link"/>
      </ext>
    </x18tc:extLst>
  </x18tc:threadedComment>
  <x18tc:threadedComment ref="C523" dT="2026-02-06T21:14:03.00" personId="{f9b224d0-ee33-4499-ae47-db5bcd2d0435}" id="{3a87bfe5-4b39-46a7-bbcb-22af7cb2689a}"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Z351" dT="2025-11-27T22:39:45.00" personId="{a5d43f6d-3c72-4414-b012-8f52ef50acc4}" id="{f55115be-6721-4f06-b21a-4d94e4497703}" done="0">
    <x18tc:text xml:space="preserve">Nombre: JOSE ENRIQUE CORONADO INOÑAN
RUC: 20606284668
CORONADO INGENIERIA &amp; CONSTRUCCIÓN SAC
CELULAR:952828753
CORREO: coronado_topo@hotmail.com</x18tc:text>
  </x18tc:threadedComment>
  <x18tc:threadedComment ref="D405" dT="2025-12-15T21:56:06.00" personId="{4df2d6c4-e43e-4f2e-b623-d90f458472ff}" id="{7802fd78-69a3-4f47-8acf-72e0ef09afe0}" done="0">
    <x18tc:text xml:space="preserve">521 ram</x18tc:text>
  </x18tc:threadedComment>
  <x18tc:threadedComment ref="J631" dT="2026-04-04T16:45:47.00" personId="{4df2d6c4-e43e-4f2e-b623-d90f458472ff}" id="{1c607090-134b-4214-86c7-d06ec64eed88}" done="0">
    <x18tc:text xml:space="preserve">https://drive.google.com/file/d/1LLFjh32prYot_1oWnXsalUJtPlqK0077/view?usp=drive_link</x18tc:text>
    <x18tc:extLst>
      <ext uri="{F7C98A9C-CBB3-438F-8F68-D28B6AF4A901}">
        <xltc2:checksum/>
        <xltc2:hyperlink startIndex="0" length="85" url="https://drive.google.com/file/d/1LLFjh32prYot_1oWnXsalUJtPlqK0077/view?usp=drive_link"/>
      </ext>
    </x18tc:extLst>
  </x18tc:threadedComment>
  <x18tc:threadedComment ref="D315" dT="2025-11-18T18:28:51.00" personId="{a5d43f6d-3c72-4414-b012-8f52ef50acc4}" id="{da5628ed-d713-48f1-a249-9c31949c0106}" done="0">
    <x18tc:text xml:space="preserve">DNI 41597737
Celular 972416896
Correo lavadobarzola82@gmail.com</x18tc:text>
  </x18tc:threadedComment>
  <x18tc:threadedComment ref="AI741" dT="2026-06-04T16:45:28.00" personId="{7d9bea4b-cfe7-4c29-b483-8e83a1c4f52a}" id="{f3f5c637-82aa-445a-a801-64305e68406b}" done="0">
    <x18tc:text xml:space="preserve">https://drive.google.com/file/d/1I-gB40noNTAwQhAUNTyGhg1OYuoIjszx/view?usp=drive_link</x18tc:text>
    <x18tc:extLst>
      <ext uri="{F7C98A9C-CBB3-438F-8F68-D28B6AF4A901}">
        <xltc2:checksum/>
        <xltc2:hyperlink startIndex="0" length="85" url="https://drive.google.com/file/d/1I-gB40noNTAwQhAUNTyGhg1OYuoIjszx/view?usp=drive_link"/>
      </ext>
    </x18tc:extLst>
  </x18tc:threadedComment>
  <x18tc:threadedComment ref="C655" dT="2026-04-04T17:46:31.00" personId="{f9b224d0-ee33-4499-ae47-db5bcd2d0435}" id="{04222dc5-5778-4c85-9fd4-e9f21b810b61}" done="0">
    <x18tc:text xml:space="preserve">https://www.amazon.com/Apple-Laptop-MacBook-2025-n%C3%BAcleos/dp/B0FWD623D1/ref=sr_1_1_sspa?__mk_es_US=%C3%85M%C3%85%C5%BD%C3%95%C3%91&amp;crid=3KB3PUBSST63D&amp;dib=eyJ2IjoiMSJ9.UtbcVQ6umCJbRtFCQ0Gpnh5FyHJeJWpFdL3DOBd2fnzTnTWfAc_-TuS6OBY2q2_kcjjEoMNcZUBbsceIz5cJ4YDyIMig6RXe2stw6uZHAFebU-bo2yw7N71i6byGitkB86MeknRKBdMkQqnMV9zplCZdeA3E7EDV5cmGHtMnytwTEzO6VvVEHwiNIy6Rw1atyTfIXfz-7h-j6D7LcxOLNguVboMy20bvCO6Xru7h-Ew.7p7oAPa7PPtShikCtElMyF3F6pqgI0v_-jrJWrPZ47I&amp;dib_tag=se&amp;keywords=Apple%2BLaptop%2BMacBook%2BPro%2B2025%2Bcon%2Bchip%2BApple%2BM5&amp;nsdOptOutParam=true&amp;qid=1775315516&amp;sprefix=apple%2Blaptop%2Bmacbook%2Bpro%2B2025%2Bcon%2Bchip%2Bapple%2Bm5%2B%2Caps%2C168&amp;sr=8-1-spons&amp;sp_csd=d2lkZ2V0TmFtZT1zcF9hdGY&amp;th=1</x18tc:text>
    <x18tc:extLst>
      <ext uri="{F7C98A9C-CBB3-438F-8F68-D28B6AF4A901}">
        <xltc2:checksum/>
        <xltc2:hyperlink startIndex="0" length="705" url="https://www.amazon.com/Apple-Laptop-MacBook-2025-n%C3%BAcleos/dp/B0FWD623D1/ref=sr_1_1_sspa?__mk_es_US=%C3%85M%C3%85%C5%BD%C3%95%C3%91&amp;crid=3KB3PUBSST63D&amp;dib=eyJ2IjoiMSJ9.UtbcVQ6umCJbRtFCQ0Gpnh5FyHJeJWpFdL3DOBd2fnzTnTWfAc_-TuS6OBY2q2_kcjjEoMNcZUBbsceIz5cJ4YDyIMig6RXe2stw6uZHAFebU-bo2yw7N71i6byGitkB86MeknRKBdMkQqnMV9zplCZdeA3E7EDV5cmGHtMnytwTEzO6VvVEHwiNIy6Rw1atyTfIXfz-7h-j6D7LcxOLNguVboMy20bvCO6Xru7h-Ew.7p7oAPa7PPtShikCtElMyF3F6pqgI0v_-jrJWrPZ47I&amp;dib_tag=se&amp;keywords=Apple%2BLaptop%2BMacBook%2BPro%2B2025%2Bcon%2Bchip%2BApple%2BM5&amp;nsdOptOutParam=true&amp;qid=1775315516&amp;sprefix=apple%2Blaptop%2Bmacbook%2Bpro%2B2025%2Bcon%2Bchip%2Bapple%2Bm5%2B%2Caps%2C168&amp;sr=8-1-spons&amp;sp_csd=d2lkZ2V0TmFtZT1zcF9hdGY&amp;th=1"/>
      </ext>
    </x18tc:extLst>
  </x18tc:threadedComment>
  <x18tc:threadedComment ref="AF780" dT="2026-06-23T01:44:05.00" personId="{2ddfa542-8116-4937-a057-08470d7abaab}" id="{54fbd59c-ae50-480e-b62e-da8729d237c1}" done="0">
    <x18tc:text xml:space="preserve">excedente, fixit , venta final</x18tc:text>
  </x18tc:threadedComment>
  <x18tc:threadedComment ref="K652" dT="2026-04-04T19:05:02.00" personId="{d8e4f5ad-b65d-4160-a56f-197530fb7eb1}" id="{55343703-fc5a-4b25-9721-f1ed54db2221}" done="0">
    <x18tc:text xml:space="preserve">https://drive.google.com/file/d/1_9R1F_9pzXLC4DvdV9YXhRr-0fy0WeoE/view?usp=drive_link</x18tc:text>
    <x18tc:extLst>
      <ext uri="{F7C98A9C-CBB3-438F-8F68-D28B6AF4A901}">
        <xltc2:checksum/>
        <xltc2:hyperlink startIndex="0" length="85" url="https://drive.google.com/file/d/1_9R1F_9pzXLC4DvdV9YXhRr-0fy0WeoE/view?usp=drive_link"/>
      </ext>
    </x18tc:extLst>
  </x18tc:threadedComment>
  <x18tc:threadedComment ref="J644" dT="2026-04-04T16:46:31.00" personId="{4df2d6c4-e43e-4f2e-b623-d90f458472ff}" id="{66e5404f-6516-4d1e-bfad-57fcdaeda80b}" done="0">
    <x18tc:text xml:space="preserve">https://drive.google.com/file/d/1hEnx0VU98rPc-EFfZ1wyKsiO7_IDMBei/view?usp=drive_link</x18tc:text>
    <x18tc:extLst>
      <ext uri="{F7C98A9C-CBB3-438F-8F68-D28B6AF4A901}">
        <xltc2:checksum/>
        <xltc2:hyperlink startIndex="0" length="85" url="https://drive.google.com/file/d/1hEnx0VU98rPc-EFfZ1wyKsiO7_IDMBei/view?usp=drive_link"/>
      </ext>
    </x18tc:extLst>
  </x18tc:threadedComment>
  <x18tc:threadedComment ref="J657" dT="2026-04-04T19:04:46.00" personId="{d8e4f5ad-b65d-4160-a56f-197530fb7eb1}" id="{bc353cd6-7e16-4c75-93e7-07c66f645557}" done="0">
    <x18tc:text xml:space="preserve">https://drive.google.com/file/d/1XUi9kx-rNGoNKui03J0-OMOsgeROzkh6/view?usp=drive_link</x18tc:text>
    <x18tc:extLst>
      <ext uri="{F7C98A9C-CBB3-438F-8F68-D28B6AF4A901}">
        <xltc2:checksum/>
        <xltc2:hyperlink startIndex="0" length="85" url="https://drive.google.com/file/d/1XUi9kx-rNGoNKui03J0-OMOsgeROzkh6/view?usp=drive_link"/>
      </ext>
    </x18tc:extLst>
  </x18tc:threadedComment>
  <x18tc:threadedComment ref="J581" dT="2026-03-03T21:23:57.00" personId="{d8e4f5ad-b65d-4160-a56f-197530fb7eb1}" id="{41fb22fd-00a3-4a1c-8be8-9f9aca43baf6}" done="0">
    <x18tc:text xml:space="preserve">https://drive.google.com/file/d/10CPjuCAUCx6qOuSKn20ztms6KOiMK1Pv/view?usp=drive_link</x18tc:text>
    <x18tc:extLst>
      <ext uri="{F7C98A9C-CBB3-438F-8F68-D28B6AF4A901}">
        <xltc2:checksum/>
        <xltc2:hyperlink startIndex="0" length="85" url="https://drive.google.com/file/d/10CPjuCAUCx6qOuSKn20ztms6KOiMK1Pv/view?usp=drive_link"/>
      </ext>
    </x18tc:extLst>
  </x18tc:threadedComment>
  <x18tc:threadedComment ref="L116" dT="2025-07-31T23:43:58.00" personId="{d8e4f5ad-b65d-4160-a56f-197530fb7eb1}" id="{8a7edb23-daa2-4411-b579-8bb9d5b78af0}" done="0">
    <x18tc:text xml:space="preserve">https://drive.google.com/file/d/1472Dzz3d3fNmEwOqBqhpTlHDuEV6Dblv/view?usp=drive_link</x18tc:text>
    <x18tc:extLst>
      <ext uri="{F7C98A9C-CBB3-438F-8F68-D28B6AF4A901}">
        <xltc2:checksum/>
        <xltc2:hyperlink startIndex="0" length="85" url="https://drive.google.com/file/d/1472Dzz3d3fNmEwOqBqhpTlHDuEV6Dblv/view?usp=drive_link"/>
      </ext>
    </x18tc:extLst>
  </x18tc:threadedComment>
  <x18tc:threadedComment ref="C50" dT="2025-05-13T20:34:01.00" personId="{a5d43f6d-3c72-4414-b012-8f52ef50acc4}" id="{0631f3f6-0800-48bb-aaeb-abd942677ec6}" done="0">
    <x18tc:text xml:space="preserve">https://www.ebay.com/itm/177043061277?_skw=laptop+gaming&amp;itmmeta=01JV5AGXM1DYJPR7J862T2T71Z&amp;hash=item293896ba1d%3Ag%3AHqEAAeSwfUdoC-BN&amp;LH_ItemCondition=1000</x18tc:text>
    <x18tc:extLst>
      <ext uri="{F7C98A9C-CBB3-438F-8F68-D28B6AF4A901}">
        <xltc2:checksum/>
        <xltc2:hyperlink startIndex="0" length="156" url="https://www.ebay.com/itm/177043061277?_skw=laptop+gaming&amp;itmmeta=01JV5AGXM1DYJPR7J862T2T71Z&amp;hash=item293896ba1d%3Ag%3AHqEAAeSwfUdoC-BN&amp;LH_ItemCondition=1000"/>
      </ext>
    </x18tc:extLst>
  </x18tc:threadedComment>
  <x18tc:threadedComment ref="J153" dT="2025-07-31T23:48:01.00" personId="{d8e4f5ad-b65d-4160-a56f-197530fb7eb1}" id="{93b05057-0344-466e-a373-8b1c00664b91}" done="0">
    <x18tc:text xml:space="preserve">https://drive.google.com/file/d/1kukQkkmY7yDgZzb7IhUDKFbne_ERqUqs/view?usp=drive_link</x18tc:text>
    <x18tc:extLst>
      <ext uri="{F7C98A9C-CBB3-438F-8F68-D28B6AF4A901}">
        <xltc2:checksum/>
        <xltc2:hyperlink startIndex="0" length="85" url="https://drive.google.com/file/d/1kukQkkmY7yDgZzb7IhUDKFbne_ERqUqs/view?usp=drive_link"/>
      </ext>
    </x18tc:extLst>
  </x18tc:threadedComment>
  <x18tc:threadedComment ref="AF783" dT="2026-06-23T01:44:10.00" personId="{2ddfa542-8116-4937-a057-08470d7abaab}" id="{fdaf0c81-0242-4690-b1fd-5351bbec1050}" done="0">
    <x18tc:text xml:space="preserve">excedente, fixit , venta final</x18tc:text>
  </x18tc:threadedComment>
  <x18tc:threadedComment ref="Q621" dT="2026-04-05T00:54:07.00" personId="{80195d68-4e9b-4dc7-a031-ca5391c97d0f}" id="{90cb9c64-393d-4e24-b476-2162972e6bb1}" done="0">
    <x18tc:text xml:space="preserve">configuracion inicial</x18tc:text>
  </x18tc:threadedComment>
  <x18tc:threadedComment ref="W386" dT="2025-12-18T22:06:43.00" personId="{2ddfa542-8116-4937-a057-08470d7abaab}" id="{84e67afa-206f-4c89-8eae-35937aed67ad}" done="0">
    <x18tc:text xml:space="preserve">https://drive.google.com/file/d/1F7vqGSWXY6gejgoSqyIJzsoXIEEB1cdM/view?usp=drive_link</x18tc:text>
    <x18tc:extLst>
      <ext uri="{F7C98A9C-CBB3-438F-8F68-D28B6AF4A901}">
        <xltc2:checksum/>
        <xltc2:hyperlink startIndex="0" length="85" url="https://drive.google.com/file/d/1F7vqGSWXY6gejgoSqyIJzsoXIEEB1cdM/view?usp=drive_link"/>
      </ext>
    </x18tc:extLst>
  </x18tc:threadedComment>
  <x18tc:threadedComment ref="K579" dT="2026-04-04T19:54:33.00" personId="{d8e4f5ad-b65d-4160-a56f-197530fb7eb1}" id="{d7c5a8d1-5bb1-4a32-b0af-433ee1b152d7}" done="0">
    <x18tc:text xml:space="preserve">https://drive.google.com/file/d/1OL2-X2jTlL9E_4itgPOk_U11zKoAKsI6/view?usp=drive_link</x18tc:text>
    <x18tc:extLst>
      <ext uri="{F7C98A9C-CBB3-438F-8F68-D28B6AF4A901}">
        <xltc2:checksum/>
        <xltc2:hyperlink startIndex="0" length="85" url="https://drive.google.com/file/d/1OL2-X2jTlL9E_4itgPOk_U11zKoAKsI6/view?usp=drive_link"/>
      </ext>
    </x18tc:extLst>
  </x18tc:threadedComment>
  <x18tc:threadedComment ref="K579" dT="2026-04-04T19:54:46.00" personId="{d8e4f5ad-b65d-4160-a56f-197530fb7eb1}" id="{93fee237-a5c5-4ea4-9545-261a12365886}" parentId="{d7c5a8d1-5bb1-4a32-b0af-433ee1b152d7}">
    <x18tc:text xml:space="preserve">https://drive.google.com/file/d/1DERo_nvuFLCtsUBmYFr-FoUl6WnQgUo5/view?usp=drive_link</x18tc:text>
    <x18tc:extLst>
      <ext uri="{F7C98A9C-CBB3-438F-8F68-D28B6AF4A901}">
        <xltc2:checksum/>
        <xltc2:hyperlink startIndex="0" length="85" url="https://drive.google.com/file/d/1DERo_nvuFLCtsUBmYFr-FoUl6WnQgUo5/view?usp=drive_link"/>
      </ext>
    </x18tc:extLst>
  </x18tc:threadedComment>
  <x18tc:threadedComment ref="J660" dT="2026-04-05T00:08:19.00" personId="{d8e4f5ad-b65d-4160-a56f-197530fb7eb1}" id="{c49d1354-cfee-4cd6-989e-492340a2de9b}" done="0">
    <x18tc:text xml:space="preserve">https://drive.google.com/file/d/1LgDcoRFUGq1XdiTLdQusHRA4x28zQL6t/view?usp=drive_link</x18tc:text>
    <x18tc:extLst>
      <ext uri="{F7C98A9C-CBB3-438F-8F68-D28B6AF4A901}">
        <xltc2:checksum/>
        <xltc2:hyperlink startIndex="0" length="85" url="https://drive.google.com/file/d/1LgDcoRFUGq1XdiTLdQusHRA4x28zQL6t/view?usp=drive_link"/>
      </ext>
    </x18tc:extLst>
  </x18tc:threadedComment>
  <x18tc:threadedComment ref="C83" dT="2025-06-04T21:08:07.00" personId="{a5d43f6d-3c72-4414-b012-8f52ef50acc4}" id="{68f3af38-90bb-420d-84af-46a3a9325546}" done="0">
    <x18tc:text xml:space="preserve">https://www.microcenter.com/product/692120/msi-raider-18-hx-ai-a2xwig-418us-18-gaming-laptop-computer-core-black</x18tc:text>
    <x18tc:extLst>
      <ext uri="{F7C98A9C-CBB3-438F-8F68-D28B6AF4A901}">
        <xltc2:checksum/>
        <xltc2:hyperlink startIndex="0" length="112" url="https://www.microcenter.com/product/692120/msi-raider-18-hx-ai-a2xwig-418us-18-gaming-laptop-computer-core-black"/>
      </ext>
    </x18tc:extLst>
  </x18tc:threadedComment>
  <x18tc:threadedComment ref="K469" dT="2026-03-02T22:21:57.00" personId="{4df2d6c4-e43e-4f2e-b623-d90f458472ff}" id="{2ab1aa5b-413c-4567-81b9-20abdfbbd5a7}" done="0">
    <x18tc:text xml:space="preserve">https://drive.google.com/file/d/1OWoCe_UY2jjlvrOeMtb73oJPu9118G7C/view?usp=drive_link</x18tc:text>
    <x18tc:extLst>
      <ext uri="{F7C98A9C-CBB3-438F-8F68-D28B6AF4A901}">
        <xltc2:checksum/>
        <xltc2:hyperlink startIndex="0" length="85" url="https://drive.google.com/file/d/1OWoCe_UY2jjlvrOeMtb73oJPu9118G7C/view?usp=drive_link"/>
      </ext>
    </x18tc:extLst>
  </x18tc:threadedComment>
  <x18tc:threadedComment ref="J19" dT="2025-04-14T19:13:20.00" personId="{d8e4f5ad-b65d-4160-a56f-197530fb7eb1}" id="{460ce4c0-5239-4201-bb0c-97111794d90b}" done="0">
    <x18tc:text xml:space="preserve">https://drive.google.com/file/d/1Rh0NOslKxOo4B5jktlReoKAcXuhic63X/view?usp=drive_link</x18tc:text>
    <x18tc:extLst>
      <ext uri="{F7C98A9C-CBB3-438F-8F68-D28B6AF4A901}">
        <xltc2:checksum/>
        <xltc2:hyperlink startIndex="0" length="85" url="https://drive.google.com/file/d/1Rh0NOslKxOo4B5jktlReoKAcXuhic63X/view?usp=drive_link"/>
      </ext>
    </x18tc:extLst>
  </x18tc:threadedComment>
  <x18tc:threadedComment ref="K504" dT="2026-03-02T22:25:29.00" personId="{4df2d6c4-e43e-4f2e-b623-d90f458472ff}" id="{665e25ae-8fe1-4af9-9ba5-4c9612430fce}" done="0">
    <x18tc:text xml:space="preserve">https://drive.google.com/file/d/1g1szAyTo4D_gjDqH11mqBzexa3WgZ8vc/view?usp=drive_link</x18tc:text>
    <x18tc:extLst>
      <ext uri="{F7C98A9C-CBB3-438F-8F68-D28B6AF4A901}">
        <xltc2:checksum/>
        <xltc2:hyperlink startIndex="0" length="85" url="https://drive.google.com/file/d/1g1szAyTo4D_gjDqH11mqBzexa3WgZ8vc/view?usp=drive_link"/>
      </ext>
    </x18tc:extLst>
  </x18tc:threadedComment>
  <x18tc:threadedComment ref="J67" dT="2025-05-23T16:17:57.00" personId="{4df2d6c4-e43e-4f2e-b623-d90f458472ff}" id="{48fb742f-312d-4db7-9e75-5694ea01e6c9}" done="0">
    <x18tc:text xml:space="preserve">en dolares</x18tc:text>
  </x18tc:threadedComment>
  <x18tc:threadedComment ref="J50" dT="2025-05-13T20:33:52.00" personId="{a5d43f6d-3c72-4414-b012-8f52ef50acc4}" id="{eb392f77-f168-4b45-b3b0-94beba669e76}" done="0">
    <x18tc:text xml:space="preserve">https://drive.google.com/file/d/1ecze7V4MkURQ655qLUrCQp2mRgj-QeAf/view?usp=drive_link</x18tc:text>
    <x18tc:extLst>
      <ext uri="{F7C98A9C-CBB3-438F-8F68-D28B6AF4A901}">
        <xltc2:checksum/>
        <xltc2:hyperlink startIndex="0" length="85" url="https://drive.google.com/file/d/1ecze7V4MkURQ655qLUrCQp2mRgj-QeAf/view?usp=drive_link"/>
      </ext>
    </x18tc:extLst>
  </x18tc:threadedComment>
  <x18tc:threadedComment ref="C225" dT="2025-09-09T16:13:15.00" personId="{a5d43f6d-3c72-4414-b012-8f52ef50acc4}" id="{9a8d58b0-5167-437a-a350-311bf62c4cf3}" done="0">
    <x18tc:text xml:space="preserve">https://www.costco.com/lenovo-legion-5i-16-gaming-laptop---intel-core-ultra-9-275hx---geforce-rtx-5060---wqxga-2560x1600---windows-11-home---32gb-ram---1tb-ssd.product.4000380973.html</x18tc:text>
    <x18tc:extLst>
      <ext uri="{F7C98A9C-CBB3-438F-8F68-D28B6AF4A901}">
        <xltc2:checksum/>
        <xltc2:hyperlink startIndex="0" length="183" url="https://www.costco.com/lenovo-legion-5i-16-gaming-laptop---intel-core-ultra-9-275hx---geforce-rtx-5060---wqxga-2560x1600---windows-11-home---32gb-ram---1tb-ssd.product.4000380973.html"/>
      </ext>
    </x18tc:extLst>
  </x18tc:threadedComment>
  <x18tc:threadedComment ref="AI739" dT="2026-06-20T18:50:13.00" personId="{7d9bea4b-cfe7-4c29-b483-8e83a1c4f52a}" id="{9b97d5d9-5570-45d4-bd61-82441722a72e}" done="0">
    <x18tc:text xml:space="preserve">https://drive.google.com/file/d/1UoUCsW3A4zSq7T55GvOWeNCZnJZ9Or9L/view?usp=drive_link</x18tc:text>
    <x18tc:extLst>
      <ext uri="{F7C98A9C-CBB3-438F-8F68-D28B6AF4A901}">
        <xltc2:checksum/>
        <xltc2:hyperlink startIndex="0" length="85" url="https://drive.google.com/file/d/1UoUCsW3A4zSq7T55GvOWeNCZnJZ9Or9L/view?usp=drive_link"/>
      </ext>
    </x18tc:extLst>
  </x18tc:threadedComment>
  <x18tc:threadedComment ref="A1" dT="2026-06-23T15:48:42.00" personId="{80195d68-4e9b-4dc7-a031-ca5391c97d0f}" id="{4cf8d211-876d-448a-9ea2-8329bb283af2}" done="0">
    <x18tc:text xml:space="preserve">comision culqui</x18tc:text>
  </x18tc:threadedComment>
  <x18tc:threadedComment ref="T695" dT="2026-05-19T22:49:26.00" personId="{d8e4f5ad-b65d-4160-a56f-197530fb7eb1}" id="{740acf86-0b90-4254-ba29-59d05e7b7474}" done="0">
    <x18tc:text xml:space="preserve">de fila 710 aperura + configuracion</x18tc:text>
  </x18tc:threadedComment>
  <x18tc:threadedComment ref="W328" dT="2025-12-18T21:32:45.00" personId="{2ddfa542-8116-4937-a057-08470d7abaab}" id="{55daec32-b5c3-4e86-8a6b-3b08cc5564f6}" done="0">
    <x18tc:text xml:space="preserve">https://drive.google.com/file/d/1ikDooKp82pJxauW3C1QNfRXX8dVvyGcC/view?usp=drive_link</x18tc:text>
    <x18tc:extLst>
      <ext uri="{F7C98A9C-CBB3-438F-8F68-D28B6AF4A901}">
        <xltc2:checksum/>
        <xltc2:hyperlink startIndex="0" length="85" url="https://drive.google.com/file/d/1ikDooKp82pJxauW3C1QNfRXX8dVvyGcC/view?usp=drive_link"/>
      </ext>
    </x18tc:extLst>
  </x18tc:threadedComment>
  <x18tc:threadedComment ref="K342" dT="2025-12-18T21:04:47.00" personId="{a5d43f6d-3c72-4414-b012-8f52ef50acc4}" id="{4fd93ca8-9b28-4b73-96fe-f7287660e9a8}" done="0">
    <x18tc:text xml:space="preserve">9 soles es para envio
https://drive.google.com/file/d/1icYVg0zf-FwYbzaqcaLJqicJ3b1cnZTK/view?usp=drive_link</x18tc:text>
    <x18tc:extLst>
      <ext uri="{F7C98A9C-CBB3-438F-8F68-D28B6AF4A901}">
        <xltc2:checksum/>
        <xltc2:hyperlink startIndex="22" length="85" url="https://drive.google.com/file/d/1icYVg0zf-FwYbzaqcaLJqicJ3b1cnZTK/view?usp=drive_link"/>
      </ext>
    </x18tc:extLst>
  </x18tc:threadedComment>
  <x18tc:threadedComment ref="L206" dT="2025-09-10T21:18:51.00" personId="{d8e4f5ad-b65d-4160-a56f-197530fb7eb1}" id="{63319ee5-9ea2-4800-8706-2e689d01d51a}" done="0">
    <x18tc:text xml:space="preserve">https://drive.google.com/file/d/1CfFphmD-5soO5LwIcINBhL5U7PiiZd7M/view?usp=drive_link</x18tc:text>
    <x18tc:extLst>
      <ext uri="{F7C98A9C-CBB3-438F-8F68-D28B6AF4A901}">
        <xltc2:checksum/>
        <xltc2:hyperlink startIndex="0" length="85" url="https://drive.google.com/file/d/1CfFphmD-5soO5LwIcINBhL5U7PiiZd7M/view?usp=drive_link"/>
      </ext>
    </x18tc:extLst>
  </x18tc:threadedComment>
  <x18tc:threadedComment ref="L206" dT="2025-09-10T21:19:27.00" personId="{d8e4f5ad-b65d-4160-a56f-197530fb7eb1}" id="{7d780d6b-0ea4-4cb7-a992-583e982523da}" parentId="{63319ee5-9ea2-4800-8706-2e689d01d51a}">
    <x18tc:text xml:space="preserve">https://drive.google.com/file/d/1AXSiAE4PEmRUVZfg7dL6UHbl2AaNaBtw/view?usp=drive_link</x18tc:text>
    <x18tc:extLst>
      <ext uri="{F7C98A9C-CBB3-438F-8F68-D28B6AF4A901}">
        <xltc2:checksum/>
        <xltc2:hyperlink startIndex="0" length="85" url="https://drive.google.com/file/d/1AXSiAE4PEmRUVZfg7dL6UHbl2AaNaBtw/view?usp=drive_link"/>
      </ext>
    </x18tc:extLst>
  </x18tc:threadedComment>
  <x18tc:threadedComment ref="J585" dT="2026-03-05T23:04:59.00" personId="{d8e4f5ad-b65d-4160-a56f-197530fb7eb1}" id="{e8e175ea-5ab3-4ba7-b9be-8c38f295f6f6}" done="0">
    <x18tc:text xml:space="preserve">https://drive.google.com/file/d/1cY4THUXH9AFcBv4Odp5aM17iAyiVUfBA/view?usp=drive_link</x18tc:text>
    <x18tc:extLst>
      <ext uri="{F7C98A9C-CBB3-438F-8F68-D28B6AF4A901}">
        <xltc2:checksum/>
        <xltc2:hyperlink startIndex="0" length="85" url="https://drive.google.com/file/d/1cY4THUXH9AFcBv4Odp5aM17iAyiVUfBA/view?usp=drive_link"/>
      </ext>
    </x18tc:extLst>
  </x18tc:threadedComment>
  <x18tc:threadedComment ref="T703" dT="2026-05-19T22:53:23.00" personId="{d8e4f5ad-b65d-4160-a56f-197530fb7eb1}" id="{64e25507-cb60-44d6-86c1-82953d33d604}" done="0">
    <x18tc:text xml:space="preserve">apertura + configuracion de fila 726</x18tc:text>
  </x18tc:threadedComment>
  <x18tc:threadedComment ref="O48" dT="2025-05-13T16:39:13.00" personId="{4df2d6c4-e43e-4f2e-b623-d90f458472ff}" id="{14866759-d119-4f73-8b41-a4a39fd94782}" done="0">
    <x18tc:text xml:space="preserve">le di mouse y audifono</x18tc:text>
  </x18tc:threadedComment>
  <x18tc:threadedComment ref="T668" dT="2026-05-19T22:51:30.00" personId="{d8e4f5ad-b65d-4160-a56f-197530fb7eb1}" id="{027044f2-816d-47b8-b8f9-147e0b8ad73d}" done="0">
    <x18tc:text xml:space="preserve">apertura y configuracion de  fila 687 por exceso de dias</x18tc:text>
  </x18tc:threadedComment>
  <x18tc:threadedComment ref="W206" dT="2025-09-10T21:16:56.00" personId="{d8e4f5ad-b65d-4160-a56f-197530fb7eb1}" id="{372d16e2-c880-400f-a4f8-d2e39f7aeea5}" done="0">
    <x18tc:text xml:space="preserve">https://drive.google.com/file/d/1rPzjM-3bCgQ0ts5JujqxNaxcNWHkoggD/view?usp=drive_link</x18tc:text>
    <x18tc:extLst>
      <ext uri="{F7C98A9C-CBB3-438F-8F68-D28B6AF4A901}">
        <xltc2:checksum/>
        <xltc2:hyperlink startIndex="0" length="85" url="https://drive.google.com/file/d/1rPzjM-3bCgQ0ts5JujqxNaxcNWHkoggD/view?usp=drive_link"/>
      </ext>
    </x18tc:extLst>
  </x18tc:threadedComment>
  <x18tc:threadedComment ref="C340" dT="2025-11-25T00:49:46.00" personId="{4df2d6c4-e43e-4f2e-b623-d90f458472ff}" id="{5e5ddeb8-9bee-4847-9e54-934d0343ec32}" done="0">
    <x18tc:text xml:space="preserve">https://www.bestbuy.com/product/asus-tuf-gaming-a16-16-fhd-165hz-gaming-laptop-amd-ryzen-9-32gb-ram-nvidia-geforce-rtx-5070-1tb-ssd-jaegar-gray/JJGGLH8Y2Z</x18tc:text>
    <x18tc:extLst>
      <ext uri="{F7C98A9C-CBB3-438F-8F68-D28B6AF4A901}">
        <xltc2:checksum/>
        <xltc2:hyperlink startIndex="0" length="154" url="https://www.bestbuy.com/product/asus-tuf-gaming-a16-16-fhd-165hz-gaming-laptop-amd-ryzen-9-32gb-ram-nvidia-geforce-rtx-5070-1tb-ssd-jaegar-gray/JJGGLH8Y2Z"/>
      </ext>
    </x18tc:extLst>
  </x18tc:threadedComment>
  <x18tc:threadedComment ref="K654" dT="2026-04-22T21:33:11.00" personId="{d8e4f5ad-b65d-4160-a56f-197530fb7eb1}" id="{208a42aa-c3fb-4334-90f1-4aebbbeb964c}" done="0">
    <x18tc:text xml:space="preserve">https://drive.google.com/file/d/1FqrM2m0PLF2sRCY-potxd3As3HfNF6-I/view?usp=drive_link</x18tc:text>
    <x18tc:extLst>
      <ext uri="{F7C98A9C-CBB3-438F-8F68-D28B6AF4A901}">
        <xltc2:checksum/>
        <xltc2:hyperlink startIndex="0" length="85" url="https://drive.google.com/file/d/1FqrM2m0PLF2sRCY-potxd3As3HfNF6-I/view?usp=drive_link"/>
      </ext>
    </x18tc:extLst>
  </x18tc:threadedComment>
  <x18tc:threadedComment ref="J169" dT="2025-08-12T16:35:54.00" personId="{d8e4f5ad-b65d-4160-a56f-197530fb7eb1}" id="{40778668-43df-4d15-9f21-b2bccc9cbc09}" done="0">
    <x18tc:text xml:space="preserve">https://drive.google.com/file/d/1ynge40crniHhuWjXmdsVTxOEprID460H/view?usp=drive_link</x18tc:text>
    <x18tc:extLst>
      <ext uri="{F7C98A9C-CBB3-438F-8F68-D28B6AF4A901}">
        <xltc2:checksum/>
        <xltc2:hyperlink startIndex="0" length="85" url="https://drive.google.com/file/d/1ynge40crniHhuWjXmdsVTxOEprID460H/view?usp=drive_link"/>
      </ext>
    </x18tc:extLst>
  </x18tc:threadedComment>
  <x18tc:threadedComment ref="J587" dT="2026-03-05T23:05:12.00" personId="{d8e4f5ad-b65d-4160-a56f-197530fb7eb1}" id="{93145c8e-653f-4dad-87cd-00a5857ea463}" done="0">
    <x18tc:text xml:space="preserve">https://drive.google.com/file/d/1hqo2k1tGgqkxW6scVCzYNKr4sPYOfgQa/view?usp=drive_link</x18tc:text>
    <x18tc:extLst>
      <ext uri="{F7C98A9C-CBB3-438F-8F68-D28B6AF4A901}">
        <xltc2:checksum/>
        <xltc2:hyperlink startIndex="0" length="85" url="https://drive.google.com/file/d/1hqo2k1tGgqkxW6scVCzYNKr4sPYOfgQa/view?usp=drive_link"/>
      </ext>
    </x18tc:extLst>
  </x18tc:threadedComment>
  <x18tc:threadedComment ref="J698" dT="2026-04-22T21:32:49.00" personId="{d8e4f5ad-b65d-4160-a56f-197530fb7eb1}" id="{9eca5049-3253-4e6a-a143-59d6ad90f08b}" done="0">
    <x18tc:text xml:space="preserve">https://drive.google.com/file/d/1KfXhvtjVt_AFQFGzxy9P2fC95gX7q9Ij/view?usp=drive_link</x18tc:text>
    <x18tc:extLst>
      <ext uri="{F7C98A9C-CBB3-438F-8F68-D28B6AF4A901}">
        <xltc2:checksum/>
        <xltc2:hyperlink startIndex="0" length="85" url="https://drive.google.com/file/d/1KfXhvtjVt_AFQFGzxy9P2fC95gX7q9Ij/view?usp=drive_link"/>
      </ext>
    </x18tc:extLst>
  </x18tc:threadedComment>
  <x18tc:threadedComment ref="J699" dT="2026-04-22T21:32:30.00" personId="{d8e4f5ad-b65d-4160-a56f-197530fb7eb1}" id="{5eac47db-feba-4990-8230-1b4d139b645c}" done="0">
    <x18tc:text xml:space="preserve">https://drive.google.com/file/d/147xCMCjPlm4pcHO9m-xfeugUehPsIutx/view?usp=drive_link</x18tc:text>
    <x18tc:extLst>
      <ext uri="{F7C98A9C-CBB3-438F-8F68-D28B6AF4A901}">
        <xltc2:checksum/>
        <xltc2:hyperlink startIndex="0" length="85" url="https://drive.google.com/file/d/147xCMCjPlm4pcHO9m-xfeugUehPsIutx/view?usp=drive_link"/>
      </ext>
    </x18tc:extLst>
  </x18tc:threadedComment>
  <x18tc:threadedComment ref="F683" dT="2026-04-17T13:58:48.00" personId="{2ddfa542-8116-4937-a057-08470d7abaab}" id="{73b8c8a5-2601-40b9-8972-e5c6613db627}" done="1">
    <x18tc:text xml:space="preserve">se esta procesando</x18tc:text>
  </x18tc:threadedComment>
  <x18tc:threadedComment ref="J225" dT="2025-09-09T16:14:25.00" personId="{a5d43f6d-3c72-4414-b012-8f52ef50acc4}" id="{0e0d3c1e-4be0-4273-b3b3-8351f37cea5b}" done="0">
    <x18tc:text xml:space="preserve">https://drive.google.com/file/d/1Pj4dFTNE4JqZDach1zd7vZL8tMJO_uG_/view?usp=drive_link</x18tc:text>
    <x18tc:extLst>
      <ext uri="{F7C98A9C-CBB3-438F-8F68-D28B6AF4A901}">
        <xltc2:checksum/>
        <xltc2:hyperlink startIndex="0" length="85" url="https://drive.google.com/file/d/1Pj4dFTNE4JqZDach1zd7vZL8tMJO_uG_/view?usp=drive_link"/>
      </ext>
    </x18tc:extLst>
  </x18tc:threadedComment>
  <x18tc:threadedComment ref="L152" dT="2025-08-12T16:59:52.00" personId="{d8e4f5ad-b65d-4160-a56f-197530fb7eb1}" id="{abb9d5fc-f855-4205-b015-74508368ae8b}" done="0">
    <x18tc:text xml:space="preserve">https://drive.google.com/file/d/1GnzyNOh6rLrN5B3A9ZH-MVPT_pPyFlnd/view?usp=drive_link</x18tc:text>
    <x18tc:extLst>
      <ext uri="{F7C98A9C-CBB3-438F-8F68-D28B6AF4A901}">
        <xltc2:checksum/>
        <xltc2:hyperlink startIndex="0" length="85" url="https://drive.google.com/file/d/1GnzyNOh6rLrN5B3A9ZH-MVPT_pPyFlnd/view?usp=drive_link"/>
      </ext>
    </x18tc:extLst>
  </x18tc:threadedComment>
  <x18tc:threadedComment ref="C297" dT="2025-11-08T02:19:01.00" personId="{4df2d6c4-e43e-4f2e-b623-d90f458472ff}" id="{13fc1f9e-4816-4af9-8e3c-3ff1bc7ab282}" done="0">
    <x18tc:text xml:space="preserve">https://www.microcenter.com/product/693716/asus-rog-strix-g16-g615lr-ms97-16-gaming-laptop-computer-platinum-collection-eclipse-gray?storeid=065</x18tc:text>
    <x18tc:extLst>
      <ext uri="{F7C98A9C-CBB3-438F-8F68-D28B6AF4A901}">
        <xltc2:checksum/>
        <xltc2:hyperlink startIndex="0" length="144" url="https://www.microcenter.com/product/693716/asus-rog-strix-g16-g615lr-ms97-16-gaming-laptop-computer-platinum-collection-eclipse-gray?storeid=065"/>
      </ext>
    </x18tc:extLst>
  </x18tc:threadedComment>
  <x18tc:threadedComment ref="J510" dT="2026-01-30T17:59:50.00" personId="{d8e4f5ad-b65d-4160-a56f-197530fb7eb1}" id="{5b83644d-a86a-4d51-98de-7f164e881e04}" done="0">
    <x18tc:text xml:space="preserve">https://drive.google.com/file/d/1pF2zMulu6YytxbM4hrhtIceNKwTk-ntK/view?usp=drive_link</x18tc:text>
    <x18tc:extLst>
      <ext uri="{F7C98A9C-CBB3-438F-8F68-D28B6AF4A901}">
        <xltc2:checksum/>
        <xltc2:hyperlink startIndex="0" length="85" url="https://drive.google.com/file/d/1pF2zMulu6YytxbM4hrhtIceNKwTk-ntK/view?usp=drive_link"/>
      </ext>
    </x18tc:extLst>
  </x18tc:threadedComment>
  <x18tc:threadedComment ref="K634" dT="2026-05-19T17:10:50.00" personId="{d8e4f5ad-b65d-4160-a56f-197530fb7eb1}" id="{61daa25e-3482-4689-bd43-b516135063a5}" done="0">
    <x18tc:text xml:space="preserve">https://drive.google.com/file/d/1uzil7GSY18gUzuF1VNcR8evAmv4glmZX/view?usp=drive_link</x18tc:text>
    <x18tc:extLst>
      <ext uri="{F7C98A9C-CBB3-438F-8F68-D28B6AF4A901}">
        <xltc2:checksum/>
        <xltc2:hyperlink startIndex="0" length="85" url="https://drive.google.com/file/d/1uzil7GSY18gUzuF1VNcR8evAmv4glmZX/view?usp=drive_link"/>
      </ext>
    </x18tc:extLst>
  </x18tc:threadedComment>
  <x18tc:threadedComment ref="K633" dT="2026-04-22T21:34:47.00" personId="{d8e4f5ad-b65d-4160-a56f-197530fb7eb1}" id="{2b4e3984-3d83-49fd-9fc8-3998b2626f82}" done="0">
    <x18tc:text xml:space="preserve">https://drive.google.com/file/d/1-OhOXM1F1IqNTyFHAjk4EVZ0UJyS2m32/view?usp=drive_link</x18tc:text>
    <x18tc:extLst>
      <ext uri="{F7C98A9C-CBB3-438F-8F68-D28B6AF4A901}">
        <xltc2:checksum/>
        <xltc2:hyperlink startIndex="0" length="85" url="https://drive.google.com/file/d/1-OhOXM1F1IqNTyFHAjk4EVZ0UJyS2m32/view?usp=drive_link"/>
      </ext>
    </x18tc:extLst>
  </x18tc:threadedComment>
  <x18tc:threadedComment ref="K633" dT="2026-04-22T21:34:59.00" personId="{d8e4f5ad-b65d-4160-a56f-197530fb7eb1}" id="{22537652-248b-4784-bf15-508809a58241}" parentId="{2b4e3984-3d83-49fd-9fc8-3998b2626f82}">
    <x18tc:text xml:space="preserve">https://drive.google.com/file/d/1UESRKe_3BKuMZQ90DPNSPe916JVk_Lv2/view?usp=drive_link</x18tc:text>
    <x18tc:extLst>
      <ext uri="{F7C98A9C-CBB3-438F-8F68-D28B6AF4A901}">
        <xltc2:checksum/>
        <xltc2:hyperlink startIndex="0" length="85" url="https://drive.google.com/file/d/1UESRKe_3BKuMZQ90DPNSPe916JVk_Lv2/view?usp=drive_link"/>
      </ext>
    </x18tc:extLst>
  </x18tc:threadedComment>
  <x18tc:threadedComment ref="K565" dT="2026-02-24T23:04:21.00" personId="{a5d43f6d-3c72-4414-b012-8f52ef50acc4}" id="{fc9c66b5-6f33-4eac-9896-df750efa64ea}" done="0">
    <x18tc:text xml:space="preserve">https://drive.google.com/file/d/1wKWi3FMZuPpyoTZghcf0M7daixXNKsUu/view?usp=drive_link
https://drive.google.com/file/d/1JrEsv-hQYWAdZfm2cRvPuCuSNjmK8hVm/view?usp=drive_link
https://drive.google.com/file/d/15rXIGz1y-2c2WX2xJ2Prtp9Wesl_Z8jY/view?usp=drive_link</x18tc:text>
    <x18tc:extLst>
      <ext uri="{F7C98A9C-CBB3-438F-8F68-D28B6AF4A901}">
        <xltc2:checksum/>
        <xltc2:hyperlink startIndex="0" length="85" url="https://drive.google.com/file/d/1wKWi3FMZuPpyoTZghcf0M7daixXNKsUu/view?usp=drive_link"/>
        <xltc2:hyperlink startIndex="86" length="85" url="https://drive.google.com/file/d/1JrEsv-hQYWAdZfm2cRvPuCuSNjmK8hVm/view?usp=drive_link"/>
        <xltc2:hyperlink startIndex="172" length="85" url="https://drive.google.com/file/d/15rXIGz1y-2c2WX2xJ2Prtp9Wesl_Z8jY/view?usp=drive_link"/>
      </ext>
    </x18tc:extLst>
  </x18tc:threadedComment>
  <x18tc:threadedComment ref="K475" dT="2026-03-02T22:14:39.00" personId="{4df2d6c4-e43e-4f2e-b623-d90f458472ff}" id="{a36cc4c2-4467-4dea-8964-ca080de8eb11}" done="0">
    <x18tc:text xml:space="preserve">https://drive.google.com/file/d/1QJzeep4_RPeERRiMZAZlcgzEJGtIxCTa/view?usp=drive_link</x18tc:text>
    <x18tc:extLst>
      <ext uri="{F7C98A9C-CBB3-438F-8F68-D28B6AF4A901}">
        <xltc2:checksum/>
        <xltc2:hyperlink startIndex="0" length="85" url="https://drive.google.com/file/d/1QJzeep4_RPeERRiMZAZlcgzEJGtIxCTa/view?usp=drive_link"/>
      </ext>
    </x18tc:extLst>
  </x18tc:threadedComment>
  <x18tc:threadedComment ref="T707" dT="2026-05-19T22:57:41.00" personId="{d8e4f5ad-b65d-4160-a56f-197530fb7eb1}" id="{590e6cdc-743c-46ff-82ad-869639d8c801}" done="1">
    <x18tc:text xml:space="preserve">de fila 716</x18tc:text>
  </x18tc:threadedComment>
  <x18tc:threadedComment ref="J700" dT="2026-04-22T20:14:30.00" personId="{a5d43f6d-3c72-4414-b012-8f52ef50acc4}" id="{1f9cb8ea-8d9f-4504-a9ba-b46691a9989e}" done="0">
    <x18tc:text xml:space="preserve">https://drive.google.com/file/d/13GTBeELxgqKnJAcW603W_CtjlKgRuBoZ/view?usp=drive_link</x18tc:text>
    <x18tc:extLst>
      <ext uri="{F7C98A9C-CBB3-438F-8F68-D28B6AF4A901}">
        <xltc2:checksum/>
        <xltc2:hyperlink startIndex="0" length="85" url="https://drive.google.com/file/d/13GTBeELxgqKnJAcW603W_CtjlKgRuBoZ/view?usp=drive_link"/>
      </ext>
    </x18tc:extLst>
  </x18tc:threadedComment>
  <x18tc:threadedComment ref="J332" dT="2025-11-24T22:00:06.00" personId="{d8e4f5ad-b65d-4160-a56f-197530fb7eb1}" id="{4cd16666-2fac-4c85-b02c-c2300531f355}" done="0">
    <x18tc:text xml:space="preserve">https://drive.google.com/file/d/1xNrAEouPR0xF2U9QJKqkLWUyuKe6GTpI/view?usp=drive_link</x18tc:text>
    <x18tc:extLst>
      <ext uri="{F7C98A9C-CBB3-438F-8F68-D28B6AF4A901}">
        <xltc2:checksum/>
        <xltc2:hyperlink startIndex="0" length="85" url="https://drive.google.com/file/d/1xNrAEouPR0xF2U9QJKqkLWUyuKe6GTpI/view?usp=drive_link"/>
      </ext>
    </x18tc:extLst>
  </x18tc:threadedComment>
  <x18tc:threadedComment ref="Q700" dT="2026-04-22T20:09:13.00" personId="{a5d43f6d-3c72-4414-b012-8f52ef50acc4}" id="{fbdd9368-87c5-4b58-88cb-9633d71e6eaf}" done="0">
    <x18tc:text xml:space="preserve">Configuración inicial con formateo + eset nod + office 2024</x18tc:text>
  </x18tc:threadedComment>
  <x18tc:threadedComment ref="K317" dT="2025-11-24T21:57:07.00" personId="{d8e4f5ad-b65d-4160-a56f-197530fb7eb1}" id="{91a900fa-e150-40f9-a0a7-2869e626b994}" done="0">
    <x18tc:text xml:space="preserve">https://drive.google.com/file/d/1mRalzen0oklblI0hWtr8N8CmXrHu27kC/view?usp=drive_link</x18tc:text>
    <x18tc:extLst>
      <ext uri="{F7C98A9C-CBB3-438F-8F68-D28B6AF4A901}">
        <xltc2:checksum/>
        <xltc2:hyperlink startIndex="0" length="85" url="https://drive.google.com/file/d/1mRalzen0oklblI0hWtr8N8CmXrHu27kC/view?usp=drive_link"/>
      </ext>
    </x18tc:extLst>
  </x18tc:threadedComment>
  <x18tc:threadedComment ref="K317" dT="2025-12-03T00:31:19.00" personId="{d8e4f5ad-b65d-4160-a56f-197530fb7eb1}" id="{4c8fd5c8-5fec-4b19-83d1-cc074cc9111f}" parentId="{91a900fa-e150-40f9-a0a7-2869e626b994}">
    <x18tc:text xml:space="preserve">https://drive.google.com/file/d/11UzXgF3mKP-IEbilmzLso5C8clotKzIL/view?usp=drive_link</x18tc:text>
    <x18tc:extLst>
      <ext uri="{F7C98A9C-CBB3-438F-8F68-D28B6AF4A901}">
        <xltc2:checksum/>
        <xltc2:hyperlink startIndex="0" length="85" url="https://drive.google.com/file/d/11UzXgF3mKP-IEbilmzLso5C8clotKzIL/view?usp=drive_link"/>
      </ext>
    </x18tc:extLst>
  </x18tc:threadedComment>
  <x18tc:threadedComment ref="C31" dT="2025-04-28T22:46:06.00" personId="{d8e4f5ad-b65d-4160-a56f-197530fb7eb1}" id="{22f99d23-d96d-4115-ac29-d8aa24d796b0}" done="0">
    <x18tc:text xml:space="preserve">https://www.amazon.com/-/es/Procesador-i9-13900H-port%C3%A1til-Pantalla-pulgadas/dp/B0D8JXHZTH/ref=sr_1_3?__mk_es_US=%C3%85M%C3%85%C5%BD%C3%95%C3%91&amp;crid=2RVMSLBIWSWPB&amp;dib=eyJ2IjoiMSJ9.MF9TL9Mr8pg8Wg7oNPukERytcUe0A86mioCRjx-pPb8knvx2m9FQZBQgtqtZmNBpwUAy3aNslHepVWVjSu1_aAX5W-M2IyUayr5i36eVnMJsPeuX2T9GNzRhQI5FsVcCLe6U6L_kB70lqpfIwol9cyb4w6Q0lkdztNVT2S2i7p8z16_kQjNxCljtbFWDAKw9MHhajh48WsBeaOyXe3vjdzvwUIFkd6tp7cCv78SOyY0.1zWcldI2l0Nf7QkaqwMtm9KIt9xmj8F96gTUK04_wnM&amp;dib_tag=se&amp;keywords=acer%2B4060&amp;qid=1745448413&amp;sprefix=acer%2B4060%2Caps%2C208&amp;sr=8-3&amp;th=1</x18tc:text>
    <x18tc:extLst>
      <ext uri="{F7C98A9C-CBB3-438F-8F68-D28B6AF4A901}">
        <xltc2:checksum/>
        <xltc2:hyperlink startIndex="0" length="555" url="https://www.amazon.com/-/es/Procesador-i9-13900H-port%C3%A1til-Pantalla-pulgadas/dp/B0D8JXHZTH/ref=sr_1_3?__mk_es_US=%C3%85M%C3%85%C5%BD%C3%95%C3%91&amp;crid=2RVMSLBIWSWPB&amp;dib=eyJ2IjoiMSJ9.MF9TL9Mr8pg8Wg7oNPukERytcUe0A86mioCRjx-pPb8knvx2m9FQZBQgtqtZmNBpwUAy3aNslHepVWVjSu1_aAX5W-M2IyUayr5i36eVnMJsPeuX2T9GNzRhQI5FsVcCLe6U6L_kB70lqpfIwol9cyb4w6Q0lkdztNVT2S2i7p8z16_kQjNxCljtbFWDAKw9MHhajh48WsBeaOyXe3vjdzvwUIFkd6tp7cCv78SOyY0.1zWcldI2l0Nf7QkaqwMtm9KIt9xmj8F96gTUK04_wnM&amp;dib_tag=se&amp;keywords=acer%2B4060&amp;qid=1745448413&amp;sprefix=acer%2B4060%2Caps%2C208&amp;sr=8-3&amp;th=1"/>
      </ext>
    </x18tc:extLst>
  </x18tc:threadedComment>
  <x18tc:threadedComment ref="J717" dT="2026-05-25T16:52:12.00" personId="{4df2d6c4-e43e-4f2e-b623-d90f458472ff}" id="{6b6bc686-971d-48dd-b5c7-f8ecea96e669}" done="0">
    <x18tc:text xml:space="preserve">https://drive.google.com/file/d/1-DwnOMHYSHZeLogrxlxOhkZIozPCOJmZ/view?usp=drive_link</x18tc:text>
    <x18tc:extLst>
      <ext uri="{F7C98A9C-CBB3-438F-8F68-D28B6AF4A901}">
        <xltc2:checksum/>
        <xltc2:hyperlink startIndex="0" length="85" url="https://drive.google.com/file/d/1-DwnOMHYSHZeLogrxlxOhkZIozPCOJmZ/view?usp=drive_link"/>
      </ext>
    </x18tc:extLst>
  </x18tc:threadedComment>
  <x18tc:threadedComment ref="K689" dT="2026-05-19T23:50:11.00" personId="{d8e4f5ad-b65d-4160-a56f-197530fb7eb1}" id="{213a027b-92ef-40e9-8e46-2264a3883577}" done="0">
    <x18tc:text xml:space="preserve">https://drive.google.com/file/d/1ic37gA9mfePtQgT6ldhZnG7jLUmF9iY2/view?usp=drive_link</x18tc:text>
    <x18tc:extLst>
      <ext uri="{F7C98A9C-CBB3-438F-8F68-D28B6AF4A901}">
        <xltc2:checksum/>
        <xltc2:hyperlink startIndex="0" length="85" url="https://drive.google.com/file/d/1ic37gA9mfePtQgT6ldhZnG7jLUmF9iY2/view?usp=drive_link"/>
      </ext>
    </x18tc:extLst>
  </x18tc:threadedComment>
  <x18tc:threadedComment ref="K689" dT="2026-05-20T00:36:03.00" personId="{d8e4f5ad-b65d-4160-a56f-197530fb7eb1}" id="{a4133919-a64a-417b-9504-9925dfd49cb5}" parentId="{213a027b-92ef-40e9-8e46-2264a3883577}">
    <x18tc:text xml:space="preserve">https://drive.google.com/file/d/1Q9it4IVyar53znszV1aAaixb39uCDMdl/view?usp=drive_link</x18tc:text>
    <x18tc:extLst>
      <ext uri="{F7C98A9C-CBB3-438F-8F68-D28B6AF4A901}">
        <xltc2:checksum/>
        <xltc2:hyperlink startIndex="0" length="85" url="https://drive.google.com/file/d/1Q9it4IVyar53znszV1aAaixb39uCDMdl/view?usp=drive_link"/>
      </ext>
    </x18tc:extLst>
  </x18tc:threadedComment>
  <x18tc:threadedComment ref="J339" dT="2025-11-24T21:56:03.00" personId="{d8e4f5ad-b65d-4160-a56f-197530fb7eb1}" id="{c27aadd5-2fe9-42ea-9ba6-6e33d0c148ab}" done="0">
    <x18tc:text xml:space="preserve">https://drive.google.com/file/d/17wOGGPeKP_btn9jr3-A-W-7711sYXmu9/view?usp=drive_link</x18tc:text>
    <x18tc:extLst>
      <ext uri="{F7C98A9C-CBB3-438F-8F68-D28B6AF4A901}">
        <xltc2:checksum/>
        <xltc2:hyperlink startIndex="0" length="85" url="https://drive.google.com/file/d/17wOGGPeKP_btn9jr3-A-W-7711sYXmu9/view?usp=drive_link"/>
      </ext>
    </x18tc:extLst>
  </x18tc:threadedComment>
  <x18tc:threadedComment ref="K573" dT="2026-03-03T23:49:45.00" personId="{f9b224d0-ee33-4499-ae47-db5bcd2d0435}" id="{458bedd6-2841-4529-b46f-007b0edd0dcf}" done="0">
    <x18tc:text xml:space="preserve">https://drive.google.com/file/d/19gQLKS68SWroW6Ev-xWMoSdcQd1CDtnX/view?usp=drive_link</x18tc:text>
    <x18tc:extLst>
      <ext uri="{F7C98A9C-CBB3-438F-8F68-D28B6AF4A901}">
        <xltc2:checksum/>
        <xltc2:hyperlink startIndex="0" length="85" url="https://drive.google.com/file/d/19gQLKS68SWroW6Ev-xWMoSdcQd1CDtnX/view?usp=drive_link"/>
      </ext>
    </x18tc:extLst>
  </x18tc:threadedComment>
  <x18tc:threadedComment ref="K494" dT="2026-03-02T22:10:26.00" personId="{4df2d6c4-e43e-4f2e-b623-d90f458472ff}" id="{002c8acb-3757-4c14-a9b2-df7fff959122}" done="0">
    <x18tc:text xml:space="preserve">https://drive.google.com/file/d/1bIlvJjwjCF8uBLJv0aHdCA7ZSOqQALmP/view?usp=drive_link</x18tc:text>
    <x18tc:extLst>
      <ext uri="{F7C98A9C-CBB3-438F-8F68-D28B6AF4A901}">
        <xltc2:checksum/>
        <xltc2:hyperlink startIndex="0" length="85" url="https://drive.google.com/file/d/1bIlvJjwjCF8uBLJv0aHdCA7ZSOqQALmP/view?usp=drive_link"/>
      </ext>
    </x18tc:extLst>
  </x18tc:threadedComment>
  <x18tc:threadedComment ref="Q699" dT="2026-04-22T20:08:49.00" personId="{a5d43f6d-3c72-4414-b012-8f52ef50acc4}" id="{28d0a394-97d0-4fdb-b18d-83b9c912b1f4}" done="1">
    <x18tc:text xml:space="preserve">Configuración inicial con formateo + eset nod + office 2024</x18tc:text>
  </x18tc:threadedComment>
  <x18tc:threadedComment ref="C339" dT="2025-11-24T21:21:33.00" personId="{d8e4f5ad-b65d-4160-a56f-197530fb7eb1}" id="{87899501-22b1-4012-9431-4631e6940a89}" done="0">
    <x18tc:text xml:space="preserve">https://www.microcenter.com/product/698178/lenovo-legion-5-15ahp10-153-gaming-laptop-computer-eclipse-black?storeid=185</x18tc:text>
    <x18tc:extLst>
      <ext uri="{F7C98A9C-CBB3-438F-8F68-D28B6AF4A901}">
        <xltc2:checksum/>
        <xltc2:hyperlink startIndex="0" length="119" url="https://www.microcenter.com/product/698178/lenovo-legion-5-15ahp10-153-gaming-laptop-computer-eclipse-black?storeid=185"/>
      </ext>
    </x18tc:extLst>
  </x18tc:threadedComment>
  <x18tc:threadedComment ref="J579" dT="2026-03-02T18:04:06.00" personId="{d8e4f5ad-b65d-4160-a56f-197530fb7eb1}" id="{e8d0a87b-6960-436a-8ea0-3ca770ebf70f}" done="0">
    <x18tc:text xml:space="preserve">https://drive.google.com/file/d/1hqW5y78JbhCeUhj1hq1tDvjEU-Iax3qQ/view?usp=drive_link</x18tc:text>
    <x18tc:extLst>
      <ext uri="{F7C98A9C-CBB3-438F-8F68-D28B6AF4A901}">
        <xltc2:checksum/>
        <xltc2:hyperlink startIndex="0" length="85" url="https://drive.google.com/file/d/1hqW5y78JbhCeUhj1hq1tDvjEU-Iax3qQ/view?usp=drive_link"/>
      </ext>
    </x18tc:extLst>
  </x18tc:threadedComment>
  <x18tc:threadedComment ref="J334" dT="2025-11-24T22:01:48.00" personId="{d8e4f5ad-b65d-4160-a56f-197530fb7eb1}" id="{c477eb10-ebad-4045-b6f4-92458744adce}" done="0">
    <x18tc:text xml:space="preserve">https://drive.google.com/file/d/1wA7tZqXy5nBtM0rw82kDZvKB39rK61Gc/view?usp=drive_link</x18tc:text>
    <x18tc:extLst>
      <ext uri="{F7C98A9C-CBB3-438F-8F68-D28B6AF4A901}">
        <xltc2:checksum/>
        <xltc2:hyperlink startIndex="0" length="85" url="https://drive.google.com/file/d/1wA7tZqXy5nBtM0rw82kDZvKB39rK61Gc/view?usp=drive_link"/>
      </ext>
    </x18tc:extLst>
  </x18tc:threadedComment>
  <x18tc:threadedComment ref="J334" dT="2025-12-05T19:11:56.00" personId="{4df2d6c4-e43e-4f2e-b623-d90f458472ff}" id="{8e472939-fbce-47d4-a25d-eed74114fcfa}" parentId="{c477eb10-ebad-4045-b6f4-92458744adce}">
    <x18tc:text xml:space="preserve">https://drive.google.com/file/d/1MxfT0PQLL63iGVFJvOpITHLGSDYhyn-O/view?usp=drive_link</x18tc:text>
    <x18tc:extLst>
      <ext uri="{F7C98A9C-CBB3-438F-8F68-D28B6AF4A901}">
        <xltc2:checksum/>
        <xltc2:hyperlink startIndex="0" length="85" url="https://drive.google.com/file/d/1MxfT0PQLL63iGVFJvOpITHLGSDYhyn-O/view?usp=drive_link"/>
      </ext>
    </x18tc:extLst>
  </x18tc:threadedComment>
  <x18tc:threadedComment ref="R689" dT="2026-05-20T00:35:48.00" personId="{d8e4f5ad-b65d-4160-a56f-197530fb7eb1}" id="{f3eb83e6-df35-431c-b062-88f0115d982c}" done="0">
    <x18tc:text xml:space="preserve">https://drive.google.com/file/d/1Q9it4IVyar53znszV1aAaixb39uCDMdl/view?usp=drive_link</x18tc:text>
    <x18tc:extLst>
      <ext uri="{F7C98A9C-CBB3-438F-8F68-D28B6AF4A901}">
        <xltc2:checksum/>
        <xltc2:hyperlink startIndex="0" length="85" url="https://drive.google.com/file/d/1Q9it4IVyar53znszV1aAaixb39uCDMdl/view?usp=drive_link"/>
      </ext>
    </x18tc:extLst>
  </x18tc:threadedComment>
  <x18tc:threadedComment ref="C226" dT="2025-09-10T21:21:00.00" personId="{a5d43f6d-3c72-4414-b012-8f52ef50acc4}" id="{4ec19175-729c-424a-8a3c-e3031be51eb9}" done="0">
    <x18tc:text xml:space="preserve">https://www.ebay.com/itm/197444303642?_skw=zephyrus&amp;itmmeta=01K4T6VJNYJ6P31VAPETBEYJ8S&amp;hash=item2df898fb1a:g:npkAAeSwwaRov~8v</x18tc:text>
    <x18tc:extLst>
      <ext uri="{F7C98A9C-CBB3-438F-8F68-D28B6AF4A901}">
        <xltc2:checksum/>
        <xltc2:hyperlink startIndex="0" length="125" url="https://www.ebay.com/itm/197444303642?_skw=zephyrus&amp;itmmeta=01K4T6VJNYJ6P31VAPETBEYJ8S&amp;hash=item2df898fb1a:g:npkAAeSwwaRov~8v"/>
      </ext>
    </x18tc:extLst>
  </x18tc:threadedComment>
  <x18tc:threadedComment ref="J119" dT="2025-07-13T01:36:25.00" personId="{d8e4f5ad-b65d-4160-a56f-197530fb7eb1}" id="{ea96c689-6907-44e3-a06d-33bf34638800}" done="0">
    <x18tc:text xml:space="preserve">https://drive.google.com/file/d/1YsaRN1v0pdOX_oxyNn5qLqI4kZR--Xll/view?usp=drive_link</x18tc:text>
    <x18tc:extLst>
      <ext uri="{F7C98A9C-CBB3-438F-8F68-D28B6AF4A901}">
        <xltc2:checksum/>
        <xltc2:hyperlink startIndex="0" length="85" url="https://drive.google.com/file/d/1YsaRN1v0pdOX_oxyNn5qLqI4kZR--Xll/view?usp=drive_link"/>
      </ext>
    </x18tc:extLst>
  </x18tc:threadedComment>
  <x18tc:threadedComment ref="J750" dT="2026-05-20T00:00:41.00" personId="{f9b224d0-ee33-4499-ae47-db5bcd2d0435}" id="{66e6e584-993b-4f96-abdd-993d6d608411}" done="0">
    <x18tc:text xml:space="preserve">https://drive.google.com/file/d/1VvAqimM_s7kdS3wmRlW4GZdDCFy7ltDh/view?usp=drive_link</x18tc:text>
    <x18tc:extLst>
      <ext uri="{F7C98A9C-CBB3-438F-8F68-D28B6AF4A901}">
        <xltc2:checksum/>
        <xltc2:hyperlink startIndex="0" length="85" url="https://drive.google.com/file/d/1VvAqimM_s7kdS3wmRlW4GZdDCFy7ltDh/view?usp=drive_link"/>
      </ext>
    </x18tc:extLst>
  </x18tc:threadedComment>
  <x18tc:threadedComment ref="Z206" dT="2025-09-10T21:20:15.00" personId="{d8e4f5ad-b65d-4160-a56f-197530fb7eb1}" id="{dc7dc146-424b-4fe5-8d33-2652ee868b48}" done="0">
    <x18tc:text xml:space="preserve">https://drive.google.com/file/d/1AXSiAE4PEmRUVZfg7dL6UHbl2AaNaBtw/view?usp=drive_link</x18tc:text>
    <x18tc:extLst>
      <ext uri="{F7C98A9C-CBB3-438F-8F68-D28B6AF4A901}">
        <xltc2:checksum/>
        <xltc2:hyperlink startIndex="0" length="85" url="https://drive.google.com/file/d/1AXSiAE4PEmRUVZfg7dL6UHbl2AaNaBtw/view?usp=drive_link"/>
      </ext>
    </x18tc:extLst>
  </x18tc:threadedComment>
  <x18tc:threadedComment ref="J176" dT="2025-08-19T16:03:26.00" personId="{a5d43f6d-3c72-4414-b012-8f52ef50acc4}" id="{bd876a9d-e969-4a6e-9484-b08c050a6d24}" done="0">
    <x18tc:text xml:space="preserve">https://drive.google.com/file/d/12I1GNcZ2qP2OShTCR3vynA1zMWJn3oCJ/view?usp=drive_link</x18tc:text>
    <x18tc:extLst>
      <ext uri="{F7C98A9C-CBB3-438F-8F68-D28B6AF4A901}">
        <xltc2:checksum/>
        <xltc2:hyperlink startIndex="0" length="85" url="https://drive.google.com/file/d/12I1GNcZ2qP2OShTCR3vynA1zMWJn3oCJ/view?usp=drive_link"/>
      </ext>
    </x18tc:extLst>
  </x18tc:threadedComment>
  <x18tc:threadedComment ref="C119" dT="2025-07-13T01:34:07.00" personId="{d8e4f5ad-b65d-4160-a56f-197530fb7eb1}" id="{46fd4010-2f80-4145-83e5-fcf6a38caf90}" done="0">
    <x18tc:text xml:space="preserve">https://www.bestbuy.com/site/asus-rog-strix-g16-16-fhd-165hz-gaming-laptop-amd-ryzen-9-hx-16gb-ram-nvidia-geforce-rtx-5070-ti-1tb-ssd-eclipse-grey/6613956.p?skuId=6613956</x18tc:text>
    <x18tc:extLst>
      <ext uri="{F7C98A9C-CBB3-438F-8F68-D28B6AF4A901}">
        <xltc2:checksum/>
        <xltc2:hyperlink startIndex="0" length="170" url="https://www.bestbuy.com/site/asus-rog-strix-g16-16-fhd-165hz-gaming-laptop-amd-ryzen-9-hx-16gb-ram-nvidia-geforce-rtx-5070-ti-1tb-ssd-eclipse-grey/6613956.p?skuId=6613956"/>
      </ext>
    </x18tc:extLst>
  </x18tc:threadedComment>
  <x18tc:threadedComment ref="J31" dT="2025-04-28T22:51:54.00" personId="{d8e4f5ad-b65d-4160-a56f-197530fb7eb1}" id="{0519bf59-424c-417c-aff1-8fa2bfbacbad}" done="0">
    <x18tc:text xml:space="preserve">https://drive.google.com/file/d/1cVY2Zs7wrjl7wPAAj81kimDL_xc_IMxn/view?usp=drive_link</x18tc:text>
    <x18tc:extLst>
      <ext uri="{F7C98A9C-CBB3-438F-8F68-D28B6AF4A901}">
        <xltc2:checksum/>
        <xltc2:hyperlink startIndex="0" length="85" url="https://drive.google.com/file/d/1cVY2Zs7wrjl7wPAAj81kimDL_xc_IMxn/view?usp=drive_link"/>
      </ext>
    </x18tc:extLst>
  </x18tc:threadedComment>
  <x18tc:threadedComment ref="K671" dT="2026-05-19T20:59:26.00" personId="{f9b224d0-ee33-4499-ae47-db5bcd2d0435}" id="{bf4452d7-4208-469c-8546-614d1f4a739f}" done="0">
    <x18tc:text xml:space="preserve">https://drive.google.com/file/d/15v3c6LA0J7O4WKEsQw0-HXxb6reKVGwN/view?usp=drive_link</x18tc:text>
    <x18tc:extLst>
      <ext uri="{F7C98A9C-CBB3-438F-8F68-D28B6AF4A901}">
        <xltc2:checksum/>
        <xltc2:hyperlink startIndex="0" length="85" url="https://drive.google.com/file/d/15v3c6LA0J7O4WKEsQw0-HXxb6reKVGwN/view?usp=drive_link"/>
      </ext>
    </x18tc:extLst>
  </x18tc:threadedComment>
  <x18tc:threadedComment ref="J678" dT="2026-04-11T22:11:08.00" personId="{d8e4f5ad-b65d-4160-a56f-197530fb7eb1}" id="{1e9a027c-325b-45fb-95b6-8cbead258742}" done="0">
    <x18tc:text xml:space="preserve">https://drive.google.com/file/d/17kVNvKdIBoiFlEsLvh2-4wSASwesIapK/view?usp=drive_link</x18tc:text>
    <x18tc:extLst>
      <ext uri="{F7C98A9C-CBB3-438F-8F68-D28B6AF4A901}">
        <xltc2:checksum/>
        <xltc2:hyperlink startIndex="0" length="85" url="https://drive.google.com/file/d/17kVNvKdIBoiFlEsLvh2-4wSASwesIapK/view?usp=drive_link"/>
      </ext>
    </x18tc:extLst>
  </x18tc:threadedComment>
  <x18tc:threadedComment ref="AF633" dT="2026-04-09T17:14:09.00" personId="{2ddfa542-8116-4937-a057-08470d7abaab}" id="{a189a087-894c-47f9-8218-76cd1c6c105d}" done="1">
    <x18tc:text xml:space="preserve">Venta final, excedentes, fixit</x18tc:text>
  </x18tc:threadedComment>
  <x18tc:threadedComment ref="J749" dT="2026-05-25T16:54:03.00" personId="{4df2d6c4-e43e-4f2e-b623-d90f458472ff}" id="{7d1717d4-59de-41f4-9abe-953bbe8dc274}" done="0">
    <x18tc:text xml:space="preserve">https://drive.google.com/file/d/1xE9ybBllyqABewj6JdFc8oRigu4EVIZG/view?usp=drive_link</x18tc:text>
    <x18tc:extLst>
      <ext uri="{F7C98A9C-CBB3-438F-8F68-D28B6AF4A901}">
        <xltc2:checksum/>
        <xltc2:hyperlink startIndex="0" length="85" url="https://drive.google.com/file/d/1xE9ybBllyqABewj6JdFc8oRigu4EVIZG/view?usp=drive_link"/>
      </ext>
    </x18tc:extLst>
  </x18tc:threadedComment>
  <x18tc:threadedComment ref="J333" dT="2025-11-24T22:01:15.00" personId="{d8e4f5ad-b65d-4160-a56f-197530fb7eb1}" id="{d3880eb4-5fe9-4844-86a9-fa265f91fc4a}" done="0">
    <x18tc:text xml:space="preserve">https://drive.google.com/file/d/1sgK68aLQXBqqtkCf8MUbScbdWv5OxPcb/view?usp=drive_link</x18tc:text>
    <x18tc:extLst>
      <ext uri="{F7C98A9C-CBB3-438F-8F68-D28B6AF4A901}">
        <xltc2:checksum/>
        <xltc2:hyperlink startIndex="0" length="85" url="https://drive.google.com/file/d/1sgK68aLQXBqqtkCf8MUbScbdWv5OxPcb/view?usp=drive_link"/>
      </ext>
    </x18tc:extLst>
  </x18tc:threadedComment>
  <x18tc:threadedComment ref="K699" dT="2026-05-19T17:12:26.00" personId="{d8e4f5ad-b65d-4160-a56f-197530fb7eb1}" id="{e87653e4-1f57-4acb-9f78-857aa117cf1e}" done="0">
    <x18tc:text xml:space="preserve">https://drive.google.com/file/d/13j30hdNC3tG9kTpVPFjp9VAt2t7Tv_c4/view?usp=drive_link</x18tc:text>
    <x18tc:extLst>
      <ext uri="{F7C98A9C-CBB3-438F-8F68-D28B6AF4A901}">
        <xltc2:checksum/>
        <xltc2:hyperlink startIndex="0" length="85" url="https://drive.google.com/file/d/13j30hdNC3tG9kTpVPFjp9VAt2t7Tv_c4/view?usp=drive_link"/>
      </ext>
    </x18tc:extLst>
  </x18tc:threadedComment>
  <x18tc:threadedComment ref="J701" dT="2026-04-22T21:50:52.00" personId="{a5d43f6d-3c72-4414-b012-8f52ef50acc4}" id="{d7b31485-3a14-418c-8d5c-30f0dbc35828}" done="0">
    <x18tc:text xml:space="preserve">https://drive.google.com/file/d/1nxNEOmi-5uyUnCwBzg8LmAFzbyzS-b8K/view?usp=drive_link</x18tc:text>
    <x18tc:extLst>
      <ext uri="{F7C98A9C-CBB3-438F-8F68-D28B6AF4A901}">
        <xltc2:checksum/>
        <xltc2:hyperlink startIndex="0" length="85" url="https://drive.google.com/file/d/1nxNEOmi-5uyUnCwBzg8LmAFzbyzS-b8K/view?usp=drive_link"/>
      </ext>
    </x18tc:extLst>
  </x18tc:threadedComment>
  <x18tc:threadedComment ref="K319" dT="2025-11-24T22:07:11.00" personId="{d8e4f5ad-b65d-4160-a56f-197530fb7eb1}" id="{2f50ad8e-aa93-4f4c-9c54-d4f992cb6b98}" done="0">
    <x18tc:text xml:space="preserve">https://drive.google.com/file/d/17wCyRcPkbc9GwBSCxB1OgsAeQUP-ZuCv/view?usp=drive_link</x18tc:text>
    <x18tc:extLst>
      <ext uri="{F7C98A9C-CBB3-438F-8F68-D28B6AF4A901}">
        <xltc2:checksum/>
        <xltc2:hyperlink startIndex="0" length="85" url="https://drive.google.com/file/d/17wCyRcPkbc9GwBSCxB1OgsAeQUP-ZuCv/view?usp=drive_link"/>
      </ext>
    </x18tc:extLst>
  </x18tc:threadedComment>
  <x18tc:threadedComment ref="K319" dT="2025-11-24T22:07:36.00" personId="{d8e4f5ad-b65d-4160-a56f-197530fb7eb1}" id="{af4cc8a7-9501-4e30-a024-2a8cd4a40848}" parentId="{2f50ad8e-aa93-4f4c-9c54-d4f992cb6b98}">
    <x18tc:text xml:space="preserve">https://drive.google.com/file/d/11kQlnn0fhkR9UxjErAYzbs21wwv60aKq/view?usp=drive_link</x18tc:text>
    <x18tc:extLst>
      <ext uri="{F7C98A9C-CBB3-438F-8F68-D28B6AF4A901}">
        <xltc2:checksum/>
        <xltc2:hyperlink startIndex="0" length="85" url="https://drive.google.com/file/d/11kQlnn0fhkR9UxjErAYzbs21wwv60aKq/view?usp=drive_link"/>
      </ext>
    </x18tc:extLst>
  </x18tc:threadedComment>
  <x18tc:threadedComment ref="J328" dT="2025-11-24T22:05:40.00" personId="{d8e4f5ad-b65d-4160-a56f-197530fb7eb1}" id="{39e844a1-ae9c-4e03-89bb-f7ad0179bb53}" done="0">
    <x18tc:text xml:space="preserve">https://drive.google.com/file/d/1-fKaDI-7EuW8d1b6GOVbHCWthUdntIHN/view?usp=drive_link</x18tc:text>
    <x18tc:extLst>
      <ext uri="{F7C98A9C-CBB3-438F-8F68-D28B6AF4A901}">
        <xltc2:checksum/>
        <xltc2:hyperlink startIndex="0" length="85" url="https://drive.google.com/file/d/1-fKaDI-7EuW8d1b6GOVbHCWthUdntIHN/view?usp=drive_link"/>
      </ext>
    </x18tc:extLst>
  </x18tc:threadedComment>
  <x18tc:threadedComment ref="C723" dT="2026-04-20T16:41:52.00" personId="{80195d68-4e9b-4dc7-a031-ca5391c97d0f}" id="{ab6df4a2-a821-4fd4-ab0e-ec1110332ef4}" done="0">
    <x18tc:text xml:space="preserve">https://www.ebay.com/itm/326655425561</x18tc:text>
    <x18tc:extLst>
      <ext uri="{F7C98A9C-CBB3-438F-8F68-D28B6AF4A901}">
        <xltc2:checksum/>
        <xltc2:hyperlink startIndex="0" length="37" url="https://www.ebay.com/itm/326655425561"/>
      </ext>
    </x18tc:extLst>
  </x18tc:threadedComment>
  <x18tc:threadedComment ref="K736" dT="2026-05-19T17:31:34.00" personId="{f9b224d0-ee33-4499-ae47-db5bcd2d0435}" id="{d048ed71-b212-4ee5-9050-c3544227ebb3}" done="0">
    <x18tc:text xml:space="preserve">https://drive.google.com/file/d/151wXeAD6QjR-IGVx5kvnB0aJEqzci4QQ/view?usp=drive_link</x18tc:text>
    <x18tc:extLst>
      <ext uri="{F7C98A9C-CBB3-438F-8F68-D28B6AF4A901}">
        <xltc2:checksum/>
        <xltc2:hyperlink startIndex="0" length="85" url="https://drive.google.com/file/d/151wXeAD6QjR-IGVx5kvnB0aJEqzci4QQ/view?usp=drive_link"/>
      </ext>
    </x18tc:extLst>
  </x18tc:threadedComment>
  <x18tc:threadedComment ref="K736" dT="2026-05-19T17:32:51.00" personId="{f9b224d0-ee33-4499-ae47-db5bcd2d0435}" id="{ea59791a-583e-4853-b610-074107dfda17}" parentId="{d048ed71-b212-4ee5-9050-c3544227ebb3}">
    <x18tc:text xml:space="preserve">https://drive.google.com/file/d/1qEB6h4CThQUmQydL6ai7AMfMGejvgDsO/view?usp=drive_link</x18tc:text>
    <x18tc:extLst>
      <ext uri="{F7C98A9C-CBB3-438F-8F68-D28B6AF4A901}">
        <xltc2:checksum/>
        <xltc2:hyperlink startIndex="0" length="85" url="https://drive.google.com/file/d/1qEB6h4CThQUmQydL6ai7AMfMGejvgDsO/view?usp=drive_link"/>
      </ext>
    </x18tc:extLst>
  </x18tc:threadedComment>
  <x18tc:threadedComment ref="U759" dT="2026-06-23T15:49:34.00" personId="{80195d68-4e9b-4dc7-a031-ca5391c97d0f}" id="{6b804bf4-52c1-479e-b633-8ac5e78d3d9c}" done="0">
    <x18tc:text xml:space="preserve">comision culqui</x18tc:text>
  </x18tc:threadedComment>
  <x18tc:threadedComment ref="J335" dT="2025-11-24T22:02:09.00" personId="{d8e4f5ad-b65d-4160-a56f-197530fb7eb1}" id="{ffe9d3f7-3156-4125-8b9c-5279b3a24e7a}" done="0">
    <x18tc:text xml:space="preserve">https://drive.google.com/file/d/1xp0r9_ZyzE9USqoGRhr4kYVkvXozM9dY/view?usp=drive_link</x18tc:text>
    <x18tc:extLst>
      <ext uri="{F7C98A9C-CBB3-438F-8F68-D28B6AF4A901}">
        <xltc2:checksum/>
        <xltc2:hyperlink startIndex="0" length="85" url="https://drive.google.com/file/d/1xp0r9_ZyzE9USqoGRhr4kYVkvXozM9dY/view?usp=drive_link"/>
      </ext>
    </x18tc:extLst>
  </x18tc:threadedComment>
  <x18tc:threadedComment ref="C169" dT="2025-08-12T15:53:41.00" personId="{d8e4f5ad-b65d-4160-a56f-197530fb7eb1}" id="{74ce98ab-be47-4afd-8cf1-223dc0063546}" done="0">
    <x18tc:text xml:space="preserve">https://shop.asus.com/us/rog/90nr0ls1-m003k0-rog-strix-scar-18-2025.html?config=90NR0LS1-M003K0</x18tc:text>
    <x18tc:extLst>
      <ext uri="{F7C98A9C-CBB3-438F-8F68-D28B6AF4A901}">
        <xltc2:checksum/>
        <xltc2:hyperlink startIndex="0" length="95" url="https://shop.asus.com/us/rog/90nr0ls1-m003k0-rog-strix-scar-18-2025.html?config=90NR0LS1-M003K0"/>
      </ext>
    </x18tc:extLst>
  </x18tc:threadedComment>
  <x18tc:threadedComment ref="AF579" dT="2026-03-22T06:20:10.00" personId="{2ddfa542-8116-4937-a057-08470d7abaab}" id="{d8c9c865-cb5a-406d-a2ff-49c2e546f2a8}" done="1">
    <x18tc:text xml:space="preserve">falta precio final</x18tc:text>
  </x18tc:threadedComment>
  <x18tc:threadedComment ref="E723" dT="2026-04-20T16:42:23.00" personId="{80195d68-4e9b-4dc7-a031-ca5391c97d0f}" id="{29a7b9b2-581e-450a-8d97-e2ec2d3f1001}" done="0">
    <x18tc:text xml:space="preserve">comprar cuando baje de precio</x18tc:text>
  </x18tc:threadedComment>
  <x18tc:threadedComment ref="K465" dT="2026-03-02T21:57:47.00" personId="{4df2d6c4-e43e-4f2e-b623-d90f458472ff}" id="{8ce6c1ea-0943-4b7f-9e4c-4cb3d09fc89e}" done="0">
    <x18tc:text xml:space="preserve">https://drive.google.com/file/d/14CRk_kXx7JuMfCIAna-5fUPv9tn6dmdv/view?usp=drive_link</x18tc:text>
    <x18tc:extLst>
      <ext uri="{F7C98A9C-CBB3-438F-8F68-D28B6AF4A901}">
        <xltc2:checksum/>
        <xltc2:hyperlink startIndex="0" length="85" url="https://drive.google.com/file/d/14CRk_kXx7JuMfCIAna-5fUPv9tn6dmdv/view?usp=drive_link"/>
      </ext>
    </x18tc:extLst>
  </x18tc:threadedComment>
  <x18tc:threadedComment ref="K465" dT="2026-03-02T21:58:01.00" personId="{4df2d6c4-e43e-4f2e-b623-d90f458472ff}" id="{af8328f6-d5d5-46d8-9f2d-308667aabcbf}" parentId="{8ce6c1ea-0943-4b7f-9e4c-4cb3d09fc89e}">
    <x18tc:text xml:space="preserve">https://drive.google.com/file/d/1S2BueEDBYvfrQwG8ftW0dnC1uAM8F6CI/view?usp=drive_link</x18tc:text>
    <x18tc:extLst>
      <ext uri="{F7C98A9C-CBB3-438F-8F68-D28B6AF4A901}">
        <xltc2:checksum/>
        <xltc2:hyperlink startIndex="0" length="85" url="https://drive.google.com/file/d/1S2BueEDBYvfrQwG8ftW0dnC1uAM8F6CI/view?usp=drive_link"/>
      </ext>
    </x18tc:extLst>
  </x18tc:threadedComment>
  <x18tc:threadedComment ref="K703" dT="2026-05-19T18:38:53.00" personId="{d8e4f5ad-b65d-4160-a56f-197530fb7eb1}" id="{6d77deeb-ba23-47ad-b958-8a89594c53bc}" done="0">
    <x18tc:text xml:space="preserve">https://drive.google.com/file/d/1PkBIjSuoNN2G2M3qvjj335ZKw9LiKWlw/view?usp=drive_link</x18tc:text>
    <x18tc:extLst>
      <ext uri="{F7C98A9C-CBB3-438F-8F68-D28B6AF4A901}">
        <xltc2:checksum/>
        <xltc2:hyperlink startIndex="0" length="85" url="https://drive.google.com/file/d/1PkBIjSuoNN2G2M3qvjj335ZKw9LiKWlw/view?usp=drive_link"/>
      </ext>
    </x18tc:extLst>
  </x18tc:threadedComment>
  <x18tc:threadedComment ref="K463" dT="2026-03-02T21:30:01.00" personId="{4df2d6c4-e43e-4f2e-b623-d90f458472ff}" id="{5a277660-d1ba-4322-b729-6fe10cd11cd3}" done="0">
    <x18tc:text xml:space="preserve">https://drive.google.com/file/d/1Dn-XywzsnTIGVkI2kRztp_1yMdik40zl/view?usp=drive_link</x18tc:text>
    <x18tc:extLst>
      <ext uri="{F7C98A9C-CBB3-438F-8F68-D28B6AF4A901}">
        <xltc2:checksum/>
        <xltc2:hyperlink startIndex="0" length="85" url="https://drive.google.com/file/d/1Dn-XywzsnTIGVkI2kRztp_1yMdik40zl/view?usp=drive_link"/>
      </ext>
    </x18tc:extLst>
  </x18tc:threadedComment>
  <x18tc:threadedComment ref="A1" dT="2026-04-22T22:54:06.00" personId="{d8e4f5ad-b65d-4160-a56f-197530fb7eb1}" id="{6c6a76bd-9da6-45bc-a897-cf41dba2591b}" done="0">
    <x18tc:text xml:space="preserve">https://drive.google.com/file/d/11SkTwpgch_4i-uT6RW_cZChZdzO60lUs/view?usp=drive_link</x18tc:text>
    <x18tc:extLst>
      <ext uri="{F7C98A9C-CBB3-438F-8F68-D28B6AF4A901}">
        <xltc2:checksum/>
        <xltc2:hyperlink startIndex="0" length="85" url="https://drive.google.com/file/d/11SkTwpgch_4i-uT6RW_cZChZdzO60lUs/view?usp=drive_link"/>
      </ext>
    </x18tc:extLst>
  </x18tc:threadedComment>
  <x18tc:threadedComment ref="K278" dT="2025-11-24T22:12:04.00" personId="{d8e4f5ad-b65d-4160-a56f-197530fb7eb1}" id="{e2856b36-717b-49bf-8ac9-ce5c273d7ec4}" done="0">
    <x18tc:text xml:space="preserve">https://drive.google.com/file/d/1t87jdoDAAhxMdiMe6dNhxUbcQNVXM32C/view?usp=drive_link</x18tc:text>
    <x18tc:extLst>
      <ext uri="{F7C98A9C-CBB3-438F-8F68-D28B6AF4A901}">
        <xltc2:checksum/>
        <xltc2:hyperlink startIndex="0" length="85" url="https://drive.google.com/file/d/1t87jdoDAAhxMdiMe6dNhxUbcQNVXM32C/view?usp=drive_link"/>
      </ext>
    </x18tc:extLst>
  </x18tc:threadedComment>
  <x18tc:threadedComment ref="J241" dT="2025-09-24T19:16:02.00" personId="{a5d43f6d-3c72-4414-b012-8f52ef50acc4}" id="{0ac21265-6bab-4d76-8824-32987e9afd9d}" done="0">
    <x18tc:text xml:space="preserve">https://drive.google.com/file/d/1hoiCnFoz3euVszkC8NooGhj6vmMZWdmT/view?usp=drive_link</x18tc:text>
    <x18tc:extLst>
      <ext uri="{F7C98A9C-CBB3-438F-8F68-D28B6AF4A901}">
        <xltc2:checksum/>
        <xltc2:hyperlink startIndex="0" length="85" url="https://drive.google.com/file/d/1hoiCnFoz3euVszkC8NooGhj6vmMZWdmT/view?usp=drive_link"/>
      </ext>
    </x18tc:extLst>
  </x18tc:threadedComment>
  <x18tc:threadedComment ref="L254" dT="2025-10-21T01:15:33.00" personId="{d8e4f5ad-b65d-4160-a56f-197530fb7eb1}" id="{23cfdff5-61da-4130-9574-9dc4f29f93c9}" done="0">
    <x18tc:text xml:space="preserve">https://drive.google.com/file/d/10sCRKBfB75Ot5qfqXxWH_BbCyp3XSzjf/view?usp=drive_link</x18tc:text>
    <x18tc:extLst>
      <ext uri="{F7C98A9C-CBB3-438F-8F68-D28B6AF4A901}">
        <xltc2:checksum/>
        <xltc2:hyperlink startIndex="0" length="85" url="https://drive.google.com/file/d/10sCRKBfB75Ot5qfqXxWH_BbCyp3XSzjf/view?usp=drive_link"/>
      </ext>
    </x18tc:extLst>
  </x18tc:threadedComment>
  <x18tc:threadedComment ref="L254" dT="2025-10-21T01:15:51.00" personId="{d8e4f5ad-b65d-4160-a56f-197530fb7eb1}" id="{5adc15c8-45ce-455f-818e-8dcfc1ec8a78}" parentId="{23cfdff5-61da-4130-9574-9dc4f29f93c9}">
    <x18tc:text xml:space="preserve">https://drive.google.com/file/d/1IeQgFs5Iwq_Ihn4FLT_APA0ajlQmihQN/view?usp=drive_link</x18tc:text>
    <x18tc:extLst>
      <ext uri="{F7C98A9C-CBB3-438F-8F68-D28B6AF4A901}">
        <xltc2:checksum/>
        <xltc2:hyperlink startIndex="0" length="85" url="https://drive.google.com/file/d/1IeQgFs5Iwq_Ihn4FLT_APA0ajlQmihQN/view?usp=drive_link"/>
      </ext>
    </x18tc:extLst>
  </x18tc:threadedComment>
  <x18tc:threadedComment ref="L254" dT="2025-10-21T01:16:05.00" personId="{d8e4f5ad-b65d-4160-a56f-197530fb7eb1}" id="{d4e870d1-3dd8-4d48-8f39-93828c9734f1}" parentId="{23cfdff5-61da-4130-9574-9dc4f29f93c9}">
    <x18tc:text xml:space="preserve">https://drive.google.com/file/d/1epKdjEPO8xJYJ8nSNovu6pKMUnrWNZzj/view?usp=drive_link</x18tc:text>
    <x18tc:extLst>
      <ext uri="{F7C98A9C-CBB3-438F-8F68-D28B6AF4A901}">
        <xltc2:checksum/>
        <xltc2:hyperlink startIndex="0" length="85" url="https://drive.google.com/file/d/1epKdjEPO8xJYJ8nSNovu6pKMUnrWNZzj/view?usp=drive_link"/>
      </ext>
    </x18tc:extLst>
  </x18tc:threadedComment>
  <x18tc:threadedComment ref="L254" dT="2025-10-21T01:17:19.00" personId="{d8e4f5ad-b65d-4160-a56f-197530fb7eb1}" id="{153a0364-63c8-411b-a33c-8805301c4851}" parentId="{23cfdff5-61da-4130-9574-9dc4f29f93c9}">
    <x18tc:text xml:space="preserve">https://drive.google.com/file/d/15KgN4hGfip7nfpOdzxf2URHbDeSlk8Ik/view?usp=drive_link</x18tc:text>
    <x18tc:extLst>
      <ext uri="{F7C98A9C-CBB3-438F-8F68-D28B6AF4A901}">
        <xltc2:checksum/>
        <xltc2:hyperlink startIndex="0" length="85" url="https://drive.google.com/file/d/15KgN4hGfip7nfpOdzxf2URHbDeSlk8Ik/view?usp=drive_link"/>
      </ext>
    </x18tc:extLst>
  </x18tc:threadedComment>
  <x18tc:threadedComment ref="L254" dT="2025-10-21T01:22:12.00" personId="{d8e4f5ad-b65d-4160-a56f-197530fb7eb1}" id="{5a053a2c-7b34-4788-93dd-97876ee1eb2b}" parentId="{23cfdff5-61da-4130-9574-9dc4f29f93c9}">
    <x18tc:text xml:space="preserve">https://drive.google.com/file/d/1JCEv8eeuTauIRMC8FsEiElfPr6JU0cr0/view?usp=drive_link</x18tc:text>
    <x18tc:extLst>
      <ext uri="{F7C98A9C-CBB3-438F-8F68-D28B6AF4A901}">
        <xltc2:checksum/>
        <xltc2:hyperlink startIndex="0" length="85" url="https://drive.google.com/file/d/1JCEv8eeuTauIRMC8FsEiElfPr6JU0cr0/view?usp=drive_link"/>
      </ext>
    </x18tc:extLst>
  </x18tc:threadedComment>
  <x18tc:threadedComment ref="W254" dT="2025-10-21T01:53:13.00" personId="{d8e4f5ad-b65d-4160-a56f-197530fb7eb1}" id="{f8efcdd7-cc44-47b1-a780-276d2596b6d3}" done="0">
    <x18tc:text xml:space="preserve">https://drive.google.com/file/d/1-ICYIxiIYbiahUFVgYp7nukAyyb-IEib/view?usp=drive_link</x18tc:text>
    <x18tc:extLst>
      <ext uri="{F7C98A9C-CBB3-438F-8F68-D28B6AF4A901}">
        <xltc2:checksum/>
        <xltc2:hyperlink startIndex="0" length="85" url="https://drive.google.com/file/d/1-ICYIxiIYbiahUFVgYp7nukAyyb-IEib/view?usp=drive_link"/>
      </ext>
    </x18tc:extLst>
  </x18tc:threadedComment>
  <x18tc:threadedComment ref="K462" dT="2026-01-07T20:37:21.00" personId="{4df2d6c4-e43e-4f2e-b623-d90f458472ff}" id="{ed57cf8a-a388-4025-bcd3-ecba4145e384}" done="0">
    <x18tc:text xml:space="preserve">https://drive.google.com/file/d/1c7gcM8Ab9_B-bDb7ly60P0VELgFfcfgR/view?usp=drive_link</x18tc:text>
    <x18tc:extLst>
      <ext uri="{F7C98A9C-CBB3-438F-8F68-D28B6AF4A901}">
        <xltc2:checksum/>
        <xltc2:hyperlink startIndex="0" length="85" url="https://drive.google.com/file/d/1c7gcM8Ab9_B-bDb7ly60P0VELgFfcfgR/view?usp=drive_link"/>
      </ext>
    </x18tc:extLst>
  </x18tc:threadedComment>
  <x18tc:threadedComment ref="T707" dT="2026-05-22T17:51:15.00" personId="{d8e4f5ad-b65d-4160-a56f-197530fb7eb1}" id="{4ca621c7-4e50-46ae-9688-3378c07f4376}" done="0">
    <x18tc:text xml:space="preserve">apertura para cliente 716</x18tc:text>
  </x18tc:threadedComment>
  <x18tc:threadedComment ref="L259" dT="2025-10-21T01:10:13.00" personId="{d8e4f5ad-b65d-4160-a56f-197530fb7eb1}" id="{91cce1e9-5476-4086-a14e-ba220bfefb7e}" done="0">
    <x18tc:text xml:space="preserve">https://drive.google.com/file/d/1P6fdmEf1qEow2fCVPRXEEYxZ9GLTQvij/view?usp=drive_link</x18tc:text>
    <x18tc:extLst>
      <ext uri="{F7C98A9C-CBB3-438F-8F68-D28B6AF4A901}">
        <xltc2:checksum/>
        <xltc2:hyperlink startIndex="0" length="85" url="https://drive.google.com/file/d/1P6fdmEf1qEow2fCVPRXEEYxZ9GLTQvij/view?usp=drive_link"/>
      </ext>
    </x18tc:extLst>
  </x18tc:threadedComment>
  <x18tc:threadedComment ref="L259" dT="2025-10-21T01:10:34.00" personId="{d8e4f5ad-b65d-4160-a56f-197530fb7eb1}" id="{3245f3a5-1981-4687-a795-ef35ab9083ed}" parentId="{91cce1e9-5476-4086-a14e-ba220bfefb7e}">
    <x18tc:text xml:space="preserve">https://drive.google.com/file/d/1gnDKlWuPv-QS3FTYjnhIbxSIt_kn_2BC/view?usp=drive_link</x18tc:text>
    <x18tc:extLst>
      <ext uri="{F7C98A9C-CBB3-438F-8F68-D28B6AF4A901}">
        <xltc2:checksum/>
        <xltc2:hyperlink startIndex="0" length="85" url="https://drive.google.com/file/d/1gnDKlWuPv-QS3FTYjnhIbxSIt_kn_2BC/view?usp=drive_link"/>
      </ext>
    </x18tc:extLst>
  </x18tc:threadedComment>
  <x18tc:threadedComment ref="C716" dT="2026-04-29T16:11:21.00" personId="{d8e4f5ad-b65d-4160-a56f-197530fb7eb1}" id="{1ac986b1-5e5f-44f6-84da-365cb2aff204}"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K394" dT="2026-01-07T22:30:57.00" personId="{a5d43f6d-3c72-4414-b012-8f52ef50acc4}" id="{e3ab76fa-302f-43ec-b0bb-24ac23e71c5e}" done="0">
    <x18tc:text xml:space="preserve">https://drive.google.com/file/d/1QOCi9H5PUwPgDBVLtyeB0Jm80BfMlgAK/view?usp=drive_link</x18tc:text>
    <x18tc:extLst>
      <ext uri="{F7C98A9C-CBB3-438F-8F68-D28B6AF4A901}">
        <xltc2:checksum/>
        <xltc2:hyperlink startIndex="0" length="85" url="https://drive.google.com/file/d/1QOCi9H5PUwPgDBVLtyeB0Jm80BfMlgAK/view?usp=drive_link"/>
      </ext>
    </x18tc:extLst>
  </x18tc:threadedComment>
  <x18tc:threadedComment ref="C272" dT="2025-10-20T23:53:47.00" personId="{a5d43f6d-3c72-4414-b012-8f52ef50acc4}" id="{29be0131-6783-4112-ba75-709dfc664e66}" done="0">
    <x18tc:text xml:space="preserve">https://www.ebay.com/itm/226967926710?_skw=laptop+gaming+5060&amp;itmmeta=01K81580T6M9EPJVG2HBBGBA5T&amp;hash=item34d857b7b6:g:F2sAAeSwTKNo8oW4</x18tc:text>
    <x18tc:extLst>
      <ext uri="{F7C98A9C-CBB3-438F-8F68-D28B6AF4A901}">
        <xltc2:checksum/>
        <xltc2:hyperlink startIndex="0" length="135" url="https://www.ebay.com/itm/226967926710?_skw=laptop+gaming+5060&amp;itmmeta=01K81580T6M9EPJVG2HBBGBA5T&amp;hash=item34d857b7b6:g:F2sAAeSwTKNo8oW4"/>
      </ext>
    </x18tc:extLst>
  </x18tc:threadedComment>
  <x18tc:threadedComment ref="W259" dT="2025-10-21T01:39:35.00" personId="{d8e4f5ad-b65d-4160-a56f-197530fb7eb1}" id="{157f8cf7-3277-4993-b836-82cc07fa16e7}" done="0">
    <x18tc:text xml:space="preserve">https://drive.google.com/file/d/1PdOhkjab3icnw0ZQyyqQ9kTrEuBygyZy/view?usp=drive_link</x18tc:text>
    <x18tc:extLst>
      <ext uri="{F7C98A9C-CBB3-438F-8F68-D28B6AF4A901}">
        <xltc2:checksum/>
        <xltc2:hyperlink startIndex="0" length="85" url="https://drive.google.com/file/d/1PdOhkjab3icnw0ZQyyqQ9kTrEuBygyZy/view?usp=drive_link"/>
      </ext>
    </x18tc:extLst>
  </x18tc:threadedComment>
  <x18tc:threadedComment ref="C254" dT="2025-09-30T17:38:40.00" personId="{d8e4f5ad-b65d-4160-a56f-197530fb7eb1}" id="{29a80c31-b661-42cb-a945-6699b3d7af21}" done="0">
    <x18tc:text xml:space="preserve">https://www.microcenter.com/product/692118/msi-raider-18-hx-ai-a2xwjg-416us-18-gaming-laptop-computer-core-black?storeid=185</x18tc:text>
    <x18tc:extLst>
      <ext uri="{F7C98A9C-CBB3-438F-8F68-D28B6AF4A901}">
        <xltc2:checksum/>
        <xltc2:hyperlink startIndex="0" length="124" url="https://www.microcenter.com/product/692118/msi-raider-18-hx-ai-a2xwjg-416us-18-gaming-laptop-computer-core-black?storeid=185"/>
      </ext>
    </x18tc:extLst>
  </x18tc:threadedComment>
  <x18tc:threadedComment ref="K533" dT="2026-03-05T22:03:39.00" personId="{2ddfa542-8116-4937-a057-08470d7abaab}" id="{449bddfb-48fd-433a-a224-c00858391600}" done="0">
    <x18tc:text xml:space="preserve">https://drive.google.com/open?id=1yg7_OxkRn2XToOQ0qnEq8fEiAEQJhC9s&amp;usp=drive_copy</x18tc:text>
    <x18tc:extLst>
      <ext uri="{F7C98A9C-CBB3-438F-8F68-D28B6AF4A901}">
        <xltc2:checksum/>
        <xltc2:hyperlink startIndex="0" length="81" url="https://drive.google.com/open?id=1yg7_OxkRn2XToOQ0qnEq8fEiAEQJhC9s&amp;usp=drive_copy"/>
      </ext>
    </x18tc:extLst>
  </x18tc:threadedComment>
  <x18tc:threadedComment ref="AF714" dT="2026-05-25T05:08:52.00" personId="{2ddfa542-8116-4937-a057-08470d7abaab}" id="{4854c02b-d208-4699-9a0f-619d81cdd1bd}" done="0">
    <x18tc:text xml:space="preserve">Pago final, Fixit, excedentes</x18tc:text>
  </x18tc:threadedComment>
  <x18tc:threadedComment ref="C394" dT="2025-12-05T21:43:01.00" personId="{a5d43f6d-3c72-4414-b012-8f52ef50acc4}" id="{cba959c8-9d7f-4b4c-8a10-be95a632d947}"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C512" dT="2026-01-30T20:01:05.00" personId="{4df2d6c4-e43e-4f2e-b623-d90f458472ff}" id="{f41d7253-5f00-4ea9-b7b5-53f71ada8738}"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C471" dT="2026-01-07T23:28:31.00" personId="{d8e4f5ad-b65d-4160-a56f-197530fb7eb1}" id="{a43c0f19-c953-4521-8b61-3eef12072d21}" done="0">
    <x18tc:text xml:space="preserve">https://www.ebay.com/itm/326840085180?_skw=laptop+gaming&amp;itmmeta=01KE98AQR48QZAKW98XR32B2HG&amp;hash=item4c192feabc:g:HFkAAeSwK2JpVzTk</x18tc:text>
    <x18tc:extLst>
      <ext uri="{F7C98A9C-CBB3-438F-8F68-D28B6AF4A901}">
        <xltc2:checksum/>
        <xltc2:hyperlink startIndex="0" length="130" url="https://www.ebay.com/itm/326840085180?_skw=laptop+gaming&amp;itmmeta=01KE98AQR48QZAKW98XR32B2HG&amp;hash=item4c192feabc:g:HFkAAeSwK2JpVzTk"/>
      </ext>
    </x18tc:extLst>
  </x18tc:threadedComment>
  <x18tc:threadedComment ref="N394" dT="2025-12-05T21:43:40.00" personId="{a5d43f6d-3c72-4414-b012-8f52ef50acc4}" id="{650e3668-42c3-4089-9ce0-3e6869de770f}" done="0">
    <x18tc:text xml:space="preserve">+15 de envio</x18tc:text>
  </x18tc:threadedComment>
  <x18tc:threadedComment ref="L273" dT="2025-10-21T02:00:30.00" personId="{4df2d6c4-e43e-4f2e-b623-d90f458472ff}" id="{4ddd5cef-dabc-4217-904d-bf58aa1bf379}" done="0">
    <x18tc:text xml:space="preserve">https://drive.google.com/file/d/19YT8cUT5cifo6ecJffMixAs1g-Csb4QH/view?usp=drive_link</x18tc:text>
    <x18tc:extLst>
      <ext uri="{F7C98A9C-CBB3-438F-8F68-D28B6AF4A901}">
        <xltc2:checksum/>
        <xltc2:hyperlink startIndex="0" length="85" url="https://drive.google.com/file/d/19YT8cUT5cifo6ecJffMixAs1g-Csb4QH/view?usp=drive_link"/>
      </ext>
    </x18tc:extLst>
  </x18tc:threadedComment>
  <x18tc:threadedComment ref="L273" dT="2025-10-21T02:00:46.00" personId="{4df2d6c4-e43e-4f2e-b623-d90f458472ff}" id="{f24f20aa-1796-4d88-bce7-54e3ad30ff78}" parentId="{4ddd5cef-dabc-4217-904d-bf58aa1bf379}">
    <x18tc:text xml:space="preserve">https://drive.google.com/file/d/1o_O-Cm7aOaZ3Ud9VxKvl3Wx3-Qb2pjV2/view?usp=drive_link</x18tc:text>
    <x18tc:extLst>
      <ext uri="{F7C98A9C-CBB3-438F-8F68-D28B6AF4A901}">
        <xltc2:checksum/>
        <xltc2:hyperlink startIndex="0" length="85" url="https://drive.google.com/file/d/1o_O-Cm7aOaZ3Ud9VxKvl3Wx3-Qb2pjV2/view?usp=drive_link"/>
      </ext>
    </x18tc:extLst>
  </x18tc:threadedComment>
  <x18tc:threadedComment ref="J471" dT="2026-01-08T00:42:11.00" personId="{d8e4f5ad-b65d-4160-a56f-197530fb7eb1}" id="{2ef48dd4-f4a8-424a-ac28-fa51c932579b}" done="0">
    <x18tc:text xml:space="preserve">https://drive.google.com/file/d/1aX-tFVpdkXxToBvSwWTzRpcNUwbcij35/view?usp=drive_link</x18tc:text>
    <x18tc:extLst>
      <ext uri="{F7C98A9C-CBB3-438F-8F68-D28B6AF4A901}">
        <xltc2:checksum/>
        <xltc2:hyperlink startIndex="0" length="85" url="https://drive.google.com/file/d/1aX-tFVpdkXxToBvSwWTzRpcNUwbcij35/view?usp=drive_link"/>
      </ext>
    </x18tc:extLst>
  </x18tc:threadedComment>
  <x18tc:threadedComment ref="J394" dT="2025-12-05T21:44:28.00" personId="{a5d43f6d-3c72-4414-b012-8f52ef50acc4}" id="{742631e7-0b29-4689-bc69-1a57ae64d56c}" done="0">
    <x18tc:text xml:space="preserve">https://drive.google.com/file/d/1e-_r2qNXVmta331UozIerXiXeB_TM0wE/view?usp=drive_link</x18tc:text>
    <x18tc:extLst>
      <ext uri="{F7C98A9C-CBB3-438F-8F68-D28B6AF4A901}">
        <xltc2:checksum/>
        <xltc2:hyperlink startIndex="0" length="85" url="https://drive.google.com/file/d/1e-_r2qNXVmta331UozIerXiXeB_TM0wE/view?usp=drive_link"/>
      </ext>
    </x18tc:extLst>
  </x18tc:threadedComment>
  <x18tc:threadedComment ref="AF713" dT="2026-05-25T05:08:47.00" personId="{2ddfa542-8116-4937-a057-08470d7abaab}" id="{15e6ac30-9213-4ea7-ba9b-1701d12f2b9b}" done="1">
    <x18tc:text xml:space="preserve">Pago final, Fixit, excedentes</x18tc:text>
  </x18tc:threadedComment>
  <x18tc:threadedComment ref="J273" dT="2025-10-21T01:59:38.00" personId="{4df2d6c4-e43e-4f2e-b623-d90f458472ff}" id="{f31f3c55-e11d-43a7-9ea0-304241aa4364}" done="0">
    <x18tc:text xml:space="preserve">https://drive.google.com/file/d/1DNN2CK1qRO9DoiFdwsqbng_RbXP29NCo/view?usp=drive_link</x18tc:text>
    <x18tc:extLst>
      <ext uri="{F7C98A9C-CBB3-438F-8F68-D28B6AF4A901}">
        <xltc2:checksum/>
        <xltc2:hyperlink startIndex="0" length="85" url="https://drive.google.com/file/d/1DNN2CK1qRO9DoiFdwsqbng_RbXP29NCo/view?usp=drive_link"/>
      </ext>
    </x18tc:extLst>
  </x18tc:threadedComment>
  <x18tc:threadedComment ref="J508" dT="2026-01-30T22:20:26.00" personId="{d8e4f5ad-b65d-4160-a56f-197530fb7eb1}" id="{f6b45021-8d79-48e8-b495-ea8e744ae3e8}" done="0">
    <x18tc:text xml:space="preserve">https://drive.google.com/file/d/1CbZ4d7r00XsdbYpnwTCsEM9z73XhabfL/view?usp=drive_link</x18tc:text>
    <x18tc:extLst>
      <ext uri="{F7C98A9C-CBB3-438F-8F68-D28B6AF4A901}">
        <xltc2:checksum/>
        <xltc2:hyperlink startIndex="0" length="85" url="https://drive.google.com/file/d/1CbZ4d7r00XsdbYpnwTCsEM9z73XhabfL/view?usp=drive_link"/>
      </ext>
    </x18tc:extLst>
  </x18tc:threadedComment>
  <x18tc:threadedComment ref="F391" dT="2025-12-05T21:50:18.00" personId="{d28ef52a-149c-458c-84f2-6b54860887d5}" id="{e18e28dc-1523-4fe3-9eae-14d1bebeeece}" done="1">
    <x18tc:text xml:space="preserve">@yolinette152@gmail.com falta agregar comprobante</x18tc:text>
    <x18tc:mentions>
      <x18tc:mention mentionpersonId="{175ceed9-6dd2-4dd9-a576-ccc719bb1072}" mentionId="{4b4c0775-bc68-4d51-942f-ef10eb26d1c8}" startIndex="0" length="23"/>
    </x18tc:mentions>
  </x18tc:threadedComment>
  <x18tc:threadedComment ref="U263" dT="2025-10-21T02:51:03.00" personId="{a5d43f6d-3c72-4414-b012-8f52ef50acc4}" id="{9d7d5a86-a563-4b53-96ff-864c47496f52}" done="0">
    <x18tc:text xml:space="preserve">mouse + audifonos</x18tc:text>
  </x18tc:threadedComment>
  <x18tc:threadedComment ref="J630" dT="2026-03-22T00:51:08.00" personId="{f9b224d0-ee33-4499-ae47-db5bcd2d0435}" id="{7c40b0f9-48b3-437f-9b11-b8987284103f}" done="0">
    <x18tc:text xml:space="preserve">https://drive.google.com/file/d/12HFJMOj5Ju4nPF-XuET3gUJ5-xTCYog1/view?usp=drive_link</x18tc:text>
    <x18tc:extLst>
      <ext uri="{F7C98A9C-CBB3-438F-8F68-D28B6AF4A901}">
        <xltc2:checksum/>
        <xltc2:hyperlink startIndex="0" length="85" url="https://drive.google.com/file/d/12HFJMOj5Ju4nPF-XuET3gUJ5-xTCYog1/view?usp=drive_link"/>
      </ext>
    </x18tc:extLst>
  </x18tc:threadedComment>
  <x18tc:threadedComment ref="J630" dT="2026-03-28T00:15:08.00" personId="{f9b224d0-ee33-4499-ae47-db5bcd2d0435}" id="{1be9f3b8-32bf-43f0-bb01-55ab6c3db642}" parentId="{7c40b0f9-48b3-437f-9b11-b8987284103f}">
    <x18tc:text xml:space="preserve">https://drive.google.com/file/d/1-XrFyfNuryS-Tgh3YZ02eUU2zTQTX5Xu/view?usp=drive_link</x18tc:text>
    <x18tc:extLst>
      <ext uri="{F7C98A9C-CBB3-438F-8F68-D28B6AF4A901}">
        <xltc2:checksum/>
        <xltc2:hyperlink startIndex="0" length="85" url="https://drive.google.com/file/d/1-XrFyfNuryS-Tgh3YZ02eUU2zTQTX5Xu/view?usp=drive_link"/>
      </ext>
    </x18tc:extLst>
  </x18tc:threadedComment>
  <x18tc:threadedComment ref="J566" dT="2026-02-25T16:48:55.00" personId="{d8e4f5ad-b65d-4160-a56f-197530fb7eb1}" id="{ad1e812a-d8e3-413c-8abb-b6a48a3dbed7}" done="0">
    <x18tc:text xml:space="preserve">https://drive.google.com/file/d/1J-6kfig4uVSxGDhf7A87HYBwvtvLGqlA/view?usp=drive_link</x18tc:text>
    <x18tc:extLst>
      <ext uri="{F7C98A9C-CBB3-438F-8F68-D28B6AF4A901}">
        <xltc2:checksum/>
        <xltc2:hyperlink startIndex="0" length="85" url="https://drive.google.com/file/d/1J-6kfig4uVSxGDhf7A87HYBwvtvLGqlA/view?usp=drive_link"/>
      </ext>
    </x18tc:extLst>
  </x18tc:threadedComment>
  <x18tc:threadedComment ref="J566" dT="2026-03-25T18:20:49.00" personId="{d8e4f5ad-b65d-4160-a56f-197530fb7eb1}" id="{f79ed07b-4683-4321-b9d1-4fc548ba7d0e}" parentId="{ad1e812a-d8e3-413c-8abb-b6a48a3dbed7}">
    <x18tc:text xml:space="preserve">https://drive.google.com/file/d/1h0YuZ6jaTuVIUgKHkshbKaJqbaO8ZIkv/view?usp=drive_link</x18tc:text>
    <x18tc:extLst>
      <ext uri="{F7C98A9C-CBB3-438F-8F68-D28B6AF4A901}">
        <xltc2:checksum/>
        <xltc2:hyperlink startIndex="0" length="85" url="https://drive.google.com/file/d/1h0YuZ6jaTuVIUgKHkshbKaJqbaO8ZIkv/view?usp=drive_link"/>
      </ext>
    </x18tc:extLst>
  </x18tc:threadedComment>
  <x18tc:threadedComment ref="C395" dT="2025-12-05T23:46:43.00" personId="{a5d43f6d-3c72-4414-b012-8f52ef50acc4}" id="{511f0668-10bf-4512-9518-c16b982c5557}" done="0">
    <x18tc:text xml:space="preserve">https://www.ebay.com/itm/226967931769?_skw=5080&amp;itmmeta=01KBQJMSY18M5WSK7XAC7Y2W22&amp;hash=item34d857cb79:g:~S8AAeSwCQBpL-D-</x18tc:text>
    <x18tc:extLst>
      <ext uri="{F7C98A9C-CBB3-438F-8F68-D28B6AF4A901}">
        <xltc2:checksum/>
        <xltc2:hyperlink startIndex="0" length="121" url="https://www.ebay.com/itm/226967931769?_skw=5080&amp;itmmeta=01KBQJMSY18M5WSK7XAC7Y2W22&amp;hash=item34d857cb79:g:~S8AAeSwCQBpL-D-"/>
      </ext>
    </x18tc:extLst>
  </x18tc:threadedComment>
  <x18tc:threadedComment ref="K320" dT="2025-12-05T21:56:39.00" personId="{a5d43f6d-3c72-4414-b012-8f52ef50acc4}" id="{6d771a20-a4ec-4192-bd02-3efbf1cefe26}" done="0">
    <x18tc:text xml:space="preserve">https://drive.google.com/file/d/1GEE9YIseOeSOFu3HP0qvj86j8SBtZ53G/view?usp=drive_link</x18tc:text>
    <x18tc:extLst>
      <ext uri="{F7C98A9C-CBB3-438F-8F68-D28B6AF4A901}">
        <xltc2:checksum/>
        <xltc2:hyperlink startIndex="0" length="85" url="https://drive.google.com/file/d/1GEE9YIseOeSOFu3HP0qvj86j8SBtZ53G/view?usp=drive_link"/>
      </ext>
    </x18tc:extLst>
  </x18tc:threadedComment>
  <x18tc:threadedComment ref="A1" dT="2025-10-19T18:15:47.00" personId="{2ddfa542-8116-4937-a057-08470d7abaab}" id="{0ee05c40-80e6-44be-a6ea-212e0089af27}" done="0">
    <x18tc:text xml:space="preserve">la persona no responde</x18tc:text>
  </x18tc:threadedComment>
  <x18tc:threadedComment ref="J395" dT="2025-12-05T23:48:22.00" personId="{a5d43f6d-3c72-4414-b012-8f52ef50acc4}" id="{0280dcf0-1f21-42c5-81bc-5a4d2f59a927}" done="0">
    <x18tc:text xml:space="preserve">https://drive.google.com/file/d/1PJvMq7xcWHRc0zYA2kZD1bdR8moF5eF3/view?usp=drive_link
https://drive.google.com/file/d/1hUZ1ofGEkxRPT70qpZc4ESjrq7_O9Dxf/view?usp=drive_link</x18tc:text>
    <x18tc:extLst>
      <ext uri="{F7C98A9C-CBB3-438F-8F68-D28B6AF4A901}">
        <xltc2:checksum/>
        <xltc2:hyperlink startIndex="0" length="85" url="https://drive.google.com/file/d/1PJvMq7xcWHRc0zYA2kZD1bdR8moF5eF3/view?usp=drive_link"/>
        <xltc2:hyperlink startIndex="86" length="85" url="https://drive.google.com/file/d/1hUZ1ofGEkxRPT70qpZc4ESjrq7_O9Dxf/view?usp=drive_link"/>
      </ext>
    </x18tc:extLst>
  </x18tc:threadedComment>
  <x18tc:threadedComment ref="S362" dT="2025-12-05T22:22:36.00" personId="{a5d43f6d-3c72-4414-b012-8f52ef50acc4}" id="{831f532f-db57-4196-b35a-ed059608a358}" done="1">
    <x18tc:text xml:space="preserve">garantía express, no sé cómo se agrega esto</x18tc:text>
  </x18tc:threadedComment>
  <x18tc:threadedComment ref="AI753" dT="2026-06-04T15:50:51.00" personId="{7d9bea4b-cfe7-4c29-b483-8e83a1c4f52a}" id="{fb7982d6-3531-44be-8d0e-bbda540583c0}" done="0">
    <x18tc:text xml:space="preserve">https://drive.google.com/file/d/1jPGQse_8rQ1WI0hmHuBuZcwGbmT9hlYK/view?usp=drive_link</x18tc:text>
    <x18tc:extLst>
      <ext uri="{F7C98A9C-CBB3-438F-8F68-D28B6AF4A901}">
        <xltc2:checksum/>
        <xltc2:hyperlink startIndex="0" length="85" url="https://drive.google.com/file/d/1jPGQse_8rQ1WI0hmHuBuZcwGbmT9hlYK/view?usp=drive_link"/>
      </ext>
    </x18tc:extLst>
  </x18tc:threadedComment>
  <x18tc:threadedComment ref="C629" dT="2026-03-21T22:49:33.00" personId="{4df2d6c4-e43e-4f2e-b623-d90f458472ff}" id="{9a36061c-5498-4c62-8169-2cc6f8ef2cac}"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C514" dT="2026-02-01T01:30:55.00" personId="{4df2d6c4-e43e-4f2e-b623-d90f458472ff}" id="{a5cfc5cd-2b8c-4c6d-9fb4-533af5a8dfdd}"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C566" dT="2026-02-25T16:36:11.00" personId="{d8e4f5ad-b65d-4160-a56f-197530fb7eb1}" id="{f5ba3f56-6315-4412-932c-98025f590eff}"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K362" dT="2025-12-05T22:24:18.00" personId="{a5d43f6d-3c72-4414-b012-8f52ef50acc4}" id="{1fe4e5eb-d6e8-4ad0-a187-b8cb0b4196e9}" done="0">
    <x18tc:text xml:space="preserve">https://drive.google.com/file/d/12umc5arDAx9TXzkaI9_2y1TYrW6nOExx/view?usp=drive_link</x18tc:text>
    <x18tc:extLst>
      <ext uri="{F7C98A9C-CBB3-438F-8F68-D28B6AF4A901}">
        <xltc2:checksum/>
        <xltc2:hyperlink startIndex="0" length="85" url="https://drive.google.com/file/d/12umc5arDAx9TXzkaI9_2y1TYrW6nOExx/view?usp=drive_link"/>
      </ext>
    </x18tc:extLst>
  </x18tc:threadedComment>
  <x18tc:threadedComment ref="J661" dT="2026-04-07T01:16:16.00" personId="{f9b224d0-ee33-4499-ae47-db5bcd2d0435}" id="{c9fc1d57-19ef-4d8c-8632-22df8f4bb61a}" done="0">
    <x18tc:text xml:space="preserve">https://drive.google.com/file/d/14rc9m-c7AS_C6gmuXG8EMAkwj1rhTHHc/view?usp=drive_link</x18tc:text>
    <x18tc:extLst>
      <ext uri="{F7C98A9C-CBB3-438F-8F68-D28B6AF4A901}">
        <xltc2:checksum/>
        <xltc2:hyperlink startIndex="0" length="85" url="https://drive.google.com/file/d/14rc9m-c7AS_C6gmuXG8EMAkwj1rhTHHc/view?usp=drive_link"/>
      </ext>
    </x18tc:extLst>
  </x18tc:threadedComment>
  <x18tc:threadedComment ref="J661" dT="2026-04-07T01:16:43.00" personId="{f9b224d0-ee33-4499-ae47-db5bcd2d0435}" id="{9a9c1e6b-ec79-4ef8-8ebe-5da878ba9b10}" parentId="{c9fc1d57-19ef-4d8c-8632-22df8f4bb61a}">
    <x18tc:text xml:space="preserve">https://drive.google.com/file/d/1DX-sBiCwGuadXRe7Cm29nnK9gV-E-Uo7/view?usp=drive_link</x18tc:text>
    <x18tc:extLst>
      <ext uri="{F7C98A9C-CBB3-438F-8F68-D28B6AF4A901}">
        <xltc2:checksum/>
        <xltc2:hyperlink startIndex="0" length="85" url="https://drive.google.com/file/d/1DX-sBiCwGuadXRe7Cm29nnK9gV-E-Uo7/view?usp=drive_link"/>
      </ext>
    </x18tc:extLst>
  </x18tc:threadedComment>
  <x18tc:threadedComment ref="J661" dT="2026-04-08T20:13:34.00" personId="{f9b224d0-ee33-4499-ae47-db5bcd2d0435}" id="{a9a22464-408e-4829-8aba-2dc2c08fff20}" parentId="{c9fc1d57-19ef-4d8c-8632-22df8f4bb61a}">
    <x18tc:text xml:space="preserve">https://drive.google.com/file/d/158zeQjhKoZSDU0DsVdlAzzTLhADHrGGK/view?usp=drive_link</x18tc:text>
    <x18tc:extLst>
      <ext uri="{F7C98A9C-CBB3-438F-8F68-D28B6AF4A901}">
        <xltc2:checksum/>
        <xltc2:hyperlink startIndex="0" length="85" url="https://drive.google.com/file/d/158zeQjhKoZSDU0DsVdlAzzTLhADHrGGK/view?usp=drive_link"/>
      </ext>
    </x18tc:extLst>
  </x18tc:threadedComment>
  <x18tc:threadedComment ref="K628" dT="2026-05-22T22:44:45.00" personId="{4df2d6c4-e43e-4f2e-b623-d90f458472ff}" id="{84d751da-dabc-4e71-b671-fbba7fef0c92}" done="0">
    <x18tc:text xml:space="preserve">https://drive.google.com/file/d/1ywxgtNOEmrjTplc5VTs72avh41Cj-Rom/view?usp=drive_link</x18tc:text>
    <x18tc:extLst>
      <ext uri="{F7C98A9C-CBB3-438F-8F68-D28B6AF4A901}">
        <xltc2:checksum/>
        <xltc2:hyperlink startIndex="0" length="85" url="https://drive.google.com/file/d/1ywxgtNOEmrjTplc5VTs72avh41Cj-Rom/view?usp=drive_link"/>
      </ext>
    </x18tc:extLst>
  </x18tc:threadedComment>
  <x18tc:threadedComment ref="K628" dT="2026-05-22T22:44:58.00" personId="{4df2d6c4-e43e-4f2e-b623-d90f458472ff}" id="{4964a8fd-ebb5-493a-981e-89564ed22807}" parentId="{84d751da-dabc-4e71-b671-fbba7fef0c92}">
    <x18tc:text xml:space="preserve">https://drive.google.com/file/d/1g1Vyyhuw5mHOc6pAxPAc66igzLOOix_W/view?usp=drive_link</x18tc:text>
    <x18tc:extLst>
      <ext uri="{F7C98A9C-CBB3-438F-8F68-D28B6AF4A901}">
        <xltc2:checksum/>
        <xltc2:hyperlink startIndex="0" length="85" url="https://drive.google.com/file/d/1g1Vyyhuw5mHOc6pAxPAc66igzLOOix_W/view?usp=drive_link"/>
      </ext>
    </x18tc:extLst>
  </x18tc:threadedComment>
  <x18tc:threadedComment ref="C630" dT="2026-03-22T00:37:45.00" personId="{f9b224d0-ee33-4499-ae47-db5bcd2d0435}" id="{9a12f177-72cc-46f9-9373-c749840ee43d}" done="0">
    <x18tc:text xml:space="preserve">https://shop.asus.com/us/90nr0ky8-m000c0-rog-strix-g18-2025-g814.html?config=90NR0KY8-M000C0</x18tc:text>
    <x18tc:extLst>
      <ext uri="{F7C98A9C-CBB3-438F-8F68-D28B6AF4A901}">
        <xltc2:checksum/>
        <xltc2:hyperlink startIndex="0" length="92" url="https://shop.asus.com/us/90nr0ky8-m000c0-rog-strix-g18-2025-g814.html?config=90NR0KY8-M000C0"/>
      </ext>
    </x18tc:extLst>
  </x18tc:threadedComment>
  <x18tc:threadedComment ref="C515" dT="2026-02-01T01:50:19.00" personId="{4df2d6c4-e43e-4f2e-b623-d90f458472ff}" id="{2246a756-fa00-41f4-91e9-9f7a5e1c8a4e}"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J253" dT="2025-09-30T15:43:27.00" personId="{a5d43f6d-3c72-4414-b012-8f52ef50acc4}" id="{904bcd8d-09cb-4b8a-bff8-a37c985cfc08}" done="0">
    <x18tc:text xml:space="preserve">https://drive.google.com/file/d/1kNXR5mAtM1I73unfwGGFCuqvvyBLUprR/view?usp=drive_link</x18tc:text>
    <x18tc:extLst>
      <ext uri="{F7C98A9C-CBB3-438F-8F68-D28B6AF4A901}">
        <xltc2:checksum/>
        <xltc2:hyperlink startIndex="0" length="85" url="https://drive.google.com/file/d/1kNXR5mAtM1I73unfwGGFCuqvvyBLUprR/view?usp=drive_link"/>
      </ext>
    </x18tc:extLst>
  </x18tc:threadedComment>
  <x18tc:threadedComment ref="C628" dT="2026-03-21T22:48:43.00" personId="{4df2d6c4-e43e-4f2e-b623-d90f458472ff}" id="{07b0b5a8-071f-41c7-a699-8b43684344c9}" done="1">
    <x18tc:text xml:space="preserve">https://www.lenovo.com/us/en/p/laptops/legion-laptops/legion-pro-series/legion-pro-5i-gen-10-16-inch-intel/83f3000gus#features</x18tc:text>
    <x18tc:extLst>
      <ext uri="{F7C98A9C-CBB3-438F-8F68-D28B6AF4A901}">
        <xltc2:checksum/>
        <xltc2:hyperlink startIndex="0" length="126" url="https://www.lenovo.com/us/en/p/laptops/legion-laptops/legion-pro-series/legion-pro-5i-gen-10-16-inch-intel/83f3000gus#features"/>
      </ext>
    </x18tc:extLst>
  </x18tc:threadedComment>
  <x18tc:threadedComment ref="K311" dT="2025-12-05T22:38:12.00" personId="{4df2d6c4-e43e-4f2e-b623-d90f458472ff}" id="{0eaea361-801b-440f-a729-4a799a19171b}" done="0">
    <x18tc:text xml:space="preserve">https://drive.google.com/file/d/1F3FXXA-rpjC9XlTvW9gqDRwS5RaFlJwz/view?usp=drive_link</x18tc:text>
    <x18tc:extLst>
      <ext uri="{F7C98A9C-CBB3-438F-8F68-D28B6AF4A901}">
        <xltc2:checksum/>
        <xltc2:hyperlink startIndex="0" length="85" url="https://drive.google.com/file/d/1F3FXXA-rpjC9XlTvW9gqDRwS5RaFlJwz/view?usp=drive_link"/>
      </ext>
    </x18tc:extLst>
  </x18tc:threadedComment>
  <x18tc:threadedComment ref="W222" dT="2025-09-08T20:51:24.00" personId="{d8e4f5ad-b65d-4160-a56f-197530fb7eb1}" id="{d51c1a3d-1041-47af-9589-c3389bcea77e}" done="0">
    <x18tc:text xml:space="preserve">https://drive.google.com/file/d/1ujFvV8kXNujP73Ju7V9m-dMB2ImUKnJo/view?usp=drive_link</x18tc:text>
    <x18tc:extLst>
      <ext uri="{F7C98A9C-CBB3-438F-8F68-D28B6AF4A901}">
        <xltc2:checksum/>
        <xltc2:hyperlink startIndex="0" length="85" url="https://drive.google.com/file/d/1ujFvV8kXNujP73Ju7V9m-dMB2ImUKnJo/view?usp=drive_link"/>
      </ext>
    </x18tc:extLst>
  </x18tc:threadedComment>
  <x18tc:threadedComment ref="AF564" dT="2026-03-05T21:55:19.00" personId="{2ddfa542-8116-4937-a057-08470d7abaab}" id="{d53827bb-d194-42c0-84d5-737f61a22d07}" done="1">
    <x18tc:text xml:space="preserve">venta final, fixit, excedentes</x18tc:text>
  </x18tc:threadedComment>
  <x18tc:threadedComment ref="D284" dT="2025-10-29T20:27:09.00" personId="{a5d43f6d-3c72-4414-b012-8f52ef50acc4}" id="{9c4ca82c-0f72-47d5-9dd2-8d6b6c8f2f24}" done="0">
    <x18tc:text xml:space="preserve">Noemí elky Mateo vivas
45397964
916660085
jhosepml72727@gmail.com</x18tc:text>
  </x18tc:threadedComment>
  <x18tc:threadedComment ref="K310" dT="2025-12-05T22:39:37.00" personId="{4df2d6c4-e43e-4f2e-b623-d90f458472ff}" id="{20a2c429-db70-4b59-9344-f10aa13e7825}" done="0">
    <x18tc:text xml:space="preserve">https://drive.google.com/file/d/1LVnh4PvZM8tj9FiPSF-7bqZ0atmACaXJ/view?usp=drive_link</x18tc:text>
    <x18tc:extLst>
      <ext uri="{F7C98A9C-CBB3-438F-8F68-D28B6AF4A901}">
        <xltc2:checksum/>
        <xltc2:hyperlink startIndex="0" length="85" url="https://drive.google.com/file/d/1LVnh4PvZM8tj9FiPSF-7bqZ0atmACaXJ/view?usp=drive_link"/>
      </ext>
    </x18tc:extLst>
  </x18tc:threadedComment>
  <x18tc:threadedComment ref="W177" dT="2025-09-10T18:16:18.00" personId="{d8e4f5ad-b65d-4160-a56f-197530fb7eb1}" id="{9e70d191-9b6d-4024-af73-de92768ccddc}" done="0">
    <x18tc:text xml:space="preserve">https://drive.google.com/file/d/1DTqVpKWeiyTqNexb-FT9JyaEPcf3IGGJ/view?usp=drive_link</x18tc:text>
    <x18tc:extLst>
      <ext uri="{F7C98A9C-CBB3-438F-8F68-D28B6AF4A901}">
        <xltc2:checksum/>
        <xltc2:hyperlink startIndex="0" length="85" url="https://drive.google.com/file/d/1DTqVpKWeiyTqNexb-FT9JyaEPcf3IGGJ/view?usp=drive_link"/>
      </ext>
    </x18tc:extLst>
  </x18tc:threadedComment>
  <x18tc:threadedComment ref="AF545" dT="2026-03-05T21:53:49.00" personId="{2ddfa542-8116-4937-a057-08470d7abaab}" id="{493f562c-928d-45e8-b26b-a31d2274bc4b}" done="0">
    <x18tc:text xml:space="preserve">venta final, excedentes, fixit</x18tc:text>
  </x18tc:threadedComment>
  <x18tc:threadedComment ref="K481" dT="2026-01-31T01:23:47.00" personId="{d8e4f5ad-b65d-4160-a56f-197530fb7eb1}" id="{28125f1a-9585-4db1-ad5a-d44dd89dcb9b}" done="0">
    <x18tc:text xml:space="preserve">https://drive.google.com/file/d/1u6CzCtzkIPGVllkoNJCisxjFYWuIdJz8/view?usp=drive_link</x18tc:text>
    <x18tc:extLst>
      <ext uri="{F7C98A9C-CBB3-438F-8F68-D28B6AF4A901}">
        <xltc2:checksum/>
        <xltc2:hyperlink startIndex="0" length="85" url="https://drive.google.com/file/d/1u6CzCtzkIPGVllkoNJCisxjFYWuIdJz8/view?usp=drive_link"/>
      </ext>
    </x18tc:extLst>
  </x18tc:threadedComment>
  <x18tc:threadedComment ref="J256" dT="2025-09-30T18:15:54.00" personId="{a5d43f6d-3c72-4414-b012-8f52ef50acc4}" id="{45be1a44-a0fb-484e-82b4-a136fcc0fadf}" done="0">
    <x18tc:text xml:space="preserve">https://drive.google.com/file/d/19TeoB7BRtK0d9cQN1V4qUxB4Fvf9FjNf/view?usp=drive_link
https://drive.google.com/file/d/1e4RzN4Woe6FZrOzn4QnWhgZRhDtdAY65/view?usp=drive_link</x18tc:text>
    <x18tc:extLst>
      <ext uri="{F7C98A9C-CBB3-438F-8F68-D28B6AF4A901}">
        <xltc2:checksum/>
        <xltc2:hyperlink startIndex="0" length="85" url="https://drive.google.com/file/d/19TeoB7BRtK0d9cQN1V4qUxB4Fvf9FjNf/view?usp=drive_link"/>
        <xltc2:hyperlink startIndex="86" length="85" url="https://drive.google.com/file/d/1e4RzN4Woe6FZrOzn4QnWhgZRhDtdAY65/view?usp=drive_link"/>
      </ext>
    </x18tc:extLst>
  </x18tc:threadedComment>
  <x18tc:threadedComment ref="C516" dT="2026-02-01T02:26:33.00" personId="{4df2d6c4-e43e-4f2e-b623-d90f458472ff}" id="{381f8fe4-8f4c-4ed6-8365-9f4437e03e6a}" done="0">
    <x18tc:text xml:space="preserve">https://www.microcenter.com/product/704275/asus-rog-strix-g16-g615lw-cs94-16-gaming-laptop-computer-eclipse-gray</x18tc:text>
    <x18tc:extLst>
      <ext uri="{F7C98A9C-CBB3-438F-8F68-D28B6AF4A901}">
        <xltc2:checksum/>
        <xltc2:hyperlink startIndex="0" length="112" url="https://www.microcenter.com/product/704275/asus-rog-strix-g16-g615lw-cs94-16-gaming-laptop-computer-eclipse-gray"/>
      </ext>
    </x18tc:extLst>
  </x18tc:threadedComment>
  <x18tc:threadedComment ref="W209" dT="2025-09-08T20:46:20.00" personId="{d8e4f5ad-b65d-4160-a56f-197530fb7eb1}" id="{eadd7246-4585-486e-9077-094ddfdde17c}" done="0">
    <x18tc:text xml:space="preserve">https://drive.google.com/file/d/1tG71MSXLjsz7Tt_DOAe66fzQMqFB5lQt/view?usp=drive_link</x18tc:text>
    <x18tc:extLst>
      <ext uri="{F7C98A9C-CBB3-438F-8F68-D28B6AF4A901}">
        <xltc2:checksum/>
        <xltc2:hyperlink startIndex="0" length="85" url="https://drive.google.com/file/d/1tG71MSXLjsz7Tt_DOAe66fzQMqFB5lQt/view?usp=drive_link"/>
      </ext>
    </x18tc:extLst>
  </x18tc:threadedComment>
  <x18tc:threadedComment ref="K408" dT="2026-02-01T03:15:41.00" personId="{4df2d6c4-e43e-4f2e-b623-d90f458472ff}" id="{2e01c0e6-a9a3-4464-b272-03402b2a7e33}" done="0">
    <x18tc:text xml:space="preserve">https://drive.google.com/file/d/1embCuXNEH09vFlTEPxUlT_9_3zdupTNo/view?usp=drive_link</x18tc:text>
    <x18tc:extLst>
      <ext uri="{F7C98A9C-CBB3-438F-8F68-D28B6AF4A901}">
        <xltc2:checksum/>
        <xltc2:hyperlink startIndex="0" length="85" url="https://drive.google.com/file/d/1embCuXNEH09vFlTEPxUlT_9_3zdupTNo/view?usp=drive_link"/>
      </ext>
    </x18tc:extLst>
  </x18tc:threadedComment>
  <x18tc:threadedComment ref="L177" dT="2025-09-10T17:32:15.00" personId="{d8e4f5ad-b65d-4160-a56f-197530fb7eb1}" id="{4cf9e3c4-f6e0-4847-a776-f92f88091040}" done="0">
    <x18tc:text xml:space="preserve">https://drive.google.com/file/d/1E6bC1INNuuZ93dfuekzezwfz1LHMfTdw/view?usp=drive_link</x18tc:text>
    <x18tc:extLst>
      <ext uri="{F7C98A9C-CBB3-438F-8F68-D28B6AF4A901}">
        <xltc2:checksum/>
        <xltc2:hyperlink startIndex="0" length="85" url="https://drive.google.com/file/d/1E6bC1INNuuZ93dfuekzezwfz1LHMfTdw/view?usp=drive_link"/>
      </ext>
    </x18tc:extLst>
  </x18tc:threadedComment>
  <x18tc:threadedComment ref="J284" dT="2025-10-29T20:28:34.00" personId="{a5d43f6d-3c72-4414-b012-8f52ef50acc4}" id="{168e569b-bd02-4d4f-9dfc-5a92aed8f17e}" done="0">
    <x18tc:text xml:space="preserve">https://drive.google.com/file/d/11U7g8ujiTXShSGpAOpLP8JAsL548P-1O/view?usp=drive_link</x18tc:text>
    <x18tc:extLst>
      <ext uri="{F7C98A9C-CBB3-438F-8F68-D28B6AF4A901}">
        <xltc2:checksum/>
        <xltc2:hyperlink startIndex="0" length="85" url="https://drive.google.com/file/d/11U7g8ujiTXShSGpAOpLP8JAsL548P-1O/view?usp=drive_link"/>
      </ext>
    </x18tc:extLst>
  </x18tc:threadedComment>
  <x18tc:threadedComment ref="C298" dT="2025-11-07T20:59:14.00" personId="{d8e4f5ad-b65d-4160-a56f-197530fb7eb1}" id="{5a2400d3-0331-449c-acef-9341ccefba60}"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Z207" dT="2025-09-15T23:29:15.00" personId="{d8e4f5ad-b65d-4160-a56f-197530fb7eb1}" id="{dd28c1d2-782f-4647-90c7-fb25a857bb90}" done="0">
    <x18tc:text xml:space="preserve">https://drive.google.com/file/d/1mrCTknDYrod3FjcLsrkYuVDYfeYHrkxI/view?usp=drive_link</x18tc:text>
    <x18tc:extLst>
      <ext uri="{F7C98A9C-CBB3-438F-8F68-D28B6AF4A901}">
        <xltc2:checksum/>
        <xltc2:hyperlink startIndex="0" length="85" url="https://drive.google.com/file/d/1mrCTknDYrod3FjcLsrkYuVDYfeYHrkxI/view?usp=drive_link"/>
      </ext>
    </x18tc:extLst>
  </x18tc:threadedComment>
  <x18tc:threadedComment ref="C284" dT="2025-10-29T20:27:22.00" personId="{a5d43f6d-3c72-4414-b012-8f52ef50acc4}" id="{f4d25d4d-1ead-4e0e-8099-19006f978c64}" done="1">
    <x18tc:text xml:space="preserve">https://www.microcenter.com/product/691610/lenovo-legion-pro-7-16iax10h-oled-16-gaming-laptop-computer-eclipse-black?storeid=171</x18tc:text>
    <x18tc:extLst>
      <ext uri="{F7C98A9C-CBB3-438F-8F68-D28B6AF4A901}">
        <xltc2:checksum/>
        <xltc2:hyperlink startIndex="0" length="128" url="https://www.microcenter.com/product/691610/lenovo-legion-pro-7-16iax10h-oled-16-gaming-laptop-computer-eclipse-black?storeid=171"/>
      </ext>
    </x18tc:extLst>
  </x18tc:threadedComment>
  <x18tc:threadedComment ref="J746" dT="2026-05-16T17:19:44.00" personId="{f9b224d0-ee33-4499-ae47-db5bcd2d0435}" id="{090b1cef-3304-4b7b-8a60-af8eb8ce5d53}" done="0">
    <x18tc:text xml:space="preserve">https://drive.google.com/file/d/1AhwkbX9w1Fi7Otl98daqO9slYGvfcRwW/view?usp=drive_link</x18tc:text>
    <x18tc:extLst>
      <ext uri="{F7C98A9C-CBB3-438F-8F68-D28B6AF4A901}">
        <xltc2:checksum/>
        <xltc2:hyperlink startIndex="0" length="85" url="https://drive.google.com/file/d/1AhwkbX9w1Fi7Otl98daqO9slYGvfcRwW/view?usp=drive_link"/>
      </ext>
    </x18tc:extLst>
  </x18tc:threadedComment>
  <x18tc:threadedComment ref="W207" dT="2025-09-15T23:24:26.00" personId="{d8e4f5ad-b65d-4160-a56f-197530fb7eb1}" id="{ae8949b3-f3c0-4c77-a69c-63402b9e9e38}" done="0">
    <x18tc:text xml:space="preserve">https://drive.google.com/file/d/1jl0qAp9y0zQodYsXNsjVe--gr6Zo_M36/view?usp=drive_link</x18tc:text>
    <x18tc:extLst>
      <ext uri="{F7C98A9C-CBB3-438F-8F68-D28B6AF4A901}">
        <xltc2:checksum/>
        <xltc2:hyperlink startIndex="0" length="85" url="https://drive.google.com/file/d/1jl0qAp9y0zQodYsXNsjVe--gr6Zo_M36/view?usp=drive_link"/>
      </ext>
    </x18tc:extLst>
  </x18tc:threadedComment>
  <x18tc:threadedComment ref="J722" dT="2026-04-30T13:25:01.00" personId="{a5d43f6d-3c72-4414-b012-8f52ef50acc4}" id="{808c6955-5046-4457-96ea-f3fc37e4cca8}" done="0">
    <x18tc:text xml:space="preserve">https://drive.google.com/file/d/1akMxMj8vvrgB-XbMCJqUlN0_1auLCVyv/view?usp=drive_link
https://drive.google.com/file/d/1S88XrYjImBYZFa1ST8cbAqUpeakvRCK3/view?usp=drive_link</x18tc:text>
    <x18tc:extLst>
      <ext uri="{F7C98A9C-CBB3-438F-8F68-D28B6AF4A901}">
        <xltc2:checksum/>
        <xltc2:hyperlink startIndex="0" length="85" url="https://drive.google.com/file/d/1akMxMj8vvrgB-XbMCJqUlN0_1auLCVyv/view?usp=drive_link"/>
        <xltc2:hyperlink startIndex="86" length="85" url="https://drive.google.com/file/d/1S88XrYjImBYZFa1ST8cbAqUpeakvRCK3/view?usp=drive_link"/>
      </ext>
    </x18tc:extLst>
  </x18tc:threadedComment>
  <x18tc:threadedComment ref="J745" dT="2026-05-16T18:02:38.00" personId="{d8e4f5ad-b65d-4160-a56f-197530fb7eb1}" id="{b88be370-c504-4419-9542-51f194b338c3}" done="0">
    <x18tc:text xml:space="preserve">https://drive.google.com/file/d/1GQ3O9uqjQSAc3t5kGkiqnas0gOvYg_M6/view?usp=drive_link</x18tc:text>
    <x18tc:extLst>
      <ext uri="{F7C98A9C-CBB3-438F-8F68-D28B6AF4A901}">
        <xltc2:checksum/>
        <xltc2:hyperlink startIndex="0" length="85" url="https://drive.google.com/file/d/1GQ3O9uqjQSAc3t5kGkiqnas0gOvYg_M6/view?usp=drive_link"/>
      </ext>
    </x18tc:extLst>
  </x18tc:threadedComment>
  <x18tc:threadedComment ref="W239" dT="2025-10-10T18:09:14.00" personId="{d8e4f5ad-b65d-4160-a56f-197530fb7eb1}" id="{d9e942c8-1447-4b5f-92e9-52a55009260c}" done="0">
    <x18tc:text xml:space="preserve">https://drive.google.com/file/d/1ckghJO1jcyweD1nReG4x74_iyfv9i4fe/view?usp=drive_link</x18tc:text>
    <x18tc:extLst>
      <ext uri="{F7C98A9C-CBB3-438F-8F68-D28B6AF4A901}">
        <xltc2:checksum/>
        <xltc2:hyperlink startIndex="0" length="85" url="https://drive.google.com/file/d/1ckghJO1jcyweD1nReG4x74_iyfv9i4fe/view?usp=drive_link"/>
      </ext>
    </x18tc:extLst>
  </x18tc:threadedComment>
  <x18tc:threadedComment ref="AF744" dT="2026-05-25T04:31:15.00" personId="{2ddfa542-8116-4937-a057-08470d7abaab}" id="{961527db-ef32-428d-84f6-6f322e17e071}" done="1">
    <x18tc:text xml:space="preserve">Arreglar precio de laptop</x18tc:text>
  </x18tc:threadedComment>
  <x18tc:threadedComment ref="Q722" dT="2026-04-30T13:25:48.00" personId="{a5d43f6d-3c72-4414-b012-8f52ef50acc4}" id="{b2e1f249-852b-4c01-9056-5cfa061e5ccb}" done="0">
    <x18tc:text xml:space="preserve">Configuración inicial con formateo + eset nod + office 2024</x18tc:text>
  </x18tc:threadedComment>
  <x18tc:threadedComment ref="K363" dT="2025-12-15T23:53:19.00" personId="{d8e4f5ad-b65d-4160-a56f-197530fb7eb1}" id="{39a5bf8b-cb8e-4e88-af6f-4e13a26ef2a0}" done="0">
    <x18tc:text xml:space="preserve">https://drive.google.com/file/d/1vCQrS9kxGGlM-M8A_XOVbFDDGVBL4Ccd/view?usp=drive_link</x18tc:text>
    <x18tc:extLst>
      <ext uri="{F7C98A9C-CBB3-438F-8F68-D28B6AF4A901}">
        <xltc2:checksum/>
        <xltc2:hyperlink startIndex="0" length="85" url="https://drive.google.com/file/d/1vCQrS9kxGGlM-M8A_XOVbFDDGVBL4Ccd/view?usp=drive_link"/>
      </ext>
    </x18tc:extLst>
  </x18tc:threadedComment>
  <x18tc:threadedComment ref="K289" dT="2025-11-24T15:41:27.00" personId="{a5d43f6d-3c72-4414-b012-8f52ef50acc4}" id="{e741f01e-e2fb-41ca-b7e5-672533fc877f}" done="0">
    <x18tc:text xml:space="preserve">https://drive.google.com/file/d/1zHL1OlOgMFonAWo7HDRSI0tWqXf32Fn8/view?usp=drive_link</x18tc:text>
    <x18tc:extLst>
      <ext uri="{F7C98A9C-CBB3-438F-8F68-D28B6AF4A901}">
        <xltc2:checksum/>
        <xltc2:hyperlink startIndex="0" length="85" url="https://drive.google.com/file/d/1zHL1OlOgMFonAWo7HDRSI0tWqXf32Fn8/view?usp=drive_link"/>
      </ext>
    </x18tc:extLst>
  </x18tc:threadedComment>
  <x18tc:threadedComment ref="J409" dT="2025-12-16T02:40:06.00" personId="{a5d43f6d-3c72-4414-b012-8f52ef50acc4}" id="{cb5332c1-d6d6-4dcc-a58e-01e5d32c60e0}" done="0">
    <x18tc:text xml:space="preserve">https://drive.google.com/file/d/1_UguMKdNhBL2exq_T_DQd4sq5rRpRQnp/view?usp=drive_link
https://drive.google.com/file/d/12c2by6KUqBC8G13hgRJWH_15gaslpy25/view?usp=drive_link
https://drive.google.com/file/d/1rox0YPD8NsXjNRIj5kOTX3se6mlPXQRc/view?usp=drive_link</x18tc:text>
    <x18tc:extLst>
      <ext uri="{F7C98A9C-CBB3-438F-8F68-D28B6AF4A901}">
        <xltc2:checksum/>
        <xltc2:hyperlink startIndex="0" length="85" url="https://drive.google.com/file/d/1_UguMKdNhBL2exq_T_DQd4sq5rRpRQnp/view?usp=drive_link"/>
        <xltc2:hyperlink startIndex="86" length="85" url="https://drive.google.com/file/d/12c2by6KUqBC8G13hgRJWH_15gaslpy25/view?usp=drive_link"/>
        <xltc2:hyperlink startIndex="172" length="85" url="https://drive.google.com/file/d/1rox0YPD8NsXjNRIj5kOTX3se6mlPXQRc/view?usp=drive_link"/>
      </ext>
    </x18tc:extLst>
  </x18tc:threadedComment>
  <x18tc:threadedComment ref="D409" dT="2025-12-16T02:40:43.00" personId="{a5d43f6d-3c72-4414-b012-8f52ef50acc4}" id="{1f2fed3e-328f-4c6f-89ac-f926c5cb28a2}" done="0">
    <x18tc:text xml:space="preserve">Mombres : Marco Antonio Mendez Zegarra
DNI : 48368409
Numero : 946079444
Correo : yuzuketz@gmail.com</x18tc:text>
  </x18tc:threadedComment>
  <x18tc:threadedComment ref="J723" dT="2026-04-24T19:58:01.00" personId="{80195d68-4e9b-4dc7-a031-ca5391c97d0f}" id="{0cb43225-f194-4919-a27e-a45a8751c389}" done="0">
    <x18tc:text xml:space="preserve">https://drive.google.com/file/d/1njt1n_-OYoxUDTculkK2At4CTqKI-IhN/view?usp=drive_link</x18tc:text>
    <x18tc:extLst>
      <ext uri="{F7C98A9C-CBB3-438F-8F68-D28B6AF4A901}">
        <xltc2:checksum/>
        <xltc2:hyperlink startIndex="0" length="85" url="https://drive.google.com/file/d/1njt1n_-OYoxUDTculkK2At4CTqKI-IhN/view?usp=drive_link"/>
      </ext>
    </x18tc:extLst>
  </x18tc:threadedComment>
  <x18tc:threadedComment ref="D256" dT="2025-09-30T18:15:16.00" personId="{a5d43f6d-3c72-4414-b012-8f52ef50acc4}" id="{383b407a-9758-47aa-af30-d4dae0efceee}" done="0">
    <x18tc:text xml:space="preserve">Christian Jhoel Quisca Vilca 
72469534
964678083
cjquisca@gmail.com</x18tc:text>
  </x18tc:threadedComment>
  <x18tc:threadedComment ref="K473" dT="2026-01-30T22:21:08.00" personId="{d8e4f5ad-b65d-4160-a56f-197530fb7eb1}" id="{b8e5f1fd-41f1-4e0e-b5b1-c8a55f32f14f}" done="0">
    <x18tc:text xml:space="preserve">https://drive.google.com/file/d/1YtUEZrRwLNL3tN3tJQie393mLb4q-tNp/view?usp=drive_link</x18tc:text>
    <x18tc:extLst>
      <ext uri="{F7C98A9C-CBB3-438F-8F68-D28B6AF4A901}">
        <xltc2:checksum/>
        <xltc2:hyperlink startIndex="0" length="85" url="https://drive.google.com/file/d/1YtUEZrRwLNL3tN3tJQie393mLb4q-tNp/view?usp=drive_link"/>
      </ext>
    </x18tc:extLst>
  </x18tc:threadedComment>
  <x18tc:threadedComment ref="J691" dT="2026-04-24T19:56:45.00" personId="{80195d68-4e9b-4dc7-a031-ca5391c97d0f}" id="{f913e78f-3ab3-4071-886a-89dbb05fcd89}" done="0">
    <x18tc:text xml:space="preserve">https://drive.google.com/file/d/1VmgOkz3WR7rVw8MBGYNfQdfGw65-woy5/view?usp=drive_link</x18tc:text>
    <x18tc:extLst>
      <ext uri="{F7C98A9C-CBB3-438F-8F68-D28B6AF4A901}">
        <xltc2:checksum/>
        <xltc2:hyperlink startIndex="0" length="85" url="https://drive.google.com/file/d/1VmgOkz3WR7rVw8MBGYNfQdfGw65-woy5/view?usp=drive_link"/>
      </ext>
    </x18tc:extLst>
  </x18tc:threadedComment>
  <x18tc:threadedComment ref="J506" dT="2026-01-30T22:27:22.00" personId="{d8e4f5ad-b65d-4160-a56f-197530fb7eb1}" id="{d3dfb27b-11c0-4c3d-9b6f-00d6e803d229}" done="0">
    <x18tc:text xml:space="preserve">https://drive.google.com/file/d/1OuRsZVrGdalqb9Ho1r0-6B3G40iVD1mA/view?usp=drive_link</x18tc:text>
    <x18tc:extLst>
      <ext uri="{F7C98A9C-CBB3-438F-8F68-D28B6AF4A901}">
        <xltc2:checksum/>
        <xltc2:hyperlink startIndex="0" length="85" url="https://drive.google.com/file/d/1OuRsZVrGdalqb9Ho1r0-6B3G40iVD1mA/view?usp=drive_link"/>
      </ext>
    </x18tc:extLst>
  </x18tc:threadedComment>
  <x18tc:threadedComment ref="C297" dT="2025-11-08T01:51:12.00" personId="{4df2d6c4-e43e-4f2e-b623-d90f458472ff}" id="{c7f7b035-c963-4eae-b40f-ce7514f6e875}" done="1">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161" dT="2025-08-07T20:17:31.00" personId="{d8e4f5ad-b65d-4160-a56f-197530fb7eb1}" id="{705f9b41-ec93-44c7-8405-85cb8ff8b938}" done="0">
    <x18tc:text xml:space="preserve">https://drive.google.com/file/d/18FFkN_jT8odrekAxRtqenuR9_05bI-b7/view?usp=drive_link</x18tc:text>
    <x18tc:extLst>
      <ext uri="{F7C98A9C-CBB3-438F-8F68-D28B6AF4A901}">
        <xltc2:checksum/>
        <xltc2:hyperlink startIndex="0" length="85" url="https://drive.google.com/file/d/18FFkN_jT8odrekAxRtqenuR9_05bI-b7/view?usp=drive_link"/>
      </ext>
    </x18tc:extLst>
  </x18tc:threadedComment>
  <x18tc:threadedComment ref="J507" dT="2026-01-30T22:28:01.00" personId="{d8e4f5ad-b65d-4160-a56f-197530fb7eb1}" id="{a59d362a-e1b5-451f-840e-9b2d9b4c210f}" done="0">
    <x18tc:text xml:space="preserve">https://drive.google.com/file/d/1puA2R5XnZHqJVF1UdoCwJDzIr7pz6MAB/view?usp=drive_link</x18tc:text>
    <x18tc:extLst>
      <ext uri="{F7C98A9C-CBB3-438F-8F68-D28B6AF4A901}">
        <xltc2:checksum/>
        <xltc2:hyperlink startIndex="0" length="85" url="https://drive.google.com/file/d/1puA2R5XnZHqJVF1UdoCwJDzIr7pz6MAB/view?usp=drive_link"/>
      </ext>
    </x18tc:extLst>
  </x18tc:threadedComment>
  <x18tc:threadedComment ref="J298" dT="2025-11-08T01:30:25.00" personId="{d8e4f5ad-b65d-4160-a56f-197530fb7eb1}" id="{44d8c182-31f1-4968-af47-99c8277d9d29}" done="0">
    <x18tc:text xml:space="preserve">https://drive.google.com/file/d/176fD_1HUSs24TeE3jj_LtS-U9p-Mst55/view?usp=drive_link</x18tc:text>
    <x18tc:extLst>
      <ext uri="{F7C98A9C-CBB3-438F-8F68-D28B6AF4A901}">
        <xltc2:checksum/>
        <xltc2:hyperlink startIndex="0" length="85" url="https://drive.google.com/file/d/176fD_1HUSs24TeE3jj_LtS-U9p-Mst55/view?usp=drive_link"/>
      </ext>
    </x18tc:extLst>
  </x18tc:threadedComment>
  <x18tc:threadedComment ref="K449" dT="2026-01-30T22:29:59.00" personId="{d8e4f5ad-b65d-4160-a56f-197530fb7eb1}" id="{523d4a5c-c5e2-459f-ae6d-77fc90dabcfd}" done="0">
    <x18tc:text xml:space="preserve">https://drive.google.com/file/d/1wU-s6JEwt9RH3vyFEmQxZf1M6LFcEPtB/view?usp=drive_link</x18tc:text>
    <x18tc:extLst>
      <ext uri="{F7C98A9C-CBB3-438F-8F68-D28B6AF4A901}">
        <xltc2:checksum/>
        <xltc2:hyperlink startIndex="0" length="85" url="https://drive.google.com/file/d/1wU-s6JEwt9RH3vyFEmQxZf1M6LFcEPtB/view?usp=drive_link"/>
      </ext>
    </x18tc:extLst>
  </x18tc:threadedComment>
  <x18tc:threadedComment ref="K449" dT="2026-01-30T22:30:31.00" personId="{d8e4f5ad-b65d-4160-a56f-197530fb7eb1}" id="{930ed4c7-a355-4922-988d-acdff9abe44e}" parentId="{523d4a5c-c5e2-459f-ae6d-77fc90dabcfd}">
    <x18tc:text xml:space="preserve">https://drive.google.com/file/d/1-g5a45zwKyqmoRh-sE8Bj_NRFmvuJCD7/view?usp=drive_link</x18tc:text>
    <x18tc:extLst>
      <ext uri="{F7C98A9C-CBB3-438F-8F68-D28B6AF4A901}">
        <xltc2:checksum/>
        <xltc2:hyperlink startIndex="0" length="85" url="https://drive.google.com/file/d/1-g5a45zwKyqmoRh-sE8Bj_NRFmvuJCD7/view?usp=drive_link"/>
      </ext>
    </x18tc:extLst>
  </x18tc:threadedComment>
  <x18tc:threadedComment ref="C255" dT="2025-09-30T17:38:52.00" personId="{d8e4f5ad-b65d-4160-a56f-197530fb7eb1}" id="{c80e1e50-785a-4109-bf14-4530f4648766}" done="0">
    <x18tc:text xml:space="preserve">https://www.microcenter.com/product/354465/case-logic-laptop-case-fits-screens-up-to-184-black</x18tc:text>
    <x18tc:extLst>
      <ext uri="{F7C98A9C-CBB3-438F-8F68-D28B6AF4A901}">
        <xltc2:checksum/>
        <xltc2:hyperlink startIndex="0" length="94" url="https://www.microcenter.com/product/354465/case-logic-laptop-case-fits-screens-up-to-184-black"/>
      </ext>
    </x18tc:extLst>
  </x18tc:threadedComment>
  <x18tc:threadedComment ref="F204" dT="2025-09-08T22:18:53.00" personId="{a5d43f6d-3c72-4414-b012-8f52ef50acc4}" id="{1eb98c3c-3b64-481c-abe0-16384a002733}" done="0">
    <x18tc:text xml:space="preserve">se cambio</x18tc:text>
  </x18tc:threadedComment>
  <x18tc:threadedComment ref="L96" dT="2025-08-07T20:25:06.00" personId="{d8e4f5ad-b65d-4160-a56f-197530fb7eb1}" id="{8405f88f-dda1-48e9-9319-a87258d51cef}" done="0">
    <x18tc:text xml:space="preserve">https://drive.google.com/file/d/1PTkv2MYT98hxj_F_ASGaIbXVLRfivYtQ/view?usp=drive_link</x18tc:text>
    <x18tc:extLst>
      <ext uri="{F7C98A9C-CBB3-438F-8F68-D28B6AF4A901}">
        <xltc2:checksum/>
        <xltc2:hyperlink startIndex="0" length="85" url="https://drive.google.com/file/d/1PTkv2MYT98hxj_F_ASGaIbXVLRfivYtQ/view?usp=drive_link"/>
      </ext>
    </x18tc:extLst>
  </x18tc:threadedComment>
  <x18tc:threadedComment ref="L96" dT="2025-08-07T20:25:29.00" personId="{d8e4f5ad-b65d-4160-a56f-197530fb7eb1}" id="{e87d166c-bcf8-4b06-a7c2-360044d1da8b}" parentId="{8405f88f-dda1-48e9-9319-a87258d51cef}">
    <x18tc:text xml:space="preserve">https://drive.google.com/file/d/1qnqvgmopheAp0ZF6J-tX8TObMoXtqx1b/view?usp=drive_link</x18tc:text>
    <x18tc:extLst>
      <ext uri="{F7C98A9C-CBB3-438F-8F68-D28B6AF4A901}">
        <xltc2:checksum/>
        <xltc2:hyperlink startIndex="0" length="85" url="https://drive.google.com/file/d/1qnqvgmopheAp0ZF6J-tX8TObMoXtqx1b/view?usp=drive_link"/>
      </ext>
    </x18tc:extLst>
  </x18tc:threadedComment>
  <x18tc:threadedComment ref="J255" dT="2025-09-30T17:53:43.00" personId="{d8e4f5ad-b65d-4160-a56f-197530fb7eb1}" id="{9df3e803-2bd0-4ba5-804a-2cb70732139c}" done="0">
    <x18tc:text xml:space="preserve">https://drive.google.com/file/d/1AsuqQwqEwksrkWCgQTh81aVoynJMhO4T/view?usp=drive_link</x18tc:text>
    <x18tc:extLst>
      <ext uri="{F7C98A9C-CBB3-438F-8F68-D28B6AF4A901}">
        <xltc2:checksum/>
        <xltc2:hyperlink startIndex="0" length="85" url="https://drive.google.com/file/d/1AsuqQwqEwksrkWCgQTh81aVoynJMhO4T/view?usp=drive_link"/>
      </ext>
    </x18tc:extLst>
  </x18tc:threadedComment>
  <x18tc:threadedComment ref="J502" dT="2026-01-30T22:32:28.00" personId="{d8e4f5ad-b65d-4160-a56f-197530fb7eb1}" id="{c3d11ed0-3824-42d2-967d-66bb3ab531ff}" done="0">
    <x18tc:text xml:space="preserve">https://drive.google.com/file/d/1xY4Qp9fAYNH2HQlck5yh3cmYm0Ajwbdc/view?usp=drive_link</x18tc:text>
    <x18tc:extLst>
      <ext uri="{F7C98A9C-CBB3-438F-8F68-D28B6AF4A901}">
        <xltc2:checksum/>
        <xltc2:hyperlink startIndex="0" length="85" url="https://drive.google.com/file/d/1xY4Qp9fAYNH2HQlck5yh3cmYm0Ajwbdc/view?usp=drive_link"/>
      </ext>
    </x18tc:extLst>
  </x18tc:threadedComment>
  <x18tc:threadedComment ref="J254" dT="2025-09-30T17:54:50.00" personId="{d8e4f5ad-b65d-4160-a56f-197530fb7eb1}" id="{54933187-e86c-4681-9f99-323f91ead9bf}" done="0">
    <x18tc:text xml:space="preserve">https://drive.google.com/file/d/1QgCDVyNw2336wYLQP9TlSgVs6tmOWAC7/view?usp=drive_link</x18tc:text>
    <x18tc:extLst>
      <ext uri="{F7C98A9C-CBB3-438F-8F68-D28B6AF4A901}">
        <xltc2:checksum/>
        <xltc2:hyperlink startIndex="0" length="85" url="https://drive.google.com/file/d/1QgCDVyNw2336wYLQP9TlSgVs6tmOWAC7/view?usp=drive_link"/>
      </ext>
    </x18tc:extLst>
  </x18tc:threadedComment>
  <x18tc:threadedComment ref="D395" dT="2025-12-05T23:45:51.00" personId="{a5d43f6d-3c72-4414-b012-8f52ef50acc4}" id="{89d2a4d7-bfdf-4925-b61a-b7d87918db43}" done="0">
    <x18tc:text xml:space="preserve">Carlos Alberto Monago Diaz
45387654
991674871
cmonago20@gmail.com</x18tc:text>
  </x18tc:threadedComment>
  <x18tc:threadedComment ref="C162" dT="2025-08-07T19:06:50.00" personId="{4df2d6c4-e43e-4f2e-b623-d90f458472ff}" id="{42eada08-9094-4920-b314-2b7fbd3b5f2b}" done="0">
    <x18tc:text xml:space="preserve">https://www.ebay.com/itm/167641073796?_skw=lenovo+legion+pro+5i&amp;itmmeta=01K1TYWGC5X5GT44HB1X234P7F&amp;hash=item27082fc884:g:UXoAAeSwtQlokN-c&amp;itmprp=enc%3AAQAKAAAA0FkggFvd1GGDu0w3yXCmi1eQyzUfoBqxiTeSZedvnnxREcrvoEKBugSyKnDn%2BX6EXM18bWZoVqBIrnd6S0pSslcenWigBCFmDXMni95PnOvrB39%2Bma1uHZXEpRGv%2Fo7Mx59PLXmBqfyRS5lO1syRmX2ZKn0HsW74FkvJDW2exodu2y1mesgOJ7WOzcrPsusWz7mI7IxSdah1pl6AOKkUVy8k59rt%2B0NmKmsQBL%2BVDRKhkRpW124RYI3EFlM44kyZool2fnURtMCLUf3rcH4Vaf8%3D%7Ctkp%3ABk9SR5yG8t6OZg</x18tc:text>
    <x18tc:extLst>
      <ext uri="{F7C98A9C-CBB3-438F-8F68-D28B6AF4A901}">
        <xltc2:checksum/>
        <xltc2:hyperlink startIndex="0" length="474" url="https://www.ebay.com/itm/167641073796?_skw=lenovo+legion+pro+5i&amp;itmmeta=01K1TYWGC5X5GT44HB1X234P7F&amp;hash=item27082fc884:g:UXoAAeSwtQlokN-c&amp;itmprp=enc%3AAQAKAAAA0FkggFvd1GGDu0w3yXCmi1eQyzUfoBqxiTeSZedvnnxREcrvoEKBugSyKnDn%2BX6EXM18bWZoVqBIrnd6S0pSslcenWigBCFmDXMni95PnOvrB39%2Bma1uHZXEpRGv%2Fo7Mx59PLXmBqfyRS5lO1syRmX2ZKn0HsW74FkvJDW2exodu2y1mesgOJ7WOzcrPsusWz7mI7IxSdah1pl6AOKkUVy8k59rt%2B0NmKmsQBL%2BVDRKhkRpW124RYI3EFlM44kyZool2fnURtMCLUf3rcH4Vaf8%3D%7Ctkp%3ABk9SR5yG8t6OZg"/>
      </ext>
    </x18tc:extLst>
  </x18tc:threadedComment>
  <x18tc:threadedComment ref="K471" dT="2026-01-30T23:07:34.00" personId="{d8e4f5ad-b65d-4160-a56f-197530fb7eb1}" id="{6072e669-bf82-4d9f-858c-c037f943fcbe}" done="0">
    <x18tc:text xml:space="preserve">https://drive.google.com/file/d/1vA2GCK1VMC-N33eCdIUJ27jQ48Nfm1DB/view?usp=drive_link</x18tc:text>
    <x18tc:extLst>
      <ext uri="{F7C98A9C-CBB3-438F-8F68-D28B6AF4A901}">
        <xltc2:checksum/>
        <xltc2:hyperlink startIndex="0" length="85" url="https://drive.google.com/file/d/1vA2GCK1VMC-N33eCdIUJ27jQ48Nfm1DB/view?usp=drive_link"/>
      </ext>
    </x18tc:extLst>
  </x18tc:threadedComment>
  <x18tc:threadedComment ref="C256" dT="2025-09-30T18:14:40.00" personId="{a5d43f6d-3c72-4414-b012-8f52ef50acc4}" id="{98565190-96bb-458b-bf4e-45135173270a}" done="0">
    <x18tc:text xml:space="preserve">https://www.bhphotovideo.com/c/product/1877808-REG/msi_raider_18_hx_ai_a2xwig_014us_18_raider_18_hx.html/specs</x18tc:text>
    <x18tc:extLst>
      <ext uri="{F7C98A9C-CBB3-438F-8F68-D28B6AF4A901}">
        <xltc2:checksum/>
        <xltc2:hyperlink startIndex="0" length="110" url="https://www.bhphotovideo.com/c/product/1877808-REG/msi_raider_18_hx_ai_a2xwig_014us_18_raider_18_hx.html/specs"/>
      </ext>
    </x18tc:extLst>
  </x18tc:threadedComment>
  <x18tc:threadedComment ref="K601" dT="2026-03-27T21:17:53.00" personId="{d8e4f5ad-b65d-4160-a56f-197530fb7eb1}" id="{d2e62ab1-5301-4fba-ab9c-8901b55475da}" done="0">
    <x18tc:text xml:space="preserve">https://drive.google.com/file/d/1mRPtWU2DgT9biq6MaOdnJliasshtrkAq/view?usp=drive_link</x18tc:text>
    <x18tc:extLst>
      <ext uri="{F7C98A9C-CBB3-438F-8F68-D28B6AF4A901}">
        <xltc2:checksum/>
        <xltc2:hyperlink startIndex="0" length="85" url="https://drive.google.com/file/d/1mRPtWU2DgT9biq6MaOdnJliasshtrkAq/view?usp=drive_link"/>
      </ext>
    </x18tc:extLst>
  </x18tc:threadedComment>
  <x18tc:threadedComment ref="K601" dT="2026-03-27T21:18:17.00" personId="{d8e4f5ad-b65d-4160-a56f-197530fb7eb1}" id="{acd9184f-044a-4bad-95db-448f75bf18aa}" parentId="{d2e62ab1-5301-4fba-ab9c-8901b55475da}">
    <x18tc:text xml:space="preserve">https://drive.google.com/file/d/1IpgeiWuVrQy7DfDIeq-tyrmMc13w1GhW/view?usp=drive_link</x18tc:text>
    <x18tc:extLst>
      <ext uri="{F7C98A9C-CBB3-438F-8F68-D28B6AF4A901}">
        <xltc2:checksum/>
        <xltc2:hyperlink startIndex="0" length="85" url="https://drive.google.com/file/d/1IpgeiWuVrQy7DfDIeq-tyrmMc13w1GhW/view?usp=drive_link"/>
      </ext>
    </x18tc:extLst>
  </x18tc:threadedComment>
  <x18tc:threadedComment ref="J181" dT="2025-08-19T19:58:40.00" personId="{a5d43f6d-3c72-4414-b012-8f52ef50acc4}" id="{d83f5b41-f0e0-4710-b196-e628094d5f5c}" done="0">
    <x18tc:text xml:space="preserve">https://drive.google.com/file/d/1p5O4d3i1eIlhyNmum3-ySsvXFiGiFPwI/view?usp=drive_link</x18tc:text>
    <x18tc:extLst>
      <ext uri="{F7C98A9C-CBB3-438F-8F68-D28B6AF4A901}">
        <xltc2:checksum/>
        <xltc2:hyperlink startIndex="0" length="85" url="https://drive.google.com/file/d/1p5O4d3i1eIlhyNmum3-ySsvXFiGiFPwI/view?usp=drive_link"/>
      </ext>
    </x18tc:extLst>
  </x18tc:threadedComment>
  <x18tc:threadedComment ref="AF561" dT="2026-03-04T23:08:17.00" personId="{2ddfa542-8116-4937-a057-08470d7abaab}" id="{0ea69ad1-56ad-4159-a8a9-9cf5c74ff9a5}" done="0">
    <x18tc:text xml:space="preserve">venta final, fixit, excedentes</x18tc:text>
  </x18tc:threadedComment>
  <x18tc:threadedComment ref="C585" dT="2026-03-04T22:38:04.00" personId="{d8e4f5ad-b65d-4160-a56f-197530fb7eb1}" id="{b7b3ebd0-530b-4f2e-95bd-805e575db687}" done="0">
    <x18tc:text xml:space="preserve">https://us-store.msi.com/Titan-18-HX-Dragon-Edition-Norse-Myth-A2XWJG?search=titan%20</x18tc:text>
    <x18tc:extLst>
      <ext uri="{F7C98A9C-CBB3-438F-8F68-D28B6AF4A901}">
        <xltc2:checksum/>
        <xltc2:hyperlink startIndex="0" length="85" url="https://us-store.msi.com/Titan-18-HX-Dragon-Edition-Norse-Myth-A2XWJG?search=titan%20"/>
      </ext>
    </x18tc:extLst>
  </x18tc:threadedComment>
  <x18tc:threadedComment ref="J515" dT="2026-03-04T23:25:22.00" personId="{f9b224d0-ee33-4499-ae47-db5bcd2d0435}" id="{821417f9-9ce0-4df3-99bc-35d41a2dda75}" done="0">
    <x18tc:text xml:space="preserve">https://drive.google.com/file/d/1Yx032Ou0MXxWtfRf62FsBoCB1Qd-0v_I/view?usp=drive_link</x18tc:text>
    <x18tc:extLst>
      <ext uri="{F7C98A9C-CBB3-438F-8F68-D28B6AF4A901}">
        <xltc2:checksum/>
        <xltc2:hyperlink startIndex="0" length="85" url="https://drive.google.com/file/d/1Yx032Ou0MXxWtfRf62FsBoCB1Qd-0v_I/view?usp=drive_link"/>
      </ext>
    </x18tc:extLst>
  </x18tc:threadedComment>
  <x18tc:threadedComment ref="J515" dT="2026-03-04T23:25:46.00" personId="{f9b224d0-ee33-4499-ae47-db5bcd2d0435}" id="{3096c102-1ec1-4728-8af6-2994077817ff}" parentId="{821417f9-9ce0-4df3-99bc-35d41a2dda75}">
    <x18tc:text xml:space="preserve">https://drive.google.com/file/d/10-qQxESUiIpd-eHxtp-fwU9HfzevgXjz/view?usp=drive_link</x18tc:text>
    <x18tc:extLst>
      <ext uri="{F7C98A9C-CBB3-438F-8F68-D28B6AF4A901}">
        <xltc2:checksum/>
        <xltc2:hyperlink startIndex="0" length="85" url="https://drive.google.com/file/d/10-qQxESUiIpd-eHxtp-fwU9HfzevgXjz/view?usp=drive_link"/>
      </ext>
    </x18tc:extLst>
  </x18tc:threadedComment>
  <x18tc:threadedComment ref="AF526" dT="2026-03-04T22:57:01.00" personId="{2ddfa542-8116-4937-a057-08470d7abaab}" id="{4283def7-2d98-4452-84a7-6c78ef5ac846}" done="1">
    <x18tc:text xml:space="preserve">venta final, fixit, excedentes</x18tc:text>
  </x18tc:threadedComment>
  <x18tc:threadedComment ref="A1" dT="2026-03-27T20:12:08.00" personId="{d8e4f5ad-b65d-4160-a56f-197530fb7eb1}" id="{cc72f430-86d4-40af-aaab-8309a0735af1}" done="0">
    <x18tc:text xml:space="preserve">https://www.amazon.com/-/es/dp/B0DZZWMB2L?ref_=ppx_hzod_title_dt_b_fed_asin_title_0_0&amp;th=1</x18tc:text>
    <x18tc:extLst>
      <ext uri="{F7C98A9C-CBB3-438F-8F68-D28B6AF4A901}">
        <xltc2:checksum/>
        <xltc2:hyperlink startIndex="0" length="90" url="https://www.amazon.com/-/es/dp/B0DZZWMB2L?ref_=ppx_hzod_title_dt_b_fed_asin_title_0_0&amp;th=1"/>
      </ext>
    </x18tc:extLst>
  </x18tc:threadedComment>
  <x18tc:threadedComment ref="J248" dT="2025-09-27T23:01:43.00" personId="{d8e4f5ad-b65d-4160-a56f-197530fb7eb1}" id="{531c186f-f9f3-40a7-8200-2d91669d533c}" done="0">
    <x18tc:text xml:space="preserve">https://drive.google.com/file/d/1G6_k41BtwpuB48j7jDLjVHWXjW3AHjjb/view?usp=drive_link</x18tc:text>
    <x18tc:extLst>
      <ext uri="{F7C98A9C-CBB3-438F-8F68-D28B6AF4A901}">
        <xltc2:checksum/>
        <xltc2:hyperlink startIndex="0" length="85" url="https://drive.google.com/file/d/1G6_k41BtwpuB48j7jDLjVHWXjW3AHjjb/view?usp=drive_link"/>
      </ext>
    </x18tc:extLst>
  </x18tc:threadedComment>
  <x18tc:threadedComment ref="K491" dT="2026-01-31T17:14:30.00" personId="{d8e4f5ad-b65d-4160-a56f-197530fb7eb1}" id="{c37a609a-d998-475c-aa22-55ff72c57bd1}" done="0">
    <x18tc:text xml:space="preserve">https://drive.google.com/file/d/1mGCENAEgZnFIVhaXy2IdxrCc4MZ5_sRS/view?usp=drive_link</x18tc:text>
    <x18tc:extLst>
      <ext uri="{F7C98A9C-CBB3-438F-8F68-D28B6AF4A901}">
        <xltc2:checksum/>
        <xltc2:hyperlink startIndex="0" length="85" url="https://drive.google.com/file/d/1mGCENAEgZnFIVhaXy2IdxrCc4MZ5_sRS/view?usp=drive_link"/>
      </ext>
    </x18tc:extLst>
  </x18tc:threadedComment>
  <x18tc:threadedComment ref="J487" dT="2026-01-17T16:00:25.00" personId="{d8e4f5ad-b65d-4160-a56f-197530fb7eb1}" id="{7d3dc63c-5572-4c80-9511-56b17209af34}" done="0">
    <x18tc:text xml:space="preserve">https://drive.google.com/file/d/1eYJ-sr6bdNspb5VXOilquovIvKvR-so6/view?usp=drive_link</x18tc:text>
    <x18tc:extLst>
      <ext uri="{F7C98A9C-CBB3-438F-8F68-D28B6AF4A901}">
        <xltc2:checksum/>
        <xltc2:hyperlink startIndex="0" length="85" url="https://drive.google.com/file/d/1eYJ-sr6bdNspb5VXOilquovIvKvR-so6/view?usp=drive_link"/>
      </ext>
    </x18tc:extLst>
  </x18tc:threadedComment>
  <x18tc:threadedComment ref="AF572" dT="2026-03-04T22:57:34.00" personId="{2ddfa542-8116-4937-a057-08470d7abaab}" id="{cbcd1081-9038-4cac-8792-3d4251f8265a}" done="1">
    <x18tc:text xml:space="preserve">venta final, fixit, excedentes</x18tc:text>
  </x18tc:threadedComment>
  <x18tc:threadedComment ref="O170" dT="2025-08-12T21:15:22.00" personId="{a5d43f6d-3c72-4414-b012-8f52ef50acc4}" id="{5886bcc8-eaf8-4293-acf1-f8a4f963efbf}" done="1">
    <x18tc:text xml:space="preserve">descontar precio de mouse + audifonos + soporte para cliente</x18tc:text>
  </x18tc:threadedComment>
  <x18tc:threadedComment ref="AG516" dT="2026-03-04T21:50:23.00" personId="{2ddfa542-8116-4937-a057-08470d7abaab}" id="{351f3798-6255-42a7-807d-a3020d3ecd6e}" done="0">
    <x18tc:text xml:space="preserve">no hay excedentes porque canceló la compra</x18tc:text>
  </x18tc:threadedComment>
  <x18tc:threadedComment ref="AF546" dT="2026-03-04T23:08:13.00" personId="{2ddfa542-8116-4937-a057-08470d7abaab}" id="{6ac6a8fb-4b06-4c9e-976b-002c6282be02}" done="0">
    <x18tc:text xml:space="preserve">venta final, fixit, excedentes</x18tc:text>
  </x18tc:threadedComment>
  <x18tc:threadedComment ref="C643" dT="2026-03-28T00:08:34.00" personId="{f9b224d0-ee33-4499-ae47-db5bcd2d0435}" id="{168bd8de-40e8-4c17-9596-b38f06674b5a}" done="0">
    <x18tc:text xml:space="preserve">https://www.costco.com/p/-/acer-predator-helios-neo-16-ai-gaming-laptop-intel-core-ultra-9-275hx-processor-16-2560-x-1600-240hz-display-nvidia-rtx-5070-ti-12gb-1-tb-ssd-windows-11-home/4000398640?langId=-1</x18tc:text>
    <x18tc:extLst>
      <ext uri="{F7C98A9C-CBB3-438F-8F68-D28B6AF4A901}">
        <xltc2:checksum/>
        <xltc2:hyperlink startIndex="0" length="205" url="https://www.costco.com/p/-/acer-predator-helios-neo-16-ai-gaming-laptop-intel-core-ultra-9-275hx-processor-16-2560-x-1600-240hz-display-nvidia-rtx-5070-ti-12gb-1-tb-ssd-windows-11-home/4000398640?langId=-1"/>
      </ext>
    </x18tc:extLst>
  </x18tc:threadedComment>
  <x18tc:threadedComment ref="AF553" dT="2026-03-04T22:57:27.00" personId="{2ddfa542-8116-4937-a057-08470d7abaab}" id="{8bf03a74-6e4a-4ec8-a446-7550f5ffdc2c}" done="1">
    <x18tc:text xml:space="preserve">venta final, fixit, excedentes</x18tc:text>
  </x18tc:threadedComment>
  <x18tc:threadedComment ref="J180" dT="2025-08-19T19:22:12.00" personId="{a5d43f6d-3c72-4414-b012-8f52ef50acc4}" id="{6c199e69-406b-4457-a370-76b4897508aa}" done="0">
    <x18tc:text xml:space="preserve">https://drive.google.com/file/d/1pJWp_ZGuTQb6KPMoQVV9d63_9kpA126r/view?usp=drive_link</x18tc:text>
    <x18tc:extLst>
      <ext uri="{F7C98A9C-CBB3-438F-8F68-D28B6AF4A901}">
        <xltc2:checksum/>
        <xltc2:hyperlink startIndex="0" length="85" url="https://drive.google.com/file/d/1pJWp_ZGuTQb6KPMoQVV9d63_9kpA126r/view?usp=drive_link"/>
      </ext>
    </x18tc:extLst>
  </x18tc:threadedComment>
  <x18tc:threadedComment ref="J643" dT="2026-03-28T00:13:07.00" personId="{f9b224d0-ee33-4499-ae47-db5bcd2d0435}" id="{a83f483f-e01c-4043-bcf1-b3cb34aa7741}" done="0">
    <x18tc:text xml:space="preserve">https://drive.google.com/file/d/113rpcw-F4T0JhpFhQJbDUG3irqJOkN8p/view?usp=drive_link</x18tc:text>
    <x18tc:extLst>
      <ext uri="{F7C98A9C-CBB3-438F-8F68-D28B6AF4A901}">
        <xltc2:checksum/>
        <xltc2:hyperlink startIndex="0" length="85" url="https://drive.google.com/file/d/113rpcw-F4T0JhpFhQJbDUG3irqJOkN8p/view?usp=drive_link"/>
      </ext>
    </x18tc:extLst>
  </x18tc:threadedComment>
  <x18tc:threadedComment ref="C524" dT="2026-02-06T21:15:55.00" personId="{80195d68-4e9b-4dc7-a031-ca5391c97d0f}" id="{c0e8454c-3e9c-45e6-9e3a-7fb831f27a14}"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AF557" dT="2026-03-04T22:57:30.00" personId="{2ddfa542-8116-4937-a057-08470d7abaab}" id="{dedff3d2-b879-4ab8-b7c9-89b5e4ac9b86}" done="1">
    <x18tc:text xml:space="preserve">venta final, fixit, excedentes</x18tc:text>
  </x18tc:threadedComment>
  <x18tc:threadedComment ref="Y516" dT="2026-03-04T21:49:25.00" personId="{2ddfa542-8116-4937-a057-08470d7abaab}" id="{5db0b754-86fe-4d7f-a8f4-2c7b4b588e6a}" done="0">
    <x18tc:text xml:space="preserve">No es necesario, canceló la compra</x18tc:text>
  </x18tc:threadedComment>
  <x18tc:threadedComment ref="S248" dT="2025-09-27T23:04:09.00" personId="{d8e4f5ad-b65d-4160-a56f-197530fb7eb1}" id="{a82d9189-2ce7-4071-8bd7-0becc36f24d8}" done="0">
    <x18tc:text xml:space="preserve">https://drive.google.com/file/d/1mCTC-TwSuG0wgOhSJYKkb82--kT5ws2H/view?usp=drive_link</x18tc:text>
    <x18tc:extLst>
      <ext uri="{F7C98A9C-CBB3-438F-8F68-D28B6AF4A901}">
        <xltc2:checksum/>
        <xltc2:hyperlink startIndex="0" length="85" url="https://drive.google.com/file/d/1mCTC-TwSuG0wgOhSJYKkb82--kT5ws2H/view?usp=drive_link"/>
      </ext>
    </x18tc:extLst>
  </x18tc:threadedComment>
  <x18tc:threadedComment ref="S585" dT="2026-03-27T21:36:55.00" personId="{d8e4f5ad-b65d-4160-a56f-197530fb7eb1}" id="{fa5fa3dc-32fe-456f-be02-c74ffa727f24}" done="0">
    <x18tc:text xml:space="preserve">https://drive.google.com/file/d/1aAFzFAsryMkTMzClmyeI56tLAt6aVQIP/view?usp=drive_link</x18tc:text>
    <x18tc:extLst>
      <ext uri="{F7C98A9C-CBB3-438F-8F68-D28B6AF4A901}">
        <xltc2:checksum/>
        <xltc2:hyperlink startIndex="0" length="85" url="https://drive.google.com/file/d/1aAFzFAsryMkTMzClmyeI56tLAt6aVQIP/view?usp=drive_link"/>
      </ext>
    </x18tc:extLst>
  </x18tc:threadedComment>
  <x18tc:threadedComment ref="T694" dT="2026-05-08T17:35:21.00" personId="{80195d68-4e9b-4dc7-a031-ca5391c97d0f}" id="{f27cde05-1023-4bee-aedb-68c423405c4d}" done="0">
    <x18tc:text xml:space="preserve">mouse</x18tc:text>
  </x18tc:threadedComment>
  <x18tc:threadedComment ref="AF549" dT="2026-03-04T22:57:23.00" personId="{2ddfa542-8116-4937-a057-08470d7abaab}" id="{19089986-94de-4f0d-832d-a308cea56c6d}" done="1">
    <x18tc:text xml:space="preserve">venta final, fixit, excedentes</x18tc:text>
  </x18tc:threadedComment>
  <x18tc:threadedComment ref="J247" dT="2025-09-27T23:02:35.00" personId="{d8e4f5ad-b65d-4160-a56f-197530fb7eb1}" id="{0e2cdf5c-df4c-4f48-aecc-ee5670ed2072}" done="0">
    <x18tc:text xml:space="preserve">https://drive.google.com/file/d/1mx3AEOURQUnPQqPzDEp6WuZIJpQ3a0JJ/view?usp=drive_link</x18tc:text>
    <x18tc:extLst>
      <ext uri="{F7C98A9C-CBB3-438F-8F68-D28B6AF4A901}">
        <xltc2:checksum/>
        <xltc2:hyperlink startIndex="0" length="85" url="https://drive.google.com/file/d/1mx3AEOURQUnPQqPzDEp6WuZIJpQ3a0JJ/view?usp=drive_link"/>
      </ext>
    </x18tc:extLst>
  </x18tc:threadedComment>
  <x18tc:threadedComment ref="J170" dT="2025-08-12T21:15:05.00" personId="{a5d43f6d-3c72-4414-b012-8f52ef50acc4}" id="{57ea628c-f0ea-484e-bfe9-35216189c8a6}" done="0">
    <x18tc:text xml:space="preserve">https://drive.google.com/file/d/1YCMNSy06BGnF9Mz5HrbD1LSsRc_SMdmZ/view?usp=drive_link</x18tc:text>
    <x18tc:extLst>
      <ext uri="{F7C98A9C-CBB3-438F-8F68-D28B6AF4A901}">
        <xltc2:checksum/>
        <xltc2:hyperlink startIndex="0" length="85" url="https://drive.google.com/file/d/1YCMNSy06BGnF9Mz5HrbD1LSsRc_SMdmZ/view?usp=drive_link"/>
      </ext>
    </x18tc:extLst>
  </x18tc:threadedComment>
  <x18tc:threadedComment ref="L237" dT="2025-09-19T01:20:32.00" personId="{4df2d6c4-e43e-4f2e-b623-d90f458472ff}" id="{d6f53f3e-0456-41cf-ba4c-2313706b95db}" done="0">
    <x18tc:text xml:space="preserve">https://drive.google.com/file/d/18iPQRPuA87rlnbhMxTzbPIcyBhqf97Yy/view?usp=drive_link</x18tc:text>
    <x18tc:extLst>
      <ext uri="{F7C98A9C-CBB3-438F-8F68-D28B6AF4A901}">
        <xltc2:checksum/>
        <xltc2:hyperlink startIndex="0" length="85" url="https://drive.google.com/file/d/18iPQRPuA87rlnbhMxTzbPIcyBhqf97Yy/view?usp=drive_link"/>
      </ext>
    </x18tc:extLst>
  </x18tc:threadedComment>
  <x18tc:threadedComment ref="C360" dT="2025-11-28T02:27:41.00" personId="{d8e4f5ad-b65d-4160-a56f-197530fb7eb1}" id="{d1b542c9-c644-4c6b-b3f2-c9888ef275ba}" done="0">
    <x18tc:text xml:space="preserve">https://www.amazon.com/-/es/G835LW-XS97-ASUS/dp/B0DW29H85Z/ref=sr_1_3?__mk_es_US=%C3%85M%C3%85%C5%BD%C3%95%C3%91&amp;crid=1D3MM23DUTDL6&amp;dib=eyJ2IjoiMSJ9.Fgo7OnOuhzVNM6NtzOpQdciSBFe77Gc2009U-a-CPqViFxo5EuB_UKKPm2fRhQDhkrFAnSvnpl9X09RJM5yFDvXkqhN5oNPQ4Eg68fmu1jle-nVHgebDrUwGK_bgQ0ooGndp-8UBWX4l33sjVCJ5NWeuEPVAIkmfuY19DxZ4hiSqktWD8CukYWUnv9y9E6LCKHRQT7omYq2MZlubJvmV6qIJ8jKVU_qwELf4eVgJN-g.rvXOBEKepdqcbn33v9e-QDoIYhUnBaxwz7rXydLbSgU&amp;dib_tag=se&amp;keywords=scar%2B18%2B5080&amp;qid=1761073450&amp;sprefix=scar%2B18%2B5080%2Caps%2C258&amp;sr=8-3&amp;th=1</x18tc:text>
    <x18tc:extLst>
      <ext uri="{F7C98A9C-CBB3-438F-8F68-D28B6AF4A901}">
        <xltc2:checksum/>
        <xltc2:hyperlink startIndex="0" length="529" url="https://www.amazon.com/-/es/G835LW-XS97-ASUS/dp/B0DW29H85Z/ref=sr_1_3?__mk_es_US=%C3%85M%C3%85%C5%BD%C3%95%C3%91&amp;crid=1D3MM23DUTDL6&amp;dib=eyJ2IjoiMSJ9.Fgo7OnOuhzVNM6NtzOpQdciSBFe77Gc2009U-a-CPqViFxo5EuB_UKKPm2fRhQDhkrFAnSvnpl9X09RJM5yFDvXkqhN5oNPQ4Eg68fmu1jle-nVHgebDrUwGK_bgQ0ooGndp-8UBWX4l33sjVCJ5NWeuEPVAIkmfuY19DxZ4hiSqktWD8CukYWUnv9y9E6LCKHRQT7omYq2MZlubJvmV6qIJ8jKVU_qwELf4eVgJN-g.rvXOBEKepdqcbn33v9e-QDoIYhUnBaxwz7rXydLbSgU&amp;dib_tag=se&amp;keywords=scar%2B18%2B5080&amp;qid=1761073450&amp;sprefix=scar%2B18%2B5080%2Caps%2C258&amp;sr=8-3&amp;th=1"/>
      </ext>
    </x18tc:extLst>
  </x18tc:threadedComment>
  <x18tc:threadedComment ref="K684" dT="2026-05-08T16:41:37.00" personId="{d8e4f5ad-b65d-4160-a56f-197530fb7eb1}" id="{53f5f38c-7375-410c-ac19-c7cdf3318af3}" done="0">
    <x18tc:text xml:space="preserve">https://drive.google.com/file/d/1I-obX-CeMBjtkbs2vJRH1glGyNsQPso0/view?usp=drive_link</x18tc:text>
    <x18tc:extLst>
      <ext uri="{F7C98A9C-CBB3-438F-8F68-D28B6AF4A901}">
        <xltc2:checksum/>
        <xltc2:hyperlink startIndex="0" length="85" url="https://drive.google.com/file/d/1I-obX-CeMBjtkbs2vJRH1glGyNsQPso0/view?usp=drive_link"/>
      </ext>
    </x18tc:extLst>
  </x18tc:threadedComment>
  <x18tc:threadedComment ref="K684" dT="2026-05-08T16:42:00.00" personId="{d8e4f5ad-b65d-4160-a56f-197530fb7eb1}" id="{49277b37-1ddc-4daf-9b3c-e7f2c9c16690}" parentId="{53f5f38c-7375-410c-ac19-c7cdf3318af3}">
    <x18tc:text xml:space="preserve">https://drive.google.com/file/d/1VMz5uxuFDfXBKOHbu7Zm7_3r3M4ISWkB/view?usp=drive_link</x18tc:text>
    <x18tc:extLst>
      <ext uri="{F7C98A9C-CBB3-438F-8F68-D28B6AF4A901}">
        <xltc2:checksum/>
        <xltc2:hyperlink startIndex="0" length="85" url="https://drive.google.com/file/d/1VMz5uxuFDfXBKOHbu7Zm7_3r3M4ISWkB/view?usp=drive_link"/>
      </ext>
    </x18tc:extLst>
  </x18tc:threadedComment>
  <x18tc:threadedComment ref="K684" dT="2026-05-08T16:42:18.00" personId="{d8e4f5ad-b65d-4160-a56f-197530fb7eb1}" id="{dcbddcad-724e-45d3-9f27-722be7537931}" parentId="{53f5f38c-7375-410c-ac19-c7cdf3318af3}">
    <x18tc:text xml:space="preserve">https://drive.google.com/file/d/1FfJjByo34pHeirgWaYfFHsz9NVXPqP4I/view?usp=drive_link</x18tc:text>
    <x18tc:extLst>
      <ext uri="{F7C98A9C-CBB3-438F-8F68-D28B6AF4A901}">
        <xltc2:checksum/>
        <xltc2:hyperlink startIndex="0" length="85" url="https://drive.google.com/file/d/1FfJjByo34pHeirgWaYfFHsz9NVXPqP4I/view?usp=drive_link"/>
      </ext>
    </x18tc:extLst>
  </x18tc:threadedComment>
  <x18tc:threadedComment ref="M237" dT="2025-09-19T01:20:54.00" personId="{4df2d6c4-e43e-4f2e-b623-d90f458472ff}" id="{6a61e0e4-ef40-412b-8835-e2e416eeb223}" done="0">
    <x18tc:text xml:space="preserve">https://drive.google.com/file/d/1dJwx2QqIQOcrZDih0tEDpZINAgps_lwE/view?usp=drive_link</x18tc:text>
    <x18tc:extLst>
      <ext uri="{F7C98A9C-CBB3-438F-8F68-D28B6AF4A901}">
        <xltc2:checksum/>
        <xltc2:hyperlink startIndex="0" length="85" url="https://drive.google.com/file/d/1dJwx2QqIQOcrZDih0tEDpZINAgps_lwE/view?usp=drive_link"/>
      </ext>
    </x18tc:extLst>
  </x18tc:threadedComment>
  <x18tc:threadedComment ref="J37" dT="2025-05-07T00:56:50.00" personId="{d8e4f5ad-b65d-4160-a56f-197530fb7eb1}" id="{6259ee58-0863-47b2-85f9-49671935db9e}" done="0">
    <x18tc:text xml:space="preserve">https://drive.google.com/file/d/1WkSKvadpPrBFsuUfjwCi85NbI3l9Mwcf/view?usp=drive_link</x18tc:text>
    <x18tc:extLst>
      <ext uri="{F7C98A9C-CBB3-438F-8F68-D28B6AF4A901}">
        <xltc2:checksum/>
        <xltc2:hyperlink startIndex="0" length="85" url="https://drive.google.com/file/d/1WkSKvadpPrBFsuUfjwCi85NbI3l9Mwcf/view?usp=drive_link"/>
      </ext>
    </x18tc:extLst>
  </x18tc:threadedComment>
  <x18tc:threadedComment ref="W248" dT="2025-09-27T23:29:30.00" personId="{d8e4f5ad-b65d-4160-a56f-197530fb7eb1}" id="{65198d98-a7c9-493f-a42c-95cd8e371b99}" done="0">
    <x18tc:text xml:space="preserve">https://drive.google.com/file/d/1kzfevqeWW_lUAwA_yjXaoKLed21Wt_Au/view?usp=drive_link</x18tc:text>
    <x18tc:extLst>
      <ext uri="{F7C98A9C-CBB3-438F-8F68-D28B6AF4A901}">
        <xltc2:checksum/>
        <xltc2:hyperlink startIndex="0" length="85" url="https://drive.google.com/file/d/1kzfevqeWW_lUAwA_yjXaoKLed21Wt_Au/view?usp=drive_link"/>
      </ext>
    </x18tc:extLst>
  </x18tc:threadedComment>
  <x18tc:threadedComment ref="W237" dT="2025-09-19T01:25:38.00" personId="{4df2d6c4-e43e-4f2e-b623-d90f458472ff}" id="{ecf5a5e5-a848-4542-bc05-6cb73f16460c}" done="0">
    <x18tc:text xml:space="preserve">https://drive.google.com/file/d/1AfuoJ1HAtC-3jNlqZoaYt_6FJuUg9TUZ/view?usp=drive_link</x18tc:text>
    <x18tc:extLst>
      <ext uri="{F7C98A9C-CBB3-438F-8F68-D28B6AF4A901}">
        <xltc2:checksum/>
        <xltc2:hyperlink startIndex="0" length="85" url="https://drive.google.com/file/d/1AfuoJ1HAtC-3jNlqZoaYt_6FJuUg9TUZ/view?usp=drive_link"/>
      </ext>
    </x18tc:extLst>
  </x18tc:threadedComment>
  <x18tc:threadedComment ref="J362" dT="2025-11-28T03:58:06.00" personId="{a5d43f6d-3c72-4414-b012-8f52ef50acc4}" id="{76a88001-7333-439d-8601-f3236c5907ca}" done="0">
    <x18tc:text xml:space="preserve">https://drive.google.com/file/d/1jy8l-PC6V_acKejt8c3H7iN3SgEn7NPg/view?usp=drive_link</x18tc:text>
    <x18tc:extLst>
      <ext uri="{F7C98A9C-CBB3-438F-8F68-D28B6AF4A901}">
        <xltc2:checksum/>
        <xltc2:hyperlink startIndex="0" length="85" url="https://drive.google.com/file/d/1jy8l-PC6V_acKejt8c3H7iN3SgEn7NPg/view?usp=drive_link"/>
      </ext>
    </x18tc:extLst>
  </x18tc:threadedComment>
  <x18tc:threadedComment ref="J22" dT="2025-04-21T17:15:34.00" personId="{a5d43f6d-3c72-4414-b012-8f52ef50acc4}" id="{3fb6e7fd-225e-4de2-8d00-550cf66182c3}" done="0">
    <x18tc:text xml:space="preserve">https://drive.google.com/file/d/16uyP_63DZNeDLEmDKdz9GpyNv8IAMndw/view?usp=sharing
https://drive.google.com/file/d/16uJeBUs-n_uJOtzya5JX7GfRmZpACP9D/view?usp=sharing</x18tc:text>
    <x18tc:extLst>
      <ext uri="{F7C98A9C-CBB3-438F-8F68-D28B6AF4A901}">
        <xltc2:checksum/>
        <xltc2:hyperlink startIndex="0" length="82" url="https://drive.google.com/file/d/16uyP_63DZNeDLEmDKdz9GpyNv8IAMndw/view?usp=sharing"/>
        <xltc2:hyperlink startIndex="83" length="82" url="https://drive.google.com/file/d/16uJeBUs-n_uJOtzya5JX7GfRmZpACP9D/view?usp=sharing"/>
      </ext>
    </x18tc:extLst>
  </x18tc:threadedComment>
  <x18tc:threadedComment ref="L37" dT="2025-05-07T00:57:53.00" personId="{d8e4f5ad-b65d-4160-a56f-197530fb7eb1}" id="{26a430c1-bbd0-40d7-9918-4358a34b0312}" done="0">
    <x18tc:text xml:space="preserve">https://drive.google.com/file/d/158UKvBx-VEM4KsuAIOQSZTD99RcCQ1gQ/view?usp=drive_link</x18tc:text>
    <x18tc:extLst>
      <ext uri="{F7C98A9C-CBB3-438F-8F68-D28B6AF4A901}">
        <xltc2:checksum/>
        <xltc2:hyperlink startIndex="0" length="85" url="https://drive.google.com/file/d/158UKvBx-VEM4KsuAIOQSZTD99RcCQ1gQ/view?usp=drive_link"/>
      </ext>
    </x18tc:extLst>
  </x18tc:threadedComment>
  <x18tc:threadedComment ref="S247" dT="2025-09-27T23:05:13.00" personId="{d8e4f5ad-b65d-4160-a56f-197530fb7eb1}" id="{90796e23-fb65-4a23-a2b7-0f646294a2cb}" done="0">
    <x18tc:text xml:space="preserve">https://drive.google.com/file/d/1R3uOfUbtwuDR8JX2dH64F_Ee3gSDuqAf/view?usp=drive_link</x18tc:text>
    <x18tc:extLst>
      <ext uri="{F7C98A9C-CBB3-438F-8F68-D28B6AF4A901}">
        <xltc2:checksum/>
        <xltc2:hyperlink startIndex="0" length="85" url="https://drive.google.com/file/d/1R3uOfUbtwuDR8JX2dH64F_Ee3gSDuqAf/view?usp=drive_link"/>
      </ext>
    </x18tc:extLst>
  </x18tc:threadedComment>
  <x18tc:threadedComment ref="K466" dT="2026-01-31T21:17:22.00" personId="{a5d43f6d-3c72-4414-b012-8f52ef50acc4}" id="{5afe79ee-71f2-4d9d-868a-670e909a7e87}" done="0">
    <x18tc:text xml:space="preserve">https://drive.google.com/file/d/10UteoNw_J-iI7C4kD02tJbXJJuOsLbFd/view?usp=drive_link</x18tc:text>
    <x18tc:extLst>
      <ext uri="{F7C98A9C-CBB3-438F-8F68-D28B6AF4A901}">
        <xltc2:checksum/>
        <xltc2:hyperlink startIndex="0" length="85" url="https://drive.google.com/file/d/10UteoNw_J-iI7C4kD02tJbXJJuOsLbFd/view?usp=drive_link"/>
      </ext>
    </x18tc:extLst>
  </x18tc:threadedComment>
  <x18tc:threadedComment ref="L255" dT="2025-10-21T01:16:30.00" personId="{d8e4f5ad-b65d-4160-a56f-197530fb7eb1}" id="{62ea8905-11bd-42a0-a357-0c68135469e5}" done="0">
    <x18tc:text xml:space="preserve">https://drive.google.com/file/d/15KgN4hGfip7nfpOdzxf2URHbDeSlk8Ik/view?usp=drive_link</x18tc:text>
    <x18tc:extLst>
      <ext uri="{F7C98A9C-CBB3-438F-8F68-D28B6AF4A901}">
        <xltc2:checksum/>
        <xltc2:hyperlink startIndex="0" length="85" url="https://drive.google.com/file/d/15KgN4hGfip7nfpOdzxf2URHbDeSlk8Ik/view?usp=drive_link"/>
      </ext>
    </x18tc:extLst>
  </x18tc:threadedComment>
  <x18tc:threadedComment ref="C538" dT="2026-02-13T23:35:30.00" personId="{a5d43f6d-3c72-4414-b012-8f52ef50acc4}" id="{f5dfba1c-3cd8-4a3a-a364-49402e5cca03}" done="0">
    <x18tc:text xml:space="preserve">https://www.microcenter.com/product/691610/lenovo-legion-pro-7-16iax10h-oled-16-gaming-laptop-computer-eclipse-black#photogroup-4</x18tc:text>
    <x18tc:extLst>
      <ext uri="{F7C98A9C-CBB3-438F-8F68-D28B6AF4A901}">
        <xltc2:checksum/>
        <xltc2:hyperlink startIndex="0" length="129" url="https://www.microcenter.com/product/691610/lenovo-legion-pro-7-16iax10h-oled-16-gaming-laptop-computer-eclipse-black#photogroup-4"/>
      </ext>
    </x18tc:extLst>
  </x18tc:threadedComment>
  <x18tc:threadedComment ref="Q538" dT="2026-02-13T23:36:12.00" personId="{a5d43f6d-3c72-4414-b012-8f52ef50acc4}" id="{5ead03e0-2c9f-4279-a22b-fcaf38041415}" done="0">
    <x18tc:text xml:space="preserve">configuracion inicial + apertura + office 2024 + suite autodesk</x18tc:text>
  </x18tc:threadedComment>
  <x18tc:threadedComment ref="Q493" dT="2026-01-20T16:02:57.00" personId="{a5d43f6d-3c72-4414-b012-8f52ef50acc4}" id="{dc0d85a1-8b02-4e85-895b-b14da42d86df}" done="0">
    <x18tc:text xml:space="preserve">apertura + configuración inicial con formateo + eset nod 32 + windows 11 pro + office profesional plus 2024</x18tc:text>
  </x18tc:threadedComment>
  <x18tc:threadedComment ref="AF530" dT="2026-03-04T22:57:13.00" personId="{2ddfa542-8116-4937-a057-08470d7abaab}" id="{a790fe84-d8a4-4d71-b9aa-059fe4b7efd4}" done="0">
    <x18tc:text xml:space="preserve">venta final, fixit, excedentes</x18tc:text>
  </x18tc:threadedComment>
  <x18tc:threadedComment ref="C537" dT="2026-02-13T21:49:52.00" personId="{68efe3e3-8b68-4e02-81e2-a29fa228b211}" id="{1bc39140-e05c-48db-a1c5-031c813a7775}" done="0">
    <x18tc:text xml:space="preserve">https://www.ebay.com/itm/326655425561?_skw=laptop+gaming&amp;itmmeta=01KH37KYA760Z21A1PCK00FZ0K&amp;hash=item4c0e2e3c19:g:lSsAAeSwwJdpe5j1</x18tc:text>
    <x18tc:extLst>
      <ext uri="{F7C98A9C-CBB3-438F-8F68-D28B6AF4A901}">
        <xltc2:checksum/>
        <xltc2:hyperlink startIndex="0" length="130" url="https://www.ebay.com/itm/326655425561?_skw=laptop+gaming&amp;itmmeta=01KH37KYA760Z21A1PCK00FZ0K&amp;hash=item4c0e2e3c19:g:lSsAAeSwwJdpe5j1"/>
      </ext>
    </x18tc:extLst>
  </x18tc:threadedComment>
  <x18tc:threadedComment ref="J538" dT="2026-02-13T23:24:37.00" personId="{a5d43f6d-3c72-4414-b012-8f52ef50acc4}" id="{f4021574-33da-43e5-abd4-03f8f6395759}" done="0">
    <x18tc:text xml:space="preserve">https://drive.google.com/file/d/1_felTh4tp9Ek8xjP1DGP0dE_bjdEKuyH/view?usp=drive_link
https://drive.google.com/file/d/1CV7BmbHDUWrqz4pb84gOUYnGCPxQftb-/view?usp=drive_link</x18tc:text>
    <x18tc:extLst>
      <ext uri="{F7C98A9C-CBB3-438F-8F68-D28B6AF4A901}">
        <xltc2:checksum/>
        <xltc2:hyperlink startIndex="0" length="85" url="https://drive.google.com/file/d/1_felTh4tp9Ek8xjP1DGP0dE_bjdEKuyH/view?usp=drive_link"/>
        <xltc2:hyperlink startIndex="86" length="85" url="https://drive.google.com/file/d/1CV7BmbHDUWrqz4pb84gOUYnGCPxQftb-/view?usp=drive_link"/>
      </ext>
    </x18tc:extLst>
  </x18tc:threadedComment>
  <x18tc:threadedComment ref="J513" dT="2026-01-31T18:55:35.00" personId="{a5d43f6d-3c72-4414-b012-8f52ef50acc4}" id="{78bc7d86-5189-46a4-886d-44932a57c0e1}" done="0">
    <x18tc:text xml:space="preserve">https://drive.google.com/file/d/16PFxgtZXcuK_GBaG1r25H5z-6c6WMmJ0/view?usp=drive_link</x18tc:text>
    <x18tc:extLst>
      <ext uri="{F7C98A9C-CBB3-438F-8F68-D28B6AF4A901}">
        <xltc2:checksum/>
        <xltc2:hyperlink startIndex="0" length="85" url="https://drive.google.com/file/d/16PFxgtZXcuK_GBaG1r25H5z-6c6WMmJ0/view?usp=drive_link"/>
      </ext>
    </x18tc:extLst>
  </x18tc:threadedComment>
  <x18tc:threadedComment ref="AF544" dT="2026-03-04T22:57:17.00" personId="{2ddfa542-8116-4937-a057-08470d7abaab}" id="{6053f411-169c-48fc-a5c7-1af18241eea6}" done="1">
    <x18tc:text xml:space="preserve">venta final, fixit, excedentes</x18tc:text>
  </x18tc:threadedComment>
  <x18tc:threadedComment ref="J537" dT="2026-02-13T21:59:03.00" personId="{68efe3e3-8b68-4e02-81e2-a29fa228b211}" id="{c8467c4d-349b-445e-8dcf-201aa372d31a}" done="0">
    <x18tc:text xml:space="preserve">https://drive.google.com/file/d/1YiFTTCvOoyKkgDFzDQVABbX4zxeWCczG/view?usp=drive_link</x18tc:text>
    <x18tc:extLst>
      <ext uri="{F7C98A9C-CBB3-438F-8F68-D28B6AF4A901}">
        <xltc2:checksum/>
        <xltc2:hyperlink startIndex="0" length="85" url="https://drive.google.com/file/d/1YiFTTCvOoyKkgDFzDQVABbX4zxeWCczG/view?usp=drive_link"/>
      </ext>
    </x18tc:extLst>
  </x18tc:threadedComment>
  <x18tc:threadedComment ref="K511" dT="2026-02-13T23:32:48.00" personId="{a5d43f6d-3c72-4414-b012-8f52ef50acc4}" id="{358a21fb-4d38-47eb-97fd-856065a89d11}" done="0">
    <x18tc:text xml:space="preserve">https://drive.google.com/file/d/1D-zczMd3LGCLJnQqhS_8Uae6rlSQ_HJ4/view?usp=drive_link</x18tc:text>
    <x18tc:extLst>
      <ext uri="{F7C98A9C-CBB3-438F-8F68-D28B6AF4A901}">
        <xltc2:checksum/>
        <xltc2:hyperlink startIndex="0" length="85" url="https://drive.google.com/file/d/1D-zczMd3LGCLJnQqhS_8Uae6rlSQ_HJ4/view?usp=drive_link"/>
      </ext>
    </x18tc:extLst>
  </x18tc:threadedComment>
  <x18tc:threadedComment ref="C661" dT="2026-04-07T01:13:36.00" personId="{f9b224d0-ee33-4499-ae47-db5bcd2d0435}" id="{51c0afd5-e823-44ef-b415-771c607183a0}"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473" dT="2026-01-17T15:55:45.00" personId="{d8e4f5ad-b65d-4160-a56f-197530fb7eb1}" id="{f72af4db-ca4a-4926-a4c4-da30335b140a}" done="0">
    <x18tc:text xml:space="preserve">https://drive.google.com/file/d/1oI-e0YgbC3yAvSV_-EEyZQxtpNSqrpWR/view?usp=drive_link</x18tc:text>
    <x18tc:extLst>
      <ext uri="{F7C98A9C-CBB3-438F-8F68-D28B6AF4A901}">
        <xltc2:checksum/>
        <xltc2:hyperlink startIndex="0" length="85" url="https://drive.google.com/file/d/1oI-e0YgbC3yAvSV_-EEyZQxtpNSqrpWR/view?usp=drive_link"/>
      </ext>
    </x18tc:extLst>
  </x18tc:threadedComment>
  <x18tc:threadedComment ref="J493" dT="2026-01-20T16:01:28.00" personId="{a5d43f6d-3c72-4414-b012-8f52ef50acc4}" id="{c37a9d23-1d4d-496c-9626-98a356609de1}" done="0">
    <x18tc:text xml:space="preserve">https://drive.google.com/file/d/1NMaHIosl_bIbbCxqH5FAeBTeTUP9FJfQ/view?usp=drive_link</x18tc:text>
    <x18tc:extLst>
      <ext uri="{F7C98A9C-CBB3-438F-8F68-D28B6AF4A901}">
        <xltc2:checksum/>
        <xltc2:hyperlink startIndex="0" length="85" url="https://drive.google.com/file/d/1NMaHIosl_bIbbCxqH5FAeBTeTUP9FJfQ/view?usp=drive_link"/>
      </ext>
    </x18tc:extLst>
  </x18tc:threadedComment>
  <x18tc:threadedComment ref="AF527" dT="2026-03-04T22:57:05.00" personId="{2ddfa542-8116-4937-a057-08470d7abaab}" id="{74116036-f1cc-43ba-b8f5-406bd177d3d4}" done="1">
    <x18tc:text xml:space="preserve">venta final, fixit, excedentes</x18tc:text>
  </x18tc:threadedComment>
  <x18tc:threadedComment ref="J485" dT="2026-01-17T15:53:34.00" personId="{d8e4f5ad-b65d-4160-a56f-197530fb7eb1}" id="{b52c6ef8-2f12-4842-a8b7-816c4138d78e}" done="0">
    <x18tc:text xml:space="preserve">https://drive.google.com/file/d/1djaTQgzhh9YibUYipBspVzAHzKAO0def/view?usp=drive_link</x18tc:text>
    <x18tc:extLst>
      <ext uri="{F7C98A9C-CBB3-438F-8F68-D28B6AF4A901}">
        <xltc2:checksum/>
        <xltc2:hyperlink startIndex="0" length="85" url="https://drive.google.com/file/d/1djaTQgzhh9YibUYipBspVzAHzKAO0def/view?usp=drive_link"/>
      </ext>
    </x18tc:extLst>
  </x18tc:threadedComment>
  <x18tc:threadedComment ref="L110" dT="2025-08-12T21:05:40.00" personId="{d8e4f5ad-b65d-4160-a56f-197530fb7eb1}" id="{843a5eca-d71f-47a0-99b6-b45a3f5e8d2e}" done="0">
    <x18tc:text xml:space="preserve">https://drive.google.com/file/d/1id4EU5AyrWGBPA5N4gaNPyeHWQCunYJS/view?usp=drive_link</x18tc:text>
    <x18tc:extLst>
      <ext uri="{F7C98A9C-CBB3-438F-8F68-D28B6AF4A901}">
        <xltc2:checksum/>
        <xltc2:hyperlink startIndex="0" length="85" url="https://drive.google.com/file/d/1id4EU5AyrWGBPA5N4gaNPyeHWQCunYJS/view?usp=drive_link"/>
      </ext>
    </x18tc:extLst>
  </x18tc:threadedComment>
  <x18tc:threadedComment ref="W434" dT="2026-01-20T15:48:08.00" personId="{2ddfa542-8116-4937-a057-08470d7abaab}" id="{d09f2309-a079-461e-b136-7b434194ba46}" done="0">
    <x18tc:text xml:space="preserve">https://drive.google.com/open?id=1-FzjBG84ZvC14qf_mHbHiz6yvjqYQH9y&amp;usp=drive_copy</x18tc:text>
    <x18tc:extLst>
      <ext uri="{F7C98A9C-CBB3-438F-8F68-D28B6AF4A901}">
        <xltc2:checksum/>
        <xltc2:hyperlink startIndex="0" length="81" url="https://drive.google.com/open?id=1-FzjBG84ZvC14qf_mHbHiz6yvjqYQH9y&amp;usp=drive_copy"/>
      </ext>
    </x18tc:extLst>
  </x18tc:threadedComment>
  <x18tc:threadedComment ref="C163" dT="2025-08-12T18:45:43.00" personId="{4df2d6c4-e43e-4f2e-b623-d90f458472ff}" id="{38f0b356-2131-466d-bd2f-c1cb4d129882}" done="0">
    <x18tc:text xml:space="preserve">https://www.microcenter.com/product/695522/dell-alienware-18-area-51-aa18250-18-gaming-laptop-computer-liquid-teal</x18tc:text>
    <x18tc:extLst>
      <ext uri="{F7C98A9C-CBB3-438F-8F68-D28B6AF4A901}">
        <xltc2:checksum/>
        <xltc2:hyperlink startIndex="0" length="114" url="https://www.microcenter.com/product/695522/dell-alienware-18-area-51-aa18250-18-gaming-laptop-computer-liquid-teal"/>
      </ext>
    </x18tc:extLst>
  </x18tc:threadedComment>
  <x18tc:threadedComment ref="C737" dT="2026-05-08T18:29:50.00" personId="{f9b224d0-ee33-4499-ae47-db5bcd2d0435}" id="{20d3778a-3dbe-40c0-b135-cfeffb3cd090}"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K566" dT="2026-03-27T21:34:10.00" personId="{d8e4f5ad-b65d-4160-a56f-197530fb7eb1}" id="{30ab832d-e177-44aa-b623-7851c3f7e218}" done="0">
    <x18tc:text xml:space="preserve">https://drive.google.com/file/d/1Y2EHKLixXIxoMyGCs7iZ1jSAhz4gT26R/view?usp=drive_link</x18tc:text>
    <x18tc:extLst>
      <ext uri="{F7C98A9C-CBB3-438F-8F68-D28B6AF4A901}">
        <xltc2:checksum/>
        <xltc2:hyperlink startIndex="0" length="85" url="https://drive.google.com/file/d/1Y2EHKLixXIxoMyGCs7iZ1jSAhz4gT26R/view?usp=drive_link"/>
      </ext>
    </x18tc:extLst>
  </x18tc:threadedComment>
  <x18tc:threadedComment ref="K566" dT="2026-03-27T21:34:20.00" personId="{d8e4f5ad-b65d-4160-a56f-197530fb7eb1}" id="{6d393dbd-a3c3-41c7-8588-3929ad4c5168}" parentId="{30ab832d-e177-44aa-b623-7851c3f7e218}">
    <x18tc:text xml:space="preserve">https://drive.google.com/file/d/1vvSScCWI4myjbHN2t3MuFUmeo8wxWDXK/view?usp=drive_link</x18tc:text>
    <x18tc:extLst>
      <ext uri="{F7C98A9C-CBB3-438F-8F68-D28B6AF4A901}">
        <xltc2:checksum/>
        <xltc2:hyperlink startIndex="0" length="85" url="https://drive.google.com/file/d/1vvSScCWI4myjbHN2t3MuFUmeo8wxWDXK/view?usp=drive_link"/>
      </ext>
    </x18tc:extLst>
  </x18tc:threadedComment>
  <x18tc:threadedComment ref="J771" dT="2026-06-01T20:56:45.00" personId="{f9b224d0-ee33-4499-ae47-db5bcd2d0435}" id="{0175aebe-90df-480a-9259-06b744704fc5}" done="0">
    <x18tc:text xml:space="preserve">https://drive.google.com/file/d/1I1_DaRSLHFUyeVqPULvTjgDvRi0N2eu-/view?usp=drive_link</x18tc:text>
    <x18tc:extLst>
      <ext uri="{F7C98A9C-CBB3-438F-8F68-D28B6AF4A901}">
        <xltc2:checksum/>
        <xltc2:hyperlink startIndex="0" length="85" url="https://drive.google.com/file/d/1I1_DaRSLHFUyeVqPULvTjgDvRi0N2eu-/view?usp=drive_link"/>
      </ext>
    </x18tc:extLst>
  </x18tc:threadedComment>
  <x18tc:threadedComment ref="C21" dT="2025-04-16T22:56:45.00" personId="{4df2d6c4-e43e-4f2e-b623-d90f458472ff}" id="{ff72d8a7-5c49-43d6-b405-ab03f16d5cb7}" done="0">
    <x18tc:text xml:space="preserve">https://www.walmart.com/ip/ASUS-TUF-F15-15-6-inch-FHD-144Hz-Gaming-Laptop-Intel-Core-i7-13620H-NVIDIA-GeForce-RTX-4060-16GB-DDR5-1TB-SSD-Mecha-Gray-2024/5109928275?filters=%5B%7B%22intent%22%3A%22retailer%22%2C%22values%22%3A%5B%22Walmart%22%5D%7D%5D&amp;classType=REGULAR&amp;athbdg=L1103&amp;adsRedirect=true</x18tc:text>
    <x18tc:extLst>
      <ext uri="{F7C98A9C-CBB3-438F-8F68-D28B6AF4A901}">
        <xltc2:checksum/>
        <xltc2:hyperlink startIndex="0" length="298" url="https://www.walmart.com/ip/ASUS-TUF-F15-15-6-inch-FHD-144Hz-Gaming-Laptop-Intel-Core-i7-13620H-NVIDIA-GeForce-RTX-4060-16GB-DDR5-1TB-SSD-Mecha-Gray-2024/5109928275?filters=%5B%7B%22intent%22%3A%22retailer%22%2C%22values%22%3A%5B%22Walmart%22%5D%7D%5D&amp;classType=REGULAR&amp;athbdg=L1103&amp;adsRedirect=true"/>
      </ext>
    </x18tc:extLst>
  </x18tc:threadedComment>
  <x18tc:threadedComment ref="J737" dT="2026-05-08T18:32:58.00" personId="{f9b224d0-ee33-4499-ae47-db5bcd2d0435}" id="{ceb2ca6b-6dd4-459e-89cc-db18b1c5f839}" done="0">
    <x18tc:text xml:space="preserve">https://drive.google.com/file/d/1MpC_xSJJ7mfDugBtSgYB2vnBpZQt5bSM/view?usp=drive_link</x18tc:text>
    <x18tc:extLst>
      <ext uri="{F7C98A9C-CBB3-438F-8F68-D28B6AF4A901}">
        <xltc2:checksum/>
        <xltc2:hyperlink startIndex="0" length="85" url="https://drive.google.com/file/d/1MpC_xSJJ7mfDugBtSgYB2vnBpZQt5bSM/view?usp=drive_link"/>
      </ext>
    </x18tc:extLst>
  </x18tc:threadedComment>
  <x18tc:threadedComment ref="K439" dT="2026-01-17T16:42:05.00" personId="{d8e4f5ad-b65d-4160-a56f-197530fb7eb1}" id="{a619a009-8593-460a-a212-7008b20fc50a}" done="0">
    <x18tc:text xml:space="preserve">https://drive.google.com/file/d/1QlRbz6gGgE-_3l2bO6zh6t6Geqw-KVcD/view?usp=drive_link</x18tc:text>
    <x18tc:extLst>
      <ext uri="{F7C98A9C-CBB3-438F-8F68-D28B6AF4A901}">
        <xltc2:checksum/>
        <xltc2:hyperlink startIndex="0" length="85" url="https://drive.google.com/file/d/1QlRbz6gGgE-_3l2bO6zh6t6Geqw-KVcD/view?usp=drive_link"/>
      </ext>
    </x18tc:extLst>
  </x18tc:threadedComment>
  <x18tc:threadedComment ref="K439" dT="2026-01-17T16:44:53.00" personId="{d8e4f5ad-b65d-4160-a56f-197530fb7eb1}" id="{ed7b765f-8011-4090-969f-9aaaf8f30edb}" parentId="{a619a009-8593-460a-a212-7008b20fc50a}">
    <x18tc:text xml:space="preserve">https://drive.google.com/file/d/1W8mYyWkDMc1DCL05Lla6VFmG7I8fdZ9n/view?usp=drive_link</x18tc:text>
    <x18tc:extLst>
      <ext uri="{F7C98A9C-CBB3-438F-8F68-D28B6AF4A901}">
        <xltc2:checksum/>
        <xltc2:hyperlink startIndex="0" length="85" url="https://drive.google.com/file/d/1W8mYyWkDMc1DCL05Lla6VFmG7I8fdZ9n/view?usp=drive_link"/>
      </ext>
    </x18tc:extLst>
  </x18tc:threadedComment>
  <x18tc:threadedComment ref="S576" dT="2026-03-27T21:24:11.00" personId="{d8e4f5ad-b65d-4160-a56f-197530fb7eb1}" id="{25bfe226-6980-4033-af25-75e935f5186b}" done="0">
    <x18tc:text xml:space="preserve">https://drive.google.com/file/d/1sLE_TRHz1mf2mPmQ9gCVsgarOq3o6y-E/view?usp=drive_link</x18tc:text>
    <x18tc:extLst>
      <ext uri="{F7C98A9C-CBB3-438F-8F68-D28B6AF4A901}">
        <xltc2:checksum/>
        <xltc2:hyperlink startIndex="0" length="85" url="https://drive.google.com/file/d/1sLE_TRHz1mf2mPmQ9gCVsgarOq3o6y-E/view?usp=drive_link"/>
      </ext>
    </x18tc:extLst>
  </x18tc:threadedComment>
  <x18tc:threadedComment ref="C358" dT="2025-11-28T01:58:07.00" personId="{d8e4f5ad-b65d-4160-a56f-197530fb7eb1}" id="{04d09aa5-874c-4432-a553-ad2bbeba108c}" done="0">
    <x18tc:text xml:space="preserve">https://www.amazon.com/-/es/Port%C3%A1til-juegos-pantalla-Nebula-pulgadas/dp/B0F1C665XL/ref=sr_1_11?__mk_es_US=%C3%85M%C3%85%C5%BD%C3%95%C3%91&amp;crid=1WAMI701SU942&amp;dib=eyJ2IjoiMSJ9.TjE8w4xuPJzAbcvWIkUpzMXcDyxlZrBK-li8abYOBchKprNNhcqacr2IGBOU_LLjjP428k_LsZWVBn29-V5ByaWIF4eP1WKVYPcQrnJ9kIVIpPGmierwcRzYlBu1QaQoUUXfuAKrFJASA-F29a8m2ev_YlJJNRPXv7k3yZxFKB7XYdA2hH7gF_POOu7T7LO8_nrzY2Aijtmswmvd-KpO7pZSBKMGZ6m6zeYkhFZg6bjIZ256ccKAwUIp9kKcDi7zGF19nOp24DBOE5gvtheSvyVTJEzyB-Q8i6zAnlu1MN0.rX5lFtyvmhIFbe-WrlhBmNb2Bi5alTJjm6NctJu2OUU&amp;dib_tag=se&amp;keywords=laptop%2Bgaming&amp;psr=EY17&amp;qid=1764052621&amp;refinements=p_n_deal_type%3A23566064011&amp;rnid=23566063011&amp;s=electronics&amp;sprefix=laptop%2Bgamin%2Celectronics%2C206&amp;sr=1-11&amp;th=1</x18tc:text>
    <x18tc:extLst>
      <ext uri="{F7C98A9C-CBB3-438F-8F68-D28B6AF4A901}">
        <xltc2:checksum/>
        <xltc2:hyperlink startIndex="0" length="709" url="https://www.amazon.com/-/es/Port%C3%A1til-juegos-pantalla-Nebula-pulgadas/dp/B0F1C665XL/ref=sr_1_11?__mk_es_US=%C3%85M%C3%85%C5%BD%C3%95%C3%91&amp;crid=1WAMI701SU942&amp;dib=eyJ2IjoiMSJ9.TjE8w4xuPJzAbcvWIkUpzMXcDyxlZrBK-li8abYOBchKprNNhcqacr2IGBOU_LLjjP428k_LsZWVBn29-V5ByaWIF4eP1WKVYPcQrnJ9kIVIpPGmierwcRzYlBu1QaQoUUXfuAKrFJASA-F29a8m2ev_YlJJNRPXv7k3yZxFKB7XYdA2hH7gF_POOu7T7LO8_nrzY2Aijtmswmvd-KpO7pZSBKMGZ6m6zeYkhFZg6bjIZ256ccKAwUIp9kKcDi7zGF19nOp24DBOE5gvtheSvyVTJEzyB-Q8i6zAnlu1MN0.rX5lFtyvmhIFbe-WrlhBmNb2Bi5alTJjm6NctJu2OUU&amp;dib_tag=se&amp;keywords=laptop%2Bgaming&amp;psr=EY17&amp;qid=1764052621&amp;refinements=p_n_deal_type%3A23566064011&amp;rnid=23566063011&amp;s=electronics&amp;sprefix=laptop%2Bgamin%2Celectronics%2C206&amp;sr=1-11&amp;th=1"/>
      </ext>
    </x18tc:extLst>
  </x18tc:threadedComment>
  <x18tc:threadedComment ref="J533" dT="2026-03-05T22:09:03.00" personId="{a5d43f6d-3c72-4414-b012-8f52ef50acc4}" id="{f0aa5de5-487f-486c-903a-1b6d970a6293}" done="0">
    <x18tc:text xml:space="preserve">https://drive.google.com/file/d/1rac2HK0Yi-wSyEwLE8BcDlzMB46i_L5C/view?usp=drive_link</x18tc:text>
    <x18tc:extLst>
      <ext uri="{F7C98A9C-CBB3-438F-8F68-D28B6AF4A901}">
        <xltc2:checksum/>
        <xltc2:hyperlink startIndex="0" length="85" url="https://drive.google.com/file/d/1rac2HK0Yi-wSyEwLE8BcDlzMB46i_L5C/view?usp=drive_link"/>
      </ext>
    </x18tc:extLst>
  </x18tc:threadedComment>
  <x18tc:threadedComment ref="K544" dT="2026-03-27T21:30:50.00" personId="{d8e4f5ad-b65d-4160-a56f-197530fb7eb1}" id="{62a69893-8df4-4ee2-bdaa-e0c97aa940f3}" done="0">
    <x18tc:text xml:space="preserve">https://drive.google.com/file/d/17R0DyAU-5hxm4a3rn06VDv4-X86En_L9/view?usp=drive_link</x18tc:text>
    <x18tc:extLst>
      <ext uri="{F7C98A9C-CBB3-438F-8F68-D28B6AF4A901}">
        <xltc2:checksum/>
        <xltc2:hyperlink startIndex="0" length="85" url="https://drive.google.com/file/d/17R0DyAU-5hxm4a3rn06VDv4-X86En_L9/view?usp=drive_link"/>
      </ext>
    </x18tc:extLst>
  </x18tc:threadedComment>
  <x18tc:threadedComment ref="AF533" dT="2026-03-05T22:07:17.00" personId="{2ddfa542-8116-4937-a057-08470d7abaab}" id="{3ab29521-62c4-4186-af14-6025c46858cc}" done="1">
    <x18tc:text xml:space="preserve">fixit, excdentes</x18tc:text>
  </x18tc:threadedComment>
  <x18tc:threadedComment ref="K441" dT="2026-01-17T15:45:38.00" personId="{d8e4f5ad-b65d-4160-a56f-197530fb7eb1}" id="{108da626-2955-4d3d-bfa8-6aeefdcd2fe4}" done="0">
    <x18tc:text xml:space="preserve">https://drive.google.com/file/d/1S_Fj7Qr4KoZ7PmbwIsoHyVHHEgru-rTo/view?usp=drive_link</x18tc:text>
    <x18tc:extLst>
      <ext uri="{F7C98A9C-CBB3-438F-8F68-D28B6AF4A901}">
        <xltc2:checksum/>
        <xltc2:hyperlink startIndex="0" length="85" url="https://drive.google.com/file/d/1S_Fj7Qr4KoZ7PmbwIsoHyVHHEgru-rTo/view?usp=drive_link"/>
      </ext>
    </x18tc:extLst>
  </x18tc:threadedComment>
  <x18tc:threadedComment ref="L224" dT="2025-09-19T01:31:28.00" personId="{4df2d6c4-e43e-4f2e-b623-d90f458472ff}" id="{f750945f-7385-4027-b7f0-894b47cb62fd}" done="0">
    <x18tc:text xml:space="preserve">https://drive.google.com/file/d/121BCKlYiadSaZ94WOUlIlE58MHjJXiEC/view?usp=drive_link</x18tc:text>
    <x18tc:extLst>
      <ext uri="{F7C98A9C-CBB3-438F-8F68-D28B6AF4A901}">
        <xltc2:checksum/>
        <xltc2:hyperlink startIndex="0" length="85" url="https://drive.google.com/file/d/121BCKlYiadSaZ94WOUlIlE58MHjJXiEC/view?usp=drive_link"/>
      </ext>
    </x18tc:extLst>
  </x18tc:threadedComment>
  <x18tc:threadedComment ref="L224" dT="2025-09-19T01:31:47.00" personId="{4df2d6c4-e43e-4f2e-b623-d90f458472ff}" id="{6fa12aa5-dc8b-4846-940c-2cdf64b84247}" parentId="{f750945f-7385-4027-b7f0-894b47cb62fd}">
    <x18tc:text xml:space="preserve">https://drive.google.com/file/d/1xCCQ488thQ1imx-VLIQ9wlhABkovsHzf/view?usp=drive_link</x18tc:text>
    <x18tc:extLst>
      <ext uri="{F7C98A9C-CBB3-438F-8F68-D28B6AF4A901}">
        <xltc2:checksum/>
        <xltc2:hyperlink startIndex="0" length="85" url="https://drive.google.com/file/d/1xCCQ488thQ1imx-VLIQ9wlhABkovsHzf/view?usp=drive_link"/>
      </ext>
    </x18tc:extLst>
  </x18tc:threadedComment>
  <x18tc:threadedComment ref="K429" dT="2026-01-17T17:31:48.00" personId="{a5d43f6d-3c72-4414-b012-8f52ef50acc4}" id="{63684d3d-28f6-4387-be07-4d3bf6cebb1f}" done="0">
    <x18tc:text xml:space="preserve">https://drive.google.com/file/d/1vk1fq90a6zoAYumR_3IOfkKB7EzBjLID/view?usp=drive_link</x18tc:text>
    <x18tc:extLst>
      <ext uri="{F7C98A9C-CBB3-438F-8F68-D28B6AF4A901}">
        <xltc2:checksum/>
        <xltc2:hyperlink startIndex="0" length="85" url="https://drive.google.com/file/d/1vk1fq90a6zoAYumR_3IOfkKB7EzBjLID/view?usp=drive_link"/>
      </ext>
    </x18tc:extLst>
  </x18tc:threadedComment>
  <x18tc:threadedComment ref="K576" dT="2026-03-27T21:22:49.00" personId="{d8e4f5ad-b65d-4160-a56f-197530fb7eb1}" id="{e9fe1429-5b35-4342-a9f3-0fd6c740aa03}" done="0">
    <x18tc:text xml:space="preserve">https://drive.google.com/file/d/1DXFUMv8-Jmy72T_ZXENbkAvReLWGgxB0/view?usp=drive_link</x18tc:text>
    <x18tc:extLst>
      <ext uri="{F7C98A9C-CBB3-438F-8F68-D28B6AF4A901}">
        <xltc2:checksum/>
        <xltc2:hyperlink startIndex="0" length="85" url="https://drive.google.com/file/d/1DXFUMv8-Jmy72T_ZXENbkAvReLWGgxB0/view?usp=drive_link"/>
      </ext>
    </x18tc:extLst>
  </x18tc:threadedComment>
  <x18tc:threadedComment ref="K576" dT="2026-03-27T21:23:34.00" personId="{d8e4f5ad-b65d-4160-a56f-197530fb7eb1}" id="{914cbf7f-e5c8-42f3-a86c-30c0fbc9d36e}" parentId="{e9fe1429-5b35-4342-a9f3-0fd6c740aa03}">
    <x18tc:text xml:space="preserve">https://drive.google.com/file/d/1d_wQg-Yr7w4ikLzuXU1wu95BkWxyfHDk/view?usp=drive_link</x18tc:text>
    <x18tc:extLst>
      <ext uri="{F7C98A9C-CBB3-438F-8F68-D28B6AF4A901}">
        <xltc2:checksum/>
        <xltc2:hyperlink startIndex="0" length="85" url="https://drive.google.com/file/d/1d_wQg-Yr7w4ikLzuXU1wu95BkWxyfHDk/view?usp=drive_link"/>
      </ext>
    </x18tc:extLst>
  </x18tc:threadedComment>
  <x18tc:threadedComment ref="J272" dT="2025-10-20T23:45:29.00" personId="{a5d43f6d-3c72-4414-b012-8f52ef50acc4}" id="{c7b43c01-a5fb-467d-b63e-dc14dd76914d}" done="0">
    <x18tc:text xml:space="preserve">https://drive.google.com/file/d/1rZL4CPPABc_8gbxentId7YzPyTpKeS5f/view?usp=drive_link</x18tc:text>
    <x18tc:extLst>
      <ext uri="{F7C98A9C-CBB3-438F-8F68-D28B6AF4A901}">
        <xltc2:checksum/>
        <xltc2:hyperlink startIndex="0" length="85" url="https://drive.google.com/file/d/1rZL4CPPABc_8gbxentId7YzPyTpKeS5f/view?usp=drive_link"/>
      </ext>
    </x18tc:extLst>
  </x18tc:threadedComment>
  <x18tc:threadedComment ref="A1" dT="2026-05-22T17:29:22.00" personId="{d8e4f5ad-b65d-4160-a56f-197530fb7eb1}" id="{4d14d2bf-40dd-4616-b1f9-4d94ab6ebfec}" done="0">
    <x18tc:text xml:space="preserve">apertura para el cliente 716</x18tc:text>
  </x18tc:threadedComment>
  <x18tc:threadedComment ref="U246" dT="2025-10-20T23:25:32.00" personId="{a5d43f6d-3c72-4414-b012-8f52ef50acc4}" id="{9fae9f50-de9c-4444-bab5-f010b98f21b1}" done="0">
    <x18tc:text xml:space="preserve">mouse</x18tc:text>
  </x18tc:threadedComment>
  <x18tc:threadedComment ref="A1" dT="2025-10-10T22:15:16.00" personId="{a5d43f6d-3c72-4414-b012-8f52ef50acc4}" id="{9b8fb555-e5d6-4915-9c2e-655913817b67}" done="0">
    <x18tc:text xml:space="preserve">https://www.ebay.com/itm/205756001751?_skw=g14&amp;itmmeta=01K7816DRHAK8B6MHBVDV2JWVE&amp;hash=item2fe8036dd7:g:1NwAAeSwihFo42~m</x18tc:text>
    <x18tc:extLst>
      <ext uri="{F7C98A9C-CBB3-438F-8F68-D28B6AF4A901}">
        <xltc2:checksum/>
        <xltc2:hyperlink startIndex="0" length="120" url="https://www.ebay.com/itm/205756001751?_skw=g14&amp;itmmeta=01K7816DRHAK8B6MHBVDV2JWVE&amp;hash=item2fe8036dd7:g:1NwAAeSwihFo42~m"/>
      </ext>
    </x18tc:extLst>
  </x18tc:threadedComment>
  <x18tc:threadedComment ref="W224" dT="2025-09-19T01:36:46.00" personId="{4df2d6c4-e43e-4f2e-b623-d90f458472ff}" id="{d022d150-2cb9-4488-80e9-f8d76df85884}" done="0">
    <x18tc:text xml:space="preserve">https://drive.google.com/file/d/1oUcYtCblCVP9cHtjXotwO0ooc7_SIQiZ/view?usp=drive_link</x18tc:text>
    <x18tc:extLst>
      <ext uri="{F7C98A9C-CBB3-438F-8F68-D28B6AF4A901}">
        <xltc2:checksum/>
        <xltc2:hyperlink startIndex="0" length="85" url="https://drive.google.com/file/d/1oUcYtCblCVP9cHtjXotwO0ooc7_SIQiZ/view?usp=drive_link"/>
      </ext>
    </x18tc:extLst>
  </x18tc:threadedComment>
  <x18tc:threadedComment ref="Q536" dT="2026-02-13T21:15:55.00" personId="{a5d43f6d-3c72-4414-b012-8f52ef50acc4}" id="{745b9106-d96a-42e9-8eff-71421b304342}" done="0">
    <x18tc:text xml:space="preserve">office 2024 + eset nod 32 + configuración inicial con formateo</x18tc:text>
  </x18tc:threadedComment>
  <x18tc:threadedComment ref="AF518" dT="2026-03-05T21:32:09.00" personId="{2ddfa542-8116-4937-a057-08470d7abaab}" id="{7d5a0003-d703-4c22-9722-7fe37a17acb3}" done="0">
    <x18tc:text xml:space="preserve">venta final, fixit, excedentes</x18tc:text>
  </x18tc:threadedComment>
  <x18tc:threadedComment ref="J536" dT="2026-02-13T21:20:49.00" personId="{a5d43f6d-3c72-4414-b012-8f52ef50acc4}" id="{b0943ea1-22f4-45f7-a777-8c21927d5d65}" done="0">
    <x18tc:text xml:space="preserve">https://drive.google.com/file/d/1oQVn3lhtW8jEO1i-wURPuauC-UyC0LTV/view?usp=drive_link</x18tc:text>
    <x18tc:extLst>
      <ext uri="{F7C98A9C-CBB3-438F-8F68-D28B6AF4A901}">
        <xltc2:checksum/>
        <xltc2:hyperlink startIndex="0" length="85" url="https://drive.google.com/file/d/1oQVn3lhtW8jEO1i-wURPuauC-UyC0LTV/view?usp=drive_link"/>
      </ext>
    </x18tc:extLst>
  </x18tc:threadedComment>
  <x18tc:threadedComment ref="C38" dT="2025-05-05T22:15:30.00" personId="{4df2d6c4-e43e-4f2e-b623-d90f458472ff}" id="{a5fc2983-2892-4a1d-9635-c556cfb7756c}" done="0">
    <x18tc:text xml:space="preserve">https://www.amazon.com/dp/B0CV2SCH63?ref=cm_sw_r_cso_cp_apan_dp_GJTV75E72P4WT5PYHB9D&amp;ref_=cm_sw_r_cso_cp_apan_dp_GJTV75E72P4WT5PYHB9D&amp;social_share=cm_sw_r_cso_cp_apan_dp_GJTV75E72P4WT5PYHB9D&amp;previewDoh=1&amp;th=1</x18tc:text>
    <x18tc:extLst>
      <ext uri="{F7C98A9C-CBB3-438F-8F68-D28B6AF4A901}">
        <xltc2:checksum/>
        <xltc2:hyperlink startIndex="0" length="208" url="https://www.amazon.com/dp/B0CV2SCH63?ref=cm_sw_r_cso_cp_apan_dp_GJTV75E72P4WT5PYHB9D&amp;ref_=cm_sw_r_cso_cp_apan_dp_GJTV75E72P4WT5PYHB9D&amp;social_share=cm_sw_r_cso_cp_apan_dp_GJTV75E72P4WT5PYHB9D&amp;previewDoh=1&amp;th=1"/>
      </ext>
    </x18tc:extLst>
  </x18tc:threadedComment>
  <x18tc:threadedComment ref="K455" dT="2026-02-01T03:41:45.00" personId="{4df2d6c4-e43e-4f2e-b623-d90f458472ff}" id="{9c6438a9-b832-4d09-98e8-9fbf95085d7a}" done="0">
    <x18tc:text xml:space="preserve">https://drive.google.com/file/d/1WNyMezucshwQwdkE0bte6OkSgqA9eQCr/view?usp=drive_link</x18tc:text>
    <x18tc:extLst>
      <ext uri="{F7C98A9C-CBB3-438F-8F68-D28B6AF4A901}">
        <xltc2:checksum/>
        <xltc2:hyperlink startIndex="0" length="85" url="https://drive.google.com/file/d/1WNyMezucshwQwdkE0bte6OkSgqA9eQCr/view?usp=drive_link"/>
      </ext>
    </x18tc:extLst>
  </x18tc:threadedComment>
  <x18tc:threadedComment ref="K455" dT="2026-02-01T03:46:02.00" personId="{4df2d6c4-e43e-4f2e-b623-d90f458472ff}" id="{0175d020-cb8d-4cb6-a1cc-a88b83f0c7d8}" parentId="{9c6438a9-b832-4d09-98e8-9fbf95085d7a}">
    <x18tc:text xml:space="preserve">https://drive.google.com/file/d/1trvjmtK5ZgJ1AiMTsQShLIX_NYr66lF5/view?usp=drive_link</x18tc:text>
    <x18tc:extLst>
      <ext uri="{F7C98A9C-CBB3-438F-8F68-D28B6AF4A901}">
        <xltc2:checksum/>
        <xltc2:hyperlink startIndex="0" length="85" url="https://drive.google.com/file/d/1trvjmtK5ZgJ1AiMTsQShLIX_NYr66lF5/view?usp=drive_link"/>
      </ext>
    </x18tc:extLst>
  </x18tc:threadedComment>
  <x18tc:threadedComment ref="N272" dT="2025-10-20T23:50:46.00" personId="{a5d43f6d-3c72-4414-b012-8f52ef50acc4}" id="{743b9090-e141-47dd-b483-783a902256a0}" done="0">
    <x18tc:text xml:space="preserve">se acordó que se me daría un descuento de 50 dólares por ser mi familiar</x18tc:text>
  </x18tc:threadedComment>
  <x18tc:threadedComment ref="J486" dT="2026-01-17T15:44:57.00" personId="{d8e4f5ad-b65d-4160-a56f-197530fb7eb1}" id="{3c2598e0-d27b-4ecd-a0d8-76e007d43ffe}" done="0">
    <x18tc:text xml:space="preserve">https://drive.google.com/file/d/1odwGp6MSoL23bBwnfPVZmrvREigFHuFZ/view?usp=drive_link</x18tc:text>
    <x18tc:extLst>
      <ext uri="{F7C98A9C-CBB3-438F-8F68-D28B6AF4A901}">
        <xltc2:checksum/>
        <xltc2:hyperlink startIndex="0" length="85" url="https://drive.google.com/file/d/1odwGp6MSoL23bBwnfPVZmrvREigFHuFZ/view?usp=drive_link"/>
      </ext>
    </x18tc:extLst>
  </x18tc:threadedComment>
  <x18tc:threadedComment ref="J486" dT="2026-02-05T21:13:52.00" personId="{d8e4f5ad-b65d-4160-a56f-197530fb7eb1}" id="{6194d7b0-de1b-4c72-9cb9-682277212f02}" parentId="{3c2598e0-d27b-4ecd-a0d8-76e007d43ffe}">
    <x18tc:text xml:space="preserve">https://drive.google.com/file/d/1_ZKCM-gtouzr-3JOcxHZoflRkZmeW3uF/view?usp=drive_link</x18tc:text>
    <x18tc:extLst>
      <ext uri="{F7C98A9C-CBB3-438F-8F68-D28B6AF4A901}">
        <xltc2:checksum/>
        <xltc2:hyperlink startIndex="0" length="85" url="https://drive.google.com/file/d/1_ZKCM-gtouzr-3JOcxHZoflRkZmeW3uF/view?usp=drive_link"/>
      </ext>
    </x18tc:extLst>
  </x18tc:threadedComment>
  <x18tc:threadedComment ref="A1" dT="2026-05-22T17:29:02.00" personId="{d8e4f5ad-b65d-4160-a56f-197530fb7eb1}" id="{d3994819-8392-45b5-9e14-20a9c2797b96}" done="1">
    <x18tc:text xml:space="preserve">apertura 716</x18tc:text>
  </x18tc:threadedComment>
  <x18tc:threadedComment ref="L263" dT="2025-10-20T23:46:46.00" personId="{a5d43f6d-3c72-4414-b012-8f52ef50acc4}" id="{67ded018-88fa-4ede-bcf0-e3b0eb031778}" done="0">
    <x18tc:text xml:space="preserve">https://drive.google.com/file/d/1kbGvg8WUPMCNg44wJ9cySEcaGvpb7IfN/view?usp=drive_link</x18tc:text>
    <x18tc:extLst>
      <ext uri="{F7C98A9C-CBB3-438F-8F68-D28B6AF4A901}">
        <xltc2:checksum/>
        <xltc2:hyperlink startIndex="0" length="85" url="https://drive.google.com/file/d/1kbGvg8WUPMCNg44wJ9cySEcaGvpb7IfN/view?usp=drive_link"/>
      </ext>
    </x18tc:extLst>
  </x18tc:threadedComment>
  <x18tc:threadedComment ref="A1" dT="2026-03-27T21:21:31.00" personId="{d8e4f5ad-b65d-4160-a56f-197530fb7eb1}" id="{ac7f4833-3905-40a0-b1e6-842e8a9f5efe}" done="0">
    <x18tc:text xml:space="preserve">https://drive.google.com/file/d/1w7WhLslGdsL2lO02sSz0bgAgLmAMY8Ea/view?usp=drive_link</x18tc:text>
    <x18tc:extLst>
      <ext uri="{F7C98A9C-CBB3-438F-8F68-D28B6AF4A901}">
        <xltc2:checksum/>
        <xltc2:hyperlink startIndex="0" length="85" url="https://drive.google.com/file/d/1w7WhLslGdsL2lO02sSz0bgAgLmAMY8Ea/view?usp=drive_link"/>
      </ext>
    </x18tc:extLst>
  </x18tc:threadedComment>
  <x18tc:threadedComment ref="W440" dT="2025-12-29T21:10:00.00" personId="{2ddfa542-8116-4937-a057-08470d7abaab}" id="{c26339ca-7c9d-4e34-a95a-b0aa2905a3a7}" done="0">
    <x18tc:text xml:space="preserve">https://drive.google.com/file/d/1rSaD2JbjvdbYvrf_mkqw3lGkGCipWUTM/view?usp=drive_link</x18tc:text>
    <x18tc:extLst>
      <ext uri="{F7C98A9C-CBB3-438F-8F68-D28B6AF4A901}">
        <xltc2:checksum/>
        <xltc2:hyperlink startIndex="0" length="85" url="https://drive.google.com/file/d/1rSaD2JbjvdbYvrf_mkqw3lGkGCipWUTM/view?usp=drive_link"/>
      </ext>
    </x18tc:extLst>
  </x18tc:threadedComment>
  <x18tc:threadedComment ref="Q701" dT="2026-04-23T18:35:34.00" personId="{a5d43f6d-3c72-4414-b012-8f52ef50acc4}" id="{8ec75555-6050-4439-b1c6-fc293da2c7b3}" done="0">
    <x18tc:text xml:space="preserve">Configuración inicial con formateo + eset nod + office 2024</x18tc:text>
  </x18tc:threadedComment>
  <x18tc:threadedComment ref="K440" dT="2025-12-29T18:58:00.00" personId="{d8e4f5ad-b65d-4160-a56f-197530fb7eb1}" id="{0a2b4a4d-4e26-4db3-8e4e-73a5ac48cbf5}" done="0">
    <x18tc:text xml:space="preserve">https://drive.google.com/file/d/1-eupxyW_yk0nQ2avfNM8JX4zCYvfPDFt/view?usp=drive_link</x18tc:text>
    <x18tc:extLst>
      <ext uri="{F7C98A9C-CBB3-438F-8F68-D28B6AF4A901}">
        <xltc2:checksum/>
        <xltc2:hyperlink startIndex="0" length="85" url="https://drive.google.com/file/d/1-eupxyW_yk0nQ2avfNM8JX4zCYvfPDFt/view?usp=drive_link"/>
      </ext>
    </x18tc:extLst>
  </x18tc:threadedComment>
  <x18tc:threadedComment ref="K440" dT="2025-12-29T18:58:14.00" personId="{d8e4f5ad-b65d-4160-a56f-197530fb7eb1}" id="{7872c959-6f55-4103-a081-7e8ea8e71341}" parentId="{0a2b4a4d-4e26-4db3-8e4e-73a5ac48cbf5}">
    <x18tc:text xml:space="preserve">https://drive.google.com/file/d/18oCFJPU1wkvGJLNpnsKN7_VJ4kIXU1bo/view?usp=drive_link</x18tc:text>
    <x18tc:extLst>
      <ext uri="{F7C98A9C-CBB3-438F-8F68-D28B6AF4A901}">
        <xltc2:checksum/>
        <xltc2:hyperlink startIndex="0" length="85" url="https://drive.google.com/file/d/18oCFJPU1wkvGJLNpnsKN7_VJ4kIXU1bo/view?usp=drive_link"/>
      </ext>
    </x18tc:extLst>
  </x18tc:threadedComment>
  <x18tc:threadedComment ref="K440" dT="2026-01-02T23:55:36.00" personId="{d8e4f5ad-b65d-4160-a56f-197530fb7eb1}" id="{c07219be-0f29-45ce-b5c6-f9f0a3eeec86}" parentId="{0a2b4a4d-4e26-4db3-8e4e-73a5ac48cbf5}">
    <x18tc:text xml:space="preserve">https://drive.google.com/file/d/1otXFyHTO3ECn3WnOEe9L3ykMzNdqeJcj/view?usp=drive_link</x18tc:text>
    <x18tc:extLst>
      <ext uri="{F7C98A9C-CBB3-438F-8F68-D28B6AF4A901}">
        <xltc2:checksum/>
        <xltc2:hyperlink startIndex="0" length="85" url="https://drive.google.com/file/d/1otXFyHTO3ECn3WnOEe9L3ykMzNdqeJcj/view?usp=drive_link"/>
      </ext>
    </x18tc:extLst>
  </x18tc:threadedComment>
  <x18tc:threadedComment ref="C810" dT="2026-07-01T15:36:01.00" personId="{d8e4f5ad-b65d-4160-a56f-197530fb7eb1}" id="{240457e4-0465-4e44-b1b1-dc9132ea3f9d}" done="0">
    <x18tc:text xml:space="preserve">https://www.ebay.com/itm/326655425561?</x18tc:text>
    <x18tc:extLst>
      <ext uri="{F7C98A9C-CBB3-438F-8F68-D28B6AF4A901}">
        <xltc2:checksum/>
        <xltc2:hyperlink startIndex="0" length="37" url="https://www.ebay.com/itm/326655425561"/>
      </ext>
    </x18tc:extLst>
  </x18tc:threadedComment>
  <x18tc:threadedComment ref="K735" dT="2026-06-12T00:04:29.00" personId="{f9b224d0-ee33-4499-ae47-db5bcd2d0435}" id="{aa5c8e60-1cde-4fb9-805e-2e34cb4d39b4}" done="0">
    <x18tc:text xml:space="preserve">https://drive.google.com/file/d/1mA_OaVp7dv6skcvgcX4uSFNvXQlW1FOa/view?usp=drive_link</x18tc:text>
    <x18tc:extLst>
      <ext uri="{F7C98A9C-CBB3-438F-8F68-D28B6AF4A901}">
        <xltc2:checksum/>
        <xltc2:hyperlink startIndex="0" length="85" url="https://drive.google.com/file/d/1mA_OaVp7dv6skcvgcX4uSFNvXQlW1FOa/view?usp=drive_link"/>
      </ext>
    </x18tc:extLst>
  </x18tc:threadedComment>
  <x18tc:threadedComment ref="K735" dT="2026-06-12T00:05:35.00" personId="{f9b224d0-ee33-4499-ae47-db5bcd2d0435}" id="{f65c1736-e0aa-48f1-8a81-de3a0a235812}" parentId="{aa5c8e60-1cde-4fb9-805e-2e34cb4d39b4}">
    <x18tc:text xml:space="preserve">https://drive.google.com/file/d/1S09_aQ_7QtxZgEOm7Q9XCQnRwiZBmPtV/view?usp=drive_link</x18tc:text>
    <x18tc:extLst>
      <ext uri="{F7C98A9C-CBB3-438F-8F68-D28B6AF4A901}">
        <xltc2:checksum/>
        <xltc2:hyperlink startIndex="0" length="85" url="https://drive.google.com/file/d/1S09_aQ_7QtxZgEOm7Q9XCQnRwiZBmPtV/view?usp=drive_link"/>
      </ext>
    </x18tc:extLst>
  </x18tc:threadedComment>
  <x18tc:threadedComment ref="W336" dT="2025-12-02T20:17:41.00" personId="{2ddfa542-8116-4937-a057-08470d7abaab}" id="{7829812a-1419-4d76-bf66-52a3f9f5a04a}" done="0">
    <x18tc:text xml:space="preserve">https://drive.google.com/file/d/1JWCrI34f_faDDHomb1N1yQg3w_BQJYfh/view?usp=drive_link</x18tc:text>
    <x18tc:extLst>
      <ext uri="{F7C98A9C-CBB3-438F-8F68-D28B6AF4A901}">
        <xltc2:checksum/>
        <xltc2:hyperlink startIndex="0" length="85" url="https://drive.google.com/file/d/1JWCrI34f_faDDHomb1N1yQg3w_BQJYfh/view?usp=drive_link"/>
      </ext>
    </x18tc:extLst>
  </x18tc:threadedComment>
  <x18tc:threadedComment ref="E138" dT="2025-08-01T02:17:29.00" personId="{4df2d6c4-e43e-4f2e-b623-d90f458472ff}" id="{a06d3261-218d-4ab2-abd1-7b8219d94e16}" done="1">
    <x18tc:text xml:space="preserve">srta sofia si lo compro agreguele su comprobante y su codigo interno porfis</x18tc:text>
  </x18tc:threadedComment>
  <x18tc:threadedComment ref="AF297" dT="2025-12-02T21:04:19.00" personId="{2ddfa542-8116-4937-a057-08470d7abaab}" id="{57445904-bd22-4356-89eb-49be0ecb44d4}" done="1">
    <x18tc:text xml:space="preserve">SOLO DNI</x18tc:text>
  </x18tc:threadedComment>
  <x18tc:threadedComment ref="W279" dT="2025-11-21T19:04:34.00" personId="{2ddfa542-8116-4937-a057-08470d7abaab}" id="{fd7bba06-1564-4e23-aee1-acecf3f0b981}" done="0">
    <x18tc:text xml:space="preserve">https://drive.google.com/file/d/1z7qdNY0B2yf-_02u0o8Q2OEElTaIWL6G/view?usp=drive_link</x18tc:text>
    <x18tc:extLst>
      <ext uri="{F7C98A9C-CBB3-438F-8F68-D28B6AF4A901}">
        <xltc2:checksum/>
        <xltc2:hyperlink startIndex="0" length="85" url="https://drive.google.com/file/d/1z7qdNY0B2yf-_02u0o8Q2OEElTaIWL6G/view?usp=drive_link"/>
      </ext>
    </x18tc:extLst>
  </x18tc:threadedComment>
  <x18tc:threadedComment ref="W279" dT="2025-11-26T22:15:25.00" personId="{a5d43f6d-3c72-4414-b012-8f52ef50acc4}" id="{104adcb0-3502-4603-853c-57479518edeb}" parentId="{fd7bba06-1564-4e23-aee1-acecf3f0b981}">
    <x18tc:text xml:space="preserve">20601708311
Con esa razón social porfavor que salga la factura
Reenviado
Razon social: Constructora y Consultora QMED Eirl
Reenviado
Ruc: 20601708311
Reenviado
Direccion: Av Tupac Amaru 905 Andahuaylas
Reenviado
Correo: constructora.qmed@gmail.com</x18tc:text>
  </x18tc:threadedComment>
  <x18tc:threadedComment ref="W333" dT="2025-12-02T20:13:34.00" personId="{2ddfa542-8116-4937-a057-08470d7abaab}" id="{958a60ea-6f5d-4843-9b2f-ab4966f004af}" done="0">
    <x18tc:text xml:space="preserve">https://drive.google.com/file/d/1BFF2-pEppempLo47BFdMSNJm0EJj-GLA/view?usp=drive_link</x18tc:text>
    <x18tc:extLst>
      <ext uri="{F7C98A9C-CBB3-438F-8F68-D28B6AF4A901}">
        <xltc2:checksum/>
        <xltc2:hyperlink startIndex="0" length="85" url="https://drive.google.com/file/d/1BFF2-pEppempLo47BFdMSNJm0EJj-GLA/view?usp=drive_link"/>
      </ext>
    </x18tc:extLst>
  </x18tc:threadedComment>
  <x18tc:threadedComment ref="J704" dT="2026-04-23T18:28:30.00" personId="{a5d43f6d-3c72-4414-b012-8f52ef50acc4}" id="{a123f096-02f6-4b2c-a0db-1815262e4370}" done="0">
    <x18tc:text xml:space="preserve">https://drive.google.com/file/d/1woNuSJMarbpem0g_p_ObndHQrJwUnzIY/view?usp=drive_link</x18tc:text>
    <x18tc:extLst>
      <ext uri="{F7C98A9C-CBB3-438F-8F68-D28B6AF4A901}">
        <xltc2:checksum/>
        <xltc2:hyperlink startIndex="0" length="85" url="https://drive.google.com/file/d/1woNuSJMarbpem0g_p_ObndHQrJwUnzIY/view?usp=drive_link"/>
      </ext>
    </x18tc:extLst>
  </x18tc:threadedComment>
  <x18tc:threadedComment ref="K359" dT="2025-12-29T17:55:54.00" personId="{d8e4f5ad-b65d-4160-a56f-197530fb7eb1}" id="{bd557a57-9e5e-48f2-b1fd-71f10dba37a8}" done="0">
    <x18tc:text xml:space="preserve">https://drive.google.com/file/d/1Nwn3fbnETHkfet4IQZVdo1MdkI6nYkll/view?usp=drive_link</x18tc:text>
    <x18tc:extLst>
      <ext uri="{F7C98A9C-CBB3-438F-8F68-D28B6AF4A901}">
        <xltc2:checksum/>
        <xltc2:hyperlink startIndex="0" length="85" url="https://drive.google.com/file/d/1Nwn3fbnETHkfet4IQZVdo1MdkI6nYkll/view?usp=drive_link"/>
      </ext>
    </x18tc:extLst>
  </x18tc:threadedComment>
  <x18tc:threadedComment ref="AF296" dT="2025-12-02T21:01:29.00" personId="{2ddfa542-8116-4937-a057-08470d7abaab}" id="{7aee519d-5948-4601-9794-3dbe6d85e773}" done="1">
    <x18tc:text xml:space="preserve">SOLO DNI</x18tc:text>
  </x18tc:threadedComment>
  <x18tc:threadedComment ref="C786" dT="2026-06-11T21:47:55.00" personId="{d8e4f5ad-b65d-4160-a56f-197530fb7eb1}" id="{d2905894-84a6-48df-8a8d-f8f84315584a}" done="0">
    <x18tc:text xml:space="preserve">https://www.ebay.com/itm/205565391274?_skw=alienware&amp;epid=21081456107&amp;itmmeta=01KTCTGSGR6VZCD27GVRYMPSNE&amp;hash=item2fdca6f1aa:g:ehsAAeSw5AhqEzGp&amp;itmprp=enc%3AAQALAAAA0GfYFPkwiKCW4ZNSs2u11xAhOzVOZoK1lG%2B%2BaXtIV8WJ%2Be53VW0YazljH3TsHC0OOPEoKPXNSkH3pp0M4X8c4n7JqcNQNZN2QeHLnneA7r7jOtMo%2FcO98SkdKMnfaVJz%2F5w7kDlO7b3FVINac2hrud3QFMN3k1DBQcBT%2BFuGUSzQHfbSuXYLXSXTcqGOwI2rrOg9EORTNG2GKNpl20GNz1KLem%2Fh%2FDbbUlouIbYRLLWySN6CWkoafrj9EDannty1XzUm3M1Ve32%2BsTpSqpfet3Y%3D%7Ctkp%3ABk9SR8CYw5rTZw</x18tc:text>
    <x18tc:extLst>
      <ext uri="{F7C98A9C-CBB3-438F-8F68-D28B6AF4A901}">
        <xltc2:checksum/>
        <xltc2:hyperlink startIndex="0" length="488" url="https://www.ebay.com/itm/205565391274?_skw=alienware&amp;epid=21081456107&amp;itmmeta=01KTCTGSGR6VZCD27GVRYMPSNE&amp;hash=item2fdca6f1aa:g:ehsAAeSw5AhqEzGp&amp;itmprp=enc%3AAQALAAAA0GfYFPkwiKCW4ZNSs2u11xAhOzVOZoK1lG%2B%2BaXtIV8WJ%2Be53VW0YazljH3TsHC0OOPEoKPXNSkH3pp0M4X8c4n7JqcNQNZN2QeHLnneA7r7jOtMo%2FcO98SkdKMnfaVJz%2F5w7kDlO7b3FVINac2hrud3QFMN3k1DBQcBT%2BFuGUSzQHfbSuXYLXSXTcqGOwI2rrOg9EORTNG2GKNpl20GNz1KLem%2Fh%2FDbbUlouIbYRLLWySN6CWkoafrj9EDannty1XzUm3M1Ve32%2BsTpSqpfet3Y%3D%7Ctkp%3ABk9SR8CYw5rTZw"/>
      </ext>
    </x18tc:extLst>
  </x18tc:threadedComment>
  <x18tc:threadedComment ref="L109" dT="2025-08-01T02:07:46.00" personId="{4df2d6c4-e43e-4f2e-b623-d90f458472ff}" id="{a0dd267e-dac3-4830-80c8-cf83db005aa3}" done="0">
    <x18tc:text xml:space="preserve">https://drive.google.com/file/d/1cpk2eU4lr9LyCKJaftErg9HttOarppk-/view?usp=drive_link</x18tc:text>
    <x18tc:extLst>
      <ext uri="{F7C98A9C-CBB3-438F-8F68-D28B6AF4A901}">
        <xltc2:checksum/>
        <xltc2:hyperlink startIndex="0" length="85" url="https://drive.google.com/file/d/1cpk2eU4lr9LyCKJaftErg9HttOarppk-/view?usp=drive_link"/>
      </ext>
    </x18tc:extLst>
  </x18tc:threadedComment>
  <x18tc:threadedComment ref="K522" dT="2026-02-16T18:50:05.00" personId="{d8e4f5ad-b65d-4160-a56f-197530fb7eb1}" id="{80daf704-44fc-4881-a421-d78bdb5620bf}" done="0">
    <x18tc:text xml:space="preserve">https://drive.google.com/file/d/1f7pQPKDQeBd-qaV7XgDOGdRHPoc41RZZ/view?usp=drive_link</x18tc:text>
    <x18tc:extLst>
      <ext uri="{F7C98A9C-CBB3-438F-8F68-D28B6AF4A901}">
        <xltc2:checksum/>
        <xltc2:hyperlink startIndex="0" length="85" url="https://drive.google.com/file/d/1f7pQPKDQeBd-qaV7XgDOGdRHPoc41RZZ/view?usp=drive_link"/>
      </ext>
    </x18tc:extLst>
  </x18tc:threadedComment>
  <x18tc:threadedComment ref="K442" dT="2025-12-29T17:50:26.00" personId="{d8e4f5ad-b65d-4160-a56f-197530fb7eb1}" id="{9aeb703c-ba3b-486b-af05-142e384c0a66}" done="0">
    <x18tc:text xml:space="preserve">https://drive.google.com/file/d/1r8UkLPDSI2tmesXXgT0xtuNgH6ZCRSEA/view?usp=drive_link</x18tc:text>
    <x18tc:extLst>
      <ext uri="{F7C98A9C-CBB3-438F-8F68-D28B6AF4A901}">
        <xltc2:checksum/>
        <xltc2:hyperlink startIndex="0" length="85" url="https://drive.google.com/file/d/1r8UkLPDSI2tmesXXgT0xtuNgH6ZCRSEA/view?usp=drive_link"/>
      </ext>
    </x18tc:extLst>
  </x18tc:threadedComment>
  <x18tc:threadedComment ref="AF303" dT="2025-12-02T21:42:03.00" personId="{2ddfa542-8116-4937-a057-08470d7abaab}" id="{418f6c38-dea4-4abd-888c-3b4397d2971b}" done="1">
    <x18tc:text xml:space="preserve">solo forms</x18tc:text>
  </x18tc:threadedComment>
  <x18tc:threadedComment ref="AF284" dT="2025-12-02T20:24:59.00" personId="{2ddfa542-8116-4937-a057-08470d7abaab}" id="{48da4068-1940-432d-8122-5e82b117af93}" done="1">
    <x18tc:text xml:space="preserve">solo el excedente que sacará de otra laptop</x18tc:text>
  </x18tc:threadedComment>
  <x18tc:threadedComment ref="C494" dT="2026-01-20T18:46:51.00" personId="{4df2d6c4-e43e-4f2e-b623-d90f458472ff}" id="{d009ccf3-805f-49c5-b5cd-48b390f52aec}" done="0">
    <x18tc:text xml:space="preserve">https://www.ebay.com/itm/197468116655?_skw=laptop+gaming&amp;itmmeta=01KETC2QE153T8TW53DFRPNATT&amp;hash=item2dfa0456af:g:u7wAAeSwWg5pXpKD</x18tc:text>
    <x18tc:extLst>
      <ext uri="{F7C98A9C-CBB3-438F-8F68-D28B6AF4A901}">
        <xltc2:checksum/>
        <xltc2:hyperlink startIndex="0" length="130" url="https://www.ebay.com/itm/197468116655?_skw=laptop+gaming&amp;itmmeta=01KETC2QE153T8TW53DFRPNATT&amp;hash=item2dfa0456af:g:u7wAAeSwWg5pXpKD"/>
      </ext>
    </x18tc:extLst>
  </x18tc:threadedComment>
  <x18tc:threadedComment ref="L78" dT="2025-07-01T02:26:59.00" personId="{4df2d6c4-e43e-4f2e-b623-d90f458472ff}" id="{129627a1-8595-4ed7-bde7-84ac7a8eea18}" done="0">
    <x18tc:text xml:space="preserve">https://drive.google.com/file/d/1F8XEfgBOxrNDA4RKJ_7Bai6jJjUjjSHV/view?usp=drive_link</x18tc:text>
    <x18tc:extLst>
      <ext uri="{F7C98A9C-CBB3-438F-8F68-D28B6AF4A901}">
        <xltc2:checksum/>
        <xltc2:hyperlink startIndex="0" length="85" url="https://drive.google.com/file/d/1F8XEfgBOxrNDA4RKJ_7Bai6jJjUjjSHV/view?usp=drive_link"/>
      </ext>
    </x18tc:extLst>
  </x18tc:threadedComment>
  <x18tc:threadedComment ref="L78" dT="2025-07-01T02:27:57.00" personId="{4df2d6c4-e43e-4f2e-b623-d90f458472ff}" id="{c210c3d2-031a-410e-b4df-1789f328d273}" parentId="{129627a1-8595-4ed7-bde7-84ac7a8eea18}">
    <x18tc:text xml:space="preserve">https://drive.google.com/file/d/1jdXZ5-TNzh_2kBLQGQ73w8suv_RqFxWA/view?usp=drive_link</x18tc:text>
    <x18tc:extLst>
      <ext uri="{F7C98A9C-CBB3-438F-8F68-D28B6AF4A901}">
        <xltc2:checksum/>
        <xltc2:hyperlink startIndex="0" length="85" url="https://drive.google.com/file/d/1jdXZ5-TNzh_2kBLQGQ73w8suv_RqFxWA/view?usp=drive_link"/>
      </ext>
    </x18tc:extLst>
  </x18tc:threadedComment>
  <x18tc:threadedComment ref="K331" dT="2025-11-24T20:36:56.00" personId="{a5d43f6d-3c72-4414-b012-8f52ef50acc4}" id="{68755b64-c2f2-484d-bcd4-9d4cf2dde6c1}" done="0">
    <x18tc:text xml:space="preserve">https://drive.google.com/file/d/18rtMWa_CGsNyDHJP0N4Cj1S2FLiCyK0q/view?usp=drive_link</x18tc:text>
    <x18tc:extLst>
      <ext uri="{F7C98A9C-CBB3-438F-8F68-D28B6AF4A901}">
        <xltc2:checksum/>
        <xltc2:hyperlink startIndex="0" length="85" url="https://drive.google.com/file/d/18rtMWa_CGsNyDHJP0N4Cj1S2FLiCyK0q/view?usp=drive_link"/>
      </ext>
    </x18tc:extLst>
  </x18tc:threadedComment>
  <x18tc:threadedComment ref="C327" dT="2025-11-21T17:49:03.00" personId="{d8e4f5ad-b65d-4160-a56f-197530fb7eb1}" id="{6e8baedf-26c4-4a8d-84f9-8713233e7cc0}" done="0">
    <x18tc:text xml:space="preserve">https://www.ebay.com/itm/197444306465?_skw=hp+omen+16&amp;itmmeta=01KAKRF1T4Y9BZS7W4THNVG07X&amp;hash=item2df8990621:g:2qsAAeSwCSlpHYfz&amp;itmprp=enc%3AAQAKAAAA8FkggFvd1GGDu0w3yXCmi1cVfd5FSrMNRS%2B3op8OS%2BjxnirSPsbrYtPOuq3%2Btdm77R7V6AnXwF%2FF3l5l2i0QIv1dnktCtMCephr2JinIwgrhsNYFq0j%2FoA4KB5JTBvZO3Q2M7nPuMvLOhk3TM5krj7%2BLt1kQ%2BNiVdUgiWDkaAFM9WGkIzVX7IZg%2FxM9hydMeldtpCtLlz8cdQyXA7hUM0mOc1Zo7qAVtQIloWOTqhvVVwhBeHRvyzeQzOhzAaGoBOsmxh%2Bw13pZx9p0vct%2B99QlqxjGmy0hGbkedXMICgoHdTeBBAfl4L3%2FYeT8rFbJGVg%3D%3D%7Ctkp%3ABk9SR6KdvPjUZg</x18tc:text>
    <x18tc:extLst>
      <ext uri="{F7C98A9C-CBB3-438F-8F68-D28B6AF4A901}">
        <xltc2:checksum/>
        <xltc2:hyperlink startIndex="0" length="522" url="https://www.ebay.com/itm/197444306465?_skw=hp+omen+16&amp;itmmeta=01KAKRF1T4Y9BZS7W4THNVG07X&amp;hash=item2df8990621:g:2qsAAeSwCSlpHYfz&amp;itmprp=enc%3AAQAKAAAA8FkggFvd1GGDu0w3yXCmi1cVfd5FSrMNRS%2B3op8OS%2BjxnirSPsbrYtPOuq3%2Btdm77R7V6AnXwF%2FF3l5l2i0QIv1dnktCtMCephr2JinIwgrhsNYFq0j%2FoA4KB5JTBvZO3Q2M7nPuMvLOhk3TM5krj7%2BLt1kQ%2BNiVdUgiWDkaAFM9WGkIzVX7IZg%2FxM9hydMeldtpCtLlz8cdQyXA7hUM0mOc1Zo7qAVtQIloWOTqhvVVwhBeHRvyzeQzOhzAaGoBOsmxh%2Bw13pZx9p0vct%2B99QlqxjGmy0hGbkedXMICgoHdTeBBAfl4L3%2FYeT8rFbJGVg%3D%3D%7Ctkp%3ABk9SR6KdvPjUZg"/>
      </ext>
    </x18tc:extLst>
  </x18tc:threadedComment>
  <x18tc:threadedComment ref="K496" dT="2026-02-16T16:42:56.00" personId="{a5d43f6d-3c72-4414-b012-8f52ef50acc4}" id="{2f1bdae2-5e26-42bd-8d95-f385956fa006}" done="0">
    <x18tc:text xml:space="preserve">https://drive.google.com/file/d/1xqxxCeXmoTUQbLz3l_P8y4uTEsIcF2sG/view?usp=drive_link</x18tc:text>
    <x18tc:extLst>
      <ext uri="{F7C98A9C-CBB3-438F-8F68-D28B6AF4A901}">
        <xltc2:checksum/>
        <xltc2:hyperlink startIndex="0" length="85" url="https://drive.google.com/file/d/1xqxxCeXmoTUQbLz3l_P8y4uTEsIcF2sG/view?usp=drive_link"/>
      </ext>
    </x18tc:extLst>
  </x18tc:threadedComment>
  <x18tc:threadedComment ref="K509" dT="2026-02-16T16:43:16.00" personId="{a5d43f6d-3c72-4414-b012-8f52ef50acc4}" id="{e8df8b48-df6d-4783-8a14-e096c9f10868}" done="0">
    <x18tc:text xml:space="preserve">https://drive.google.com/file/d/17ijzViOWKwV1J9v-J-uwGLXmZ2xjHCvP/view?usp=drive_link
https://drive.google.com/file/d/1CVriAViOM9WXPdmzhMc55x8mR6VF-J53/view?usp=drive_link</x18tc:text>
    <x18tc:extLst>
      <ext uri="{F7C98A9C-CBB3-438F-8F68-D28B6AF4A901}">
        <xltc2:checksum/>
        <xltc2:hyperlink startIndex="0" length="85" url="https://drive.google.com/file/d/17ijzViOWKwV1J9v-J-uwGLXmZ2xjHCvP/view?usp=drive_link"/>
        <xltc2:hyperlink startIndex="86" length="85" url="https://drive.google.com/file/d/1CVriAViOM9WXPdmzhMc55x8mR6VF-J53/view?usp=drive_link"/>
      </ext>
    </x18tc:extLst>
  </x18tc:threadedComment>
  <x18tc:threadedComment ref="J544" dT="2026-02-16T21:45:25.00" personId="{d8e4f5ad-b65d-4160-a56f-197530fb7eb1}" id="{a3107262-c824-4681-abfa-237df0055865}" done="0">
    <x18tc:text xml:space="preserve">https://drive.google.com/file/d/1-vw27KPir4GtfZ6Y-_iv8SONjD7u-w4K/view?usp=drive_link</x18tc:text>
    <x18tc:extLst>
      <ext uri="{F7C98A9C-CBB3-438F-8F68-D28B6AF4A901}">
        <xltc2:checksum/>
        <xltc2:hyperlink startIndex="0" length="85" url="https://drive.google.com/file/d/1-vw27KPir4GtfZ6Y-_iv8SONjD7u-w4K/view?usp=drive_link"/>
      </ext>
    </x18tc:extLst>
  </x18tc:threadedComment>
  <x18tc:threadedComment ref="K492" dT="2026-01-20T22:22:00.00" personId="{d8e4f5ad-b65d-4160-a56f-197530fb7eb1}" id="{1941cbbc-4c04-4ff3-b62d-6924cabe197e}" done="0">
    <x18tc:text xml:space="preserve">https://drive.google.com/file/d/1-8AbM7v-ilmPAAsWg1NKg1MWfXC5HC0t/view?usp=drive_link</x18tc:text>
    <x18tc:extLst>
      <ext uri="{F7C98A9C-CBB3-438F-8F68-D28B6AF4A901}">
        <xltc2:checksum/>
        <xltc2:hyperlink startIndex="0" length="85" url="https://drive.google.com/file/d/1-8AbM7v-ilmPAAsWg1NKg1MWfXC5HC0t/view?usp=drive_link"/>
      </ext>
    </x18tc:extLst>
  </x18tc:threadedComment>
  <x18tc:threadedComment ref="D252" dT="2025-09-30T15:34:43.00" personId="{a5d43f6d-3c72-4414-b012-8f52ef50acc4}" id="{e064c63d-839f-477e-9f20-fca7195c8c8b}" done="0">
    <x18tc:text xml:space="preserve">mismo cliente de la fila 218</x18tc:text>
  </x18tc:threadedComment>
  <x18tc:threadedComment ref="J492" dT="2026-01-20T22:21:40.00" personId="{d8e4f5ad-b65d-4160-a56f-197530fb7eb1}" id="{9e832625-0f5a-475a-91cf-287bbfd20718}" done="0">
    <x18tc:text xml:space="preserve">https://drive.google.com/file/d/10hURk4RntkJ3lJop3nQpAifymfIJ5JiJ/view?usp=drive_link</x18tc:text>
    <x18tc:extLst>
      <ext uri="{F7C98A9C-CBB3-438F-8F68-D28B6AF4A901}">
        <xltc2:checksum/>
        <xltc2:hyperlink startIndex="0" length="85" url="https://drive.google.com/file/d/10hURk4RntkJ3lJop3nQpAifymfIJ5JiJ/view?usp=drive_link"/>
      </ext>
    </x18tc:extLst>
  </x18tc:threadedComment>
  <x18tc:threadedComment ref="C761" dT="2026-05-25T20:18:27.00" personId="{f9b224d0-ee33-4499-ae47-db5bcd2d0435}" id="{924f1aa0-feda-449f-9556-fc1fa711c190}"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C809" dT="2026-06-30T23:41:49.00" personId="{80195d68-4e9b-4dc7-a031-ca5391c97d0f}" id="{4f8ea793-7a79-4b9c-8233-a77845738871}" done="0">
    <x18tc:text xml:space="preserve">https://eshop.asus.com/us/90nr0jy1-m001l0-rog-flow-z13-2025.html?config=90NR0JY1-M001L0</x18tc:text>
    <x18tc:extLst>
      <ext uri="{F7C98A9C-CBB3-438F-8F68-D28B6AF4A901}">
        <xltc2:checksum/>
        <xltc2:hyperlink startIndex="0" length="87" url="https://eshop.asus.com/us/90nr0jy1-m001l0-rog-flow-z13-2025.html?config=90NR0JY1-M001L0"/>
      </ext>
    </x18tc:extLst>
  </x18tc:threadedComment>
  <x18tc:threadedComment ref="Q503" dT="2026-01-26T18:37:57.00" personId="{a5d43f6d-3c72-4414-b012-8f52ef50acc4}" id="{d91ef315-b4d7-4ab5-8a90-c8b490c27d6a}" done="0">
    <x18tc:text xml:space="preserve">apertura + configuración inicial con formateo + eset nod 32 + windows 11 pro + office profesional plus 2024</x18tc:text>
  </x18tc:threadedComment>
  <x18tc:threadedComment ref="J412" dT="2025-12-17T21:24:25.00" personId="{d8e4f5ad-b65d-4160-a56f-197530fb7eb1}" id="{a86e276f-e938-4217-8b5b-3d7e95039793}" done="0">
    <x18tc:text xml:space="preserve">https://drive.google.com/file/d/1OtnH5qrq7fTXUo0B-yRL1NtLVB_B4f7z/view?usp=drive_link</x18tc:text>
    <x18tc:extLst>
      <ext uri="{F7C98A9C-CBB3-438F-8F68-D28B6AF4A901}">
        <xltc2:checksum/>
        <xltc2:hyperlink startIndex="0" length="85" url="https://drive.google.com/file/d/1OtnH5qrq7fTXUo0B-yRL1NtLVB_B4f7z/view?usp=drive_link"/>
      </ext>
    </x18tc:extLst>
  </x18tc:threadedComment>
  <x18tc:threadedComment ref="J317" dT="2025-11-21T21:19:34.00" personId="{d8e4f5ad-b65d-4160-a56f-197530fb7eb1}" id="{65980463-9eac-4b56-a3f7-46a42dae5721}" done="0">
    <x18tc:text xml:space="preserve">https://drive.google.com/file/d/1Z7YS21SZgOsj6PsM5GfFvC_W0_Tg2Cmy/view?usp=drive_link</x18tc:text>
    <x18tc:extLst>
      <ext uri="{F7C98A9C-CBB3-438F-8F68-D28B6AF4A901}">
        <xltc2:checksum/>
        <xltc2:hyperlink startIndex="0" length="85" url="https://drive.google.com/file/d/1Z7YS21SZgOsj6PsM5GfFvC_W0_Tg2Cmy/view?usp=drive_link"/>
      </ext>
    </x18tc:extLst>
  </x18tc:threadedComment>
  <x18tc:threadedComment ref="C252" dT="2025-09-30T15:35:51.00" personId="{a5d43f6d-3c72-4414-b012-8f52ef50acc4}" id="{a5fdbb57-6ef0-4ee8-8068-9bf99826ce2a}" done="0">
    <x18tc:text xml:space="preserve">https://www.bestbuy.com/product/msi-vector-16-hx-ai-400-16-240hz-qhd-gaming-laptop-intel-ultra-9-275hx-geforce-rtx-5080-16gb-memory-1tbssd-cosmo-gray/J3P7TXRSQV</x18tc:text>
    <x18tc:extLst>
      <ext uri="{F7C98A9C-CBB3-438F-8F68-D28B6AF4A901}">
        <xltc2:checksum/>
        <xltc2:hyperlink startIndex="0" length="160" url="https://www.bestbuy.com/product/msi-vector-16-hx-ai-400-16-240hz-qhd-gaming-laptop-intel-ultra-9-275hx-geforce-rtx-5080-16gb-memory-1tbssd-cosmo-gray/J3P7TXRSQV"/>
      </ext>
    </x18tc:extLst>
  </x18tc:threadedComment>
  <x18tc:threadedComment ref="J503" dT="2026-01-26T18:37:26.00" personId="{a5d43f6d-3c72-4414-b012-8f52ef50acc4}" id="{c6ca1e0f-e9e6-4835-9653-d3aff05a4f3a}" done="0">
    <x18tc:text xml:space="preserve">https://drive.google.com/file/d/1vZhQzxDvWKHdFzfc_qGkQiVkN7beVvpY/view?usp=drive_link</x18tc:text>
    <x18tc:extLst>
      <ext uri="{F7C98A9C-CBB3-438F-8F68-D28B6AF4A901}">
        <xltc2:checksum/>
        <xltc2:hyperlink startIndex="0" length="85" url="https://drive.google.com/file/d/1vZhQzxDvWKHdFzfc_qGkQiVkN7beVvpY/view?usp=drive_link"/>
      </ext>
    </x18tc:extLst>
  </x18tc:threadedComment>
  <x18tc:threadedComment ref="K318" dT="2025-11-21T21:18:17.00" personId="{d8e4f5ad-b65d-4160-a56f-197530fb7eb1}" id="{de22c3c8-57ed-4e77-bca7-fa4b000380eb}" done="0">
    <x18tc:text xml:space="preserve">https://drive.google.com/file/d/1SHHK053ziYHGsGNq2dnlGtyPdsWTQZpP/view?usp=drive_link</x18tc:text>
    <x18tc:extLst>
      <ext uri="{F7C98A9C-CBB3-438F-8F68-D28B6AF4A901}">
        <xltc2:checksum/>
        <xltc2:hyperlink startIndex="0" length="85" url="https://drive.google.com/file/d/1SHHK053ziYHGsGNq2dnlGtyPdsWTQZpP/view?usp=drive_link"/>
      </ext>
    </x18tc:extLst>
  </x18tc:threadedComment>
  <x18tc:threadedComment ref="E220" dT="2025-09-30T15:38:45.00" personId="{a5d43f6d-3c72-4414-b012-8f52ef50acc4}" id="{0c69ca99-64b3-4b17-b576-c206f38bb15c}" done="0">
    <x18tc:text xml:space="preserve">amazon no nos lo entrega</x18tc:text>
  </x18tc:threadedComment>
  <x18tc:threadedComment ref="Z503" dT="2026-01-26T18:19:03.00" personId="{a5d43f6d-3c72-4414-b012-8f52ef50acc4}" id="{4efe7f25-4ec0-46b4-8e51-653a813bc27c}" done="0">
    <x18tc:text xml:space="preserve">ara la boleta/factura del servicio por traer la laptop desde EEUU:
✅NOMBRES COMPLETOS O RAZÓN SOCIAL: SUPPORT BRIGADES FIRE &amp; SAFETY S.A.C.
✅DNI O RUC: 20548730776
✅NÚMERO DE CELULAR: 987628571
✅CORREO ELECTRÓNICO: gr.camuss@gmail.com</x18tc:text>
  </x18tc:threadedComment>
  <x18tc:threadedComment ref="AF673" dT="2026-04-26T02:19:40.00" personId="{2ddfa542-8116-4937-a057-08470d7abaab}" id="{60ebb8b1-a0a0-4b4a-b745-e1e1ee0405f3}" done="1">
    <x18tc:text xml:space="preserve">Fixit</x18tc:text>
  </x18tc:threadedComment>
  <x18tc:threadedComment ref="J143" dT="2025-08-19T23:52:28.00" personId="{a5d43f6d-3c72-4414-b012-8f52ef50acc4}" id="{977e26e6-dc6f-4158-bb8e-855039a663c7}" done="0">
    <x18tc:text xml:space="preserve">https://drive.google.com/file/d/1JFNIrwM2pE3vXjmUmHc1pP5bJ-dzIncG/view?usp=drive_link</x18tc:text>
    <x18tc:extLst>
      <ext uri="{F7C98A9C-CBB3-438F-8F68-D28B6AF4A901}">
        <xltc2:checksum/>
        <xltc2:hyperlink startIndex="0" length="85" url="https://drive.google.com/file/d/1JFNIrwM2pE3vXjmUmHc1pP5bJ-dzIncG/view?usp=drive_link"/>
      </ext>
    </x18tc:extLst>
  </x18tc:threadedComment>
  <x18tc:threadedComment ref="F809" dT="2026-07-01T15:26:29.00" personId="{2ddfa542-8116-4937-a057-08470d7abaab}" id="{8012333a-8a2b-48b9-a62f-08726ba11ea9}" done="0">
    <x18tc:text xml:space="preserve">Esta procesando la compra</x18tc:text>
  </x18tc:threadedComment>
  <x18tc:threadedComment ref="AF662" dT="2026-04-26T02:10:29.00" personId="{2ddfa542-8116-4937-a057-08470d7abaab}" id="{01a58c02-a286-4ebd-b8b0-3f8e954dcb46}" done="1">
    <x18tc:text xml:space="preserve">Fixit</x18tc:text>
  </x18tc:threadedComment>
  <x18tc:threadedComment ref="T666" dT="2026-05-25T20:37:16.00" personId="{2ddfa542-8116-4937-a057-08470d7abaab}" id="{fb66ba90-3abf-412d-ae11-abd9f7460a37}" done="0">
    <x18tc:text xml:space="preserve">de la fila 672</x18tc:text>
  </x18tc:threadedComment>
  <x18tc:threadedComment ref="AF660" dT="2026-04-26T02:07:58.00" personId="{2ddfa542-8116-4937-a057-08470d7abaab}" id="{d01a9d4f-8ae2-4910-a939-c6e121537aef}" done="1">
    <x18tc:text xml:space="preserve">Fixit</x18tc:text>
  </x18tc:threadedComment>
  <x18tc:threadedComment ref="C398" dT="2025-12-11T00:29:52.00" personId="{a5d43f6d-3c72-4414-b012-8f52ef50acc4}" id="{d485570f-a651-4993-a60b-eecef71a103c}"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K637" dT="2026-04-25T23:18:55.00" personId="{4df2d6c4-e43e-4f2e-b623-d90f458472ff}" id="{7c8878cb-61e0-47a5-9d01-b78b38cb6312}" done="0">
    <x18tc:text xml:space="preserve">https://drive.google.com/file/d/1MYx3YFwXniaIVi76CZI-j5paKTbw08Ns/view?usp=drive_link</x18tc:text>
    <x18tc:extLst>
      <ext uri="{F7C98A9C-CBB3-438F-8F68-D28B6AF4A901}">
        <xltc2:checksum/>
        <xltc2:hyperlink startIndex="0" length="85" url="https://drive.google.com/file/d/1MYx3YFwXniaIVi76CZI-j5paKTbw08Ns/view?usp=drive_link"/>
      </ext>
    </x18tc:extLst>
  </x18tc:threadedComment>
  <x18tc:threadedComment ref="AF654" dT="2026-04-26T01:55:13.00" personId="{2ddfa542-8116-4937-a057-08470d7abaab}" id="{a534d284-f61d-4e23-afbe-4f116db75c40}" done="1">
    <x18tc:text xml:space="preserve">Fixit</x18tc:text>
  </x18tc:threadedComment>
  <x18tc:threadedComment ref="K636" dT="2026-04-25T23:16:54.00" personId="{4df2d6c4-e43e-4f2e-b623-d90f458472ff}" id="{71c2ba1e-7675-4b95-9a4b-0a4cebd74d3c}" done="0">
    <x18tc:text xml:space="preserve">https://drive.google.com/file/d/1ROiVx2CkMj_VMpL6B73Z1q4lZg5PUo6X/view?usp=drive_link</x18tc:text>
    <x18tc:extLst>
      <ext uri="{F7C98A9C-CBB3-438F-8F68-D28B6AF4A901}">
        <xltc2:checksum/>
        <xltc2:hyperlink startIndex="0" length="85" url="https://drive.google.com/file/d/1ROiVx2CkMj_VMpL6B73Z1q4lZg5PUo6X/view?usp=drive_link"/>
      </ext>
    </x18tc:extLst>
  </x18tc:threadedComment>
  <x18tc:threadedComment ref="AF653" dT="2026-04-26T01:54:38.00" personId="{2ddfa542-8116-4937-a057-08470d7abaab}" id="{ba68325b-67e0-455c-879b-31817b0137bd}" done="1">
    <x18tc:text xml:space="preserve">Fixit</x18tc:text>
  </x18tc:threadedComment>
  <x18tc:threadedComment ref="C632" dT="2026-03-23T15:27:47.00" personId="{80195d68-4e9b-4dc7-a031-ca5391c97d0f}" id="{22ef71a7-e6fa-41ca-87f3-64950f85b44e}" done="0">
    <x18tc:text xml:space="preserve">https://www.microcenter.com/product/695522/dell-alienware-18-area-51-aa18250-18-gaming-laptop-computer-liquid-teal</x18tc:text>
    <x18tc:extLst>
      <ext uri="{F7C98A9C-CBB3-438F-8F68-D28B6AF4A901}">
        <xltc2:checksum/>
        <xltc2:hyperlink startIndex="0" length="114" url="https://www.microcenter.com/product/695522/dell-alienware-18-area-51-aa18250-18-gaming-laptop-computer-liquid-teal"/>
      </ext>
    </x18tc:extLst>
  </x18tc:threadedComment>
  <x18tc:threadedComment ref="K635" dT="2026-04-25T23:07:04.00" personId="{4df2d6c4-e43e-4f2e-b623-d90f458472ff}" id="{0c3c254d-160d-4471-a5b6-8efa3ac8d27e}" done="0">
    <x18tc:text xml:space="preserve">https://drive.google.com/file/d/1NGwHuX7V1Mxyek3eUNTTP8WVs5jQcpbp/view?usp=drive_link</x18tc:text>
    <x18tc:extLst>
      <ext uri="{F7C98A9C-CBB3-438F-8F68-D28B6AF4A901}">
        <xltc2:checksum/>
        <xltc2:hyperlink startIndex="0" length="85" url="https://drive.google.com/file/d/1NGwHuX7V1Mxyek3eUNTTP8WVs5jQcpbp/view?usp=drive_link"/>
      </ext>
    </x18tc:extLst>
  </x18tc:threadedComment>
  <x18tc:threadedComment ref="U624" dT="2026-04-25T23:06:56.00" personId="{d8e4f5ad-b65d-4160-a56f-197530fb7eb1}" id="{2a32156e-3956-4de7-b3ab-63ce4f09404f}" done="0">
    <x18tc:text xml:space="preserve">soporte</x18tc:text>
  </x18tc:threadedComment>
  <x18tc:threadedComment ref="AF651" dT="2026-04-26T01:26:24.00" personId="{2ddfa542-8116-4937-a057-08470d7abaab}" id="{9817132a-1e15-49a0-8f4c-e2ed8d7307c7}" done="1">
    <x18tc:text xml:space="preserve">fixit</x18tc:text>
  </x18tc:threadedComment>
  <x18tc:threadedComment ref="J703" dT="2026-04-23T16:50:30.00" personId="{d8e4f5ad-b65d-4160-a56f-197530fb7eb1}" id="{b2b3ce51-bed6-4728-8f8f-1da7ebf299a7}" done="0">
    <x18tc:text xml:space="preserve">https://drive.google.com/file/d/1IMwJNgQmH9himySoIYkQPfhPt4zwD6AK/view?usp=drive_link</x18tc:text>
    <x18tc:extLst>
      <ext uri="{F7C98A9C-CBB3-438F-8F68-D28B6AF4A901}">
        <xltc2:checksum/>
        <xltc2:hyperlink startIndex="0" length="85" url="https://drive.google.com/file/d/1IMwJNgQmH9himySoIYkQPfhPt4zwD6AK/view?usp=drive_link"/>
      </ext>
    </x18tc:extLst>
  </x18tc:threadedComment>
  <x18tc:threadedComment ref="D246" dT="2025-09-27T19:51:15.00" personId="{a5d43f6d-3c72-4414-b012-8f52ef50acc4}" id="{33cf3208-566a-4e74-8f05-c04aecd44ecf}" done="0">
    <x18tc:text xml:space="preserve">NOIMBRES: MICHAEL FERNANDO PEREZ CHOQUE
DNI: 74946707
NUMERO: 901293728
CORREO: cph.20ci@gmail.com
S/.858,99153
S/.1.013,6100</x18tc:text>
  </x18tc:threadedComment>
  <x18tc:threadedComment ref="J175" dT="2025-09-01T16:14:04.00" personId="{4df2d6c4-e43e-4f2e-b623-d90f458472ff}" id="{53a4fbb0-6986-442b-b816-3b2a4789106c}" done="0">
    <x18tc:text xml:space="preserve">https://drive.google.com/file/d/1IXF1ZmJhMdODNeIYjS4Y1AV75SOujfP2/view?usp=drive_link</x18tc:text>
    <x18tc:extLst>
      <ext uri="{F7C98A9C-CBB3-438F-8F68-D28B6AF4A901}">
        <xltc2:checksum/>
        <xltc2:hyperlink startIndex="0" length="85" url="https://drive.google.com/file/d/1IXF1ZmJhMdODNeIYjS4Y1AV75SOujfP2/view?usp=drive_link"/>
      </ext>
    </x18tc:extLst>
  </x18tc:threadedComment>
  <x18tc:threadedComment ref="T658" dT="2026-05-25T20:38:12.00" personId="{2ddfa542-8116-4937-a057-08470d7abaab}" id="{5ce60dbc-7243-4545-8abd-d906342ebe06}" done="0">
    <x18tc:text xml:space="preserve">FILA 672</x18tc:text>
  </x18tc:threadedComment>
  <x18tc:threadedComment ref="C27" dT="2025-04-24T23:54:26.00" personId="{d8e4f5ad-b65d-4160-a56f-197530fb7eb1}" id="{a8f62618-5c33-4448-ae23-95a5677b592e}" done="0">
    <x18tc:text xml:space="preserve">https://www.walmart.com/ip/MSI-Thin-15-6-inch-FHD-144Hz-Gaming-Laptop-Intel-Core-i5-13420H-NVIDIA-GeForce-RTX-4060-16GB-DDR4-512GB-SSD-Gray-2025/14673204103?classType=REGULAR&amp;athbdg=L1102&amp;from=/search</x18tc:text>
    <x18tc:extLst>
      <ext uri="{F7C98A9C-CBB3-438F-8F68-D28B6AF4A901}">
        <xltc2:checksum/>
        <xltc2:hyperlink startIndex="0" length="200" url="https://www.walmart.com/ip/MSI-Thin-15-6-inch-FHD-144Hz-Gaming-Laptop-Intel-Core-i5-13420H-NVIDIA-GeForce-RTX-4060-16GB-DDR4-512GB-SSD-Gray-2025/14673204103?classType=REGULAR&amp;athbdg=L1102&amp;from=/search"/>
      </ext>
    </x18tc:extLst>
  </x18tc:threadedComment>
  <x18tc:threadedComment ref="C396" dT="2025-12-10T18:27:18.00" personId="{d8e4f5ad-b65d-4160-a56f-197530fb7eb1}" id="{067de4f8-d892-4ac4-a221-6e3ef26ad47e}" done="0">
    <x18tc:text xml:space="preserve">https://www.bhphotovideo.com/c/product/1875945-REG/lenovo_83f00007us_15_1_legion_5i_gaming.html</x18tc:text>
    <x18tc:extLst>
      <ext uri="{F7C98A9C-CBB3-438F-8F68-D28B6AF4A901}">
        <xltc2:checksum/>
        <xltc2:hyperlink startIndex="0" length="95" url="https://www.bhphotovideo.com/c/product/1875945-REG/lenovo_83f00007us_15_1_legion_5i_gaming.html"/>
      </ext>
    </x18tc:extLst>
  </x18tc:threadedComment>
  <x18tc:threadedComment ref="C504" dT="2026-01-26T23:09:07.00" personId="{4df2d6c4-e43e-4f2e-b623-d90f458472ff}" id="{4f06b488-8252-44e5-b368-4004784f8170}"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246" dT="2025-09-27T18:57:39.00" personId="{a5d43f6d-3c72-4414-b012-8f52ef50acc4}" id="{c278f863-4932-48b8-97b0-bd6def4fc179}" done="0">
    <x18tc:text xml:space="preserve">https://drive.google.com/file/d/19IK8K9nmieFrBZVuOz7nZgzKMtE4um4f/view?usp=drive_link
https://drive.google.com/file/d/1KsnUvUeLjwVm5NFdvaq5UojyP5zfokO7/view?usp=drive_link</x18tc:text>
    <x18tc:extLst>
      <ext uri="{F7C98A9C-CBB3-438F-8F68-D28B6AF4A901}">
        <xltc2:checksum/>
        <xltc2:hyperlink startIndex="0" length="85" url="https://drive.google.com/file/d/19IK8K9nmieFrBZVuOz7nZgzKMtE4um4f/view?usp=drive_link"/>
        <xltc2:hyperlink startIndex="86" length="85" url="https://drive.google.com/file/d/1KsnUvUeLjwVm5NFdvaq5UojyP5zfokO7/view?usp=drive_link"/>
      </ext>
    </x18tc:extLst>
  </x18tc:threadedComment>
  <x18tc:threadedComment ref="W307" dT="2025-12-02T20:04:58.00" personId="{2ddfa542-8116-4937-a057-08470d7abaab}" id="{a2a0574a-777a-40c8-97c6-583826d8d772}" done="0">
    <x18tc:text xml:space="preserve">https://drive.google.com/file/d/1sU9DPXP0BLIVVxXmBLokm3sdK6NKgpD2/view?usp=drive_link</x18tc:text>
    <x18tc:extLst>
      <ext uri="{F7C98A9C-CBB3-438F-8F68-D28B6AF4A901}">
        <xltc2:checksum/>
        <xltc2:hyperlink startIndex="0" length="85" url="https://drive.google.com/file/d/1sU9DPXP0BLIVVxXmBLokm3sdK6NKgpD2/view?usp=drive_link"/>
      </ext>
    </x18tc:extLst>
  </x18tc:threadedComment>
  <x18tc:threadedComment ref="J28" dT="2025-04-24T23:58:54.00" personId="{d8e4f5ad-b65d-4160-a56f-197530fb7eb1}" id="{13b2f87d-e9db-4e9f-9a10-26f1095e2a33}" done="0">
    <x18tc:text xml:space="preserve">https://drive.google.com/file/d/1Rh0NOslKxOo4B5jktlReoKAcXuhic63X/view?usp=drive_link</x18tc:text>
    <x18tc:extLst>
      <ext uri="{F7C98A9C-CBB3-438F-8F68-D28B6AF4A901}">
        <xltc2:checksum/>
        <xltc2:hyperlink startIndex="0" length="85" url="https://drive.google.com/file/d/1Rh0NOslKxOo4B5jktlReoKAcXuhic63X/view?usp=drive_link"/>
      </ext>
    </x18tc:extLst>
  </x18tc:threadedComment>
  <x18tc:threadedComment ref="O396" dT="2025-12-10T18:52:26.00" personId="{d28ef52a-149c-458c-84f2-6b54860887d5}" id="{fbbcd179-a9cc-446b-9e0c-495eee15bef2}" done="0">
    <x18tc:text xml:space="preserve">laptop sin excedente</x18tc:text>
  </x18tc:threadedComment>
  <x18tc:threadedComment ref="O396" dT="2025-12-23T16:44:53.00" personId="{d8e4f5ad-b65d-4160-a56f-197530fb7eb1}" id="{145fdc30-1bf3-4feb-8298-996899e59115}" parentId="{fbbcd179-a9cc-446b-9e0c-495eee15bef2}">
    <x18tc:text xml:space="preserve">descontar de fila 427</x18tc:text>
  </x18tc:threadedComment>
  <x18tc:threadedComment ref="C246" dT="2025-09-27T17:59:52.00" personId="{a5d43f6d-3c72-4414-b012-8f52ef50acc4}" id="{626ddf8e-e4c5-498e-b6cc-508c4450514f}" done="0">
    <x18tc:text xml:space="preserve">https://www.newegg.com/msi-16-geforce-rtx-4060/p/1TS-0016-05CT7?Item=1TS-0016-05CT7&amp;_gl=1*13mtk7s*_gcl_au*MTk1NzQyMDEyNy4xNzU4NTk5ODYx*_ga*ODcwMzYwNDAzLjE3NTg1OTk4NjM.*_ga_TR46GG8HLR*czE3NTg5OTMyMjQkbzQkZzEkdDE3NTg5OTQzODAkajM2JGwwJGg4NDAzMjA1OTE.</x18tc:text>
    <x18tc:extLst>
      <ext uri="{F7C98A9C-CBB3-438F-8F68-D28B6AF4A901}">
        <xltc2:checksum/>
        <xltc2:hyperlink startIndex="0" length="246" url="https://www.newegg.com/msi-16-geforce-rtx-4060/p/1TS-0016-05CT7?Item=1TS-0016-05CT7&amp;_gl=1*13mtk7s*_gcl_au*MTk1NzQyMDEyNy4xNzU4NTk5ODYx*_ga*ODcwMzYwNDAzLjE3NTg1OTk4NjM.*_ga_TR46GG8HLR*czE3NTg5OTMyMjQkbzQkZzEkdDE3NTg5OTQzODAkajM2JGwwJGg4NDAzMjA1OTE"/>
      </ext>
    </x18tc:extLst>
  </x18tc:threadedComment>
  <x18tc:threadedComment ref="AF190" dT="2025-09-01T15:57:32.00" personId="{2ddfa542-8116-4937-a057-08470d7abaab}" id="{ca9abd5c-fba7-4a1c-9542-cdf448ebc5e2}" done="0">
    <x18tc:text xml:space="preserve">FALTA: venta final y fixit</x18tc:text>
  </x18tc:threadedComment>
  <x18tc:threadedComment ref="J785" dT="2026-06-11T21:44:05.00" personId="{f9b224d0-ee33-4499-ae47-db5bcd2d0435}" id="{895a929d-de68-471d-b0e9-e4dad8342885}" done="0">
    <x18tc:text xml:space="preserve">https://drive.google.com/file/d/1mGfMaFFTBO8XNl8mJU_hXVRTUnTB9PbA/view?usp=drive_link</x18tc:text>
    <x18tc:extLst>
      <ext uri="{F7C98A9C-CBB3-438F-8F68-D28B6AF4A901}">
        <xltc2:checksum/>
        <xltc2:hyperlink startIndex="0" length="85" url="https://drive.google.com/file/d/1mGfMaFFTBO8XNl8mJU_hXVRTUnTB9PbA/view?usp=drive_link"/>
      </ext>
    </x18tc:extLst>
  </x18tc:threadedComment>
  <x18tc:threadedComment ref="J785" dT="2026-06-11T21:46:02.00" personId="{f9b224d0-ee33-4499-ae47-db5bcd2d0435}" id="{d71f0d83-55fb-48d0-8358-7ae43c700781}" parentId="{895a929d-de68-471d-b0e9-e4dad8342885}">
    <x18tc:text xml:space="preserve">https://drive.google.com/file/d/1kwJZjr6CpE2GhBEzX6w2YEiradOTWnHm/view?usp=drive_link</x18tc:text>
    <x18tc:extLst>
      <ext uri="{F7C98A9C-CBB3-438F-8F68-D28B6AF4A901}">
        <xltc2:checksum/>
        <xltc2:hyperlink startIndex="0" length="85" url="https://drive.google.com/file/d/1kwJZjr6CpE2GhBEzX6w2YEiradOTWnHm/view?usp=drive_link"/>
      </ext>
    </x18tc:extLst>
  </x18tc:threadedComment>
  <x18tc:threadedComment ref="J785" dT="2026-06-11T21:47:01.00" personId="{f9b224d0-ee33-4499-ae47-db5bcd2d0435}" id="{2cc470c7-ac5e-4d8a-9d05-75b0dd9a2c89}" parentId="{895a929d-de68-471d-b0e9-e4dad8342885}">
    <x18tc:text xml:space="preserve">https://drive.google.com/file/d/1RD9_2mkJ7dGBgAmqGVnJF-_n_541VWka/view?usp=drive_link</x18tc:text>
    <x18tc:extLst>
      <ext uri="{F7C98A9C-CBB3-438F-8F68-D28B6AF4A901}">
        <xltc2:checksum/>
        <xltc2:hyperlink startIndex="0" length="85" url="https://drive.google.com/file/d/1RD9_2mkJ7dGBgAmqGVnJF-_n_541VWka/view?usp=drive_link"/>
      </ext>
    </x18tc:extLst>
  </x18tc:threadedComment>
  <x18tc:threadedComment ref="J785" dT="2026-06-11T21:48:01.00" personId="{f9b224d0-ee33-4499-ae47-db5bcd2d0435}" id="{90824575-3706-4d7e-b9d5-ba6819843504}" parentId="{895a929d-de68-471d-b0e9-e4dad8342885}">
    <x18tc:text xml:space="preserve">https://drive.google.com/file/d/1NDgfEPpEJcC64J6Ttx572BlVq4nowdhQ/view?usp=drive_link</x18tc:text>
    <x18tc:extLst>
      <ext uri="{F7C98A9C-CBB3-438F-8F68-D28B6AF4A901}">
        <xltc2:checksum/>
        <xltc2:hyperlink startIndex="0" length="85" url="https://drive.google.com/file/d/1NDgfEPpEJcC64J6Ttx572BlVq4nowdhQ/view?usp=drive_link"/>
      </ext>
    </x18tc:extLst>
  </x18tc:threadedComment>
  <x18tc:threadedComment ref="J786" dT="2026-06-11T21:56:18.00" personId="{d8e4f5ad-b65d-4160-a56f-197530fb7eb1}" id="{7383a3d9-8e9d-480e-a20c-c67e3848cecf}" done="0">
    <x18tc:text xml:space="preserve">https://drive.google.com/file/d/1qo5CDtfDo_d1k5VAIuFJXbWoCpYWgKcV/view?usp=drive_link</x18tc:text>
    <x18tc:extLst>
      <ext uri="{F7C98A9C-CBB3-438F-8F68-D28B6AF4A901}">
        <xltc2:checksum/>
        <xltc2:hyperlink startIndex="0" length="85" url="https://drive.google.com/file/d/1qo5CDtfDo_d1k5VAIuFJXbWoCpYWgKcV/view?usp=drive_link"/>
      </ext>
    </x18tc:extLst>
  </x18tc:threadedComment>
  <x18tc:threadedComment ref="W318" dT="2025-12-02T20:09:19.00" personId="{2ddfa542-8116-4937-a057-08470d7abaab}" id="{7be4b58b-926b-4b5e-b2e1-211ef352c4ed}" done="0">
    <x18tc:text xml:space="preserve">https://drive.google.com/file/d/1_p_3OuRx7Kli626c3p4ry4qlt5Z-g2LV/view?usp=drive_link</x18tc:text>
    <x18tc:extLst>
      <ext uri="{F7C98A9C-CBB3-438F-8F68-D28B6AF4A901}">
        <xltc2:checksum/>
        <xltc2:hyperlink startIndex="0" length="85" url="https://drive.google.com/file/d/1_p_3OuRx7Kli626c3p4ry4qlt5Z-g2LV/view?usp=drive_link"/>
      </ext>
    </x18tc:extLst>
  </x18tc:threadedComment>
  <x18tc:threadedComment ref="J186" dT="2025-09-01T16:12:35.00" personId="{4df2d6c4-e43e-4f2e-b623-d90f458472ff}" id="{2deb961b-3cf7-4256-808d-c98c78f3b595}" done="0">
    <x18tc:text xml:space="preserve">https://drive.google.com/file/d/1fFwetBBlVFyfK4ZpXI2BYSVecGxdaHvs/view?usp=drive_link</x18tc:text>
    <x18tc:extLst>
      <ext uri="{F7C98A9C-CBB3-438F-8F68-D28B6AF4A901}">
        <xltc2:checksum/>
        <xltc2:hyperlink startIndex="0" length="85" url="https://drive.google.com/file/d/1fFwetBBlVFyfK4ZpXI2BYSVecGxdaHvs/view?usp=drive_link"/>
      </ext>
    </x18tc:extLst>
  </x18tc:threadedComment>
  <x18tc:threadedComment ref="C182" dT="2025-08-19T22:32:56.00" personId="{d8e4f5ad-b65d-4160-a56f-197530fb7eb1}" id="{4ff190f9-a513-430e-b96a-4550fcbeea3d}" done="0">
    <x18tc:text xml:space="preserve">https://www.microcenter.com/product/691210/asus-rog-strix-g16-(2025)-g614fr-ds96-16-gaming-laptop-computer-eclipse-gray</x18tc:text>
    <x18tc:extLst>
      <ext uri="{F7C98A9C-CBB3-438F-8F68-D28B6AF4A901}">
        <xltc2:checksum/>
        <xltc2:hyperlink startIndex="0" length="119" url="https://www.microcenter.com/product/691210/asus-rog-strix-g16-(2025)-g614fr-ds96-16-gaming-laptop-computer-eclipse-gray"/>
      </ext>
    </x18tc:extLst>
  </x18tc:threadedComment>
  <x18tc:threadedComment ref="K508" dT="2026-02-16T18:44:38.00" personId="{d8e4f5ad-b65d-4160-a56f-197530fb7eb1}" id="{b68266d7-11a8-47b4-af58-a9c220d4e8d9}" done="0">
    <x18tc:text xml:space="preserve">https://drive.google.com/file/d/1wfYKa1wPQNGm7GhDiAB6ZbQQDmQvH3Ts/view?usp=drive_link</x18tc:text>
    <x18tc:extLst>
      <ext uri="{F7C98A9C-CBB3-438F-8F68-D28B6AF4A901}">
        <xltc2:checksum/>
        <xltc2:hyperlink startIndex="0" length="85" url="https://drive.google.com/file/d/1wfYKa1wPQNGm7GhDiAB6ZbQQDmQvH3Ts/view?usp=drive_link"/>
      </ext>
    </x18tc:extLst>
  </x18tc:threadedComment>
  <x18tc:threadedComment ref="AF682" dT="2026-04-26T02:26:42.00" personId="{2ddfa542-8116-4937-a057-08470d7abaab}" id="{9318f0a0-2520-4b07-8a2d-818f3cd2a357}" done="1">
    <x18tc:text xml:space="preserve">Fixit</x18tc:text>
  </x18tc:threadedComment>
  <x18tc:threadedComment ref="AF186" dT="2025-09-01T15:38:50.00" personId="{2ddfa542-8116-4937-a057-08470d7abaab}" id="{0040614b-cd4a-4810-8991-519701e5863c}" done="1">
    <x18tc:text xml:space="preserve">FINAL: venta final y fixit</x18tc:text>
  </x18tc:threadedComment>
  <x18tc:threadedComment ref="AI735" dT="2026-06-11T23:43:16.00" personId="{7d9bea4b-cfe7-4c29-b483-8e83a1c4f52a}" id="{b354a716-a6be-4c67-b25f-24c7f7b13438}" done="0">
    <x18tc:text xml:space="preserve">https://drive.google.com/file/d/1KIV6WVLp03TXBcBiKbgnh0B1L84O2Nkq/view?usp=drive_link</x18tc:text>
    <x18tc:extLst>
      <ext uri="{F7C98A9C-CBB3-438F-8F68-D28B6AF4A901}">
        <xltc2:checksum/>
        <xltc2:hyperlink startIndex="0" length="85" url="https://drive.google.com/file/d/1KIV6WVLp03TXBcBiKbgnh0B1L84O2Nkq/view?usp=drive_link"/>
      </ext>
    </x18tc:extLst>
  </x18tc:threadedComment>
  <x18tc:threadedComment ref="J539" dT="2026-02-16T18:46:46.00" personId="{d8e4f5ad-b65d-4160-a56f-197530fb7eb1}" id="{10c8483e-d1c4-4878-91f3-dce7f56f521f}" done="0">
    <x18tc:text xml:space="preserve">https://drive.google.com/file/d/1zNq4lL-IK15DCgC5uP9cD5GoPpB73Yv-/view?usp=drive_link</x18tc:text>
    <x18tc:extLst>
      <ext uri="{F7C98A9C-CBB3-438F-8F68-D28B6AF4A901}">
        <xltc2:checksum/>
        <xltc2:hyperlink startIndex="0" length="85" url="https://drive.google.com/file/d/1zNq4lL-IK15DCgC5uP9cD5GoPpB73Yv-/view?usp=drive_link"/>
      </ext>
    </x18tc:extLst>
  </x18tc:threadedComment>
  <x18tc:threadedComment ref="AF677" dT="2026-04-26T02:25:11.00" personId="{2ddfa542-8116-4937-a057-08470d7abaab}" id="{9fdf2bf8-d6f2-489f-9045-80e2c795a1a9}" done="1">
    <x18tc:text xml:space="preserve">fixit</x18tc:text>
  </x18tc:threadedComment>
  <x18tc:threadedComment ref="AF187" dT="2025-09-01T15:43:17.00" personId="{2ddfa542-8116-4937-a057-08470d7abaab}" id="{39151b04-4c57-4081-9407-69216e8ac18f}" done="1">
    <x18tc:text xml:space="preserve">FINAL: venta precio final y fixit</x18tc:text>
  </x18tc:threadedComment>
  <x18tc:threadedComment ref="AI781" dT="2026-06-11T23:45:39.00" personId="{7d9bea4b-cfe7-4c29-b483-8e83a1c4f52a}" id="{ba378028-3670-4903-b3e4-b5122800e108}" done="0">
    <x18tc:text xml:space="preserve">https://drive.google.com/file/d/1LLUYpmFCfWdAXKUyc5JkCZKyeSIjLnO2/view?usp=drive_link</x18tc:text>
    <x18tc:extLst>
      <ext uri="{F7C98A9C-CBB3-438F-8F68-D28B6AF4A901}">
        <xltc2:checksum/>
        <xltc2:hyperlink startIndex="0" length="85" url="https://drive.google.com/file/d/1LLUYpmFCfWdAXKUyc5JkCZKyeSIjLnO2/view?usp=drive_link"/>
      </ext>
    </x18tc:extLst>
  </x18tc:threadedComment>
  <x18tc:threadedComment ref="C785" dT="2026-06-11T21:40:04.00" personId="{f9b224d0-ee33-4499-ae47-db5bcd2d0435}" id="{5b72c11a-c28b-454c-8696-c4d358a9a17e}"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J252" dT="2025-09-30T15:31:58.00" personId="{a5d43f6d-3c72-4414-b012-8f52ef50acc4}" id="{5ed791eb-0212-40a9-9026-f20f8e597bb2}" done="0">
    <x18tc:text xml:space="preserve">https://drive.google.com/file/d/1vytH-VRwmLoOeDM7ECMwtbdsgUjlaWSF/view</x18tc:text>
    <x18tc:extLst>
      <ext uri="{F7C98A9C-CBB3-438F-8F68-D28B6AF4A901}">
        <xltc2:checksum/>
        <xltc2:hyperlink startIndex="0" length="70" url="https://drive.google.com/file/d/1vytH-VRwmLoOeDM7ECMwtbdsgUjlaWSF/view"/>
      </ext>
    </x18tc:extLst>
  </x18tc:threadedComment>
  <x18tc:threadedComment ref="AF674" dT="2026-04-26T02:20:29.00" personId="{2ddfa542-8116-4937-a057-08470d7abaab}" id="{13cd3356-f4a8-43d3-862e-0ba66a648ed7}" done="1">
    <x18tc:text xml:space="preserve">fixit</x18tc:text>
  </x18tc:threadedComment>
  <x18tc:threadedComment ref="N252" dT="2025-09-30T15:34:11.00" personId="{a5d43f6d-3c72-4414-b012-8f52ef50acc4}" id="{31db4b97-b1fb-440c-881a-61d2906d9e77}" done="0">
    <x18tc:text xml:space="preserve">S/.1.115,22034
S/.1.315,9600</x18tc:text>
  </x18tc:threadedComment>
  <x18tc:threadedComment ref="K430" dT="2026-01-21T00:36:42.00" personId="{d8e4f5ad-b65d-4160-a56f-197530fb7eb1}" id="{c1c205ec-ce30-4775-ba51-e8c506474664}" done="0">
    <x18tc:text xml:space="preserve">https://drive.google.com/file/d/1Se_ZT1QMuvnk2v14pbuhIw_5GlPpeY1M/view?usp=drive_link</x18tc:text>
    <x18tc:extLst>
      <ext uri="{F7C98A9C-CBB3-438F-8F68-D28B6AF4A901}">
        <xltc2:checksum/>
        <xltc2:hyperlink startIndex="0" length="85" url="https://drive.google.com/file/d/1Se_ZT1QMuvnk2v14pbuhIw_5GlPpeY1M/view?usp=drive_link"/>
      </ext>
    </x18tc:extLst>
  </x18tc:threadedComment>
  <x18tc:threadedComment ref="AI782" dT="2026-06-11T23:36:22.00" personId="{7d9bea4b-cfe7-4c29-b483-8e83a1c4f52a}" id="{9d3a341a-339d-4e30-9c55-3b38904710b9}" done="0">
    <x18tc:text xml:space="preserve">https://drive.google.com/file/d/1GtqP80-550EvHhGNBGfM4oMUOLDdAv0_/view?usp=drive_link</x18tc:text>
    <x18tc:extLst>
      <ext uri="{F7C98A9C-CBB3-438F-8F68-D28B6AF4A901}">
        <xltc2:checksum/>
        <xltc2:hyperlink startIndex="0" length="85" url="https://drive.google.com/file/d/1GtqP80-550EvHhGNBGfM4oMUOLDdAv0_/view?usp=drive_link"/>
      </ext>
    </x18tc:extLst>
  </x18tc:threadedComment>
  <x18tc:threadedComment ref="C397" dT="2025-12-10T21:01:28.00" personId="{d8e4f5ad-b65d-4160-a56f-197530fb7eb1}" id="{bb3a7394-ad30-4fc9-833d-a449da5b735f}" done="0">
    <x18tc:text xml:space="preserve">https://www.ebay.com/itm/205814283481?_skw=laptop+gaming&amp;itmmeta=01KC39AGPBRWEHNG3RX08DV8HM&amp;hash=item2feb7cbcd9:g:7kQAAeSwHjZpN7Fz</x18tc:text>
    <x18tc:extLst>
      <ext uri="{F7C98A9C-CBB3-438F-8F68-D28B6AF4A901}">
        <xltc2:checksum/>
        <xltc2:hyperlink startIndex="0" length="130" url="https://www.ebay.com/itm/205814283481?_skw=laptop+gaming&amp;itmmeta=01KC39AGPBRWEHNG3RX08DV8HM&amp;hash=item2feb7cbcd9:g:7kQAAeSwHjZpN7Fz"/>
      </ext>
    </x18tc:extLst>
  </x18tc:threadedComment>
  <x18tc:threadedComment ref="J102" dT="2025-06-30T16:50:10.00" personId="{d8e4f5ad-b65d-4160-a56f-197530fb7eb1}" id="{e759d83b-1c37-4948-9108-36c50cd675a2}" done="0">
    <x18tc:text xml:space="preserve">https://drive.google.com/file/d/1ZY0hTb9qMzco_8u-D_rMnWqqRFrSa0V2/view?usp=drive_link</x18tc:text>
    <x18tc:extLst>
      <ext uri="{F7C98A9C-CBB3-438F-8F68-D28B6AF4A901}">
        <xltc2:checksum/>
        <xltc2:hyperlink startIndex="0" length="85" url="https://drive.google.com/file/d/1ZY0hTb9qMzco_8u-D_rMnWqqRFrSa0V2/view?usp=drive_link"/>
      </ext>
    </x18tc:extLst>
  </x18tc:threadedComment>
  <x18tc:threadedComment ref="C197" dT="2025-08-27T22:49:10.00" personId="{a5d43f6d-3c72-4414-b012-8f52ef50acc4}" id="{82b63850-1f5c-4f29-98f5-ec25499fdc54}" done="0">
    <x18tc:text xml:space="preserve">https://www.costco.com/lenovo-legion-5i-16-gaming-laptop---intel-core-ultra-9-275hx---geforce-rtx-5060---wqxga-2560x1600---windows-11-home---32gb-ram---1tb-ssd.product.4000380973.html</x18tc:text>
    <x18tc:extLst>
      <ext uri="{F7C98A9C-CBB3-438F-8F68-D28B6AF4A901}">
        <xltc2:checksum/>
        <xltc2:hyperlink startIndex="0" length="183" url="https://www.costco.com/lenovo-legion-5i-16-gaming-laptop---intel-core-ultra-9-275hx---geforce-rtx-5060---wqxga-2560x1600---windows-11-home---32gb-ram---1tb-ssd.product.4000380973.html"/>
      </ext>
    </x18tc:extLst>
  </x18tc:threadedComment>
  <x18tc:threadedComment ref="L142" dT="2025-08-07T20:13:57.00" personId="{d8e4f5ad-b65d-4160-a56f-197530fb7eb1}" id="{1722fcc1-44fd-409e-8113-4017b3ea9155}" done="0">
    <x18tc:text xml:space="preserve">https://drive.google.com/file/d/1-VSRPUHn57D6SxQAwH4maucrmFzxR7yU/view?usp=drive_link</x18tc:text>
    <x18tc:extLst>
      <ext uri="{F7C98A9C-CBB3-438F-8F68-D28B6AF4A901}">
        <xltc2:checksum/>
        <xltc2:hyperlink startIndex="0" length="85" url="https://drive.google.com/file/d/1-VSRPUHn57D6SxQAwH4maucrmFzxR7yU/view?usp=drive_link"/>
      </ext>
    </x18tc:extLst>
  </x18tc:threadedComment>
  <x18tc:threadedComment ref="J136" dT="2025-07-21T15:53:04.00" personId="{a5d43f6d-3c72-4414-b012-8f52ef50acc4}" id="{a52621d3-1d75-4abc-b8df-a84fcd719560}" done="0">
    <x18tc:text xml:space="preserve">https://drive.google.com/file/d/1frNgNP0GDkgia-iTp0hFMGPzkDJjmbC4/view?usp=drive_link
https://drive.google.com/file/d/1IV1spkHWSsvXH8fy9R54VlB-unjH1Jo9/view?usp=drive_link
https://drive.google.com/file/d/13he_-MMIC9mgF5KunnLQzqY30lGEL816/view?usp=drive_link
https://drive.google.com/file/d/18xqu-6lqbaVdgrjm8I-cNZC1HxAcTM7U/view?usp=drive_link</x18tc:text>
    <x18tc:extLst>
      <ext uri="{F7C98A9C-CBB3-438F-8F68-D28B6AF4A901}">
        <xltc2:checksum/>
        <xltc2:hyperlink startIndex="0" length="85" url="https://drive.google.com/file/d/1frNgNP0GDkgia-iTp0hFMGPzkDJjmbC4/view?usp=drive_link"/>
        <xltc2:hyperlink startIndex="86" length="85" url="https://drive.google.com/file/d/1IV1spkHWSsvXH8fy9R54VlB-unjH1Jo9/view?usp=drive_link"/>
        <xltc2:hyperlink startIndex="172" length="85" url="https://drive.google.com/file/d/13he_-MMIC9mgF5KunnLQzqY30lGEL816/view?usp=drive_link"/>
        <xltc2:hyperlink startIndex="258" length="85" url="https://drive.google.com/file/d/18xqu-6lqbaVdgrjm8I-cNZC1HxAcTM7U/view?usp=drive_link"/>
      </ext>
    </x18tc:extLst>
  </x18tc:threadedComment>
  <x18tc:threadedComment ref="J196" dT="2025-08-27T22:51:15.00" personId="{a5d43f6d-3c72-4414-b012-8f52ef50acc4}" id="{2e2ec85c-2c60-429e-836f-bcdffad72063}" done="0">
    <x18tc:text xml:space="preserve">https://drive.google.com/file/d/1ViEN6YB_6X-DFZW_7e_CLpUsAfIg0VPf/view?usp=drive_link</x18tc:text>
    <x18tc:extLst>
      <ext uri="{F7C98A9C-CBB3-438F-8F68-D28B6AF4A901}">
        <xltc2:checksum/>
        <xltc2:hyperlink startIndex="0" length="85" url="https://drive.google.com/file/d/1ViEN6YB_6X-DFZW_7e_CLpUsAfIg0VPf/view?usp=drive_link"/>
      </ext>
    </x18tc:extLst>
  </x18tc:threadedComment>
  <x18tc:threadedComment ref="L226" dT="2025-09-27T16:42:00.00" personId="{a5d43f6d-3c72-4414-b012-8f52ef50acc4}" id="{a38e6535-a114-4fde-93f0-f9d57e4380f8}" done="0">
    <x18tc:text xml:space="preserve">https://drive.google.com/file/d/1D8AsYGFkZr_ByWUzZBWmsHqyrxnA39xq/view?usp=drive_link</x18tc:text>
    <x18tc:extLst>
      <ext uri="{F7C98A9C-CBB3-438F-8F68-D28B6AF4A901}">
        <xltc2:checksum/>
        <xltc2:hyperlink startIndex="0" length="85" url="https://drive.google.com/file/d/1D8AsYGFkZr_ByWUzZBWmsHqyrxnA39xq/view?usp=drive_link"/>
      </ext>
    </x18tc:extLst>
  </x18tc:threadedComment>
  <x18tc:threadedComment ref="C136" dT="2025-07-21T15:54:04.00" personId="{a5d43f6d-3c72-4414-b012-8f52ef50acc4}" id="{4e299a32-d1d9-4a5f-aba5-dfc5b2a94683}" done="0">
    <x18tc:text xml:space="preserve">https://www.ebay.com/itm/205606875313?_skw=rtx&amp;itmmeta=01K0PRFJNRE9N246P95XV1S3VJ&amp;hash=item2fdf1ff0b1:g:9vIAAeSwsL1od028</x18tc:text>
    <x18tc:extLst>
      <ext uri="{F7C98A9C-CBB3-438F-8F68-D28B6AF4A901}">
        <xltc2:checksum/>
        <xltc2:hyperlink startIndex="0" length="120" url="https://www.ebay.com/itm/205606875313?_skw=rtx&amp;itmmeta=01K0PRFJNRE9N246P95XV1S3VJ&amp;hash=item2fdf1ff0b1:g:9vIAAeSwsL1od028"/>
      </ext>
    </x18tc:extLst>
  </x18tc:threadedComment>
  <x18tc:threadedComment ref="C102" dT="2025-06-30T16:47:57.00" personId="{d8e4f5ad-b65d-4160-a56f-197530fb7eb1}" id="{01e79820-aba5-4820-b56a-683242bca8dd}" done="0">
    <x18tc:text xml:space="preserve">https://www.microcenter.com/product/688173/apple-mac-mini-mu9d3ll-a-(late-2024)-desktop-computer</x18tc:text>
    <x18tc:extLst>
      <ext uri="{F7C98A9C-CBB3-438F-8F68-D28B6AF4A901}">
        <xltc2:checksum/>
        <xltc2:hyperlink startIndex="0" length="96" url="https://www.microcenter.com/product/688173/apple-mac-mini-mu9d3ll-a-(late-2024)-desktop-computer"/>
      </ext>
    </x18tc:extLst>
  </x18tc:threadedComment>
  <x18tc:threadedComment ref="Y188" dT="2025-08-29T05:02:04.00" personId="{2ddfa542-8116-4937-a057-08470d7abaab}" id="{076faaae-61ae-4733-8f7f-16966871ef2d}" done="1">
    <x18tc:text xml:space="preserve">falta DNI</x18tc:text>
  </x18tc:threadedComment>
  <x18tc:threadedComment ref="K784" dT="2026-06-24T15:52:32.00" personId="{d8e4f5ad-b65d-4160-a56f-197530fb7eb1}" id="{95db7132-ccbd-4ca5-9dfc-fb63f8ba0395}" done="0">
    <x18tc:text xml:space="preserve">pago en oficina</x18tc:text>
  </x18tc:threadedComment>
  <x18tc:threadedComment ref="K784" dT="2026-06-24T16:29:22.00" personId="{d8e4f5ad-b65d-4160-a56f-197530fb7eb1}" id="{566ca68e-67f8-4727-a063-0acdf65ddf8b}" parentId="{95db7132-ccbd-4ca5-9dfc-fb63f8ba0395}">
    <x18tc:text xml:space="preserve">https://drive.google.com/file/d/1Q6HR9NC3O3VHqpLcZu5jR2QqIUDFEGMk/view?usp=drive_link</x18tc:text>
    <x18tc:extLst>
      <ext uri="{F7C98A9C-CBB3-438F-8F68-D28B6AF4A901}">
        <xltc2:checksum/>
        <xltc2:hyperlink startIndex="0" length="85" url="https://drive.google.com/file/d/1Q6HR9NC3O3VHqpLcZu5jR2QqIUDFEGMk/view?usp=drive_link"/>
      </ext>
    </x18tc:extLst>
  </x18tc:threadedComment>
  <x18tc:threadedComment ref="J197" dT="2025-08-27T22:51:53.00" personId="{a5d43f6d-3c72-4414-b012-8f52ef50acc4}" id="{829ffc84-bbf8-4b54-8f88-97575816bb18}" done="0">
    <x18tc:text xml:space="preserve">https://drive.google.com/file/d/1objj9pnL5jXTNqAhSHneJ1_u7lcGGhX5/view?usp=drive_link</x18tc:text>
    <x18tc:extLst>
      <ext uri="{F7C98A9C-CBB3-438F-8F68-D28B6AF4A901}">
        <xltc2:checksum/>
        <xltc2:hyperlink startIndex="0" length="85" url="https://drive.google.com/file/d/1objj9pnL5jXTNqAhSHneJ1_u7lcGGhX5/view?usp=drive_link"/>
      </ext>
    </x18tc:extLst>
  </x18tc:threadedComment>
  <x18tc:threadedComment ref="L114" dT="2025-08-07T17:32:19.00" personId="{d8e4f5ad-b65d-4160-a56f-197530fb7eb1}" id="{5d594599-b91a-4d92-b3ef-ae712f175eaa}" done="0">
    <x18tc:text xml:space="preserve">https://drive.google.com/file/d/1ivWiJofVYYdLpeGiKsv49x6rZTOwNbTX/view?usp=drive_link</x18tc:text>
    <x18tc:extLst>
      <ext uri="{F7C98A9C-CBB3-438F-8F68-D28B6AF4A901}">
        <xltc2:checksum/>
        <xltc2:hyperlink startIndex="0" length="85" url="https://drive.google.com/file/d/1ivWiJofVYYdLpeGiKsv49x6rZTOwNbTX/view?usp=drive_link"/>
      </ext>
    </x18tc:extLst>
  </x18tc:threadedComment>
  <x18tc:threadedComment ref="L114" dT="2025-08-07T17:32:34.00" personId="{d8e4f5ad-b65d-4160-a56f-197530fb7eb1}" id="{2607c2f2-a918-42f2-96f3-3aa00ee8d121}" parentId="{5d594599-b91a-4d92-b3ef-ae712f175eaa}">
    <x18tc:text xml:space="preserve">https://drive.google.com/file/d/1f0mq6r3_EMoLXrl_hvsZj_4fgK9WTJFe/view?usp=drive_link</x18tc:text>
    <x18tc:extLst>
      <ext uri="{F7C98A9C-CBB3-438F-8F68-D28B6AF4A901}">
        <xltc2:checksum/>
        <xltc2:hyperlink startIndex="0" length="85" url="https://drive.google.com/file/d/1f0mq6r3_EMoLXrl_hvsZj_4fgK9WTJFe/view?usp=drive_link"/>
      </ext>
    </x18tc:extLst>
  </x18tc:threadedComment>
  <x18tc:threadedComment ref="N197" dT="2025-08-27T22:52:14.00" personId="{a5d43f6d-3c72-4414-b012-8f52ef50acc4}" id="{3758b7a3-b3ca-4ce7-8192-611001817ebc}" done="0">
    <x18tc:text xml:space="preserve">+15 envio</x18tc:text>
  </x18tc:threadedComment>
  <x18tc:threadedComment ref="C79" dT="2025-05-31T19:43:52.00" personId="{4df2d6c4-e43e-4f2e-b623-d90f458472ff}" id="{ae33891a-a401-4ab1-950b-e5b5923108c4}" done="0">
    <x18tc:text xml:space="preserve">https://www.ebay.com/itm/297272518971?_skw=scar+18&amp;itmmeta=01JWKXTSVBXHEPEB3E2YZKVNQA&amp;hash=item4536d2a93b%3Ag%3Ad8EAAeSw0c5oN3l3&amp;itmprp=enc%3AAQAKAAAA4FkggFvd1GGDu0w3yXCmi1eioiyqntLV3fM%2FU40UaKWvFDhfhacCpnory7joP%2BRTgG8MlJDPIQWV4dWbys4WpcRvdkrvZ2nBwBQFaIB851H2GCkXsIK6i2m0lr%2Fh9oplfGPXE%2Fu0A81Z44BBkCgaEV0OL6qafl2L8GPtI0uUX1DfCkm8rPukVNpbjcTtAPN4XRoMo6mPQNHUZr0z%2Ft1kf3kV1q%2Fi%2FgZS9Kg6V5RO%2B74lGq1TZeqb3rO432hTltxRqzHhbrngYtjjmBYPm9Hib%2BGEhOUuBjHCCBh07kisqNpv%7Ctkp%3ABk9SR-6d6_3kZQ&amp;LH_ItemCondition=1000</x18tc:text>
    <x18tc:extLst>
      <ext uri="{F7C98A9C-CBB3-438F-8F68-D28B6AF4A901}">
        <xltc2:checksum/>
        <xltc2:hyperlink startIndex="0" length="513" url="https://www.ebay.com/itm/297272518971?_skw=scar+18&amp;itmmeta=01JWKXTSVBXHEPEB3E2YZKVNQA&amp;hash=item4536d2a93b%3Ag%3Ad8EAAeSw0c5oN3l3&amp;itmprp=enc%3AAQAKAAAA4FkggFvd1GGDu0w3yXCmi1eioiyqntLV3fM%2FU40UaKWvFDhfhacCpnory7joP%2BRTgG8MlJDPIQWV4dWbys4WpcRvdkrvZ2nBwBQFaIB851H2GCkXsIK6i2m0lr%2Fh9oplfGPXE%2Fu0A81Z44BBkCgaEV0OL6qafl2L8GPtI0uUX1DfCkm8rPukVNpbjcTtAPN4XRoMo6mPQNHUZr0z%2Ft1kf3kV1q%2Fi%2FgZS9Kg6V5RO%2B74lGq1TZeqb3rO432hTltxRqzHhbrngYtjjmBYPm9Hib%2BGEhOUuBjHCCBh07kisqNpv%7Ctkp%3ABk9SR-6d6_3kZQ&amp;LH_ItemCondition=1000"/>
      </ext>
    </x18tc:extLst>
  </x18tc:threadedComment>
  <x18tc:threadedComment ref="J702" dT="2026-04-25T22:46:53.00" personId="{4df2d6c4-e43e-4f2e-b623-d90f458472ff}" id="{f21d2b7f-12e8-4c44-9c16-08f0888ae9c7}" done="0">
    <x18tc:text xml:space="preserve">https://drive.google.com/file/d/1s-sA6TEMU_xQlF4QA4eu5M9segzDbDzN/view?usp=drive_link</x18tc:text>
    <x18tc:extLst>
      <ext uri="{F7C98A9C-CBB3-438F-8F68-D28B6AF4A901}">
        <xltc2:checksum/>
        <xltc2:hyperlink startIndex="0" length="85" url="https://drive.google.com/file/d/1s-sA6TEMU_xQlF4QA4eu5M9segzDbDzN/view?usp=drive_link"/>
      </ext>
    </x18tc:extLst>
  </x18tc:threadedComment>
  <x18tc:threadedComment ref="J694" dT="2026-04-24T19:54:22.00" personId="{80195d68-4e9b-4dc7-a031-ca5391c97d0f}" id="{b8bbf0e1-87af-4014-bf02-7dc7f1cd6ada}" done="0">
    <x18tc:text xml:space="preserve">https://drive.google.com/file/d/1oDIoQIQ9aZUHSEhZoHt-Pxm0VtV4KAzz/view?usp=drive_link</x18tc:text>
    <x18tc:extLst>
      <ext uri="{F7C98A9C-CBB3-438F-8F68-D28B6AF4A901}">
        <xltc2:checksum/>
        <xltc2:hyperlink startIndex="0" length="85" url="https://drive.google.com/file/d/1oDIoQIQ9aZUHSEhZoHt-Pxm0VtV4KAzz/view?usp=drive_link"/>
      </ext>
    </x18tc:extLst>
  </x18tc:threadedComment>
  <x18tc:threadedComment ref="J706" dT="2026-04-25T22:46:11.00" personId="{4df2d6c4-e43e-4f2e-b623-d90f458472ff}" id="{98048901-959d-4968-a768-b9dd6f5cd66c}" done="0">
    <x18tc:text xml:space="preserve">https://drive.google.com/file/d/1Uc7hDlNCvo4RqCmLHsYYEJll_d_uhXfY/view?usp=drive_link</x18tc:text>
    <x18tc:extLst>
      <ext uri="{F7C98A9C-CBB3-438F-8F68-D28B6AF4A901}">
        <xltc2:checksum/>
        <xltc2:hyperlink startIndex="0" length="85" url="https://drive.google.com/file/d/1Uc7hDlNCvo4RqCmLHsYYEJll_d_uhXfY/view?usp=drive_link"/>
      </ext>
    </x18tc:extLst>
  </x18tc:threadedComment>
  <x18tc:threadedComment ref="J705" dT="2026-04-24T19:53:36.00" personId="{80195d68-4e9b-4dc7-a031-ca5391c97d0f}" id="{faaf2de4-1697-4977-86eb-cf99a4ae9f28}" done="0">
    <x18tc:text xml:space="preserve">https://drive.google.com/file/d/1BRs44uchTTdhdmCFCpMB7yvFv-DjJqAO/view?usp=drive_link</x18tc:text>
    <x18tc:extLst>
      <ext uri="{F7C98A9C-CBB3-438F-8F68-D28B6AF4A901}">
        <xltc2:checksum/>
        <xltc2:hyperlink startIndex="0" length="85" url="https://drive.google.com/file/d/1BRs44uchTTdhdmCFCpMB7yvFv-DjJqAO/view?usp=drive_link"/>
      </ext>
    </x18tc:extLst>
  </x18tc:threadedComment>
  <x18tc:threadedComment ref="F479" dT="2026-01-13T16:52:24.00" personId="{2ddfa542-8116-4937-a057-08470d7abaab}" id="{2015285f-71f5-4699-9c81-607582c85873}" done="0">
    <x18tc:text xml:space="preserve">Procesando orden</x18tc:text>
  </x18tc:threadedComment>
  <x18tc:threadedComment ref="J693" dT="2026-04-24T19:55:23.00" personId="{80195d68-4e9b-4dc7-a031-ca5391c97d0f}" id="{436114c8-35a8-4ad4-b519-7cdb81f2ac54}" done="0">
    <x18tc:text xml:space="preserve">https://drive.google.com/file/d/1FJf67Wu22HFknfTtQRWVJ1h7p3o5DaYV/view?usp=drive_link</x18tc:text>
    <x18tc:extLst>
      <ext uri="{F7C98A9C-CBB3-438F-8F68-D28B6AF4A901}">
        <xltc2:checksum/>
        <xltc2:hyperlink startIndex="0" length="85" url="https://drive.google.com/file/d/1FJf67Wu22HFknfTtQRWVJ1h7p3o5DaYV/view?usp=drive_link"/>
      </ext>
    </x18tc:extLst>
  </x18tc:threadedComment>
  <x18tc:threadedComment ref="K338" dT="2025-12-16T17:20:35.00" personId="{a5d43f6d-3c72-4414-b012-8f52ef50acc4}" id="{42bb63c5-acba-4dd1-9712-e0ecb52864ad}" done="0">
    <x18tc:text xml:space="preserve">https://drive.google.com/file/d/1jN6NB9A2ZgFD92jW_5VWMYwefP9bEqw8/view?usp=drive_link</x18tc:text>
    <x18tc:extLst>
      <ext uri="{F7C98A9C-CBB3-438F-8F68-D28B6AF4A901}">
        <xltc2:checksum/>
        <xltc2:hyperlink startIndex="0" length="85" url="https://drive.google.com/file/d/1jN6NB9A2ZgFD92jW_5VWMYwefP9bEqw8/view?usp=drive_link"/>
      </ext>
    </x18tc:extLst>
  </x18tc:threadedComment>
  <x18tc:threadedComment ref="J646" dT="2026-03-30T22:34:02.00" personId="{d8e4f5ad-b65d-4160-a56f-197530fb7eb1}" id="{4e4cc42b-43e7-46da-b30b-2f2c1e01648c}" done="0">
    <x18tc:text xml:space="preserve">https://drive.google.com/file/d/1Bzec0OyceN2jhiOrX3whxfG_b_FqsVTF/view?usp=drive_link</x18tc:text>
    <x18tc:extLst>
      <ext uri="{F7C98A9C-CBB3-438F-8F68-D28B6AF4A901}">
        <xltc2:checksum/>
        <xltc2:hyperlink startIndex="0" length="85" url="https://drive.google.com/file/d/1Bzec0OyceN2jhiOrX3whxfG_b_FqsVTF/view?usp=drive_link"/>
      </ext>
    </x18tc:extLst>
  </x18tc:threadedComment>
  <x18tc:threadedComment ref="J646" dT="2026-04-30T16:12:06.00" personId="{d8e4f5ad-b65d-4160-a56f-197530fb7eb1}" id="{79b3babb-ecf1-4ce7-84dd-64e1a28731b5}" parentId="{4e4cc42b-43e7-46da-b30b-2f2c1e01648c}">
    <x18tc:text xml:space="preserve">https://drive.google.com/file/d/1_FdF2SjMiDWc9z2pZHmA7_SMInmZKU5a/view?usp=drive_link</x18tc:text>
    <x18tc:extLst>
      <ext uri="{F7C98A9C-CBB3-438F-8F68-D28B6AF4A901}">
        <xltc2:checksum/>
        <xltc2:hyperlink startIndex="0" length="85" url="https://drive.google.com/file/d/1_FdF2SjMiDWc9z2pZHmA7_SMInmZKU5a/view?usp=drive_link"/>
      </ext>
    </x18tc:extLst>
  </x18tc:threadedComment>
  <x18tc:threadedComment ref="C139" dT="2025-07-22T03:58:04.00" personId="{a5d43f6d-3c72-4414-b012-8f52ef50acc4}" id="{41a0b707-c76f-4dfe-ba95-23a1c4aa696e}" done="0">
    <x18tc:text xml:space="preserve">https://www.costco.com/msi-crosshair-18-hx-ai-18-gaming-laptop---intel-core-ultra-9-275hx----nvidia-rtx-5070---2560x1600---32gb-ram---1tb-ssd---windows-11-home.product.4000374413.html</x18tc:text>
    <x18tc:extLst>
      <ext uri="{F7C98A9C-CBB3-438F-8F68-D28B6AF4A901}">
        <xltc2:checksum/>
        <xltc2:hyperlink startIndex="0" length="183" url="https://www.costco.com/msi-crosshair-18-hx-ai-18-gaming-laptop---intel-core-ultra-9-275hx----nvidia-rtx-5070---2560x1600---32gb-ram---1tb-ssd---windows-11-home.product.4000374413.html"/>
      </ext>
    </x18tc:extLst>
  </x18tc:threadedComment>
  <x18tc:threadedComment ref="AF203" dT="2025-09-23T15:59:16.00" personId="{2ddfa542-8116-4937-a057-08470d7abaab}" id="{13aab4d5-38f4-45a0-8e3b-bb77cd16a1e9}" done="1">
    <x18tc:text xml:space="preserve">verificar el courier</x18tc:text>
  </x18tc:threadedComment>
  <x18tc:threadedComment ref="J751" dT="2026-05-21T19:54:18.00" personId="{80195d68-4e9b-4dc7-a031-ca5391c97d0f}" id="{71f57b7c-3e32-4855-aba3-d9acf8d2be0a}" done="0">
    <x18tc:text xml:space="preserve">https://drive.google.com/file/d/18jBpEmnHZwIwive37JwXp22B06Atn2pr/view?usp=drive_link</x18tc:text>
    <x18tc:extLst>
      <ext uri="{F7C98A9C-CBB3-438F-8F68-D28B6AF4A901}">
        <xltc2:checksum/>
        <xltc2:hyperlink startIndex="0" length="85" url="https://drive.google.com/file/d/18jBpEmnHZwIwive37JwXp22B06Atn2pr/view?usp=drive_link"/>
      </ext>
    </x18tc:extLst>
  </x18tc:threadedComment>
  <x18tc:threadedComment ref="J303" dT="2025-11-13T22:29:31.00" personId="{a5d43f6d-3c72-4414-b012-8f52ef50acc4}" id="{030d1c4f-c245-4e4b-a520-0bebb8e5d774}" done="0">
    <x18tc:text xml:space="preserve">https://drive.google.com/file/d/1HPFK0iabLRXNxm-Gqb37ypU0mXNSG2Fa/view?usp=drive_link</x18tc:text>
    <x18tc:extLst>
      <ext uri="{F7C98A9C-CBB3-438F-8F68-D28B6AF4A901}">
        <xltc2:checksum/>
        <xltc2:hyperlink startIndex="0" length="85" url="https://drive.google.com/file/d/1HPFK0iabLRXNxm-Gqb37ypU0mXNSG2Fa/view?usp=drive_link"/>
      </ext>
    </x18tc:extLst>
  </x18tc:threadedComment>
  <x18tc:threadedComment ref="AF202" dT="2025-09-23T15:47:31.00" personId="{2ddfa542-8116-4937-a057-08470d7abaab}" id="{a11fa694-a7d2-4bd4-a7db-c14cf28ce369}" done="1">
    <x18tc:text xml:space="preserve">solo precio</x18tc:text>
  </x18tc:threadedComment>
  <x18tc:threadedComment ref="C89" dT="2025-06-07T01:51:50.00" personId="{4df2d6c4-e43e-4f2e-b623-d90f458472ff}" id="{64c55d3b-18f4-43d7-b396-857b9a17a8b5}" done="0">
    <x18tc:text xml:space="preserve">https://www.ebay.com/itm/127152151087?_skw=scar+5090&amp;itmmeta=01JX3SD8YA0Q47KA4G0CCX6Q0T&amp;hash=item1d9adbda2f:g:ru0AAeSw6ztoPoN-&amp;itmprp=enc%3AAQAKAAAA4FkggFvd1GGDu0w3yXCmi1czyJavO2hzpitPXQkjH0K5LhR8%2B8G4BSMmGLpnvX%2FMwBUbAaMQqEvJFzEKzW6tUxDIdDgA4DNQQuvuY%2FfXy92N8Vd1WI87B6mW6pukl5%2BmYddz2%2Fm2ck7%2BREc42ABEYS9zdNYbS0iC8t4IfV7igepdLr6nMSuOcOr9Bc7YOS5bx4v954%2Fq1wbF2N9yv2lbJhqLDf6zceDrP%2BQPF0D14LRVi9ljBmMSgaVz3dLbu3a0KP3aRkD7KAR1gvEGs%2B0izvM366D%2FyzrwVU9hpooUrxO7%7Ctkp%3ABk9SR6aPtfnoZQ</x18tc:text>
    <x18tc:extLst>
      <ext uri="{F7C98A9C-CBB3-438F-8F68-D28B6AF4A901}">
        <xltc2:checksum/>
        <xltc2:hyperlink startIndex="0" length="491" url="https://www.ebay.com/itm/127152151087?_skw=scar+5090&amp;itmmeta=01JX3SD8YA0Q47KA4G0CCX6Q0T&amp;hash=item1d9adbda2f:g:ru0AAeSw6ztoPoN-&amp;itmprp=enc%3AAQAKAAAA4FkggFvd1GGDu0w3yXCmi1czyJavO2hzpitPXQkjH0K5LhR8%2B8G4BSMmGLpnvX%2FMwBUbAaMQqEvJFzEKzW6tUxDIdDgA4DNQQuvuY%2FfXy92N8Vd1WI87B6mW6pukl5%2BmYddz2%2Fm2ck7%2BREc42ABEYS9zdNYbS0iC8t4IfV7igepdLr6nMSuOcOr9Bc7YOS5bx4v954%2Fq1wbF2N9yv2lbJhqLDf6zceDrP%2BQPF0D14LRVi9ljBmMSgaVz3dLbu3a0KP3aRkD7KAR1gvEGs%2B0izvM366D%2FyzrwVU9hpooUrxO7%7Ctkp%3ABk9SR6aPtfnoZQ"/>
      </ext>
    </x18tc:extLst>
  </x18tc:threadedComment>
  <x18tc:threadedComment ref="C781" dT="2026-06-08T20:40:34.00" personId="{4df2d6c4-e43e-4f2e-b623-d90f458472ff}" id="{50b3a1d5-fbdc-4a30-a698-23c27dbdf0d6}" done="0">
    <x18tc:text xml:space="preserve">https://www.amazon.com/ASUS-Strix-Gaming-Laptop-Nebula/dp/B0DW1WX8H2/?th=1</x18tc:text>
    <x18tc:extLst>
      <ext uri="{F7C98A9C-CBB3-438F-8F68-D28B6AF4A901}">
        <xltc2:checksum/>
        <xltc2:hyperlink startIndex="0" length="74" url="https://www.amazon.com/ASUS-Strix-Gaming-Laptop-Nebula/dp/B0DW1WX8H2/?th=1"/>
      </ext>
    </x18tc:extLst>
  </x18tc:threadedComment>
  <x18tc:threadedComment ref="C90" dT="2025-06-07T01:52:33.00" personId="{4df2d6c4-e43e-4f2e-b623-d90f458472ff}" id="{4d15e855-f0ed-4c85-b4ea-8f7d95eef75e}" done="0">
    <x18tc:text xml:space="preserve">https://www.amazon.com/-/es/port%C3%A1til-velocidades-estudiantes-profesionales-MU-PG2T0B/dp/B0CHFS9K14/ref=sr_1_3?crid=14T8BOU876WXF&amp;dib=eyJ2IjoiMSJ9._60iMb-LtdVc2nSTmdif5sX626g3vMPbz_qo4ZsVuhS30klWoXYh0KAsbH33eS0gf-xxqWBnbTnpuq6cVnCtGgajbfpVyANMnCkSGi-8Sms-n7P-sBgkneQBDPb2LPaRYLoLY7Yq7RihbONUQQJRX0JCIdjsPepb88t6GiTmHPEh7DJKepDg4-INrRFO-V-F_16ZRo9M5dk0u7656ctJVMnSam3B7h56cI2CIgzuaFQ.xmC4M8YfnJ33Y2p0gP1qUUTNOvucfPdHCzqOd5bdSTA&amp;dib_tag=se&amp;keywords=Samsung%2BT9%2BSSD%2Bport%C3%A1til%2Bde%2B2%2BTB&amp;qid=1749244979&amp;sprefix=samsung%2Bt9%2Bssd%2Bport%C3%A1til%2Bde%2B2%2Btb%2Caps%2C418&amp;sr=8-3&amp;th=1</x18tc:text>
    <x18tc:extLst>
      <ext uri="{F7C98A9C-CBB3-438F-8F68-D28B6AF4A901}">
        <xltc2:checksum/>
        <xltc2:hyperlink startIndex="0" length="595" url="https://www.amazon.com/-/es/port%C3%A1til-velocidades-estudiantes-profesionales-MU-PG2T0B/dp/B0CHFS9K14/ref=sr_1_3?crid=14T8BOU876WXF&amp;dib=eyJ2IjoiMSJ9._60iMb-LtdVc2nSTmdif5sX626g3vMPbz_qo4ZsVuhS30klWoXYh0KAsbH33eS0gf-xxqWBnbTnpuq6cVnCtGgajbfpVyANMnCkSGi-8Sms-n7P-sBgkneQBDPb2LPaRYLoLY7Yq7RihbONUQQJRX0JCIdjsPepb88t6GiTmHPEh7DJKepDg4-INrRFO-V-F_16ZRo9M5dk0u7656ctJVMnSam3B7h56cI2CIgzuaFQ.xmC4M8YfnJ33Y2p0gP1qUUTNOvucfPdHCzqOd5bdSTA&amp;dib_tag=se&amp;keywords=Samsung%2BT9%2BSSD%2Bport%C3%A1til%2Bde%2B2%2BTB&amp;qid=1749244979&amp;sprefix=samsung%2Bt9%2Bssd%2Bport%C3%A1til%2Bde%2B2%2Btb%2Caps%2C418&amp;sr=8-3&amp;th=1"/>
      </ext>
    </x18tc:extLst>
  </x18tc:threadedComment>
  <x18tc:threadedComment ref="K661" dT="2026-05-13T00:06:29.00" personId="{f9b224d0-ee33-4499-ae47-db5bcd2d0435}" id="{43862c36-d305-4416-ba44-e29b35405822}" done="0">
    <x18tc:text xml:space="preserve">https://drive.google.com/file/d/1MURHtPXqGkig1pT1omBuIys-151KNw6Q/view?usp=drive_link</x18tc:text>
    <x18tc:extLst>
      <ext uri="{F7C98A9C-CBB3-438F-8F68-D28B6AF4A901}">
        <xltc2:checksum/>
        <xltc2:hyperlink startIndex="0" length="85" url="https://drive.google.com/file/d/1MURHtPXqGkig1pT1omBuIys-151KNw6Q/view?usp=drive_link"/>
      </ext>
    </x18tc:extLst>
  </x18tc:threadedComment>
  <x18tc:threadedComment ref="C91" dT="2025-06-07T01:52:52.00" personId="{4df2d6c4-e43e-4f2e-b623-d90f458472ff}" id="{cb61112f-33e0-4a17-b52a-2c80da076419}" done="0">
    <x18tc:text xml:space="preserve">https://www.amazon.com/-/es/Apple-Cable-magn%C3%A9tico-carga-r%C3%A1pida/dp/B0CHX5CS34/ref=sr_1_4?crid=E3KI3SKIV3MZ&amp;dib=eyJ2IjoiMSJ9.9AMwZiE9j-E7soHIgFaW2ERc0edxoPGgeLkAQBEA67Nhbc_7FHXBSzHPTpNnK_2ZdrRk6xgmx9-9mnLhqSKAPdnjEju83SMUZEcPDI8Ko2eyQO3UfB7w48rCGUyBPhYbSxzaLYzTBD2WRsiARgOznYIuHJ0e4zVtAxqrgPEi1B--uAZcJd-REAQseWK57Ieoph8Ad4vxBzjz88ClWNxIANG18NGsL1ENECU0mQaKpt8.6DRuKxZlQ6coczB7ao1bfKT5g2mMeeTzkRMO6mfuqdI&amp;dib_tag=se&amp;keywords=Apple%2BCable%2Bmagn%C3%A9tico%2Bde%2Bcargador%2Br%C3%A1pido%2Ba%2BUSB-C%2B(1%2Bm)&amp;qid=1749246895&amp;sprefix=apple%2Bcable%2Bmagn%C3%A9tico%2Bde%2Bcargador%2Br%C3%A1pido%2Ba%2Busb-c%2B1%2Bm%2B%2Caps%2C181&amp;sr=8-4&amp;th=1</x18tc:text>
    <x18tc:extLst>
      <ext uri="{F7C98A9C-CBB3-438F-8F68-D28B6AF4A901}">
        <xltc2:checksum/>
        <xltc2:hyperlink startIndex="0" length="646" url="https://www.amazon.com/-/es/Apple-Cable-magn%C3%A9tico-carga-r%C3%A1pida/dp/B0CHX5CS34/ref=sr_1_4?crid=E3KI3SKIV3MZ&amp;dib=eyJ2IjoiMSJ9.9AMwZiE9j-E7soHIgFaW2ERc0edxoPGgeLkAQBEA67Nhbc_7FHXBSzHPTpNnK_2ZdrRk6xgmx9-9mnLhqSKAPdnjEju83SMUZEcPDI8Ko2eyQO3UfB7w48rCGUyBPhYbSxzaLYzTBD2WRsiARgOznYIuHJ0e4zVtAxqrgPEi1B--uAZcJd-REAQseWK57Ieoph8Ad4vxBzjz88ClWNxIANG18NGsL1ENECU0mQaKpt8.6DRuKxZlQ6coczB7ao1bfKT5g2mMeeTzkRMO6mfuqdI&amp;dib_tag=se&amp;keywords=Apple%2BCable%2Bmagn%C3%A9tico%2Bde%2Bcargador%2Br%C3%A1pido%2Ba%2BUSB-C%2B(1%2Bm)&amp;qid=1749246895&amp;sprefix=apple%2Bcable%2Bmagn%C3%A9tico%2Bde%2Bcargador%2Br%C3%A1pido%2Ba%2Busb-c%2B1%2Bm%2B%2Caps%2C181&amp;sr=8-4&amp;th=1"/>
      </ext>
    </x18tc:extLst>
  </x18tc:threadedComment>
  <x18tc:threadedComment ref="AF717" dT="2026-05-25T20:13:23.00" personId="{2ddfa542-8116-4937-a057-08470d7abaab}" id="{765e443b-72a3-40b9-a39f-6f09a434d53d}" done="0">
    <x18tc:text xml:space="preserve">Pago final, Fixit, excedentes</x18tc:text>
  </x18tc:threadedComment>
  <x18tc:threadedComment ref="J741" dT="2026-05-12T23:28:53.00" personId="{f9b224d0-ee33-4499-ae47-db5bcd2d0435}" id="{9784d1c9-529f-479e-bfe2-a8a78aa2d301}" done="0">
    <x18tc:text xml:space="preserve">https://drive.google.com/file/d/19tl1wE66pimfuZctpR7pDezPOk01rs57/view?usp=drive_link</x18tc:text>
    <x18tc:extLst>
      <ext uri="{F7C98A9C-CBB3-438F-8F68-D28B6AF4A901}">
        <xltc2:checksum/>
        <xltc2:hyperlink startIndex="0" length="85" url="https://drive.google.com/file/d/19tl1wE66pimfuZctpR7pDezPOk01rs57/view?usp=drive_link"/>
      </ext>
    </x18tc:extLst>
  </x18tc:threadedComment>
  <x18tc:threadedComment ref="K386" dT="2025-12-17T21:22:32.00" personId="{d8e4f5ad-b65d-4160-a56f-197530fb7eb1}" id="{59bb5f55-8f2f-4668-b618-4343bb73ffa2}" done="0">
    <x18tc:text xml:space="preserve">https://drive.google.com/file/d/1mB3uIHZ0A3I1sdm9ccSgTKUAyEAWBXOU/view?usp=drive_link</x18tc:text>
    <x18tc:extLst>
      <ext uri="{F7C98A9C-CBB3-438F-8F68-D28B6AF4A901}">
        <xltc2:checksum/>
        <xltc2:hyperlink startIndex="0" length="85" url="https://drive.google.com/file/d/1mB3uIHZ0A3I1sdm9ccSgTKUAyEAWBXOU/view?usp=drive_link"/>
      </ext>
    </x18tc:extLst>
  </x18tc:threadedComment>
  <x18tc:threadedComment ref="C92" dT="2025-06-07T01:53:31.00" personId="{4df2d6c4-e43e-4f2e-b623-d90f458472ff}" id="{afdd53e4-8f04-4144-9643-cdaa2c9ccffc}" done="0">
    <x18tc:text xml:space="preserve">https://www.amazon.com/UGREEN-Nexode-Pro-Cargador-Pixelbook/dp/B0CCVQB7MY/ref=sxin_16_pa_sp_search_thematic_sspa?content-id=amzn1.sym.2da95b6c-f59a-4699-bc43-d0ff036c6388%3Aamzn1.sym.2da95b6c-f59a-4699-bc43-d0ff036c6388&amp;crid=VI08MHY3XJBJ&amp;cv_ct_cx=100w+type+c+charger&amp;keywords=cargador+100w+tipo+c&amp;pd_rd_i=B0CCVQB7MY&amp;pd_rd_r=cfa4a3f9-5289-4e85-a446-dcb234b70a0a&amp;pd_rd_w=tK4wc&amp;pd_rd_wg=RJGAE&amp;pf_rd_p=2da95b6c-f59a-4699-bc43-d0ff036c6388&amp;pf_rd_r=9C47MZXGSR41KD2036DM&amp;qid=1749248426&amp;s=electronics&amp;sbo=9ZOMT9Jm0JH%2Ft%2BWi68iDSA%3D%3D&amp;sprefix=cargador+100%2Celectronics%2C227&amp;sr=1-3-6024b2a3-78e4-4fed-8fed-e1613be3bcce-spons&amp;sp_csd=d2lkZ2V0TmFtZT1zcF9zZWFyY2hfdGhlbWF0aWM&amp;psc=1</x18tc:text>
    <x18tc:extLst>
      <ext uri="{F7C98A9C-CBB3-438F-8F68-D28B6AF4A901}">
        <xltc2:checksum/>
        <xltc2:hyperlink startIndex="0" length="673" url="https://www.amazon.com/UGREEN-Nexode-Pro-Cargador-Pixelbook/dp/B0CCVQB7MY/ref=sxin_16_pa_sp_search_thematic_sspa?content-id=amzn1.sym.2da95b6c-f59a-4699-bc43-d0ff036c6388%3Aamzn1.sym.2da95b6c-f59a-4699-bc43-d0ff036c6388&amp;crid=VI08MHY3XJBJ&amp;cv_ct_cx=100w+type+c+charger&amp;keywords=cargador+100w+tipo+c&amp;pd_rd_i=B0CCVQB7MY&amp;pd_rd_r=cfa4a3f9-5289-4e85-a446-dcb234b70a0a&amp;pd_rd_w=tK4wc&amp;pd_rd_wg=RJGAE&amp;pf_rd_p=2da95b6c-f59a-4699-bc43-d0ff036c6388&amp;pf_rd_r=9C47MZXGSR41KD2036DM&amp;qid=1749248426&amp;s=electronics&amp;sbo=9ZOMT9Jm0JH%2Ft%2BWi68iDSA%3D%3D&amp;sprefix=cargador+100%2Celectronics%2C227&amp;sr=1-3-6024b2a3-78e4-4fed-8fed-e1613be3bcce-spons&amp;sp_csd=d2lkZ2V0TmFtZT1zcF9zZWFyY2hfdGhlbWF0aWM&amp;psc=1"/>
      </ext>
    </x18tc:extLst>
  </x18tc:threadedComment>
  <x18tc:threadedComment ref="C741" dT="2026-05-12T23:20:36.00" personId="{f9b224d0-ee33-4499-ae47-db5bcd2d0435}" id="{ebb77158-013c-4a66-bcfd-43d1028685a4}"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J813" dT="2026-07-01T19:19:48.00" personId="{f9b224d0-ee33-4499-ae47-db5bcd2d0435}" id="{1a554669-705c-4c43-a665-b5072b252ffe}" done="0">
    <x18tc:text xml:space="preserve">https://drive.google.com/file/d/1Fch9ln02wN9t2CJe3n6qmctytz00jt4W/view?usp=drive_link</x18tc:text>
    <x18tc:extLst>
      <ext uri="{F7C98A9C-CBB3-438F-8F68-D28B6AF4A901}">
        <xltc2:checksum/>
        <xltc2:hyperlink startIndex="0" length="85" url="https://drive.google.com/file/d/1Fch9ln02wN9t2CJe3n6qmctytz00jt4W/view?usp=drive_link"/>
      </ext>
    </x18tc:extLst>
  </x18tc:threadedComment>
  <x18tc:threadedComment ref="C813" dT="2026-07-01T19:16:23.00" personId="{f9b224d0-ee33-4499-ae47-db5bcd2d0435}" id="{f9b1f9cf-0ef9-4a27-91b3-1f1187eb2050}" done="0">
    <x18tc:text xml:space="preserve">https://eshop.asus.com/us/90nr0m53-m00910-rog-zephyrus-g14-2025.html?config=90NR0M53-M00910</x18tc:text>
    <x18tc:extLst>
      <ext uri="{F7C98A9C-CBB3-438F-8F68-D28B6AF4A901}">
        <xltc2:checksum/>
        <xltc2:hyperlink startIndex="0" length="91" url="https://eshop.asus.com/us/90nr0m53-m00910-rog-zephyrus-g14-2025.html?config=90NR0M53-M00910"/>
      </ext>
    </x18tc:extLst>
  </x18tc:threadedComment>
  <x18tc:threadedComment ref="M744" dT="2026-05-25T19:54:22.00" personId="{2ddfa542-8116-4937-a057-08470d7abaab}" id="{bc970ec3-7fb8-48c5-8e9e-de091d5e3025}" done="0">
    <x18tc:text xml:space="preserve">Descuento porque era un equipo que otro cliente lo canceló</x18tc:text>
  </x18tc:threadedComment>
  <x18tc:threadedComment ref="J754" dT="2026-05-21T19:49:42.00" personId="{80195d68-4e9b-4dc7-a031-ca5391c97d0f}" id="{84496164-1603-4b87-991a-88ead8185000}" done="0">
    <x18tc:text xml:space="preserve">https://drive.google.com/file/d/1-wS2xnb3JSDBA95oj81G1EJz2cUkjlt5/view?usp=drive_link</x18tc:text>
    <x18tc:extLst>
      <ext uri="{F7C98A9C-CBB3-438F-8F68-D28B6AF4A901}">
        <xltc2:checksum/>
        <xltc2:hyperlink startIndex="0" length="85" url="https://drive.google.com/file/d/1-wS2xnb3JSDBA95oj81G1EJz2cUkjlt5/view?usp=drive_link"/>
      </ext>
    </x18tc:extLst>
  </x18tc:threadedComment>
  <x18tc:threadedComment ref="AF695" dT="2026-04-26T20:50:55.00" personId="{2ddfa542-8116-4937-a057-08470d7abaab}" id="{6fc6c68a-b16d-484a-b885-a6eefda0ef14}" done="1">
    <x18tc:text xml:space="preserve">venta final, excedentes, fixit</x18tc:text>
  </x18tc:threadedComment>
  <x18tc:threadedComment ref="J29" dT="2025-05-23T17:17:55.00" personId="{d8e4f5ad-b65d-4160-a56f-197530fb7eb1}" id="{1fb47a21-5a3f-4da8-b5ea-e625545fca67}" done="0">
    <x18tc:text xml:space="preserve">https://drive.google.com/file/d/1hRNQq8CFCaYUzpdfRjaloAK4d8TfqphC/view?usp=drive_link</x18tc:text>
    <x18tc:extLst>
      <ext uri="{F7C98A9C-CBB3-438F-8F68-D28B6AF4A901}">
        <xltc2:checksum/>
        <xltc2:hyperlink startIndex="0" length="85" url="https://drive.google.com/file/d/1hRNQq8CFCaYUzpdfRjaloAK4d8TfqphC/view?usp=drive_link"/>
      </ext>
    </x18tc:extLst>
  </x18tc:threadedComment>
  <x18tc:threadedComment ref="O359" dT="2025-12-30T00:06:31.00" personId="{d8e4f5ad-b65d-4160-a56f-197530fb7eb1}" id="{720e3ffd-1eb7-42d8-9ed9-b2ffd2f972a0}" done="0">
    <x18tc:text xml:space="preserve">sin excedente</x18tc:text>
  </x18tc:threadedComment>
  <x18tc:threadedComment ref="J344" dT="2025-11-26T22:07:33.00" personId="{d8e4f5ad-b65d-4160-a56f-197530fb7eb1}" id="{d8f8d619-2447-4bb1-9eda-6020913ae505}" done="0">
    <x18tc:text xml:space="preserve">https://drive.google.com/file/d/1bf5TnbS2vnsEts_Sb-zhKjl8twWFYiLn/view?usp=drive_link</x18tc:text>
    <x18tc:extLst>
      <ext uri="{F7C98A9C-CBB3-438F-8F68-D28B6AF4A901}">
        <xltc2:checksum/>
        <xltc2:hyperlink startIndex="0" length="85" url="https://drive.google.com/file/d/1bf5TnbS2vnsEts_Sb-zhKjl8twWFYiLn/view?usp=drive_link"/>
      </ext>
    </x18tc:extLst>
  </x18tc:threadedComment>
  <x18tc:threadedComment ref="AF692" dT="2026-04-26T20:50:45.00" personId="{2ddfa542-8116-4937-a057-08470d7abaab}" id="{dec6ddfe-3379-40e2-a54d-1819d2f0c738}" done="1">
    <x18tc:text xml:space="preserve">venta final, excedentes, fixit</x18tc:text>
  </x18tc:threadedComment>
  <x18tc:threadedComment ref="L28" dT="2025-05-23T17:16:05.00" personId="{d8e4f5ad-b65d-4160-a56f-197530fb7eb1}" id="{cbf9c48d-b071-4965-b6c5-fc067f437c18}" done="0">
    <x18tc:text xml:space="preserve">https://drive.google.com/file/d/1T7_LxHtCZhlDqLA2e2jcY82PML4Tp5oB/view?usp=drive_link</x18tc:text>
    <x18tc:extLst>
      <ext uri="{F7C98A9C-CBB3-438F-8F68-D28B6AF4A901}">
        <xltc2:checksum/>
        <xltc2:hyperlink startIndex="0" length="85" url="https://drive.google.com/file/d/1T7_LxHtCZhlDqLA2e2jcY82PML4Tp5oB/view?usp=drive_link"/>
      </ext>
    </x18tc:extLst>
  </x18tc:threadedComment>
  <x18tc:threadedComment ref="J341" dT="2025-11-26T22:06:33.00" personId="{d8e4f5ad-b65d-4160-a56f-197530fb7eb1}" id="{30de5951-08f1-4b5e-bd4a-ac1ec14876b6}" done="0">
    <x18tc:text xml:space="preserve">https://drive.google.com/file/d/1WcCuNg0UvGVOpY9caEhfJC6Zu4OzETh_/view?usp=drive_link</x18tc:text>
    <x18tc:extLst>
      <ext uri="{F7C98A9C-CBB3-438F-8F68-D28B6AF4A901}">
        <xltc2:checksum/>
        <xltc2:hyperlink startIndex="0" length="85" url="https://drive.google.com/file/d/1WcCuNg0UvGVOpY9caEhfJC6Zu4OzETh_/view?usp=drive_link"/>
      </ext>
    </x18tc:extLst>
  </x18tc:threadedComment>
  <x18tc:threadedComment ref="J341" dT="2025-12-04T20:37:42.00" personId="{d8e4f5ad-b65d-4160-a56f-197530fb7eb1}" id="{40e037fb-e23a-4367-bf20-189823d0c4ce}" parentId="{30de5951-08f1-4b5e-bd4a-ac1ec14876b6}">
    <x18tc:text xml:space="preserve">https://drive.google.com/file/d/1X4eWynATNA1-qSPKtduOiltq4_OdqRaE/view?usp=drive_link</x18tc:text>
    <x18tc:extLst>
      <ext uri="{F7C98A9C-CBB3-438F-8F68-D28B6AF4A901}">
        <xltc2:checksum/>
        <xltc2:hyperlink startIndex="0" length="85" url="https://drive.google.com/file/d/1X4eWynATNA1-qSPKtduOiltq4_OdqRaE/view?usp=drive_link"/>
      </ext>
    </x18tc:extLst>
  </x18tc:threadedComment>
  <x18tc:threadedComment ref="J341" dT="2025-12-06T01:26:51.00" personId="{d8e4f5ad-b65d-4160-a56f-197530fb7eb1}" id="{0ad301a1-af30-4564-b063-cb448cd866a7}" parentId="{30de5951-08f1-4b5e-bd4a-ac1ec14876b6}">
    <x18tc:text xml:space="preserve">https://drive.google.com/file/d/1u8hnwcU6oi-cotnKN6NLDne0q3pCWS3Q/view?usp=drive_link</x18tc:text>
    <x18tc:extLst>
      <ext uri="{F7C98A9C-CBB3-438F-8F68-D28B6AF4A901}">
        <xltc2:checksum/>
        <xltc2:hyperlink startIndex="0" length="85" url="https://drive.google.com/file/d/1u8hnwcU6oi-cotnKN6NLDne0q3pCWS3Q/view?usp=drive_link"/>
      </ext>
    </x18tc:extLst>
  </x18tc:threadedComment>
  <x18tc:threadedComment ref="J341" dT="2025-12-11T14:48:10.00" personId="{d8e4f5ad-b65d-4160-a56f-197530fb7eb1}" id="{5afbaa52-990d-43da-9f19-43b52f3c6a6d}" parentId="{30de5951-08f1-4b5e-bd4a-ac1ec14876b6}">
    <x18tc:text xml:space="preserve">https://drive.google.com/file/d/1EDlgqzC-xQuF0xHtE5094K-ud5UHY9-k/view?usp=drive_link</x18tc:text>
    <x18tc:extLst>
      <ext uri="{F7C98A9C-CBB3-438F-8F68-D28B6AF4A901}">
        <xltc2:checksum/>
        <xltc2:hyperlink startIndex="0" length="85" url="https://drive.google.com/file/d/1EDlgqzC-xQuF0xHtE5094K-ud5UHY9-k/view?usp=drive_link"/>
      </ext>
    </x18tc:extLst>
  </x18tc:threadedComment>
  <x18tc:threadedComment ref="J341" dT="2025-12-11T14:48:34.00" personId="{d8e4f5ad-b65d-4160-a56f-197530fb7eb1}" id="{c9aa2e5a-45f1-410a-9599-eb26da26f3b7}" parentId="{30de5951-08f1-4b5e-bd4a-ac1ec14876b6}">
    <x18tc:text xml:space="preserve">https://drive.google.com/file/d/1FWFDGwPa2xTIkbXA1lxfxTgEdpcIcRse/view?usp=drive_link</x18tc:text>
    <x18tc:extLst>
      <ext uri="{F7C98A9C-CBB3-438F-8F68-D28B6AF4A901}">
        <xltc2:checksum/>
        <xltc2:hyperlink startIndex="0" length="85" url="https://drive.google.com/file/d/1FWFDGwPa2xTIkbXA1lxfxTgEdpcIcRse/view?usp=drive_link"/>
      </ext>
    </x18tc:extLst>
  </x18tc:threadedComment>
  <x18tc:threadedComment ref="AF699" dT="2026-04-26T20:51:07.00" personId="{2ddfa542-8116-4937-a057-08470d7abaab}" id="{e23ad44e-3662-46e4-8982-62c318a4c18d}" done="0">
    <x18tc:text xml:space="preserve">venta final, excedentes, fixit</x18tc:text>
  </x18tc:threadedComment>
  <x18tc:threadedComment ref="K407" dT="2025-12-30T01:13:44.00" personId="{d8e4f5ad-b65d-4160-a56f-197530fb7eb1}" id="{01d19e7a-6145-45d4-b8ab-5395c87fc4d0}" done="0">
    <x18tc:text xml:space="preserve">https://drive.google.com/file/d/1VMhB5YcN8cyq_hOMJKt2N3huhmxYU5Fb/view?usp=drive_link</x18tc:text>
    <x18tc:extLst>
      <ext uri="{F7C98A9C-CBB3-438F-8F68-D28B6AF4A901}">
        <xltc2:checksum/>
        <xltc2:hyperlink startIndex="0" length="85" url="https://drive.google.com/file/d/1VMhB5YcN8cyq_hOMJKt2N3huhmxYU5Fb/view?usp=drive_link"/>
      </ext>
    </x18tc:extLst>
  </x18tc:threadedComment>
  <x18tc:threadedComment ref="Q356" dT="2025-12-29T23:34:43.00" personId="{4df2d6c4-e43e-4f2e-b623-d90f458472ff}" id="{c70457d7-d202-48f7-a432-a7eb692d56db}" done="0">
    <x18tc:text xml:space="preserve">70 soles de su licencia de office esta en la fila de josmel</x18tc:text>
  </x18tc:threadedComment>
  <x18tc:threadedComment ref="K294" dT="2025-11-26T22:10:21.00" personId="{4df2d6c4-e43e-4f2e-b623-d90f458472ff}" id="{69ad8135-92cc-45c9-ac73-62e233119cab}" done="0">
    <x18tc:text xml:space="preserve">https://drive.google.com/file/d/140nFV_dIk26IGP4C9eiAgFSS_SWJNA4D/view?usp=drive_link</x18tc:text>
    <x18tc:extLst>
      <ext uri="{F7C98A9C-CBB3-438F-8F68-D28B6AF4A901}">
        <xltc2:checksum/>
        <xltc2:hyperlink startIndex="0" length="85" url="https://drive.google.com/file/d/140nFV_dIk26IGP4C9eiAgFSS_SWJNA4D/view?usp=drive_link"/>
      </ext>
    </x18tc:extLst>
  </x18tc:threadedComment>
  <x18tc:threadedComment ref="C733" dT="2026-05-05T00:00:39.00" personId="{f9b224d0-ee33-4499-ae47-db5bcd2d0435}" id="{573d7c87-77a9-4f2c-a706-3f57557b5b90}" done="0">
    <x18tc:text xml:space="preserve">https://www.newegg.com/lenovo-legion-5i-15-1-geforce-rtx-5060-laptop-gpu-intel-core-i7-14700hx-wqxga-16gb-memory-512gb-ssd-m-2-2242-pcie-4-0x4-nvme-ssd/p/N82E16834840673</x18tc:text>
    <x18tc:extLst>
      <ext uri="{F7C98A9C-CBB3-438F-8F68-D28B6AF4A901}">
        <xltc2:checksum/>
        <xltc2:hyperlink startIndex="0" length="169" url="https://www.newegg.com/lenovo-legion-5i-15-1-geforce-rtx-5060-laptop-gpu-intel-core-i7-14700hx-wqxga-16gb-memory-512gb-ssd-m-2-2242-pcie-4-0x4-nvme-ssd/p/N82E16834840673"/>
      </ext>
    </x18tc:extLst>
  </x18tc:threadedComment>
  <x18tc:threadedComment ref="AF698" dT="2026-04-26T20:51:00.00" personId="{2ddfa542-8116-4937-a057-08470d7abaab}" id="{024f0646-c1df-40ac-a7ef-3bd190cf95ef}" done="0">
    <x18tc:text xml:space="preserve">venta final, excedentes, fixit</x18tc:text>
  </x18tc:threadedComment>
  <x18tc:threadedComment ref="W407" dT="2025-12-30T00:56:10.00" personId="{d8e4f5ad-b65d-4160-a56f-197530fb7eb1}" id="{c75490ef-80e2-4504-837a-da2747892580}" done="0">
    <x18tc:text xml:space="preserve">factura 20614045192</x18tc:text>
  </x18tc:threadedComment>
  <x18tc:threadedComment ref="W407" dT="2025-12-31T18:40:51.00" personId="{2ddfa542-8116-4937-a057-08470d7abaab}" id="{d75284cf-c403-4f7a-b91a-28bb3e0e0b7d}" parentId="{c75490ef-80e2-4504-837a-da2747892580}">
    <x18tc:text xml:space="preserve">https://drive.google.com/file/d/1OzCJNBr5521Eaz94l6SykETlYYwnQfpM/view?usp=drive_link</x18tc:text>
    <x18tc:extLst>
      <ext uri="{F7C98A9C-CBB3-438F-8F68-D28B6AF4A901}">
        <xltc2:checksum/>
        <xltc2:hyperlink startIndex="0" length="85" url="https://drive.google.com/file/d/1OzCJNBr5521Eaz94l6SykETlYYwnQfpM/view?usp=drive_link"/>
      </ext>
    </x18tc:extLst>
  </x18tc:threadedComment>
  <x18tc:threadedComment ref="J343" dT="2025-11-26T22:07:50.00" personId="{d8e4f5ad-b65d-4160-a56f-197530fb7eb1}" id="{271e392c-5c6a-4f54-9998-3c1d81139ca2}" done="0">
    <x18tc:text xml:space="preserve">https://drive.google.com/file/d/1Pt6Elbqk2QTRfu9qM4q9sJ_-wWTlOoEv/view?usp=drive_link</x18tc:text>
    <x18tc:extLst>
      <ext uri="{F7C98A9C-CBB3-438F-8F68-D28B6AF4A901}">
        <xltc2:checksum/>
        <xltc2:hyperlink startIndex="0" length="85" url="https://drive.google.com/file/d/1Pt6Elbqk2QTRfu9qM4q9sJ_-wWTlOoEv/view?usp=drive_link"/>
      </ext>
    </x18tc:extLst>
  </x18tc:threadedComment>
  <x18tc:threadedComment ref="AF708" dT="2026-04-26T20:51:25.00" personId="{2ddfa542-8116-4937-a057-08470d7abaab}" id="{e5a0a196-5616-4b14-9291-e0ac719ef3a2}" done="0">
    <x18tc:text xml:space="preserve">venta final, excedentes, fixit</x18tc:text>
  </x18tc:threadedComment>
  <x18tc:threadedComment ref="J358" dT="2025-12-01T19:06:52.00" personId="{4df2d6c4-e43e-4f2e-b623-d90f458472ff}" id="{4b8387fb-1805-4d88-b161-fcb7c1912a87}" done="0">
    <x18tc:text xml:space="preserve">https://drive.google.com/file/d/1o6pfxd8fZ5CVnXJemAVIM_KaHwPDKr0a/view?usp=drive_link</x18tc:text>
    <x18tc:extLst>
      <ext uri="{F7C98A9C-CBB3-438F-8F68-D28B6AF4A901}">
        <xltc2:checksum/>
        <xltc2:hyperlink startIndex="0" length="85" url="https://drive.google.com/file/d/1o6pfxd8fZ5CVnXJemAVIM_KaHwPDKr0a/view?usp=drive_link"/>
      </ext>
    </x18tc:extLst>
  </x18tc:threadedComment>
  <x18tc:threadedComment ref="J358" dT="2025-12-01T19:07:29.00" personId="{4df2d6c4-e43e-4f2e-b623-d90f458472ff}" id="{befed119-fd85-45f3-bd39-2ce231afd6e9}" parentId="{4b8387fb-1805-4d88-b161-fcb7c1912a87}">
    <x18tc:text xml:space="preserve">https://drive.google.com/file/d/1cmW__wCZ5tdN8v28hrtKcxwlbfMlkcVK/view?usp=drive_link</x18tc:text>
    <x18tc:extLst>
      <ext uri="{F7C98A9C-CBB3-438F-8F68-D28B6AF4A901}">
        <xltc2:checksum/>
        <xltc2:hyperlink startIndex="0" length="85" url="https://drive.google.com/file/d/1cmW__wCZ5tdN8v28hrtKcxwlbfMlkcVK/view?usp=drive_link"/>
      </ext>
    </x18tc:extLst>
  </x18tc:threadedComment>
  <x18tc:threadedComment ref="J358" dT="2025-12-01T19:08:08.00" personId="{4df2d6c4-e43e-4f2e-b623-d90f458472ff}" id="{15207f8c-52d5-4483-a67f-2eeddc494f25}" parentId="{4b8387fb-1805-4d88-b161-fcb7c1912a87}">
    <x18tc:text xml:space="preserve">https://drive.google.com/file/d/1NsXPCt7pjFJjS2qBlQZ_kWMHO7p_4D-Z/view?usp=drive_link</x18tc:text>
    <x18tc:extLst>
      <ext uri="{F7C98A9C-CBB3-438F-8F68-D28B6AF4A901}">
        <xltc2:checksum/>
        <xltc2:hyperlink startIndex="0" length="85" url="https://drive.google.com/file/d/1NsXPCt7pjFJjS2qBlQZ_kWMHO7p_4D-Z/view?usp=drive_link"/>
      </ext>
    </x18tc:extLst>
  </x18tc:threadedComment>
  <x18tc:threadedComment ref="J358" dT="2025-12-01T19:08:24.00" personId="{4df2d6c4-e43e-4f2e-b623-d90f458472ff}" id="{0175600d-c412-43f6-989d-9c3893683b3b}" parentId="{4b8387fb-1805-4d88-b161-fcb7c1912a87}">
    <x18tc:text xml:space="preserve">https://drive.google.com/file/d/1Uma8HpuyLWSZ2uqmnfRgON5bz1Hyv1bN/view?usp=drive_link</x18tc:text>
    <x18tc:extLst>
      <ext uri="{F7C98A9C-CBB3-438F-8F68-D28B6AF4A901}">
        <xltc2:checksum/>
        <xltc2:hyperlink startIndex="0" length="85" url="https://drive.google.com/file/d/1Uma8HpuyLWSZ2uqmnfRgON5bz1Hyv1bN/view?usp=drive_link"/>
      </ext>
    </x18tc:extLst>
  </x18tc:threadedComment>
  <x18tc:threadedComment ref="J350" dT="2025-11-26T21:57:41.00" personId="{d8e4f5ad-b65d-4160-a56f-197530fb7eb1}" id="{69ef0393-45fa-4728-8815-d2eb92cc498c}" done="0">
    <x18tc:text xml:space="preserve">https://drive.google.com/file/d/1GyzrxdzvpAEi0QnYTLD1Zey523Se9Vim/view?usp=drive_link</x18tc:text>
    <x18tc:extLst>
      <ext uri="{F7C98A9C-CBB3-438F-8F68-D28B6AF4A901}">
        <xltc2:checksum/>
        <xltc2:hyperlink startIndex="0" length="85" url="https://drive.google.com/file/d/1GyzrxdzvpAEi0QnYTLD1Zey523Se9Vim/view?usp=drive_link"/>
      </ext>
    </x18tc:extLst>
  </x18tc:threadedComment>
  <x18tc:threadedComment ref="J350" dT="2025-12-01T17:03:21.00" personId="{d8e4f5ad-b65d-4160-a56f-197530fb7eb1}" id="{52fca1e6-6a96-4871-bb0a-f896263a0901}" parentId="{69ef0393-45fa-4728-8815-d2eb92cc498c}">
    <x18tc:text xml:space="preserve">https://drive.google.com/file/d/1fRavfwiQwg7iLWvw3JZnDNWCGvY2n_ul/view?usp=drive_link</x18tc:text>
    <x18tc:extLst>
      <ext uri="{F7C98A9C-CBB3-438F-8F68-D28B6AF4A901}">
        <xltc2:checksum/>
        <xltc2:hyperlink startIndex="0" length="85" url="https://drive.google.com/file/d/1fRavfwiQwg7iLWvw3JZnDNWCGvY2n_ul/view?usp=drive_link"/>
      </ext>
    </x18tc:extLst>
  </x18tc:threadedComment>
  <x18tc:threadedComment ref="AF703" dT="2026-04-26T20:51:18.00" personId="{2ddfa542-8116-4937-a057-08470d7abaab}" id="{38c8d1fe-d4e5-4dd5-b2c0-74e83ded8d8e}" done="1">
    <x18tc:text xml:space="preserve">venta final, excedentes, fixit</x18tc:text>
  </x18tc:threadedComment>
  <x18tc:threadedComment ref="AF703" dT="2026-05-24T23:41:12.00" personId="{2ddfa542-8116-4937-a057-08470d7abaab}" id="{4e537a92-e24f-44f0-88d6-c545eb484b1c}" parentId="{38c8d1fe-d4e5-4dd5-b2c0-74e83ded8d8e}">
    <x18tc:text xml:space="preserve">SOLO FIXIT</x18tc:text>
  </x18tc:threadedComment>
  <x18tc:threadedComment ref="K293" dT="2025-11-26T21:52:07.00" personId="{4df2d6c4-e43e-4f2e-b623-d90f458472ff}" id="{fff1517b-60eb-4e66-9a1a-45f85f484296}" done="0">
    <x18tc:text xml:space="preserve">https://drive.google.com/file/d/1U33Y4z-fPejhXT-m3f7N4uT3uft-AJyB/view?usp=drive_link</x18tc:text>
    <x18tc:extLst>
      <ext uri="{F7C98A9C-CBB3-438F-8F68-D28B6AF4A901}">
        <xltc2:checksum/>
        <xltc2:hyperlink startIndex="0" length="85" url="https://drive.google.com/file/d/1U33Y4z-fPejhXT-m3f7N4uT3uft-AJyB/view?usp=drive_link"/>
      </ext>
    </x18tc:extLst>
  </x18tc:threadedComment>
  <x18tc:threadedComment ref="J62" dT="2025-05-23T17:40:34.00" personId="{d8e4f5ad-b65d-4160-a56f-197530fb7eb1}" id="{ce15e5ba-a266-46bf-9b35-28988ecc03f2}" done="0">
    <x18tc:text xml:space="preserve">https://drive.google.com/file/d/1851lD9JD7Q3UNob4KNtm5PTvn6EWVCrw/view?usp=drive_link</x18tc:text>
    <x18tc:extLst>
      <ext uri="{F7C98A9C-CBB3-438F-8F68-D28B6AF4A901}">
        <xltc2:checksum/>
        <xltc2:hyperlink startIndex="0" length="85" url="https://drive.google.com/file/d/1851lD9JD7Q3UNob4KNtm5PTvn6EWVCrw/view?usp=drive_link"/>
      </ext>
    </x18tc:extLst>
  </x18tc:threadedComment>
  <x18tc:threadedComment ref="P359" dT="2025-12-30T00:07:14.00" personId="{d8e4f5ad-b65d-4160-a56f-197530fb7eb1}" id="{74b4e22f-be42-46d7-9d6f-1c94d628a7f2}" done="0">
    <x18tc:text xml:space="preserve">descontarlo de fila 407</x18tc:text>
  </x18tc:threadedComment>
  <x18tc:threadedComment ref="L49" dT="2025-05-23T17:30:31.00" personId="{d8e4f5ad-b65d-4160-a56f-197530fb7eb1}" id="{ca1d1050-2c5b-4957-ae24-f318ee743506}" done="0">
    <x18tc:text xml:space="preserve">https://drive.google.com/file/d/1DdgdlVu0YqnIQkfXEvJUVytd0rF9HTJo/view?usp=drive_link</x18tc:text>
    <x18tc:extLst>
      <ext uri="{F7C98A9C-CBB3-438F-8F68-D28B6AF4A901}">
        <xltc2:checksum/>
        <xltc2:hyperlink startIndex="0" length="85" url="https://drive.google.com/file/d/1DdgdlVu0YqnIQkfXEvJUVytd0rF9HTJo/view?usp=drive_link"/>
      </ext>
    </x18tc:extLst>
  </x18tc:threadedComment>
  <x18tc:threadedComment ref="K410" dT="2025-12-29T23:30:34.00" personId="{4df2d6c4-e43e-4f2e-b623-d90f458472ff}" id="{59b545c1-c488-4c73-851b-bd982e10edd9}" done="0">
    <x18tc:text xml:space="preserve">https://drive.google.com/file/d/10REfmoLIRDTQrMr2Hkz8AnyNkcDyMxCn/view?usp=drive_link</x18tc:text>
    <x18tc:extLst>
      <ext uri="{F7C98A9C-CBB3-438F-8F68-D28B6AF4A901}">
        <xltc2:checksum/>
        <xltc2:hyperlink startIndex="0" length="85" url="https://drive.google.com/file/d/10REfmoLIRDTQrMr2Hkz8AnyNkcDyMxCn/view?usp=drive_link"/>
      </ext>
    </x18tc:extLst>
  </x18tc:threadedComment>
  <x18tc:threadedComment ref="K321" dT="2025-12-29T22:30:31.00" personId="{4df2d6c4-e43e-4f2e-b623-d90f458472ff}" id="{bfc616f9-121f-45aa-b368-b40b61bf212d}" done="0">
    <x18tc:text xml:space="preserve">https://drive.google.com/file/d/1LjUz6Cb9dRu4od3Ofmh_XSXNTgA76BwD/view?usp=drive_link</x18tc:text>
    <x18tc:extLst>
      <ext uri="{F7C98A9C-CBB3-438F-8F68-D28B6AF4A901}">
        <xltc2:checksum/>
        <xltc2:hyperlink startIndex="0" length="85" url="https://drive.google.com/file/d/1LjUz6Cb9dRu4od3Ofmh_XSXNTgA76BwD/view?usp=drive_link"/>
      </ext>
    </x18tc:extLst>
  </x18tc:threadedComment>
  <x18tc:threadedComment ref="A1" dT="2025-12-01T19:17:51.00" personId="{4df2d6c4-e43e-4f2e-b623-d90f458472ff}" id="{e97cd7b7-8e85-4eea-886a-9366d9dccfa2}" done="0">
    <x18tc:text xml:space="preserve">https://drive.google.com/file/d/17OWlU4V-xs5YUTFzVB-T2OZ4hc09BlgI/view?usp=drive_link</x18tc:text>
    <x18tc:extLst>
      <ext uri="{F7C98A9C-CBB3-438F-8F68-D28B6AF4A901}">
        <xltc2:checksum/>
        <xltc2:hyperlink startIndex="0" length="85" url="https://drive.google.com/file/d/17OWlU4V-xs5YUTFzVB-T2OZ4hc09BlgI/view?usp=drive_link"/>
      </ext>
    </x18tc:extLst>
  </x18tc:threadedComment>
  <x18tc:threadedComment ref="J36" dT="2025-05-06T20:13:40.00" personId="{a5d43f6d-3c72-4414-b012-8f52ef50acc4}" id="{f8efd7a3-ea82-4502-b2d1-3aef0054a47f}" done="0">
    <x18tc:text xml:space="preserve">https://drive.google.com/file/d/1Ah-1Twj9fLWN89-NS3faWL1E15iyqAv9/view?usp=drive_link</x18tc:text>
    <x18tc:extLst>
      <ext uri="{F7C98A9C-CBB3-438F-8F68-D28B6AF4A901}">
        <xltc2:checksum/>
        <xltc2:hyperlink startIndex="0" length="85" url="https://drive.google.com/file/d/1Ah-1Twj9fLWN89-NS3faWL1E15iyqAv9/view?usp=drive_link"/>
      </ext>
    </x18tc:extLst>
  </x18tc:threadedComment>
  <x18tc:threadedComment ref="AF680" dT="2026-04-26T20:50:18.00" personId="{2ddfa542-8116-4937-a057-08470d7abaab}" id="{45056a50-8814-4b34-80a5-809467c08457}" done="1">
    <x18tc:text xml:space="preserve">venta final, excedentes, fixit</x18tc:text>
  </x18tc:threadedComment>
  <x18tc:threadedComment ref="AI730" dT="2026-05-18T21:32:34.00" personId="{7d9bea4b-cfe7-4c29-b483-8e83a1c4f52a}" id="{68353871-0833-420c-862c-aee481aaee86}" done="0">
    <x18tc:text xml:space="preserve">https://drive.google.com/file/d/1ucg6O5vTV1eB-HXwjgRWuh72803nyNGr/view?usp=drive_link</x18tc:text>
    <x18tc:extLst>
      <ext uri="{F7C98A9C-CBB3-438F-8F68-D28B6AF4A901}">
        <xltc2:checksum/>
        <xltc2:hyperlink startIndex="0" length="85" url="https://drive.google.com/file/d/1ucg6O5vTV1eB-HXwjgRWuh72803nyNGr/view?usp=drive_link"/>
      </ext>
    </x18tc:extLst>
  </x18tc:threadedComment>
  <x18tc:threadedComment ref="J44" dT="2025-05-23T17:28:45.00" personId="{d8e4f5ad-b65d-4160-a56f-197530fb7eb1}" id="{978e4362-ac47-413b-b911-140a98121510}" done="0">
    <x18tc:text xml:space="preserve">https://drive.google.com/file/d/12nkbiukyqlIGRwLM3Flr6b5nR68cCftf/view</x18tc:text>
    <x18tc:extLst>
      <ext uri="{F7C98A9C-CBB3-438F-8F68-D28B6AF4A901}">
        <xltc2:checksum/>
        <xltc2:hyperlink startIndex="0" length="70" url="https://drive.google.com/file/d/12nkbiukyqlIGRwLM3Flr6b5nR68cCftf/view"/>
      </ext>
    </x18tc:extLst>
  </x18tc:threadedComment>
  <x18tc:threadedComment ref="Q533" dT="2026-02-12T01:28:29.00" personId="{a5d43f6d-3c72-4414-b012-8f52ef50acc4}" id="{8c72f34c-5426-4665-9aeb-5a0b7f77efb2}" done="0">
    <x18tc:text xml:space="preserve">configuración inicial con formateo y apertura</x18tc:text>
  </x18tc:threadedComment>
  <x18tc:threadedComment ref="J410" dT="2025-12-29T23:29:02.00" personId="{4df2d6c4-e43e-4f2e-b623-d90f458472ff}" id="{8fefa322-c132-44e5-b19c-4f7b1453ee28}" done="0">
    <x18tc:text xml:space="preserve">https://drive.google.com/file/d/1oQRGstVV2adfU90B1rr8DvxKrc6z24aC/view?usp=drive_link</x18tc:text>
    <x18tc:extLst>
      <ext uri="{F7C98A9C-CBB3-438F-8F68-D28B6AF4A901}">
        <xltc2:checksum/>
        <xltc2:hyperlink startIndex="0" length="85" url="https://drive.google.com/file/d/1oQRGstVV2adfU90B1rr8DvxKrc6z24aC/view?usp=drive_link"/>
      </ext>
    </x18tc:extLst>
  </x18tc:threadedComment>
  <x18tc:threadedComment ref="J35" dT="2025-05-06T20:14:04.00" personId="{a5d43f6d-3c72-4414-b012-8f52ef50acc4}" id="{0f9c85ff-4441-46dc-be5f-4947f1ce0d50}" done="0">
    <x18tc:text xml:space="preserve">https://drive.google.com/file/d/1Aipo_8DHjYeatF8sSHIpth1wMTE4oFK-/view?usp=drive_link</x18tc:text>
    <x18tc:extLst>
      <ext uri="{F7C98A9C-CBB3-438F-8F68-D28B6AF4A901}">
        <xltc2:checksum/>
        <xltc2:hyperlink startIndex="0" length="85" url="https://drive.google.com/file/d/1Aipo_8DHjYeatF8sSHIpth1wMTE4oFK-/view?usp=drive_link"/>
      </ext>
    </x18tc:extLst>
  </x18tc:threadedComment>
  <x18tc:threadedComment ref="AF679" dT="2026-04-26T20:50:09.00" personId="{2ddfa542-8116-4937-a057-08470d7abaab}" id="{5f4eb53f-f22a-48e7-a48a-0f03b040de08}" done="1">
    <x18tc:text xml:space="preserve">venta final, excedentes, fixit</x18tc:text>
  </x18tc:threadedComment>
  <x18tc:threadedComment ref="AF657" dT="2026-04-26T20:49:08.00" personId="{2ddfa542-8116-4937-a057-08470d7abaab}" id="{a375cc8a-1bd3-4068-b40f-d5ad2acf1fd5}" done="1">
    <x18tc:text xml:space="preserve">fixit, excedentes, venta final</x18tc:text>
  </x18tc:threadedComment>
  <x18tc:threadedComment ref="J39" dT="2025-05-23T17:26:08.00" personId="{d8e4f5ad-b65d-4160-a56f-197530fb7eb1}" id="{d1d367aa-b966-4ba1-8fe9-d276f61b0337}" done="0">
    <x18tc:text xml:space="preserve">https://drive.google.com/file/d/1i714Oel5RrfK-fNRHjemSEQiHrUWCg4_/view?usp=drive_link</x18tc:text>
    <x18tc:extLst>
      <ext uri="{F7C98A9C-CBB3-438F-8F68-D28B6AF4A901}">
        <xltc2:checksum/>
        <xltc2:hyperlink startIndex="0" length="85" url="https://drive.google.com/file/d/1i714Oel5RrfK-fNRHjemSEQiHrUWCg4_/view?usp=drive_link"/>
      </ext>
    </x18tc:extLst>
  </x18tc:threadedComment>
  <x18tc:threadedComment ref="C533" dT="2026-02-12T01:26:48.00" personId="{a5d43f6d-3c72-4414-b012-8f52ef50acc4}" id="{aac9093c-2b7c-4fea-8c51-475280cce4c5}" done="0">
    <x18tc:text xml:space="preserve">https://www.bestbuy.com/product/asus-zenbook-s-14-14-3k-oled-touch-laptop-copilot-pc-intel-core-ultra-7-series-2-with-32gb-memory-1tb-ssd-scandinavian-white/JJGGLQQWKS</x18tc:text>
    <x18tc:extLst>
      <ext uri="{F7C98A9C-CBB3-438F-8F68-D28B6AF4A901}">
        <xltc2:checksum/>
        <xltc2:hyperlink startIndex="0" length="167" url="https://www.bestbuy.com/product/asus-zenbook-s-14-14-3k-oled-touch-laptop-copilot-pc-intel-core-ultra-7-series-2-with-32gb-memory-1tb-ssd-scandinavian-white/JJGGLQQWKS"/>
      </ext>
    </x18tc:extLst>
  </x18tc:threadedComment>
  <x18tc:threadedComment ref="J356" dT="2025-12-01T19:01:29.00" personId="{4df2d6c4-e43e-4f2e-b623-d90f458472ff}" id="{c0d659b4-0cda-48c9-b85b-c9bbfc12b6b4}" done="0">
    <x18tc:text xml:space="preserve">https://drive.google.com/file/d/1c3haXaa4JwYnjOyFk1_q6rXSiaQ2oKQI/view?usp=drive_link</x18tc:text>
    <x18tc:extLst>
      <ext uri="{F7C98A9C-CBB3-438F-8F68-D28B6AF4A901}">
        <xltc2:checksum/>
        <xltc2:hyperlink startIndex="0" length="85" url="https://drive.google.com/file/d/1c3haXaa4JwYnjOyFk1_q6rXSiaQ2oKQI/view?usp=drive_link"/>
      </ext>
    </x18tc:extLst>
  </x18tc:threadedComment>
  <x18tc:threadedComment ref="C326" dT="2025-11-21T16:48:05.00" personId="{a5d43f6d-3c72-4414-b012-8f52ef50acc4}" id="{e4f2591c-c3ff-420a-889b-fcf0e79aa35f}" done="0">
    <x18tc:text xml:space="preserve">https://www.bhphotovideo.com/c/product/1875949-REG/lenovo_83f50052us_16_legion_pro_7.html</x18tc:text>
    <x18tc:extLst>
      <ext uri="{F7C98A9C-CBB3-438F-8F68-D28B6AF4A901}">
        <xltc2:checksum/>
        <xltc2:hyperlink startIndex="0" length="89" url="https://www.bhphotovideo.com/c/product/1875949-REG/lenovo_83f50052us_16_legion_pro_7.html"/>
      </ext>
    </x18tc:extLst>
  </x18tc:threadedComment>
  <x18tc:threadedComment ref="K707" dT="2026-05-18T16:46:29.00" personId="{d8e4f5ad-b65d-4160-a56f-197530fb7eb1}" id="{1d00e88b-a5d4-40f2-914e-ee2e2c220d7f}" done="0">
    <x18tc:text xml:space="preserve">https://drive.google.com/file/d/1d04fe-AjTvU8-J6ez949Ybor0H9XUMIu/view?usp=drive_link</x18tc:text>
    <x18tc:extLst>
      <ext uri="{F7C98A9C-CBB3-438F-8F68-D28B6AF4A901}">
        <xltc2:checksum/>
        <xltc2:hyperlink startIndex="0" length="85" url="https://drive.google.com/file/d/1d04fe-AjTvU8-J6ez949Ybor0H9XUMIu/view?usp=drive_link"/>
      </ext>
    </x18tc:extLst>
  </x18tc:threadedComment>
  <x18tc:threadedComment ref="D291" dT="2025-12-01T19:27:38.00" personId="{a5d43f6d-3c72-4414-b012-8f52ef50acc4}" id="{6944ec88-fbcf-4663-bd92-19c759ac3456}" done="0">
    <x18tc:text xml:space="preserve">✅NOMBRES COMPLETOS O RAZÓN SOCIAL: ALVARO JOSEPH VILLEGAS AULLA
✅DNI O RUC: 72894734
✅NÚMERO DE CELULAR: 906994688
✅CORREO ELECTRÓNICO: 
alvarojosephvillegas@gmail.com</x18tc:text>
  </x18tc:threadedComment>
  <x18tc:threadedComment ref="AF686" dT="2026-04-26T20:50:27.00" personId="{2ddfa542-8116-4937-a057-08470d7abaab}" id="{0a618e99-b81d-4a92-b8b0-7436315f0a51}" done="1">
    <x18tc:text xml:space="preserve">venta final, excedentes, fixit</x18tc:text>
  </x18tc:threadedComment>
  <x18tc:threadedComment ref="K388" dT="2025-12-29T22:56:47.00" personId="{4df2d6c4-e43e-4f2e-b623-d90f458472ff}" id="{372eac6b-972d-46fd-939f-6c20dd8b1543}" done="0">
    <x18tc:text xml:space="preserve">https://drive.google.com/file/d/1oQRGstVV2adfU90B1rr8DvxKrc6z24aC/view?usp=drive_link</x18tc:text>
    <x18tc:extLst>
      <ext uri="{F7C98A9C-CBB3-438F-8F68-D28B6AF4A901}">
        <xltc2:checksum/>
        <xltc2:hyperlink startIndex="0" length="85" url="https://drive.google.com/file/d/1oQRGstVV2adfU90B1rr8DvxKrc6z24aC/view?usp=drive_link"/>
      </ext>
    </x18tc:extLst>
  </x18tc:threadedComment>
  <x18tc:threadedComment ref="A1" dT="2025-05-23T17:48:17.00" personId="{4df2d6c4-e43e-4f2e-b623-d90f458472ff}" id="{6d4dd5c8-b5a3-4a7d-908f-687aa3b75488}" done="0">
    <x18tc:text xml:space="preserve">se  compro una nueva laptop</x18tc:text>
  </x18tc:threadedComment>
  <x18tc:threadedComment ref="J372" dT="2025-12-01T19:18:39.00" personId="{4df2d6c4-e43e-4f2e-b623-d90f458472ff}" id="{ed402ec6-612e-4379-9b39-233718ff6993}" done="0">
    <x18tc:text xml:space="preserve">https://drive.google.com/file/d/17OWlU4V-xs5YUTFzVB-T2OZ4hc09BlgI/view?usp=drive_link</x18tc:text>
    <x18tc:extLst>
      <ext uri="{F7C98A9C-CBB3-438F-8F68-D28B6AF4A901}">
        <xltc2:checksum/>
        <xltc2:hyperlink startIndex="0" length="85" url="https://drive.google.com/file/d/17OWlU4V-xs5YUTFzVB-T2OZ4hc09BlgI/view?usp=drive_link"/>
      </ext>
    </x18tc:extLst>
  </x18tc:threadedComment>
  <x18tc:threadedComment ref="AF684" dT="2026-04-26T20:50:23.00" personId="{2ddfa542-8116-4937-a057-08470d7abaab}" id="{773e33d3-c1e0-4908-8c2a-b0f0ad1c3d58}" done="1">
    <x18tc:text xml:space="preserve">venta final, excedentes, fixit</x18tc:text>
  </x18tc:threadedComment>
  <x18tc:threadedComment ref="AF664" dT="2026-04-26T20:49:31.00" personId="{2ddfa542-8116-4937-a057-08470d7abaab}" id="{0f935171-e822-4546-9e41-b2ad8f1ca4f2}" done="1">
    <x18tc:text xml:space="preserve">venta final, excedentes, fixit</x18tc:text>
  </x18tc:threadedComment>
  <x18tc:threadedComment ref="J732" dT="2026-05-05T00:10:08.00" personId="{f9b224d0-ee33-4499-ae47-db5bcd2d0435}" id="{fcaac5a1-f33a-47ac-b8c9-f89d9483ccde}" done="0">
    <x18tc:text xml:space="preserve">https://drive.google.com/file/d/1dSJBJ9yF8gw_wueqovJ6AeUG5PXQfwoI/view?usp=drive_link</x18tc:text>
    <x18tc:extLst>
      <ext uri="{F7C98A9C-CBB3-438F-8F68-D28B6AF4A901}">
        <xltc2:checksum/>
        <xltc2:hyperlink startIndex="0" length="85" url="https://drive.google.com/file/d/1dSJBJ9yF8gw_wueqovJ6AeUG5PXQfwoI/view?usp=drive_link"/>
      </ext>
    </x18tc:extLst>
  </x18tc:threadedComment>
  <x18tc:threadedComment ref="J556" dT="2026-03-04T16:37:19.00" personId="{80195d68-4e9b-4dc7-a031-ca5391c97d0f}" id="{31979768-0938-40f7-a53d-02d38e79301b}" done="0">
    <x18tc:text xml:space="preserve">hizo pago del equipo+garantia 449 https://drive.google.com/file/d/1nt2OsrczxWNt39ezaPhFOhVMcDIQwTw_/view?usp=drive_link</x18tc:text>
    <x18tc:extLst>
      <ext uri="{F7C98A9C-CBB3-438F-8F68-D28B6AF4A901}">
        <xltc2:checksum/>
        <xltc2:hyperlink startIndex="34" length="85" url="https://drive.google.com/file/d/1nt2OsrczxWNt39ezaPhFOhVMcDIQwTw_/view?usp=drive_link"/>
      </ext>
    </x18tc:extLst>
  </x18tc:threadedComment>
  <x18tc:threadedComment ref="AF689" dT="2026-04-26T20:50:39.00" personId="{2ddfa542-8116-4937-a057-08470d7abaab}" id="{8c48362a-74d4-4e8b-b6dc-ed5894fdaa8b}" done="1">
    <x18tc:text xml:space="preserve">venta final, excedentes, fixit</x18tc:text>
  </x18tc:threadedComment>
  <x18tc:threadedComment ref="Q427" dT="2025-12-29T23:34:05.00" personId="{4df2d6c4-e43e-4f2e-b623-d90f458472ff}" id="{640080a4-0ab2-473a-8bdb-6f0ff789db01}" done="0">
    <x18tc:text xml:space="preserve">70 soles es de la licencia del cliente ERIC HAMMER</x18tc:text>
  </x18tc:threadedComment>
  <x18tc:threadedComment ref="W268" dT="2025-11-26T22:13:24.00" personId="{a5d43f6d-3c72-4414-b012-8f52ef50acc4}" id="{2552b793-0daf-4fd7-8356-5f5945b869f8}" done="0">
    <x18tc:text xml:space="preserve">✅NOMBRES COMPLETOS O RAZÓN SOCIAL: Karina Janina Domínguez Dávalos 
✅DNI O RUC: 46364445
✅NÚMERO DE CELULAR: 938209044
✅CORREO ELECTRÓNICO: ing.karinadd@gmail.com</x18tc:text>
  </x18tc:threadedComment>
  <x18tc:threadedComment ref="AF663" dT="2026-04-26T20:49:12.00" personId="{2ddfa542-8116-4937-a057-08470d7abaab}" id="{ce955f7b-b4aa-4ae1-b1ab-885b524eb4d1}" done="1">
    <x18tc:text xml:space="preserve">fixit, excedentes, venta final</x18tc:text>
  </x18tc:threadedComment>
  <x18tc:threadedComment ref="J733" dT="2026-05-05T00:10:16.00" personId="{f9b224d0-ee33-4499-ae47-db5bcd2d0435}" id="{727a028b-f17c-4fbf-8b5c-f61969ef5ec4}" done="0">
    <x18tc:text xml:space="preserve">https://drive.google.com/file/d/1dSJBJ9yF8gw_wueqovJ6AeUG5PXQfwoI/view?usp=drive_link</x18tc:text>
    <x18tc:extLst>
      <ext uri="{F7C98A9C-CBB3-438F-8F68-D28B6AF4A901}">
        <xltc2:checksum/>
        <xltc2:hyperlink startIndex="0" length="85" url="https://drive.google.com/file/d/1dSJBJ9yF8gw_wueqovJ6AeUG5PXQfwoI/view?usp=drive_link"/>
      </ext>
    </x18tc:extLst>
  </x18tc:threadedComment>
  <x18tc:threadedComment ref="C325" dT="2025-11-21T16:41:13.00" personId="{4df2d6c4-e43e-4f2e-b623-d90f458472ff}" id="{22cb3a55-d26c-43bf-9ee4-3ecc5e2e0678}" done="0">
    <x18tc:text xml:space="preserve">https://www.amazon.com/-/es/Gaming-Laptop-juegos-pantalla-165Hz/dp/B0F1BWFMWN/ref=sr_1_15?__mk_es_US=%C3%85M%C3%85%C5%BD%C3%95%C3%91&amp;crid=KGAUTTN1T7Q0&amp;dib=eyJ2IjoiMSJ9._WIT-iaRjNIL2g36c9_f5q1zoUsd8quQEUoMatfCQz-Fh-38oZGUDVqtop-WHZ2zOqYGyYOSStBN1evJE7llFN8As3Ghtel1hy8RcdpUDDfINj0esTEampEh4T43H0jSS86Vl7Ky1QYbAzvjGTqca0PNzKXf_s1_6yWLfQs44UHVOigOy-kYsUKxRQhGjaN1yhycKDn2Eqe1rIpRwvYagpyedPs5Dcftooxw2UfA_Hs._nkoVuLmEsAG5yFEtCuWY84S66jIPgK8gJMlul0M7DU&amp;dib_tag=se&amp;keywords=laptop+gaming&amp;qid=1763451031&amp;refinements=p_n_deal_type%3A23566065011&amp;rnid=23566063011&amp;sprefix=laptop+gamin%2Caps%2C316&amp;sr=8-15</x18tc:text>
    <x18tc:extLst>
      <ext uri="{F7C98A9C-CBB3-438F-8F68-D28B6AF4A901}">
        <xltc2:checksum/>
        <xltc2:hyperlink startIndex="0" length="594" url="https://www.amazon.com/-/es/Gaming-Laptop-juegos-pantalla-165Hz/dp/B0F1BWFMWN/ref=sr_1_15?__mk_es_US=%C3%85M%C3%85%C5%BD%C3%95%C3%91&amp;crid=KGAUTTN1T7Q0&amp;dib=eyJ2IjoiMSJ9._WIT-iaRjNIL2g36c9_f5q1zoUsd8quQEUoMatfCQz-Fh-38oZGUDVqtop-WHZ2zOqYGyYOSStBN1evJE7llFN8As3Ghtel1hy8RcdpUDDfINj0esTEampEh4T43H0jSS86Vl7Ky1QYbAzvjGTqca0PNzKXf_s1_6yWLfQs44UHVOigOy-kYsUKxRQhGjaN1yhycKDn2Eqe1rIpRwvYagpyedPs5Dcftooxw2UfA_Hs._nkoVuLmEsAG5yFEtCuWY84S66jIPgK8gJMlul0M7DU&amp;dib_tag=se&amp;keywords=laptop+gaming&amp;qid=1763451031&amp;refinements=p_n_deal_type%3A23566065011&amp;rnid=23566063011&amp;sprefix=laptop+gamin%2Caps%2C316&amp;sr=8-15"/>
      </ext>
    </x18tc:extLst>
  </x18tc:threadedComment>
  <x18tc:threadedComment ref="C447" dT="2025-12-30T00:19:17.00" personId="{4df2d6c4-e43e-4f2e-b623-d90f458472ff}" id="{4607c169-4da7-407f-b50b-25f4378baef2}" done="0">
    <x18tc:text xml:space="preserve">https://us-store.msi.com/Laptops/Gaming-Series/Vector-GP-Series/msi-Vector-16-HX-AI-A2XWIG-050US</x18tc:text>
    <x18tc:extLst>
      <ext uri="{F7C98A9C-CBB3-438F-8F68-D28B6AF4A901}">
        <xltc2:checksum/>
        <xltc2:hyperlink startIndex="0" length="96" url="https://us-store.msi.com/Laptops/Gaming-Series/Vector-GP-Series/msi-Vector-16-HX-AI-A2XWIG-050US"/>
      </ext>
    </x18tc:extLst>
  </x18tc:threadedComment>
  <x18tc:threadedComment ref="J355" dT="2025-12-01T17:10:59.00" personId="{d8e4f5ad-b65d-4160-a56f-197530fb7eb1}" id="{658aa5fe-b4e6-4be4-8715-f997037f49ed}" done="0">
    <x18tc:text xml:space="preserve">https://drive.google.com/file/d/1wz2oE3sIlxZA5mCyT3kWWOSUXfFohJ9A/view?usp=drive_link</x18tc:text>
    <x18tc:extLst>
      <ext uri="{F7C98A9C-CBB3-438F-8F68-D28B6AF4A901}">
        <xltc2:checksum/>
        <xltc2:hyperlink startIndex="0" length="85" url="https://drive.google.com/file/d/1wz2oE3sIlxZA5mCyT3kWWOSUXfFohJ9A/view?usp=drive_link"/>
      </ext>
    </x18tc:extLst>
  </x18tc:threadedComment>
  <x18tc:threadedComment ref="J355" dT="2025-12-01T17:11:44.00" personId="{d8e4f5ad-b65d-4160-a56f-197530fb7eb1}" id="{dcfc8469-1dcf-42b1-9a21-9359ce80c0a1}" parentId="{658aa5fe-b4e6-4be4-8715-f997037f49ed}">
    <x18tc:text xml:space="preserve">https://drive.google.com/file/d/1F7aOPbQDkij0pNPas5ZyG1q1LUhumMO4/view?usp=drive_link</x18tc:text>
    <x18tc:extLst>
      <ext uri="{F7C98A9C-CBB3-438F-8F68-D28B6AF4A901}">
        <xltc2:checksum/>
        <xltc2:hyperlink startIndex="0" length="85" url="https://drive.google.com/file/d/1F7aOPbQDkij0pNPas5ZyG1q1LUhumMO4/view?usp=drive_link"/>
      </ext>
    </x18tc:extLst>
  </x18tc:threadedComment>
  <x18tc:threadedComment ref="J355" dT="2025-12-01T17:13:07.00" personId="{d8e4f5ad-b65d-4160-a56f-197530fb7eb1}" id="{ce9b5acc-37b0-487b-9bd7-1e860e41e78f}" parentId="{658aa5fe-b4e6-4be4-8715-f997037f49ed}">
    <x18tc:text xml:space="preserve">https://drive.google.com/file/d/1cYLhDcFPwIFIPTwEuv2FTAMs0BbfZQhH/view?usp=drive_link</x18tc:text>
    <x18tc:extLst>
      <ext uri="{F7C98A9C-CBB3-438F-8F68-D28B6AF4A901}">
        <xltc2:checksum/>
        <xltc2:hyperlink startIndex="0" length="85" url="https://drive.google.com/file/d/1cYLhDcFPwIFIPTwEuv2FTAMs0BbfZQhH/view?usp=drive_link"/>
      </ext>
    </x18tc:extLst>
  </x18tc:threadedComment>
  <x18tc:threadedComment ref="J355" dT="2025-12-01T17:13:56.00" personId="{d8e4f5ad-b65d-4160-a56f-197530fb7eb1}" id="{6b1b1227-cd3e-4c10-ae9e-80b4e5dd740c}" parentId="{658aa5fe-b4e6-4be4-8715-f997037f49ed}">
    <x18tc:text xml:space="preserve">https://drive.google.com/file/d/1KKYBWBdq4XH1p_aVptiCd4sf5PfaDc73/view?usp=drive_link</x18tc:text>
    <x18tc:extLst>
      <ext uri="{F7C98A9C-CBB3-438F-8F68-D28B6AF4A901}">
        <xltc2:checksum/>
        <xltc2:hyperlink startIndex="0" length="85" url="https://drive.google.com/file/d/1KKYBWBdq4XH1p_aVptiCd4sf5PfaDc73/view?usp=drive_link"/>
      </ext>
    </x18tc:extLst>
  </x18tc:threadedComment>
  <x18tc:threadedComment ref="J355" dT="2025-12-27T00:43:10.00" personId="{d8e4f5ad-b65d-4160-a56f-197530fb7eb1}" id="{01634ae5-af44-4592-a0a3-f11c1ef7ace5}" parentId="{658aa5fe-b4e6-4be4-8715-f997037f49ed}">
    <x18tc:text xml:space="preserve">https://drive.google.com/file/d/1qjdM3ZzMG6W_PlpafAt7qM3f8pYAQUZl/view?usp=drive_link</x18tc:text>
    <x18tc:extLst>
      <ext uri="{F7C98A9C-CBB3-438F-8F68-D28B6AF4A901}">
        <xltc2:checksum/>
        <xltc2:hyperlink startIndex="0" length="85" url="https://drive.google.com/file/d/1qjdM3ZzMG6W_PlpafAt7qM3f8pYAQUZl/view?usp=drive_link"/>
      </ext>
    </x18tc:extLst>
  </x18tc:threadedComment>
  <x18tc:threadedComment ref="AF687" dT="2026-04-26T20:50:33.00" personId="{2ddfa542-8116-4937-a057-08470d7abaab}" id="{e1eeca1e-f145-40b8-a993-08560dde90fc}" done="1">
    <x18tc:text xml:space="preserve">venta final, excedentes, fixit</x18tc:text>
  </x18tc:threadedComment>
  <x18tc:threadedComment ref="J562" dT="2026-03-03T00:02:16.00" personId="{4df2d6c4-e43e-4f2e-b623-d90f458472ff}" id="{a07feef4-c765-4ddd-bbe8-b145ee0a0a23}" done="0">
    <x18tc:text xml:space="preserve">https://drive.google.com/file/d/1cwzUbYENFFHecJTfnlDfgzTs8s8mz7K5/view?usp=drive_link</x18tc:text>
    <x18tc:extLst>
      <ext uri="{F7C98A9C-CBB3-438F-8F68-D28B6AF4A901}">
        <xltc2:checksum/>
        <xltc2:hyperlink startIndex="0" length="85" url="https://drive.google.com/file/d/1cwzUbYENFFHecJTfnlDfgzTs8s8mz7K5/view?usp=drive_link"/>
      </ext>
    </x18tc:extLst>
  </x18tc:threadedComment>
  <x18tc:threadedComment ref="W306" dT="2025-11-26T22:10:22.00" personId="{a5d43f6d-3c72-4414-b012-8f52ef50acc4}" id="{6138beac-a32f-49ea-abca-df8cb3ff3675}" done="0">
    <x18tc:text xml:space="preserve">Ixpery service sac
20601857601
957277390
ymorales@ixpery.com
895.70 + garantia 349 es lo que le indiqué</x18tc:text>
  </x18tc:threadedComment>
  <x18tc:threadedComment ref="W306" dT="2025-12-01T21:09:56.00" personId="{2ddfa542-8116-4937-a057-08470d7abaab}" id="{c78998c8-c04f-4390-bdaf-2301ceecf073}" parentId="{6138beac-a32f-49ea-abca-df8cb3ff3675}">
    <x18tc:text xml:space="preserve">https://drive.google.com/file/d/1mdfzObAiJYjwncntep5P40Yskryrh6nV/view?usp=drive_link</x18tc:text>
    <x18tc:extLst>
      <ext uri="{F7C98A9C-CBB3-438F-8F68-D28B6AF4A901}">
        <xltc2:checksum/>
        <xltc2:hyperlink startIndex="0" length="85" url="https://drive.google.com/file/d/1mdfzObAiJYjwncntep5P40Yskryrh6nV/view?usp=drive_link"/>
      </ext>
    </x18tc:extLst>
  </x18tc:threadedComment>
  <x18tc:threadedComment ref="AF682" dT="2026-04-26T21:01:22.00" personId="{2ddfa542-8116-4937-a057-08470d7abaab}" id="{ee8fd0a1-1969-4ae9-863f-630ec90c872b}" done="1">
    <x18tc:text xml:space="preserve">venta final, excedentes, fixit</x18tc:text>
  </x18tc:threadedComment>
  <x18tc:threadedComment ref="J41" dT="2025-05-09T18:22:50.00" personId="{d8e4f5ad-b65d-4160-a56f-197530fb7eb1}" id="{6f3913d1-f0b4-4b37-a462-c7a1af35cd76}" done="0">
    <x18tc:text xml:space="preserve">https://drive.google.com/file/d/11LPCKPxB3mSVW4rac2ziyUhx6EHvkDii/view?usp=drive_link</x18tc:text>
    <x18tc:extLst>
      <ext uri="{F7C98A9C-CBB3-438F-8F68-D28B6AF4A901}">
        <xltc2:checksum/>
        <xltc2:hyperlink startIndex="0" length="85" url="https://drive.google.com/file/d/11LPCKPxB3mSVW4rac2ziyUhx6EHvkDii/view?usp=drive_link"/>
      </ext>
    </x18tc:extLst>
  </x18tc:threadedComment>
  <x18tc:threadedComment ref="C296" dT="2025-11-05T21:53:00.00" personId="{4df2d6c4-e43e-4f2e-b623-d90f458472ff}" id="{5ee8844f-86b8-423e-860c-327a873cfd54}"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39" dT="2025-05-23T17:23:59.00" personId="{d8e4f5ad-b65d-4160-a56f-197530fb7eb1}" id="{7f6ad77f-1b49-40f0-8048-61e1fb42b9e4}" done="0">
    <x18tc:text xml:space="preserve">https://drive.google.com/file/d/1YanjyedYM1_oVPekOubZYvbT-gtMJ6nS/view?usp=drive_link</x18tc:text>
    <x18tc:extLst>
      <ext uri="{F7C98A9C-CBB3-438F-8F68-D28B6AF4A901}">
        <xltc2:checksum/>
        <xltc2:hyperlink startIndex="0" length="85" url="https://drive.google.com/file/d/1YanjyedYM1_oVPekOubZYvbT-gtMJ6nS/view?usp=drive_link"/>
      </ext>
    </x18tc:extLst>
  </x18tc:threadedComment>
  <x18tc:threadedComment ref="L39" dT="2025-05-23T17:24:17.00" personId="{d8e4f5ad-b65d-4160-a56f-197530fb7eb1}" id="{b01f0515-13b8-4948-878f-83a521ccec24}" parentId="{7f6ad77f-1b49-40f0-8048-61e1fb42b9e4}">
    <x18tc:text xml:space="preserve">https://drive.google.com/file/d/14ycjNUe4Ptk11J0LoMfxDg498P-BO0jP/view?usp=drive_link</x18tc:text>
    <x18tc:extLst>
      <ext uri="{F7C98A9C-CBB3-438F-8F68-D28B6AF4A901}">
        <xltc2:checksum/>
        <xltc2:hyperlink startIndex="0" length="85" url="https://drive.google.com/file/d/14ycjNUe4Ptk11J0LoMfxDg498P-BO0jP/view?usp=drive_link"/>
      </ext>
    </x18tc:extLst>
  </x18tc:threadedComment>
  <x18tc:threadedComment ref="J574" dT="2026-03-03T00:03:28.00" personId="{4df2d6c4-e43e-4f2e-b623-d90f458472ff}" id="{fceb0dd9-0113-4cd4-9d7e-10772706962f}" done="0">
    <x18tc:text xml:space="preserve">https://drive.google.com/file/d/1ANbxy3mNF9DF2ZeRXFt_-8W6wRM6LSl4/view?usp=drive_link</x18tc:text>
    <x18tc:extLst>
      <ext uri="{F7C98A9C-CBB3-438F-8F68-D28B6AF4A901}">
        <xltc2:checksum/>
        <xltc2:hyperlink startIndex="0" length="85" url="https://drive.google.com/file/d/1ANbxy3mNF9DF2ZeRXFt_-8W6wRM6LSl4/view?usp=drive_link"/>
      </ext>
    </x18tc:extLst>
  </x18tc:threadedComment>
  <x18tc:threadedComment ref="J354" dT="2025-12-01T18:54:10.00" personId="{4df2d6c4-e43e-4f2e-b623-d90f458472ff}" id="{661ee009-c5d4-4274-99d6-cbd74360fd5c}" done="0">
    <x18tc:text xml:space="preserve">https://drive.google.com/file/d/1PpBQVlzVRxz-JsETaIKoHHXIB5vmKrkz/view?usp=drive_link</x18tc:text>
    <x18tc:extLst>
      <ext uri="{F7C98A9C-CBB3-438F-8F68-D28B6AF4A901}">
        <xltc2:checksum/>
        <xltc2:hyperlink startIndex="0" length="85" url="https://drive.google.com/file/d/1PpBQVlzVRxz-JsETaIKoHHXIB5vmKrkz/view?usp=drive_link"/>
      </ext>
    </x18tc:extLst>
  </x18tc:threadedComment>
  <x18tc:threadedComment ref="J692" dT="2026-04-21T18:27:04.00" personId="{d8e4f5ad-b65d-4160-a56f-197530fb7eb1}" id="{e4717092-2ae1-463f-a2ff-36dd1263d205}" done="0">
    <x18tc:text xml:space="preserve">https://drive.google.com/file/d/1Vkrrhm7RiKQc8e74FdigN9AB-mLZyZdF/view?usp=drive_link</x18tc:text>
    <x18tc:extLst>
      <ext uri="{F7C98A9C-CBB3-438F-8F68-D28B6AF4A901}">
        <xltc2:checksum/>
        <xltc2:hyperlink startIndex="0" length="85" url="https://drive.google.com/file/d/1Vkrrhm7RiKQc8e74FdigN9AB-mLZyZdF/view?usp=drive_link"/>
      </ext>
    </x18tc:extLst>
  </x18tc:threadedComment>
  <x18tc:threadedComment ref="C305" dT="2025-11-13T23:05:35.00" personId="{d8e4f5ad-b65d-4160-a56f-197530fb7eb1}" id="{f4851687-75a9-420c-afbe-02135283b0f8}" done="0">
    <x18tc:text xml:space="preserve">https://www.ebay.com/itm/127210724599?_skw=legion+5&amp;itmmeta=01K9ZKDE1EQ0BG54BDCT51XREC&amp;hash=item1d9e599cf7:g:RrQAAeSwnqBo7U7h</x18tc:text>
    <x18tc:extLst>
      <ext uri="{F7C98A9C-CBB3-438F-8F68-D28B6AF4A901}">
        <xltc2:checksum/>
        <xltc2:hyperlink startIndex="0" length="125" url="https://www.ebay.com/itm/127210724599?_skw=legion+5&amp;itmmeta=01K9ZKDE1EQ0BG54BDCT51XREC&amp;hash=item1d9e599cf7:g:RrQAAeSwnqBo7U7h"/>
      </ext>
    </x18tc:extLst>
  </x18tc:threadedComment>
  <x18tc:threadedComment ref="J427" dT="2025-12-29T23:32:25.00" personId="{4df2d6c4-e43e-4f2e-b623-d90f458472ff}" id="{5518ff28-e447-4f00-90a1-56e12edff44b}" done="0">
    <x18tc:text xml:space="preserve">https://drive.google.com/file/d/1g4L_81HVbfML8-kK6Halozg75UrS93Fu/view?usp=drive_link</x18tc:text>
    <x18tc:extLst>
      <ext uri="{F7C98A9C-CBB3-438F-8F68-D28B6AF4A901}">
        <xltc2:checksum/>
        <xltc2:hyperlink startIndex="0" length="85" url="https://drive.google.com/file/d/1g4L_81HVbfML8-kK6Halozg75UrS93Fu/view?usp=drive_link"/>
      </ext>
    </x18tc:extLst>
  </x18tc:threadedComment>
  <x18tc:threadedComment ref="K322" dT="2025-12-29T22:30:54.00" personId="{4df2d6c4-e43e-4f2e-b623-d90f458472ff}" id="{91576edc-1e87-4c6c-af6e-aaebd9e7e84e}" done="0">
    <x18tc:text xml:space="preserve">https://drive.google.com/file/d/1MU0hCy9MVzwW5Ax56ti86pHC4sUIYSEJ/view?usp=drive_link</x18tc:text>
    <x18tc:extLst>
      <ext uri="{F7C98A9C-CBB3-438F-8F68-D28B6AF4A901}">
        <xltc2:checksum/>
        <xltc2:hyperlink startIndex="0" length="85" url="https://drive.google.com/file/d/1MU0hCy9MVzwW5Ax56ti86pHC4sUIYSEJ/view?usp=drive_link"/>
      </ext>
    </x18tc:extLst>
  </x18tc:threadedComment>
  <x18tc:threadedComment ref="L32" dT="2025-05-23T17:22:05.00" personId="{d8e4f5ad-b65d-4160-a56f-197530fb7eb1}" id="{54e3c34a-b384-465d-b31e-04bf683fd9da}" done="0">
    <x18tc:text xml:space="preserve">https://drive.google.com/file/d/1QADTEle8Qv-6Sf78-Z-dTQPNjBy1mUUz/view?usp=drive_link</x18tc:text>
    <x18tc:extLst>
      <ext uri="{F7C98A9C-CBB3-438F-8F68-D28B6AF4A901}">
        <xltc2:checksum/>
        <xltc2:hyperlink startIndex="0" length="85" url="https://drive.google.com/file/d/1QADTEle8Qv-6Sf78-Z-dTQPNjBy1mUUz/view?usp=drive_link"/>
      </ext>
    </x18tc:extLst>
  </x18tc:threadedComment>
  <x18tc:threadedComment ref="J516" dT="2026-03-03T00:04:47.00" personId="{4df2d6c4-e43e-4f2e-b623-d90f458472ff}" id="{13bd561a-1b16-4cf8-8961-1caea8f0ae9c}" done="0">
    <x18tc:text xml:space="preserve">https://drive.google.com/file/d/1xSmE5ufgNCF882dFOE6VBZ3Aoab6i-uy/view?usp=drive_link</x18tc:text>
    <x18tc:extLst>
      <ext uri="{F7C98A9C-CBB3-438F-8F68-D28B6AF4A901}">
        <xltc2:checksum/>
        <xltc2:hyperlink startIndex="0" length="85" url="https://drive.google.com/file/d/1xSmE5ufgNCF882dFOE6VBZ3Aoab6i-uy/view?usp=drive_link"/>
      </ext>
    </x18tc:extLst>
  </x18tc:threadedComment>
  <x18tc:threadedComment ref="J516" dT="2026-03-03T00:05:11.00" personId="{4df2d6c4-e43e-4f2e-b623-d90f458472ff}" id="{963bf50f-9873-4b8c-aa75-78cd06d5a2fb}" parentId="{13bd561a-1b16-4cf8-8961-1caea8f0ae9c}">
    <x18tc:text xml:space="preserve">https://drive.google.com/file/d/1DBb5lV_vvgTw36ubNvfI0OkiZtx-_aDg/view?usp=drive_link</x18tc:text>
    <x18tc:extLst>
      <ext uri="{F7C98A9C-CBB3-438F-8F68-D28B6AF4A901}">
        <xltc2:checksum/>
        <xltc2:hyperlink startIndex="0" length="85" url="https://drive.google.com/file/d/1DBb5lV_vvgTw36ubNvfI0OkiZtx-_aDg/view?usp=drive_link"/>
      </ext>
    </x18tc:extLst>
  </x18tc:threadedComment>
  <x18tc:threadedComment ref="L272" dT="2025-12-01T18:38:49.00" personId="{a5d43f6d-3c72-4414-b012-8f52ef50acc4}" id="{f2e2c31d-4233-4a03-9018-eb005e5b78ba}" done="0">
    <x18tc:text xml:space="preserve">el pago restante me lo descontaron de mi salario</x18tc:text>
  </x18tc:threadedComment>
  <x18tc:threadedComment ref="J123" dT="2025-07-15T18:35:55.00" personId="{d8e4f5ad-b65d-4160-a56f-197530fb7eb1}" id="{b26fe346-530c-450c-89e2-649c112af95e}" done="0">
    <x18tc:text xml:space="preserve">https://drive.google.com/file/d/1GPV0b-bIQhr8DrRDFw0bKuTHDeReNrOP/view?usp=drive_link</x18tc:text>
    <x18tc:extLst>
      <ext uri="{F7C98A9C-CBB3-438F-8F68-D28B6AF4A901}">
        <xltc2:checksum/>
        <xltc2:hyperlink startIndex="0" length="85" url="https://drive.google.com/file/d/1GPV0b-bIQhr8DrRDFw0bKuTHDeReNrOP/view?usp=drive_link"/>
      </ext>
    </x18tc:extLst>
  </x18tc:threadedComment>
  <x18tc:threadedComment ref="K643" dT="2026-05-05T00:20:13.00" personId="{f9b224d0-ee33-4499-ae47-db5bcd2d0435}" id="{caa9df4d-7261-49f3-9385-da11c74ea168}" done="0">
    <x18tc:text xml:space="preserve">https://drive.google.com/file/d/1FIfSNZjm5Zvn2nGWeC54YTZDM49dtMJ1/view?usp=drive_link</x18tc:text>
    <x18tc:extLst>
      <ext uri="{F7C98A9C-CBB3-438F-8F68-D28B6AF4A901}">
        <xltc2:checksum/>
        <xltc2:hyperlink startIndex="0" length="85" url="https://drive.google.com/file/d/1FIfSNZjm5Zvn2nGWeC54YTZDM49dtMJ1/view?usp=drive_link"/>
      </ext>
    </x18tc:extLst>
  </x18tc:threadedComment>
  <x18tc:threadedComment ref="K643" dT="2026-05-05T00:21:31.00" personId="{f9b224d0-ee33-4499-ae47-db5bcd2d0435}" id="{44b1505e-2152-4a38-b46a-995bb83b62f5}" parentId="{caa9df4d-7261-49f3-9385-da11c74ea168}">
    <x18tc:text xml:space="preserve">https://drive.google.com/file/d/1b8O2Z-QbXL1FpMbvPnF1kihu5Ir7ZoFP/view?usp=drive_link</x18tc:text>
    <x18tc:extLst>
      <ext uri="{F7C98A9C-CBB3-438F-8F68-D28B6AF4A901}">
        <xltc2:checksum/>
        <xltc2:hyperlink startIndex="0" length="85" url="https://drive.google.com/file/d/1b8O2Z-QbXL1FpMbvPnF1kihu5Ir7ZoFP/view?usp=drive_link"/>
      </ext>
    </x18tc:extLst>
  </x18tc:threadedComment>
  <x18tc:threadedComment ref="P436" dT="2025-12-30T00:18:34.00" personId="{d8e4f5ad-b65d-4160-a56f-197530fb7eb1}" id="{ab047a3e-7735-4ebd-907a-4be2a5f03b3a}" done="0">
    <x18tc:text xml:space="preserve">descontar del cliente fila 13 de provedores</x18tc:text>
  </x18tc:threadedComment>
  <x18tc:threadedComment ref="P436" dT="2026-01-03T18:57:22.00" personId="{2ddfa542-8116-4937-a057-08470d7abaab}" id="{2c209ece-0cbe-4f61-8755-71a7dcc60c55}" parentId="{ab047a3e-7735-4ebd-907a-4be2a5f03b3a}">
    <x18tc:text xml:space="preserve">se agregó 80 soles a la columna de Accesorios adicionales</x18tc:text>
  </x18tc:threadedComment>
  <x18tc:threadedComment ref="P436" dT="2026-01-03T22:45:45.00" personId="{d8e4f5ad-b65d-4160-a56f-197530fb7eb1}" id="{59e72483-112c-4df9-87f3-957956c5970b}" parentId="{ab047a3e-7735-4ebd-907a-4be2a5f03b3a}">
    <x18tc:text xml:space="preserve">337-80= monto actual 257</x18tc:text>
  </x18tc:threadedComment>
  <x18tc:threadedComment ref="J382" dT="2025-12-01T17:20:32.00" personId="{d8e4f5ad-b65d-4160-a56f-197530fb7eb1}" id="{fd17579c-9495-433f-9432-ca28fbfe3e33}" done="0">
    <x18tc:text xml:space="preserve">https://drive.google.com/file/d/1zTaE0N3Vqls-WfSWGbIizfmH6Y9rBgde/view?usp=drive_link</x18tc:text>
    <x18tc:extLst>
      <ext uri="{F7C98A9C-CBB3-438F-8F68-D28B6AF4A901}">
        <xltc2:checksum/>
        <xltc2:hyperlink startIndex="0" length="85" url="https://drive.google.com/file/d/1zTaE0N3Vqls-WfSWGbIizfmH6Y9rBgde/view?usp=drive_link"/>
      </ext>
    </x18tc:extLst>
  </x18tc:threadedComment>
  <x18tc:threadedComment ref="J671" dT="2026-05-18T17:23:04.00" personId="{f9b224d0-ee33-4499-ae47-db5bcd2d0435}" id="{2174cd15-c520-49dd-a60d-cdb835d1903c}" done="0">
    <x18tc:text xml:space="preserve">https://drive.google.com/file/d/1uKCJTh45dysgnaoOt_CYQuE-G6GnBCd7/view?usp=drive_link</x18tc:text>
    <x18tc:extLst>
      <ext uri="{F7C98A9C-CBB3-438F-8F68-D28B6AF4A901}">
        <xltc2:checksum/>
        <xltc2:hyperlink startIndex="0" length="85" url="https://drive.google.com/file/d/1uKCJTh45dysgnaoOt_CYQuE-G6GnBCd7/view?usp=drive_link"/>
      </ext>
    </x18tc:extLst>
  </x18tc:threadedComment>
  <x18tc:threadedComment ref="P407" dT="2025-12-30T00:09:50.00" personId="{d8e4f5ad-b65d-4160-a56f-197530fb7eb1}" id="{e83d45e5-1c7f-480f-b4a6-26e6ade0e75d}" done="0">
    <x18tc:text xml:space="preserve">descontar de fila 359</x18tc:text>
  </x18tc:threadedComment>
  <x18tc:threadedComment ref="P407" dT="2026-01-03T22:44:46.00" personId="{d8e4f5ad-b65d-4160-a56f-197530fb7eb1}" id="{3c3bffed-d37a-483d-9759-40d2222c43ef}" parentId="{e83d45e5-1c7f-480f-b4a6-26e6ade0e75d}">
    <x18tc:text xml:space="preserve">351-190= monto actual 161</x18tc:text>
  </x18tc:threadedComment>
  <x18tc:threadedComment ref="K649" dT="2026-05-05T00:23:47.00" personId="{f9b224d0-ee33-4499-ae47-db5bcd2d0435}" id="{ec6e0d1a-90d7-49ad-956a-2d4f8a352803}" done="0">
    <x18tc:text xml:space="preserve">https://drive.google.com/file/d/1opLZD-Jdni-vQUcGe5AyA5AQVqYE4vqK/view?usp=drive_link</x18tc:text>
    <x18tc:extLst>
      <ext uri="{F7C98A9C-CBB3-438F-8F68-D28B6AF4A901}">
        <xltc2:checksum/>
        <xltc2:hyperlink startIndex="0" length="85" url="https://drive.google.com/file/d/1opLZD-Jdni-vQUcGe5AyA5AQVqYE4vqK/view?usp=drive_link"/>
      </ext>
    </x18tc:extLst>
  </x18tc:threadedComment>
  <x18tc:threadedComment ref="C481" dT="2026-01-13T18:28:18.00" personId="{d8e4f5ad-b65d-4160-a56f-197530fb7eb1}" id="{4764c600-0684-4e26-a6f2-40bd9c5bc275}" done="0">
    <x18tc:text xml:space="preserve">https://www.ebay.com/itm/205756001751?_skw=zephyrus&amp;itmmeta=01KET2D3C8W6WVY18HW29WBAM4&amp;hash=item2fe8036dd7:g:VEQAAeSwYwVpXo~U&amp;itmprp=enc%3AAQAKAAAA4FkggFvd1GGDu0w3yXCmi1coLcyQ%2FpFw9QpVyxDDtIkwj9%2FCFtKBBd9WnOqMWowLHiM%2BU33jSZ5EOySM6zACC%2FYYKMHHQbv%2FzERy7GnPpa6gRZHqhObocYVXqkqcSZgZXILEEApNNQcCeO1MXbaFI9MwcDijEbWT7Z5f6QZMt0fuL7d2T5l71rn1juyN66%2FoIJvrfLYnnGXkAiZymxEiRSNUZUHpQ30Kth%2F0C0%2Fv6UUYz1P3oJxI9ifwOOBTDd3wrgBN4ydhf64%2BsYcMq43C3MTQh%2Fsc6%2BW7DBilenv8kXYQ%7Ctkp%3ABk9SR6q2tML2Zg</x18tc:text>
    <x18tc:extLst>
      <ext uri="{F7C98A9C-CBB3-438F-8F68-D28B6AF4A901}">
        <xltc2:checksum/>
        <xltc2:hyperlink startIndex="0" length="492" url="https://www.ebay.com/itm/205756001751?_skw=zephyrus&amp;itmmeta=01KET2D3C8W6WVY18HW29WBAM4&amp;hash=item2fe8036dd7:g:VEQAAeSwYwVpXo~U&amp;itmprp=enc%3AAQAKAAAA4FkggFvd1GGDu0w3yXCmi1coLcyQ%2FpFw9QpVyxDDtIkwj9%2FCFtKBBd9WnOqMWowLHiM%2BU33jSZ5EOySM6zACC%2FYYKMHHQbv%2FzERy7GnPpa6gRZHqhObocYVXqkqcSZgZXILEEApNNQcCeO1MXbaFI9MwcDijEbWT7Z5f6QZMt0fuL7d2T5l71rn1juyN66%2FoIJvrfLYnnGXkAiZymxEiRSNUZUHpQ30Kth%2F0C0%2Fv6UUYz1P3oJxI9ifwOOBTDd3wrgBN4ydhf64%2BsYcMq43C3MTQh%2Fsc6%2BW7DBilenv8kXYQ%7Ctkp%3ABk9SR6q2tML2Zg"/>
      </ext>
    </x18tc:extLst>
  </x18tc:threadedComment>
  <x18tc:threadedComment ref="L256" dT="2025-10-21T17:01:33.00" personId="{a5d43f6d-3c72-4414-b012-8f52ef50acc4}" id="{92612c27-3261-42d7-ad87-ee82eae14bcc}" done="0">
    <x18tc:text xml:space="preserve">https://drive.google.com/file/d/1fzh-opEix_5hq-RUpC3N5yKlw8lXheuO/view?usp=drive_link</x18tc:text>
    <x18tc:extLst>
      <ext uri="{F7C98A9C-CBB3-438F-8F68-D28B6AF4A901}">
        <xltc2:checksum/>
        <xltc2:hyperlink startIndex="0" length="85" url="https://drive.google.com/file/d/1fzh-opEix_5hq-RUpC3N5yKlw8lXheuO/view?usp=drive_link"/>
      </ext>
    </x18tc:extLst>
  </x18tc:threadedComment>
  <x18tc:threadedComment ref="J359" dT="2025-12-01T17:07:33.00" personId="{d8e4f5ad-b65d-4160-a56f-197530fb7eb1}" id="{45715974-6f89-4d1d-8a52-a4b6534add1d}" done="0">
    <x18tc:text xml:space="preserve">https://drive.google.com/file/d/1e6jTRngMlBp-YfHxnoXIB0V7RRW45vuM/view?usp=drive_link</x18tc:text>
    <x18tc:extLst>
      <ext uri="{F7C98A9C-CBB3-438F-8F68-D28B6AF4A901}">
        <xltc2:checksum/>
        <xltc2:hyperlink startIndex="0" length="85" url="https://drive.google.com/file/d/1e6jTRngMlBp-YfHxnoXIB0V7RRW45vuM/view?usp=drive_link"/>
      </ext>
    </x18tc:extLst>
  </x18tc:threadedComment>
  <x18tc:threadedComment ref="J359" dT="2025-12-01T17:08:22.00" personId="{d8e4f5ad-b65d-4160-a56f-197530fb7eb1}" id="{03e5fdfc-b4db-46e9-bf6c-5e85f9af0383}" parentId="{45715974-6f89-4d1d-8a52-a4b6534add1d}">
    <x18tc:text xml:space="preserve">https://drive.google.com/file/d/1R5wA33JGa9_nVsYNI6F-hFgRIiDiNtKJ/view?usp=drive_link</x18tc:text>
    <x18tc:extLst>
      <ext uri="{F7C98A9C-CBB3-438F-8F68-D28B6AF4A901}">
        <xltc2:checksum/>
        <xltc2:hyperlink startIndex="0" length="85" url="https://drive.google.com/file/d/1R5wA33JGa9_nVsYNI6F-hFgRIiDiNtKJ/view?usp=drive_link"/>
      </ext>
    </x18tc:extLst>
  </x18tc:threadedComment>
  <x18tc:threadedComment ref="J359" dT="2025-12-04T18:55:19.00" personId="{d8e4f5ad-b65d-4160-a56f-197530fb7eb1}" id="{db1d018b-642d-475c-bc99-e6c09d82cb05}" parentId="{45715974-6f89-4d1d-8a52-a4b6534add1d}">
    <x18tc:text xml:space="preserve">https://drive.google.com/file/d/16bzXdP143VshFsXXBiSjF3F9MeuAPfdg/view?usp=drive_link</x18tc:text>
    <x18tc:extLst>
      <ext uri="{F7C98A9C-CBB3-438F-8F68-D28B6AF4A901}">
        <xltc2:checksum/>
        <xltc2:hyperlink startIndex="0" length="85" url="https://drive.google.com/file/d/16bzXdP143VshFsXXBiSjF3F9MeuAPfdg/view?usp=drive_link"/>
      </ext>
    </x18tc:extLst>
  </x18tc:threadedComment>
  <x18tc:threadedComment ref="J359" dT="2025-12-05T17:43:51.00" personId="{d8e4f5ad-b65d-4160-a56f-197530fb7eb1}" id="{a7cbc64f-7294-4314-8958-1ad39e2d7dc6}" parentId="{45715974-6f89-4d1d-8a52-a4b6534add1d}">
    <x18tc:text xml:space="preserve">https://drive.google.com/file/d/1tcGNsRcjM2w3LJaMMxSqDtReBSWz5GzX/view?usp=drive_link</x18tc:text>
    <x18tc:extLst>
      <ext uri="{F7C98A9C-CBB3-438F-8F68-D28B6AF4A901}">
        <xltc2:checksum/>
        <xltc2:hyperlink startIndex="0" length="85" url="https://drive.google.com/file/d/1tcGNsRcjM2w3LJaMMxSqDtReBSWz5GzX/view?usp=drive_link"/>
      </ext>
    </x18tc:extLst>
  </x18tc:threadedComment>
  <x18tc:threadedComment ref="J359" dT="2025-12-27T00:42:32.00" personId="{d8e4f5ad-b65d-4160-a56f-197530fb7eb1}" id="{ad063fd3-eb57-493c-9f64-5bcfca167dec}" parentId="{45715974-6f89-4d1d-8a52-a4b6534add1d}">
    <x18tc:text xml:space="preserve">https://drive.google.com/file/d/1qjdM3ZzMG6W_PlpafAt7qM3f8pYAQUZl/view?usp=drive_link</x18tc:text>
    <x18tc:extLst>
      <ext uri="{F7C98A9C-CBB3-438F-8F68-D28B6AF4A901}">
        <xltc2:checksum/>
        <xltc2:hyperlink startIndex="0" length="85" url="https://drive.google.com/file/d/1qjdM3ZzMG6W_PlpafAt7qM3f8pYAQUZl/view?usp=drive_link"/>
      </ext>
    </x18tc:extLst>
  </x18tc:threadedComment>
  <x18tc:threadedComment ref="W270" dT="2025-12-01T17:39:52.00" personId="{a5d43f6d-3c72-4414-b012-8f52ef50acc4}" id="{49ee2869-3fb8-4a08-adf4-97d48ba1b165}" done="0">
    <x18tc:text xml:space="preserve">https://drive.google.com/file/d/14F7Fyny5vLWFcr_BWGlknO7QNEuHktZn/view?usp=drive_link</x18tc:text>
    <x18tc:extLst>
      <ext uri="{F7C98A9C-CBB3-438F-8F68-D28B6AF4A901}">
        <xltc2:checksum/>
        <xltc2:hyperlink startIndex="0" length="85" url="https://drive.google.com/file/d/14F7Fyny5vLWFcr_BWGlknO7QNEuHktZn/view?usp=drive_link"/>
      </ext>
    </x18tc:extLst>
  </x18tc:threadedComment>
  <x18tc:threadedComment ref="AF676" dT="2026-04-26T21:01:16.00" personId="{2ddfa542-8116-4937-a057-08470d7abaab}" id="{2c6ef71f-7b74-400b-a0de-6b1785372b5d}" done="1">
    <x18tc:text xml:space="preserve">venta final, excedentes, fixit</x18tc:text>
  </x18tc:threadedComment>
  <x18tc:threadedComment ref="J388" dT="2025-12-29T22:56:30.00" personId="{4df2d6c4-e43e-4f2e-b623-d90f458472ff}" id="{a133d405-9edf-4803-a5b0-bf3e617e7b50}" done="0">
    <x18tc:text xml:space="preserve">https://drive.google.com/file/d/1GeiPGiuzSyATYYQy-NjMmMLTbnnNj6yV/view?usp=drive_link</x18tc:text>
    <x18tc:extLst>
      <ext uri="{F7C98A9C-CBB3-438F-8F68-D28B6AF4A901}">
        <xltc2:checksum/>
        <xltc2:hyperlink startIndex="0" length="85" url="https://drive.google.com/file/d/1GeiPGiuzSyATYYQy-NjMmMLTbnnNj6yV/view?usp=drive_link"/>
      </ext>
    </x18tc:extLst>
  </x18tc:threadedComment>
  <x18tc:threadedComment ref="AF235" dT="2025-10-02T20:19:46.00" personId="{2ddfa542-8116-4937-a057-08470d7abaab}" id="{056cd372-1b44-40fd-9999-a093e4c766b9}" done="0">
    <x18tc:text xml:space="preserve">Venta final, fixit, comprobante</x18tc:text>
  </x18tc:threadedComment>
  <x18tc:threadedComment ref="AF650" dT="2026-04-26T21:01:12.00" personId="{2ddfa542-8116-4937-a057-08470d7abaab}" id="{8c252691-da38-464c-a572-d21952df72e8}" done="0">
    <x18tc:text xml:space="preserve">venta final, excedentes, fixit</x18tc:text>
  </x18tc:threadedComment>
  <x18tc:threadedComment ref="AF650" dT="2026-05-24T20:38:54.00" personId="{2ddfa542-8116-4937-a057-08470d7abaab}" id="{9a2c60b1-7b9e-43dd-8169-eee8c6fbf891}" parentId="{8c252691-da38-464c-a572-d21952df72e8}">
    <x18tc:text xml:space="preserve">REVISAR FIXIT</x18tc:text>
  </x18tc:threadedComment>
  <x18tc:threadedComment ref="L57" dT="2025-05-23T17:38:59.00" personId="{d8e4f5ad-b65d-4160-a56f-197530fb7eb1}" id="{7ac4c372-3d16-40e4-a5f6-afc1e12ea286}" done="0">
    <x18tc:text xml:space="preserve">https://drive.google.com/file/d/17GMcKhl6EMFJP3ho0hR8nUGkd_5RCk1F/view?usp=drive_link</x18tc:text>
    <x18tc:extLst>
      <ext uri="{F7C98A9C-CBB3-438F-8F68-D28B6AF4A901}">
        <xltc2:checksum/>
        <xltc2:hyperlink startIndex="0" length="85" url="https://drive.google.com/file/d/17GMcKhl6EMFJP3ho0hR8nUGkd_5RCk1F/view?usp=drive_link"/>
      </ext>
    </x18tc:extLst>
  </x18tc:threadedComment>
  <x18tc:threadedComment ref="K378" dT="2025-12-29T22:54:50.00" personId="{4df2d6c4-e43e-4f2e-b623-d90f458472ff}" id="{28d3da8b-c832-4ee1-b25f-98b32ff5ed9a}" done="0">
    <x18tc:text xml:space="preserve">https://drive.google.com/file/d/1uL2kEvdwOU91A-o9DRUbDUi9W7uGSZLe/view?usp=drive_link</x18tc:text>
    <x18tc:extLst>
      <ext uri="{F7C98A9C-CBB3-438F-8F68-D28B6AF4A901}">
        <xltc2:checksum/>
        <xltc2:hyperlink startIndex="0" length="85" url="https://drive.google.com/file/d/1uL2kEvdwOU91A-o9DRUbDUi9W7uGSZLe/view?usp=drive_link"/>
      </ext>
    </x18tc:extLst>
  </x18tc:threadedComment>
  <x18tc:threadedComment ref="J52" dT="2025-05-23T17:36:49.00" personId="{d8e4f5ad-b65d-4160-a56f-197530fb7eb1}" id="{10429945-5f95-4d64-8b34-8e5a46447bae}" done="0">
    <x18tc:text xml:space="preserve">https://drive.google.com/file/d/1U7atK1d_-OVBWaGIjYWMom5u3Q2sOU8k/view?usp=drive_link</x18tc:text>
    <x18tc:extLst>
      <ext uri="{F7C98A9C-CBB3-438F-8F68-D28B6AF4A901}">
        <xltc2:checksum/>
        <xltc2:hyperlink startIndex="0" length="85" url="https://drive.google.com/file/d/1U7atK1d_-OVBWaGIjYWMom5u3Q2sOU8k/view?usp=drive_link"/>
      </ext>
    </x18tc:extLst>
  </x18tc:threadedComment>
  <x18tc:threadedComment ref="J371" dT="2025-12-01T19:16:52.00" personId="{4df2d6c4-e43e-4f2e-b623-d90f458472ff}" id="{f7a55878-ccd8-4156-8f4d-ff29f4975a43}" done="0">
    <x18tc:text xml:space="preserve">https://drive.google.com/file/d/1N8pIJSlFKvYX55vmfiXOzC6vuM-rY-wL/view?usp=drive_link</x18tc:text>
    <x18tc:extLst>
      <ext uri="{F7C98A9C-CBB3-438F-8F68-D28B6AF4A901}">
        <xltc2:checksum/>
        <xltc2:hyperlink startIndex="0" length="85" url="https://drive.google.com/file/d/1N8pIJSlFKvYX55vmfiXOzC6vuM-rY-wL/view?usp=drive_link"/>
      </ext>
    </x18tc:extLst>
  </x18tc:threadedComment>
  <x18tc:threadedComment ref="AF678" dT="2026-04-26T20:50:04.00" personId="{2ddfa542-8116-4937-a057-08470d7abaab}" id="{8bf72d2c-136e-437d-91f9-c67eb5e8755f}" done="1">
    <x18tc:text xml:space="preserve">venta final, excedentes, fixit</x18tc:text>
  </x18tc:threadedComment>
  <x18tc:threadedComment ref="J49" dT="2025-05-23T17:32:57.00" personId="{d8e4f5ad-b65d-4160-a56f-197530fb7eb1}" id="{2cd984e9-d9bc-401f-8d0e-4804020b49a7}" done="0">
    <x18tc:text xml:space="preserve">https://drive.google.com/file/d/1pI26tygF3-F_1PbZRKO5zxwPSGF1_8_m/view?usp=drive_link</x18tc:text>
    <x18tc:extLst>
      <ext uri="{F7C98A9C-CBB3-438F-8F68-D28B6AF4A901}">
        <xltc2:checksum/>
        <xltc2:hyperlink startIndex="0" length="85" url="https://drive.google.com/file/d/1pI26tygF3-F_1PbZRKO5zxwPSGF1_8_m/view?usp=drive_link"/>
      </ext>
    </x18tc:extLst>
  </x18tc:threadedComment>
  <x18tc:threadedComment ref="J731" dT="2026-05-05T00:13:31.00" personId="{f9b224d0-ee33-4499-ae47-db5bcd2d0435}" id="{e307d20e-24fa-44a3-a60b-321fa9e6ff75}" done="0">
    <x18tc:text xml:space="preserve">https://drive.google.com/file/d/1-2saQhM9WMQlQEWwLjJ31xFw1c6znat7/view?usp=drive_link</x18tc:text>
    <x18tc:extLst>
      <ext uri="{F7C98A9C-CBB3-438F-8F68-D28B6AF4A901}">
        <xltc2:checksum/>
        <xltc2:hyperlink startIndex="0" length="85" url="https://drive.google.com/file/d/1-2saQhM9WMQlQEWwLjJ31xFw1c6znat7/view?usp=drive_link"/>
      </ext>
    </x18tc:extLst>
  </x18tc:threadedComment>
  <x18tc:threadedComment ref="J447" dT="2025-12-30T00:18:38.00" personId="{4df2d6c4-e43e-4f2e-b623-d90f458472ff}" id="{6e6facd7-f977-4547-817e-a3a5f11957ae}" done="0">
    <x18tc:text xml:space="preserve">https://drive.google.com/file/d/1pH60ajGnDAYXoah1CGcCxID2yZkmP8aT/view?usp=drive_link</x18tc:text>
    <x18tc:extLst>
      <ext uri="{F7C98A9C-CBB3-438F-8F68-D28B6AF4A901}">
        <xltc2:checksum/>
        <xltc2:hyperlink startIndex="0" length="85" url="https://drive.google.com/file/d/1pH60ajGnDAYXoah1CGcCxID2yZkmP8aT/view?usp=drive_link"/>
      </ext>
    </x18tc:extLst>
  </x18tc:threadedComment>
  <x18tc:threadedComment ref="J360" dT="2025-12-01T19:13:42.00" personId="{4df2d6c4-e43e-4f2e-b623-d90f458472ff}" id="{97bed50e-9281-46b0-9804-ae8a2050c170}" done="0">
    <x18tc:text xml:space="preserve">https://drive.google.com/file/d/1Us7PqOAdFEbTZJFB18zn2bEMFtfIlUOa/view?usp=drive_link</x18tc:text>
    <x18tc:extLst>
      <ext uri="{F7C98A9C-CBB3-438F-8F68-D28B6AF4A901}">
        <xltc2:checksum/>
        <xltc2:hyperlink startIndex="0" length="85" url="https://drive.google.com/file/d/1Us7PqOAdFEbTZJFB18zn2bEMFtfIlUOa/view?usp=drive_link"/>
      </ext>
    </x18tc:extLst>
  </x18tc:threadedComment>
  <x18tc:threadedComment ref="K300" dT="2025-12-01T16:03:56.00" personId="{d8e4f5ad-b65d-4160-a56f-197530fb7eb1}" id="{da64a7c8-be4a-42ba-84f6-fce8aa0fe7d3}" done="0">
    <x18tc:text xml:space="preserve">https://drive.google.com/file/d/1HufMrsj8c39ux4SsPHjYmIlLUS831sCH/view?usp=drive_link</x18tc:text>
    <x18tc:extLst>
      <ext uri="{F7C98A9C-CBB3-438F-8F68-D28B6AF4A901}">
        <xltc2:checksum/>
        <xltc2:hyperlink startIndex="0" length="85" url="https://drive.google.com/file/d/1HufMrsj8c39ux4SsPHjYmIlLUS831sCH/view?usp=drive_link"/>
      </ext>
    </x18tc:extLst>
  </x18tc:threadedComment>
  <x18tc:threadedComment ref="K300" dT="2025-12-01T16:04:13.00" personId="{d8e4f5ad-b65d-4160-a56f-197530fb7eb1}" id="{dd5d2a27-6f93-4eab-9c48-2eb6f73abe86}" parentId="{da64a7c8-be4a-42ba-84f6-fce8aa0fe7d3}">
    <x18tc:text xml:space="preserve">https://drive.google.com/file/d/1iKey9_qOES5XOFq8WCfdCPZEYQ9l4UlA/view?usp=drive_link</x18tc:text>
    <x18tc:extLst>
      <ext uri="{F7C98A9C-CBB3-438F-8F68-D28B6AF4A901}">
        <xltc2:checksum/>
        <xltc2:hyperlink startIndex="0" length="85" url="https://drive.google.com/file/d/1iKey9_qOES5XOFq8WCfdCPZEYQ9l4UlA/view?usp=drive_link"/>
      </ext>
    </x18tc:extLst>
  </x18tc:threadedComment>
  <x18tc:threadedComment ref="AF688" dT="2026-04-26T20:40:05.00" personId="{2ddfa542-8116-4937-a057-08470d7abaab}" id="{1a48d67f-19de-4f21-80d8-ca3229b28763}" done="0">
    <x18tc:text xml:space="preserve">fixit, excedentes, venta final</x18tc:text>
  </x18tc:threadedComment>
  <x18tc:threadedComment ref="Q356" dT="2025-12-29T22:49:53.00" personId="{4df2d6c4-e43e-4f2e-b623-d90f458472ff}" id="{03ca72f9-d79b-4430-b131-90714d4a68e1}" done="1">
    <x18tc:text xml:space="preserve">minino</x18tc:text>
  </x18tc:threadedComment>
  <x18tc:threadedComment ref="AF670" dT="2026-04-26T20:32:41.00" personId="{2ddfa542-8116-4937-a057-08470d7abaab}" id="{baa4b8c8-27a2-4761-9e1f-3fde95a6db42}" done="1">
    <x18tc:text xml:space="preserve">fixit, excedentes, venta final</x18tc:text>
  </x18tc:threadedComment>
  <x18tc:threadedComment ref="J25" dT="2025-05-09T20:15:14.00" personId="{a5d43f6d-3c72-4414-b012-8f52ef50acc4}" id="{450131db-5876-42ec-be2a-18d0a3487c5d}" done="0">
    <x18tc:text xml:space="preserve">https://drive.google.com/file/d/1a3kOgoiKef8iUU-cthB6dAoOn3MzqLbU/view?usp=drive_link</x18tc:text>
    <x18tc:extLst>
      <ext uri="{F7C98A9C-CBB3-438F-8F68-D28B6AF4A901}">
        <xltc2:checksum/>
        <xltc2:hyperlink startIndex="0" length="85" url="https://drive.google.com/file/d/1a3kOgoiKef8iUU-cthB6dAoOn3MzqLbU/view?usp=drive_link"/>
      </ext>
    </x18tc:extLst>
  </x18tc:threadedComment>
  <x18tc:threadedComment ref="AF685" dT="2026-04-26T20:39:58.00" personId="{2ddfa542-8116-4937-a057-08470d7abaab}" id="{dda2c530-66b7-445c-8c3b-983e98f20466}" done="1">
    <x18tc:text xml:space="preserve">fixit, excedentes, venta final</x18tc:text>
  </x18tc:threadedComment>
  <x18tc:threadedComment ref="K346" dT="2025-12-29T22:36:39.00" personId="{4df2d6c4-e43e-4f2e-b623-d90f458472ff}" id="{d8205843-dab7-4c2e-b7dd-18b692d7f5d4}" done="0">
    <x18tc:text xml:space="preserve">https://drive.google.com/file/d/1MU0hCy9MVzwW5Ax56ti86pHC4sUIYSEJ/view?usp=drive_link</x18tc:text>
    <x18tc:extLst>
      <ext uri="{F7C98A9C-CBB3-438F-8F68-D28B6AF4A901}">
        <xltc2:checksum/>
        <xltc2:hyperlink startIndex="0" length="85" url="https://drive.google.com/file/d/1MU0hCy9MVzwW5Ax56ti86pHC4sUIYSEJ/view?usp=drive_link"/>
      </ext>
    </x18tc:extLst>
  </x18tc:threadedComment>
  <x18tc:threadedComment ref="AF666" dT="2026-04-26T20:32:36.00" personId="{2ddfa542-8116-4937-a057-08470d7abaab}" id="{a7d0ed18-3061-4a72-9a8a-8921ec3cb0eb}" done="1">
    <x18tc:text xml:space="preserve">fixit, excedentes, venta final</x18tc:text>
  </x18tc:threadedComment>
  <x18tc:threadedComment ref="B272" dT="2025-10-21T15:42:25.00" personId="{a5d43f6d-3c72-4414-b012-8f52ef50acc4}" id="{4fc78729-5976-4c92-af38-11b193d06d50}" done="0">
    <x18tc:text xml:space="preserve">pagó el 09/10 solo que se le entregó la laptop a otro cliente, así que se compró otra nueva</x18tc:text>
  </x18tc:threadedComment>
  <x18tc:threadedComment ref="AF696" dT="2026-04-26T20:40:18.00" personId="{2ddfa542-8116-4937-a057-08470d7abaab}" id="{5d2a168c-5479-48da-8838-398293c6367b}" done="0">
    <x18tc:text xml:space="preserve">fixit, excedentes, venta final</x18tc:text>
  </x18tc:threadedComment>
  <x18tc:threadedComment ref="AF681" dT="2026-04-26T20:32:48.00" personId="{2ddfa542-8116-4937-a057-08470d7abaab}" id="{bd95c8da-260b-4f3b-8ddd-3f40e305ca20}" done="0">
    <x18tc:text xml:space="preserve">fixit, excedentes, venta final</x18tc:text>
  </x18tc:threadedComment>
  <x18tc:threadedComment ref="AF667" dT="2026-04-26T20:49:37.00" personId="{2ddfa542-8116-4937-a057-08470d7abaab}" id="{cd7fbcde-f968-44fc-92cf-c1d3ef374378}" done="1">
    <x18tc:text xml:space="preserve">venta final, excedentes, fixit</x18tc:text>
  </x18tc:threadedComment>
  <x18tc:threadedComment ref="B263" dT="2025-10-21T15:40:43.00" personId="{a5d43f6d-3c72-4414-b012-8f52ef50acc4}" id="{5b0f5ad8-a9cf-4ae7-898a-32962f63baea}" done="0">
    <x18tc:text xml:space="preserve">se pago el 20/10 la laptop era de mi hermana</x18tc:text>
  </x18tc:threadedComment>
  <x18tc:threadedComment ref="L25" dT="2025-05-09T20:19:36.00" personId="{a5d43f6d-3c72-4414-b012-8f52ef50acc4}" id="{99d81e51-41ed-446e-8667-97d78646277a}" done="0">
    <x18tc:text xml:space="preserve">https://drive.google.com/file/d/17BZTA95jjJCGD7DsfX9H4JXIqbqfrJST/view?usp=drive_link</x18tc:text>
    <x18tc:extLst>
      <ext uri="{F7C98A9C-CBB3-438F-8F68-D28B6AF4A901}">
        <xltc2:checksum/>
        <xltc2:hyperlink startIndex="0" length="85" url="https://drive.google.com/file/d/17BZTA95jjJCGD7DsfX9H4JXIqbqfrJST/view?usp=drive_link"/>
      </ext>
    </x18tc:extLst>
  </x18tc:threadedComment>
  <x18tc:threadedComment ref="K333" dT="2025-12-01T16:52:43.00" personId="{d8e4f5ad-b65d-4160-a56f-197530fb7eb1}" id="{dd27c04f-620c-4efd-987a-4b9c9a91ebc8}" done="0">
    <x18tc:text xml:space="preserve">https://drive.google.com/file/d/1d6a0_aBGmjFDajUrMluI_rZbvavsidBJ/view?usp=drive_link</x18tc:text>
    <x18tc:extLst>
      <ext uri="{F7C98A9C-CBB3-438F-8F68-D28B6AF4A901}">
        <xltc2:checksum/>
        <xltc2:hyperlink startIndex="0" length="85" url="https://drive.google.com/file/d/1d6a0_aBGmjFDajUrMluI_rZbvavsidBJ/view?usp=drive_link"/>
      </ext>
    </x18tc:extLst>
  </x18tc:threadedComment>
  <x18tc:threadedComment ref="AF690" dT="2026-04-26T20:40:12.00" personId="{2ddfa542-8116-4937-a057-08470d7abaab}" id="{94044219-df8c-4867-b772-ee5e5545a56a}" done="0">
    <x18tc:text xml:space="preserve">fixit, excedentes, venta final</x18tc:text>
  </x18tc:threadedComment>
  <x18tc:threadedComment ref="AF672" dT="2026-04-26T20:32:44.00" personId="{2ddfa542-8116-4937-a057-08470d7abaab}" id="{070b4882-a5c3-456d-8c06-fb3a2f626850}" done="1">
    <x18tc:text xml:space="preserve">fixit, excedentes, venta final</x18tc:text>
  </x18tc:threadedComment>
  <x18tc:threadedComment ref="J152" dT="2025-07-30T22:12:30.00" personId="{d8e4f5ad-b65d-4160-a56f-197530fb7eb1}" id="{572adedc-7207-44ec-8210-124a70f41550}" done="0">
    <x18tc:text xml:space="preserve">https://drive.google.com/file/d/1lUmGQA44xgVN5V1V_GV4FsSxQH5pWQPB/view?usp=drive_link</x18tc:text>
    <x18tc:extLst>
      <ext uri="{F7C98A9C-CBB3-438F-8F68-D28B6AF4A901}">
        <xltc2:checksum/>
        <xltc2:hyperlink startIndex="0" length="85" url="https://drive.google.com/file/d/1lUmGQA44xgVN5V1V_GV4FsSxQH5pWQPB/view?usp=drive_link"/>
      </ext>
    </x18tc:extLst>
  </x18tc:threadedComment>
  <x18tc:threadedComment ref="K748" dT="2026-07-01T16:51:03.00" personId="{f9b224d0-ee33-4499-ae47-db5bcd2d0435}" id="{7f7e01f7-3c05-4357-a823-d8875b81fda1}" done="0">
    <x18tc:text xml:space="preserve">https://drive.google.com/file/d/1L_kDSdkC6Ij3wJHghbSD10P4rVYYNjsD/view?usp=drive_link</x18tc:text>
    <x18tc:extLst>
      <ext uri="{F7C98A9C-CBB3-438F-8F68-D28B6AF4A901}">
        <xltc2:checksum/>
        <xltc2:hyperlink startIndex="0" length="85" url="https://drive.google.com/file/d/1L_kDSdkC6Ij3wJHghbSD10P4rVYYNjsD/view?usp=drive_link"/>
      </ext>
    </x18tc:extLst>
  </x18tc:threadedComment>
  <x18tc:threadedComment ref="K748" dT="2026-07-01T16:51:46.00" personId="{f9b224d0-ee33-4499-ae47-db5bcd2d0435}" id="{0c0c464a-edc1-4249-b797-cabeafb34f94}" parentId="{7f7e01f7-3c05-4357-a823-d8875b81fda1}">
    <x18tc:text xml:space="preserve">https://drive.google.com/file/d/12Sw7JeIxrG9J6t22mxWKlB8-wlhQmv5a/view?usp=drive_link</x18tc:text>
    <x18tc:extLst>
      <ext uri="{F7C98A9C-CBB3-438F-8F68-D28B6AF4A901}">
        <xltc2:checksum/>
        <xltc2:hyperlink startIndex="0" length="85" url="https://drive.google.com/file/d/12Sw7JeIxrG9J6t22mxWKlB8-wlhQmv5a/view?usp=drive_link"/>
      </ext>
    </x18tc:extLst>
  </x18tc:threadedComment>
  <x18tc:threadedComment ref="K748" dT="2026-07-01T16:52:33.00" personId="{f9b224d0-ee33-4499-ae47-db5bcd2d0435}" id="{962c470a-6ee0-4b95-b790-803db7347936}" parentId="{7f7e01f7-3c05-4357-a823-d8875b81fda1}">
    <x18tc:text xml:space="preserve">https://drive.google.com/file/d/1X1Env5qns2AvKbuIfimFiX7fzQf-Dy4P/view?usp=drive_link</x18tc:text>
    <x18tc:extLst>
      <ext uri="{F7C98A9C-CBB3-438F-8F68-D28B6AF4A901}">
        <xltc2:checksum/>
        <xltc2:hyperlink startIndex="0" length="85" url="https://drive.google.com/file/d/1X1Env5qns2AvKbuIfimFiX7fzQf-Dy4P/view?usp=drive_link"/>
      </ext>
    </x18tc:extLst>
  </x18tc:threadedComment>
  <x18tc:threadedComment ref="K748" dT="2026-07-01T16:53:28.00" personId="{f9b224d0-ee33-4499-ae47-db5bcd2d0435}" id="{4b29dce3-435a-4bca-9826-c06323d93245}" parentId="{7f7e01f7-3c05-4357-a823-d8875b81fda1}">
    <x18tc:text xml:space="preserve">https://drive.google.com/file/d/1lssvwxzkYPsJAa5aXwM-DnwOv_Vz_j5q/view?usp=drive_link</x18tc:text>
    <x18tc:extLst>
      <ext uri="{F7C98A9C-CBB3-438F-8F68-D28B6AF4A901}">
        <xltc2:checksum/>
        <xltc2:hyperlink startIndex="0" length="85" url="https://drive.google.com/file/d/1lssvwxzkYPsJAa5aXwM-DnwOv_Vz_j5q/view?usp=drive_link"/>
      </ext>
    </x18tc:extLst>
  </x18tc:threadedComment>
  <x18tc:threadedComment ref="K748" dT="2026-07-01T16:54:09.00" personId="{f9b224d0-ee33-4499-ae47-db5bcd2d0435}" id="{4aee01e7-a432-4450-9b11-a74b8ac7bf14}" parentId="{7f7e01f7-3c05-4357-a823-d8875b81fda1}">
    <x18tc:text xml:space="preserve">https://drive.google.com/file/d/1XZckm8nfhraDfS8okLuNuz3X8eCdOPxF/view?usp=drive_link</x18tc:text>
    <x18tc:extLst>
      <ext uri="{F7C98A9C-CBB3-438F-8F68-D28B6AF4A901}">
        <xltc2:checksum/>
        <xltc2:hyperlink startIndex="0" length="85" url="https://drive.google.com/file/d/1XZckm8nfhraDfS8okLuNuz3X8eCdOPxF/view?usp=drive_link"/>
      </ext>
    </x18tc:extLst>
  </x18tc:threadedComment>
  <x18tc:threadedComment ref="K748" dT="2026-07-01T16:54:46.00" personId="{f9b224d0-ee33-4499-ae47-db5bcd2d0435}" id="{00ec1131-b0ee-4e38-bbbb-190b819c34ca}" parentId="{7f7e01f7-3c05-4357-a823-d8875b81fda1}">
    <x18tc:text xml:space="preserve">https://drive.google.com/file/d/1LIGpxu4br5TSznUMk5pi5W0C7gkCK2DY/view?usp=drive_link</x18tc:text>
    <x18tc:extLst>
      <ext uri="{F7C98A9C-CBB3-438F-8F68-D28B6AF4A901}">
        <xltc2:checksum/>
        <xltc2:hyperlink startIndex="0" length="85" url="https://drive.google.com/file/d/1LIGpxu4br5TSznUMk5pi5W0C7gkCK2DY/view?usp=drive_link"/>
      </ext>
    </x18tc:extLst>
  </x18tc:threadedComment>
  <x18tc:threadedComment ref="K748" dT="2026-07-01T16:55:44.00" personId="{f9b224d0-ee33-4499-ae47-db5bcd2d0435}" id="{9f151c29-8916-4e76-8738-aa9ac0cd130c}" parentId="{7f7e01f7-3c05-4357-a823-d8875b81fda1}">
    <x18tc:text xml:space="preserve">https://drive.google.com/file/d/1mIbyC2Gdsp_8W3m-k6c-dwMTzDvLOXtW/view?usp=drive_link</x18tc:text>
    <x18tc:extLst>
      <ext uri="{F7C98A9C-CBB3-438F-8F68-D28B6AF4A901}">
        <xltc2:checksum/>
        <xltc2:hyperlink startIndex="0" length="85" url="https://drive.google.com/file/d/1mIbyC2Gdsp_8W3m-k6c-dwMTzDvLOXtW/view?usp=drive_link"/>
      </ext>
    </x18tc:extLst>
  </x18tc:threadedComment>
  <x18tc:threadedComment ref="K748" dT="2026-07-01T16:56:38.00" personId="{f9b224d0-ee33-4499-ae47-db5bcd2d0435}" id="{4fcc4de7-4141-4864-afe0-532e89b39f91}" parentId="{7f7e01f7-3c05-4357-a823-d8875b81fda1}">
    <x18tc:text xml:space="preserve">https://drive.google.com/file/d/13AuBk3pHLwqp4wMFiACJj1Gsey2MkJq8/view?usp=drive_link</x18tc:text>
    <x18tc:extLst>
      <ext uri="{F7C98A9C-CBB3-438F-8F68-D28B6AF4A901}">
        <xltc2:checksum/>
        <xltc2:hyperlink startIndex="0" length="85" url="https://drive.google.com/file/d/13AuBk3pHLwqp4wMFiACJj1Gsey2MkJq8/view?usp=drive_link"/>
      </ext>
    </x18tc:extLst>
  </x18tc:threadedComment>
  <x18tc:threadedComment ref="K748" dT="2026-07-01T16:58:27.00" personId="{f9b224d0-ee33-4499-ae47-db5bcd2d0435}" id="{07c88f84-34e5-4fbf-9988-114cfb60a2bd}" parentId="{7f7e01f7-3c05-4357-a823-d8875b81fda1}">
    <x18tc:text xml:space="preserve">https://drive.google.com/file/d/1Od_KDL11HfMXnaodSXjcO4BW5QUakFih/view?usp=drive_link</x18tc:text>
    <x18tc:extLst>
      <ext uri="{F7C98A9C-CBB3-438F-8F68-D28B6AF4A901}">
        <xltc2:checksum/>
        <xltc2:hyperlink startIndex="0" length="85" url="https://drive.google.com/file/d/1Od_KDL11HfMXnaodSXjcO4BW5QUakFih/view?usp=drive_link"/>
      </ext>
    </x18tc:extLst>
  </x18tc:threadedComment>
  <x18tc:threadedComment ref="K748" dT="2026-07-01T16:58:50.00" personId="{f9b224d0-ee33-4499-ae47-db5bcd2d0435}" id="{aeae0746-1845-4446-b003-b9d21a0f4c0f}" parentId="{7f7e01f7-3c05-4357-a823-d8875b81fda1}">
    <x18tc:text xml:space="preserve">https://drive.google.com/file/d/1boT_gudNQYNQOeknyHUSDuqTJ0cCMkqt/view?usp=drive_link</x18tc:text>
    <x18tc:extLst>
      <ext uri="{F7C98A9C-CBB3-438F-8F68-D28B6AF4A901}">
        <xltc2:checksum/>
        <xltc2:hyperlink startIndex="0" length="85" url="https://drive.google.com/file/d/1boT_gudNQYNQOeknyHUSDuqTJ0cCMkqt/view?usp=drive_link"/>
      </ext>
    </x18tc:extLst>
  </x18tc:threadedComment>
  <x18tc:threadedComment ref="AF693" dT="2026-04-26T20:32:56.00" personId="{2ddfa542-8116-4937-a057-08470d7abaab}" id="{851854ed-6eb2-4f32-ad08-55d2812695ac}" done="0">
    <x18tc:text xml:space="preserve">excedentes, venta final</x18tc:text>
  </x18tc:threadedComment>
  <x18tc:threadedComment ref="AF669" dT="2026-04-26T20:50:01.00" personId="{2ddfa542-8116-4937-a057-08470d7abaab}" id="{838d881a-380d-4df9-b3e2-8a26e884435e}" done="1">
    <x18tc:text xml:space="preserve">venta final, excedentes, fixit</x18tc:text>
  </x18tc:threadedComment>
  <x18tc:threadedComment ref="C732" dT="2026-05-04T23:54:33.00" personId="{f9b224d0-ee33-4499-ae47-db5bcd2d0435}" id="{819c2b60-aa44-4676-bf1a-664c39c0daf5}" done="0">
    <x18tc:text xml:space="preserve">https://www.bhphotovideo.com/c/product/1875946-REG/lenovo_83f00008us_15_1_legion_5i_gaming.html/specs</x18tc:text>
    <x18tc:extLst>
      <ext uri="{F7C98A9C-CBB3-438F-8F68-D28B6AF4A901}">
        <xltc2:checksum/>
        <xltc2:hyperlink startIndex="0" length="101" url="https://www.bhphotovideo.com/c/product/1875946-REG/lenovo_83f00008us_15_1_legion_5i_gaming.html/specs"/>
      </ext>
    </x18tc:extLst>
  </x18tc:threadedComment>
  <x18tc:threadedComment ref="AF700" dT="2026-04-26T20:40:23.00" personId="{2ddfa542-8116-4937-a057-08470d7abaab}" id="{2b56f0ad-e99d-4f53-8d5c-d0553bd68f36}" done="0">
    <x18tc:text xml:space="preserve">fixit, excedentes, venta final</x18tc:text>
  </x18tc:threadedComment>
  <x18tc:threadedComment ref="AF691" dT="2026-04-26T20:32:53.00" personId="{2ddfa542-8116-4937-a057-08470d7abaab}" id="{7b2d29fb-1bc7-45ba-a707-3bb5ebc1f0f5}" done="0">
    <x18tc:text xml:space="preserve">fixit, excedentes, venta final</x18tc:text>
  </x18tc:threadedComment>
  <x18tc:threadedComment ref="AF668" dT="2026-04-26T20:49:48.00" personId="{2ddfa542-8116-4937-a057-08470d7abaab}" id="{2aa9f12b-da85-4b54-8bd6-542258d23ded}" done="1">
    <x18tc:text xml:space="preserve">venta final, excedentes, fixit</x18tc:text>
  </x18tc:threadedComment>
  <x18tc:threadedComment ref="AF326" dT="2025-12-03T22:28:48.00" personId="{2ddfa542-8116-4937-a057-08470d7abaab}" id="{8e7b3cf6-6f0e-4584-aba4-461541cd2a30}" done="0">
    <x18tc:text xml:space="preserve">VENTA FINAL Y EXCEDENTES</x18tc:text>
  </x18tc:threadedComment>
  <x18tc:threadedComment ref="AF326" dT="2025-12-27T18:29:47.00" personId="{2ddfa542-8116-4937-a057-08470d7abaab}" id="{48fdf2b4-7f2a-4175-920a-39112e602948}" parentId="{8e7b3cf6-6f0e-4584-aba4-461541cd2a30}">
    <x18tc:text xml:space="preserve">Marcado como resuelto</x18tc:text>
  </x18tc:threadedComment>
  <x18tc:threadedComment ref="AF326" dT="2025-12-27T19:07:45.00" personId="{2ddfa542-8116-4937-a057-08470d7abaab}" id="{673c08f5-35eb-4eda-9ae8-f7b4f3155c97}" parentId="{8e7b3cf6-6f0e-4584-aba4-461541cd2a30}">
    <x18tc:text xml:space="preserve">Reabierto</x18tc:text>
  </x18tc:threadedComment>
  <x18tc:threadedComment ref="J361" dT="2025-12-01T17:15:57.00" personId="{d8e4f5ad-b65d-4160-a56f-197530fb7eb1}" id="{4023afd6-231e-4597-9f04-34d2247e28d0}" done="0">
    <x18tc:text xml:space="preserve">https://drive.google.com/file/d/1vz80rw9ucWYNwRPhJKcvRtSVCFwc2_gk/view?usp=drive_link</x18tc:text>
    <x18tc:extLst>
      <ext uri="{F7C98A9C-CBB3-438F-8F68-D28B6AF4A901}">
        <xltc2:checksum/>
        <xltc2:hyperlink startIndex="0" length="85" url="https://drive.google.com/file/d/1vz80rw9ucWYNwRPhJKcvRtSVCFwc2_gk/view?usp=drive_link"/>
      </ext>
    </x18tc:extLst>
  </x18tc:threadedComment>
  <x18tc:threadedComment ref="K356" dT="2025-12-29T22:50:50.00" personId="{4df2d6c4-e43e-4f2e-b623-d90f458472ff}" id="{c3c0b394-01d9-42aa-94ee-0a4f4eacab3d}" done="0">
    <x18tc:text xml:space="preserve">https://drive.google.com/file/d/1MU0hCy9MVzwW5Ax56ti86pHC4sUIYSEJ/view?usp=drive_link</x18tc:text>
    <x18tc:extLst>
      <ext uri="{F7C98A9C-CBB3-438F-8F68-D28B6AF4A901}">
        <xltc2:checksum/>
        <xltc2:hyperlink startIndex="0" length="85" url="https://drive.google.com/file/d/1MU0hCy9MVzwW5Ax56ti86pHC4sUIYSEJ/view?usp=drive_link"/>
      </ext>
    </x18tc:extLst>
  </x18tc:threadedComment>
  <x18tc:threadedComment ref="C475" dT="2026-01-09T16:23:32.00" personId="{4df2d6c4-e43e-4f2e-b623-d90f458472ff}" id="{060e98e1-bf4c-44ca-8f3e-d889cbe8d526}" done="0">
    <x18tc:text xml:space="preserve">https://www.ebay.com/itm/326840085180?_skw=laptop+gaming&amp;itmmeta=01KE98AQR48QZAKW98XR32B2HG&amp;hash=item4c192feabc:g:HFkAAeSwK2JpVzTk</x18tc:text>
    <x18tc:extLst>
      <ext uri="{F7C98A9C-CBB3-438F-8F68-D28B6AF4A901}">
        <xltc2:checksum/>
        <xltc2:hyperlink startIndex="0" length="130" url="https://www.ebay.com/itm/326840085180?_skw=laptop+gaming&amp;itmmeta=01KE98AQR48QZAKW98XR32B2HG&amp;hash=item4c192feabc:g:HFkAAeSwK2JpVzTk"/>
      </ext>
    </x18tc:extLst>
  </x18tc:threadedComment>
  <x18tc:threadedComment ref="K415" dT="2025-12-24T01:54:03.00" personId="{d8e4f5ad-b65d-4160-a56f-197530fb7eb1}" id="{5152c909-2dc5-4705-b05d-f6ce6064f5fa}" done="0">
    <x18tc:text xml:space="preserve">https://drive.google.com/file/d/1egHGIf6Hi0lyGtJymo1whcnW0ymZ4Yl7/view?usp=drive_link</x18tc:text>
    <x18tc:extLst>
      <ext uri="{F7C98A9C-CBB3-438F-8F68-D28B6AF4A901}">
        <xltc2:checksum/>
        <xltc2:hyperlink startIndex="0" length="85" url="https://drive.google.com/file/d/1egHGIf6Hi0lyGtJymo1whcnW0ymZ4Yl7/view?usp=drive_link"/>
      </ext>
    </x18tc:extLst>
  </x18tc:threadedComment>
  <x18tc:threadedComment ref="AF320" dT="2025-12-03T21:40:45.00" personId="{2ddfa542-8116-4937-a057-08470d7abaab}" id="{bf13f77f-c363-4b32-82ac-841e4817b41f}" done="1">
    <x18tc:text xml:space="preserve">Venta final y excedentes</x18tc:text>
  </x18tc:threadedComment>
  <x18tc:threadedComment ref="AF320" dT="2025-12-20T21:14:00.00" personId="{2ddfa542-8116-4937-a057-08470d7abaab}" id="{6a5d667f-657c-4ba6-b4c0-95322ca25ddf}" parentId="{bf13f77f-c363-4b32-82ac-841e4817b41f}">
    <x18tc:text xml:space="preserve">Marcado como resuelto</x18tc:text>
  </x18tc:threadedComment>
  <x18tc:threadedComment ref="AF320" dT="2025-12-27T19:08:00.00" personId="{2ddfa542-8116-4937-a057-08470d7abaab}" id="{5e099f55-3b5e-4142-8582-858112cc369d}" parentId="{bf13f77f-c363-4b32-82ac-841e4817b41f}">
    <x18tc:text xml:space="preserve">Reabierto</x18tc:text>
  </x18tc:threadedComment>
  <x18tc:threadedComment ref="N387" dT="2025-12-03T22:01:22.00" personId="{a5d43f6d-3c72-4414-b012-8f52ef50acc4}" id="{7671c293-b89d-40ec-a9b7-b9ccb558469e}" done="0">
    <x18tc:text xml:space="preserve">no lo han puesto en el sheet</x18tc:text>
  </x18tc:threadedComment>
  <x18tc:threadedComment ref="C680" dT="2026-04-13T19:21:14.00" personId="{d8e4f5ad-b65d-4160-a56f-197530fb7eb1}" id="{eaae9720-07bc-4909-a011-0c7da12a95c7}" done="0">
    <x18tc:text xml:space="preserve">https://www.costco.com/p/-/hp-omen-16-slim-gaming-laptop-intel-core-ultra-9-285h-geforce-rtx-5070-16-1920-x-1200-144hz-32gb-ram-1tb-ssd-windows-11-home/4000373324?langId=-1</x18tc:text>
    <x18tc:extLst>
      <ext uri="{F7C98A9C-CBB3-438F-8F68-D28B6AF4A901}">
        <xltc2:checksum/>
        <xltc2:hyperlink startIndex="0" length="172" url="https://www.costco.com/p/-/hp-omen-16-slim-gaming-laptop-intel-core-ultra-9-285h-geforce-rtx-5070-16-1920-x-1200-144hz-32gb-ram-1tb-ssd-windows-11-home/4000373324?langId=-1"/>
      </ext>
    </x18tc:extLst>
  </x18tc:threadedComment>
  <x18tc:threadedComment ref="K396" dT="2025-12-24T01:47:51.00" personId="{d8e4f5ad-b65d-4160-a56f-197530fb7eb1}" id="{cd6319fc-5f74-4ed2-b593-98303cc6f9f6}" done="0">
    <x18tc:text xml:space="preserve">https://drive.google.com/file/d/134NBOu2cYhAF003xtSKAAhCs2Uk_lHtG/view?usp=drive_link</x18tc:text>
    <x18tc:extLst>
      <ext uri="{F7C98A9C-CBB3-438F-8F68-D28B6AF4A901}">
        <xltc2:checksum/>
        <xltc2:hyperlink startIndex="0" length="85" url="https://drive.google.com/file/d/134NBOu2cYhAF003xtSKAAhCs2Uk_lHtG/view?usp=drive_link"/>
      </ext>
    </x18tc:extLst>
  </x18tc:threadedComment>
  <x18tc:threadedComment ref="J387" dT="2025-12-03T22:00:53.00" personId="{a5d43f6d-3c72-4414-b012-8f52ef50acc4}" id="{e43c50e2-fbc6-4e70-b327-0550caef632d}" done="0">
    <x18tc:text xml:space="preserve">https://drive.google.com/file/d/1YfsZQSZhZlKn3jSgkA31t80X7RkslgWY/view?usp=drive_link</x18tc:text>
    <x18tc:extLst>
      <ext uri="{F7C98A9C-CBB3-438F-8F68-D28B6AF4A901}">
        <xltc2:checksum/>
        <xltc2:hyperlink startIndex="0" length="85" url="https://drive.google.com/file/d/1YfsZQSZhZlKn3jSgkA31t80X7RkslgWY/view?usp=drive_link"/>
      </ext>
    </x18tc:extLst>
  </x18tc:threadedComment>
  <x18tc:threadedComment ref="C432" dT="2025-12-24T02:27:17.00" personId="{a5d43f6d-3c72-4414-b012-8f52ef50acc4}" id="{a1f5477a-dfba-4872-8df4-345df0f31640}" done="0">
    <x18tc:text xml:space="preserve">https://www.ebay.com/itm/326840072490?_skw=legion&amp;itmmeta=01KD6ZWNKSVFS297GZA5W1EJ7K&amp;hash=item4c192fb92a:g:QZYAAeSwylhpRwvm</x18tc:text>
    <x18tc:extLst>
      <ext uri="{F7C98A9C-CBB3-438F-8F68-D28B6AF4A901}">
        <xltc2:checksum/>
        <xltc2:hyperlink startIndex="0" length="123" url="https://www.ebay.com/itm/326840072490?_skw=legion&amp;itmmeta=01KD6ZWNKSVFS297GZA5W1EJ7K&amp;hash=item4c192fb92a:g:QZYAAeSwylhpRwvm"/>
      </ext>
    </x18tc:extLst>
  </x18tc:threadedComment>
  <x18tc:threadedComment ref="AF322" dT="2025-12-03T21:41:26.00" personId="{2ddfa542-8116-4937-a057-08470d7abaab}" id="{bf5973f1-5241-48ae-ba37-e4ae26aa015e}" done="1">
    <x18tc:text xml:space="preserve">Venta final y excedentes</x18tc:text>
  </x18tc:threadedComment>
  <x18tc:threadedComment ref="A1" dT="2025-12-11T00:29:10.00" personId="{a5d43f6d-3c72-4414-b012-8f52ef50acc4}" id="{dd3288a1-9086-49b8-82ce-67d5b9058716}"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C580" dT="2026-03-05T03:25:08.00" personId="{4df2d6c4-e43e-4f2e-b623-d90f458472ff}" id="{e4acf31e-7688-44ad-b400-5c0733a98d24}" done="0">
    <x18tc:text xml:space="preserve">https://shop.asus.com/us/90nr0lx6-m00970-rog-zephyrus-g16-2025-gu605.html?config=90NR0LX6-M00970</x18tc:text>
    <x18tc:extLst>
      <ext uri="{F7C98A9C-CBB3-438F-8F68-D28B6AF4A901}">
        <xltc2:checksum/>
        <xltc2:hyperlink startIndex="0" length="96" url="https://shop.asus.com/us/90nr0lx6-m00970-rog-zephyrus-g16-2025-gu605.html?config=90NR0LX6-M00970"/>
      </ext>
    </x18tc:extLst>
  </x18tc:threadedComment>
  <x18tc:threadedComment ref="J432" dT="2025-12-24T02:24:10.00" personId="{a5d43f6d-3c72-4414-b012-8f52ef50acc4}" id="{a3b8bf46-cdf6-4d1a-a471-9b085fb40bfe}" done="0">
    <x18tc:text xml:space="preserve">https://drive.google.com/file/d/1Cvli2BZ2OIFpA0STxrBW8q_bWFdNW-ER/view?usp=drive_link</x18tc:text>
    <x18tc:extLst>
      <ext uri="{F7C98A9C-CBB3-438F-8F68-D28B6AF4A901}">
        <xltc2:checksum/>
        <xltc2:hyperlink startIndex="0" length="85" url="https://drive.google.com/file/d/1Cvli2BZ2OIFpA0STxrBW8q_bWFdNW-ER/view?usp=drive_link"/>
      </ext>
    </x18tc:extLst>
  </x18tc:threadedComment>
  <x18tc:threadedComment ref="AF321" dT="2025-12-03T21:41:22.00" personId="{2ddfa542-8116-4937-a057-08470d7abaab}" id="{ad0f5347-fe42-4ca9-8471-9ad4748a9a81}" done="1">
    <x18tc:text xml:space="preserve">Venta final y excedentes</x18tc:text>
  </x18tc:threadedComment>
  <x18tc:threadedComment ref="AF658" dT="2026-04-26T20:28:49.00" personId="{2ddfa542-8116-4937-a057-08470d7abaab}" id="{25513dcc-ef05-4d60-a6c3-45b425852c8a}" done="1">
    <x18tc:text xml:space="preserve">fixit, excedentes, venta final</x18tc:text>
  </x18tc:threadedComment>
  <x18tc:threadedComment ref="L211" dT="2025-09-09T21:02:48.00" personId="{a5d43f6d-3c72-4414-b012-8f52ef50acc4}" id="{e9d48a9e-b9d4-4c2e-960b-b096bb76e92c}" done="0">
    <x18tc:text xml:space="preserve">https://drive.google.com/file/d/1RQSb3W3BfIVL0QR14Xl5KWtnUFO8eyso/view?usp=drive_link</x18tc:text>
    <x18tc:extLst>
      <ext uri="{F7C98A9C-CBB3-438F-8F68-D28B6AF4A901}">
        <xltc2:checksum/>
        <xltc2:hyperlink startIndex="0" length="85" url="https://drive.google.com/file/d/1RQSb3W3BfIVL0QR14Xl5KWtnUFO8eyso/view?usp=drive_link"/>
      </ext>
    </x18tc:extLst>
  </x18tc:threadedComment>
  <x18tc:threadedComment ref="AF325" dT="2025-12-03T21:51:41.00" personId="{2ddfa542-8116-4937-a057-08470d7abaab}" id="{b6977b27-5964-4cac-98ce-01be76592d85}" done="0">
    <x18tc:text xml:space="preserve">Venta final y excedentes</x18tc:text>
  </x18tc:threadedComment>
  <x18tc:threadedComment ref="AF325" dT="2025-12-27T18:28:17.00" personId="{2ddfa542-8116-4937-a057-08470d7abaab}" id="{5b6b0b88-f534-4b76-9a6d-09198c97a89b}" parentId="{b6977b27-5964-4cac-98ce-01be76592d85}">
    <x18tc:text xml:space="preserve">Marcado como resuelto</x18tc:text>
  </x18tc:threadedComment>
  <x18tc:threadedComment ref="AF325" dT="2025-12-27T19:07:47.00" personId="{2ddfa542-8116-4937-a057-08470d7abaab}" id="{03064b00-e037-4e5a-80af-dd61570beb2d}" parentId="{b6977b27-5964-4cac-98ce-01be76592d85}">
    <x18tc:text xml:space="preserve">Reabierto</x18tc:text>
  </x18tc:threadedComment>
  <x18tc:threadedComment ref="J716" dT="2026-04-30T16:10:54.00" personId="{d8e4f5ad-b65d-4160-a56f-197530fb7eb1}" id="{d63d52c4-f99b-4c54-a93b-8f17f922ce36}" done="0">
    <x18tc:text xml:space="preserve">https://drive.google.com/file/d/1dlP9NEuEevGaAscple82KON-eZnr4mFI/view?usp=drive_link</x18tc:text>
    <x18tc:extLst>
      <ext uri="{F7C98A9C-CBB3-438F-8F68-D28B6AF4A901}">
        <xltc2:checksum/>
        <xltc2:hyperlink startIndex="0" length="85" url="https://drive.google.com/file/d/1dlP9NEuEevGaAscple82KON-eZnr4mFI/view?usp=drive_link"/>
      </ext>
    </x18tc:extLst>
  </x18tc:threadedComment>
  <x18tc:threadedComment ref="J425" dT="2025-12-24T01:42:28.00" personId="{d8e4f5ad-b65d-4160-a56f-197530fb7eb1}" id="{828b6770-efca-4302-849b-b2783914451e}" done="0">
    <x18tc:text xml:space="preserve">https://drive.google.com/file/d/1-W1w4WZk9RNxffxC93Ny59uyEnW_lzuB/view?usp=drive_link</x18tc:text>
    <x18tc:extLst>
      <ext uri="{F7C98A9C-CBB3-438F-8F68-D28B6AF4A901}">
        <xltc2:checksum/>
        <xltc2:hyperlink startIndex="0" length="85" url="https://drive.google.com/file/d/1-W1w4WZk9RNxffxC93Ny59uyEnW_lzuB/view?usp=drive_link"/>
      </ext>
    </x18tc:extLst>
  </x18tc:threadedComment>
  <x18tc:threadedComment ref="J320" dT="2025-12-03T21:29:36.00" personId="{a5d43f6d-3c72-4414-b012-8f52ef50acc4}" id="{382c7ef8-7232-4812-bd35-e8efb7d544ee}" done="0">
    <x18tc:text xml:space="preserve">https://drive.google.com/file/d/1fnry6L0stodkyug_TtwrdbrIxspYqlig/view?usp=drive_link</x18tc:text>
    <x18tc:extLst>
      <ext uri="{F7C98A9C-CBB3-438F-8F68-D28B6AF4A901}">
        <xltc2:checksum/>
        <xltc2:hyperlink startIndex="0" length="85" url="https://drive.google.com/file/d/1fnry6L0stodkyug_TtwrdbrIxspYqlig/view?usp=drive_link"/>
      </ext>
    </x18tc:extLst>
  </x18tc:threadedComment>
  <x18tc:threadedComment ref="J326" dT="2025-12-03T21:57:51.00" personId="{a5d43f6d-3c72-4414-b012-8f52ef50acc4}" id="{95c216db-058c-4b96-b1b8-2d518ea1166e}" done="0">
    <x18tc:text xml:space="preserve">https://drive.google.com/file/d/1Wkuapye8zue4aBpw7imM7qNSKjiQ9GpO/view?usp=drive_link</x18tc:text>
    <x18tc:extLst>
      <ext uri="{F7C98A9C-CBB3-438F-8F68-D28B6AF4A901}">
        <xltc2:checksum/>
        <xltc2:hyperlink startIndex="0" length="85" url="https://drive.google.com/file/d/1Wkuapye8zue4aBpw7imM7qNSKjiQ9GpO/view?usp=drive_link"/>
      </ext>
    </x18tc:extLst>
  </x18tc:threadedComment>
  <x18tc:threadedComment ref="AF665" dT="2026-04-26T20:32:33.00" personId="{2ddfa542-8116-4937-a057-08470d7abaab}" id="{d7d0dc63-6e30-4078-b03a-d3c8ad253447}" done="1">
    <x18tc:text xml:space="preserve">fixit, excedentes, venta final</x18tc:text>
  </x18tc:threadedComment>
  <x18tc:threadedComment ref="L192" dT="2025-09-12T01:45:32.00" personId="{4df2d6c4-e43e-4f2e-b623-d90f458472ff}" id="{60c9b9a9-c3cc-43fa-b7b5-740e0876a1c9}" done="0">
    <x18tc:text xml:space="preserve">https://drive.google.com/file/d/1RfbbOsuXgTtiMcaesa9bj9cmNbGwrOVg/view?usp=drive_link</x18tc:text>
    <x18tc:extLst>
      <ext uri="{F7C98A9C-CBB3-438F-8F68-D28B6AF4A901}">
        <xltc2:checksum/>
        <xltc2:hyperlink startIndex="0" length="85" url="https://drive.google.com/file/d/1RfbbOsuXgTtiMcaesa9bj9cmNbGwrOVg/view?usp=drive_link"/>
      </ext>
    </x18tc:extLst>
  </x18tc:threadedComment>
  <x18tc:threadedComment ref="A1" dT="2025-12-24T01:42:10.00" personId="{d8e4f5ad-b65d-4160-a56f-197530fb7eb1}" id="{6d91fb5e-0286-4061-b4de-00ab53a404b1}" done="0">
    <x18tc:text xml:space="preserve">https://drive.google.com/file/d/1kyikh5p9ELsGEH5s44v5H2M_Pyj3quZC/view?usp=drive_link</x18tc:text>
    <x18tc:extLst>
      <ext uri="{F7C98A9C-CBB3-438F-8F68-D28B6AF4A901}">
        <xltc2:checksum/>
        <xltc2:hyperlink startIndex="0" length="85" url="https://drive.google.com/file/d/1kyikh5p9ELsGEH5s44v5H2M_Pyj3quZC/view?usp=drive_link"/>
      </ext>
    </x18tc:extLst>
  </x18tc:threadedComment>
  <x18tc:threadedComment ref="J385" dT="2025-12-03T21:29:20.00" personId="{d8e4f5ad-b65d-4160-a56f-197530fb7eb1}" id="{6a8fb394-4d15-4e32-b507-e4e2d13bc467}" done="0">
    <x18tc:text xml:space="preserve">https://drive.google.com/file/d/1cOIrQic_4BIH3JjsFLP6RxOILbXUhTZ7/view?usp=drive_link</x18tc:text>
    <x18tc:extLst>
      <ext uri="{F7C98A9C-CBB3-438F-8F68-D28B6AF4A901}">
        <xltc2:checksum/>
        <xltc2:hyperlink startIndex="0" length="85" url="https://drive.google.com/file/d/1cOIrQic_4BIH3JjsFLP6RxOILbXUhTZ7/view?usp=drive_link"/>
      </ext>
    </x18tc:extLst>
  </x18tc:threadedComment>
  <x18tc:threadedComment ref="W387" dT="2025-12-03T21:56:03.00" personId="{a5d43f6d-3c72-4414-b012-8f52ef50acc4}" id="{8d4487d2-349a-4492-8172-e75b50ef049e}" done="0">
    <x18tc:text xml:space="preserve">Razón social : Francisco Nole Villegas 
Ruc :10003726008
Número celular :964917667
Correo electrónico:luisnole11@gmail.com</x18tc:text>
  </x18tc:threadedComment>
  <x18tc:threadedComment ref="W387" dT="2025-12-23T18:43:34.00" personId="{2ddfa542-8116-4937-a057-08470d7abaab}" id="{a98086a5-e20d-4337-95f8-648230fc686c}" parentId="{8d4487d2-349a-4492-8172-e75b50ef049e}">
    <x18tc:text xml:space="preserve">https://drive.google.com/file/d/12iWplJe_TMiFL9kvB7fmJ9ymgtd-P2vw/view?usp=drive_link</x18tc:text>
    <x18tc:extLst>
      <ext uri="{F7C98A9C-CBB3-438F-8F68-D28B6AF4A901}">
        <xltc2:checksum/>
        <xltc2:hyperlink startIndex="0" length="85" url="https://drive.google.com/file/d/12iWplJe_TMiFL9kvB7fmJ9ymgtd-P2vw/view?usp=drive_link"/>
      </ext>
    </x18tc:extLst>
  </x18tc:threadedComment>
  <x18tc:threadedComment ref="J752" dT="2026-05-20T22:22:54.00" personId="{d8e4f5ad-b65d-4160-a56f-197530fb7eb1}" id="{6d2f9469-df07-4d2a-82fb-a3e0448f22d8}" done="0">
    <x18tc:text xml:space="preserve">https://drive.google.com/file/d/19_mBhokNFtgxUQWAQSNDe-NwAVRF2I9o/view?usp=drive_link</x18tc:text>
    <x18tc:extLst>
      <ext uri="{F7C98A9C-CBB3-438F-8F68-D28B6AF4A901}">
        <xltc2:checksum/>
        <xltc2:hyperlink startIndex="0" length="85" url="https://drive.google.com/file/d/19_mBhokNFtgxUQWAQSNDe-NwAVRF2I9o/view?usp=drive_link"/>
      </ext>
    </x18tc:extLst>
  </x18tc:threadedComment>
  <x18tc:threadedComment ref="J430" dT="2025-12-24T01:39:03.00" personId="{d8e4f5ad-b65d-4160-a56f-197530fb7eb1}" id="{5b147609-47ce-48ae-a6ff-59dbc43bb653}" done="0">
    <x18tc:text xml:space="preserve">https://drive.google.com/file/d/1jIuCOIh9FmAvcIFy3WSQTR5CXGHnga68/view?usp=drive_link</x18tc:text>
    <x18tc:extLst>
      <ext uri="{F7C98A9C-CBB3-438F-8F68-D28B6AF4A901}">
        <xltc2:checksum/>
        <xltc2:hyperlink startIndex="0" length="85" url="https://drive.google.com/file/d/1jIuCOIh9FmAvcIFy3WSQTR5CXGHnga68/view?usp=drive_link"/>
      </ext>
    </x18tc:extLst>
  </x18tc:threadedComment>
  <x18tc:threadedComment ref="K552" dT="2026-03-13T16:09:16.00" personId="{f9b224d0-ee33-4499-ae47-db5bcd2d0435}" id="{d9f76075-ebc6-43ef-ba0b-ad617b44fda9}" done="0">
    <x18tc:text xml:space="preserve">https://drive.google.com/file/d/1jNuhseHcXe_AfhPCkWPse5bkXDMfvaHN/view?usp=drive_link</x18tc:text>
    <x18tc:extLst>
      <ext uri="{F7C98A9C-CBB3-438F-8F68-D28B6AF4A901}">
        <xltc2:checksum/>
        <xltc2:hyperlink startIndex="0" length="85" url="https://drive.google.com/file/d/1jNuhseHcXe_AfhPCkWPse5bkXDMfvaHN/view?usp=drive_link"/>
      </ext>
    </x18tc:extLst>
  </x18tc:threadedComment>
  <x18tc:threadedComment ref="K315" dT="2025-12-03T20:22:19.00" personId="{a5d43f6d-3c72-4414-b012-8f52ef50acc4}" id="{7e607109-3bf3-4d1b-86a5-37f745244809}" done="0">
    <x18tc:text xml:space="preserve">https://drive.google.com/file/d/132oGw4qf_aDevWQ9mID3z8G5-IJkctHa/view?usp=drive_link</x18tc:text>
    <x18tc:extLst>
      <ext uri="{F7C98A9C-CBB3-438F-8F68-D28B6AF4A901}">
        <xltc2:checksum/>
        <xltc2:hyperlink startIndex="0" length="85" url="https://drive.google.com/file/d/132oGw4qf_aDevWQ9mID3z8G5-IJkctHa/view?usp=drive_link"/>
      </ext>
    </x18tc:extLst>
  </x18tc:threadedComment>
  <x18tc:threadedComment ref="J431" dT="2025-12-24T01:37:56.00" personId="{d8e4f5ad-b65d-4160-a56f-197530fb7eb1}" id="{1bd8df39-e02c-44be-a425-6ceb19d934ab}" done="0">
    <x18tc:text xml:space="preserve">https://drive.google.com/file/d/1xlP4n6XGwOA1MHmFbDg_zNLfL1aJBpvO/view?usp=drive_link</x18tc:text>
    <x18tc:extLst>
      <ext uri="{F7C98A9C-CBB3-438F-8F68-D28B6AF4A901}">
        <xltc2:checksum/>
        <xltc2:hyperlink startIndex="0" length="85" url="https://drive.google.com/file/d/1xlP4n6XGwOA1MHmFbDg_zNLfL1aJBpvO/view?usp=drive_link"/>
      </ext>
    </x18tc:extLst>
  </x18tc:threadedComment>
  <x18tc:threadedComment ref="C386" dT="2025-12-03T20:09:47.00" personId="{d8e4f5ad-b65d-4160-a56f-197530fb7eb1}" id="{96eb3323-50f1-4db3-b8ee-8bb9411cfd76}" done="0">
    <x18tc:text xml:space="preserve">https://www.ebay.com/itm/326796273441?_skw=laptop+gaming&amp;itmmeta=01KBF2M67HXNKB7B163GJ6E5M6&amp;hash=item4c16936721:g:e-QAAeSw7-5pKNzx</x18tc:text>
    <x18tc:extLst>
      <ext uri="{F7C98A9C-CBB3-438F-8F68-D28B6AF4A901}">
        <xltc2:checksum/>
        <xltc2:hyperlink startIndex="0" length="130" url="https://www.ebay.com/itm/326796273441?_skw=laptop+gaming&amp;itmmeta=01KBF2M67HXNKB7B163GJ6E5M6&amp;hash=item4c16936721:g:e-QAAeSw7-5pKNzx"/>
      </ext>
    </x18tc:extLst>
  </x18tc:threadedComment>
  <x18tc:threadedComment ref="J72" dT="2025-05-26T17:49:28.00" personId="{a5d43f6d-3c72-4414-b012-8f52ef50acc4}" id="{6c22d57b-828c-4b82-9c81-bdcbe9af8bab}" done="0">
    <x18tc:text xml:space="preserve">https://drive.google.com/file/d/140FK5xxB_A52bR2Ynh_G8z9FbgTdIlhO/view?usp=drive_link</x18tc:text>
    <x18tc:extLst>
      <ext uri="{F7C98A9C-CBB3-438F-8F68-D28B6AF4A901}">
        <xltc2:checksum/>
        <xltc2:hyperlink startIndex="0" length="85" url="https://drive.google.com/file/d/140FK5xxB_A52bR2Ynh_G8z9FbgTdIlhO/view?usp=drive_link"/>
      </ext>
    </x18tc:extLst>
  </x18tc:threadedComment>
  <x18tc:threadedComment ref="J753" dT="2026-05-20T22:22:03.00" personId="{d8e4f5ad-b65d-4160-a56f-197530fb7eb1}" id="{189b119d-74d4-41d9-af3f-ca2a9a160ba3}" done="0">
    <x18tc:text xml:space="preserve">https://drive.google.com/file/d/1qBdVX-uO7V1jaWyttPgkN7vxCXMf5ID8/view?usp=drive_link</x18tc:text>
    <x18tc:extLst>
      <ext uri="{F7C98A9C-CBB3-438F-8F68-D28B6AF4A901}">
        <xltc2:checksum/>
        <xltc2:hyperlink startIndex="0" length="85" url="https://drive.google.com/file/d/1qBdVX-uO7V1jaWyttPgkN7vxCXMf5ID8/view?usp=drive_link"/>
      </ext>
    </x18tc:extLst>
  </x18tc:threadedComment>
  <x18tc:threadedComment ref="J753" dT="2026-05-20T22:22:21.00" personId="{d8e4f5ad-b65d-4160-a56f-197530fb7eb1}" id="{0882b618-5d79-458c-a26a-8d2caf32e4f9}" parentId="{189b119d-74d4-41d9-af3f-ca2a9a160ba3}">
    <x18tc:text xml:space="preserve">https://drive.google.com/file/d/1r-aRnN785YdDuhBXwrCLwh7eTkWSz99U/view?usp=drive_link</x18tc:text>
    <x18tc:extLst>
      <ext uri="{F7C98A9C-CBB3-438F-8F68-D28B6AF4A901}">
        <xltc2:checksum/>
        <xltc2:hyperlink startIndex="0" length="85" url="https://drive.google.com/file/d/1r-aRnN785YdDuhBXwrCLwh7eTkWSz99U/view?usp=drive_link"/>
      </ext>
    </x18tc:extLst>
  </x18tc:threadedComment>
  <x18tc:threadedComment ref="J386" dT="2025-12-03T21:28:30.00" personId="{d8e4f5ad-b65d-4160-a56f-197530fb7eb1}" id="{dccca59a-e051-491d-9e16-750261dd8a0d}" done="0">
    <x18tc:text xml:space="preserve">https://drive.google.com/file/d/1MGLCHW3VCs7HaaCL5nM4Dm_PDz3APMoX/view?usp=drive_link</x18tc:text>
    <x18tc:extLst>
      <ext uri="{F7C98A9C-CBB3-438F-8F68-D28B6AF4A901}">
        <xltc2:checksum/>
        <xltc2:hyperlink startIndex="0" length="85" url="https://drive.google.com/file/d/1MGLCHW3VCs7HaaCL5nM4Dm_PDz3APMoX/view?usp=drive_link"/>
      </ext>
    </x18tc:extLst>
  </x18tc:threadedComment>
  <x18tc:threadedComment ref="W192" dT="2025-09-12T01:55:39.00" personId="{4df2d6c4-e43e-4f2e-b623-d90f458472ff}" id="{7c4a51d5-fff1-4a91-be98-b00df36a49c9}" done="0">
    <x18tc:text xml:space="preserve">https://drive.google.com/file/d/1XRiCrvccsickToj4MJzFaD3kGe4IVcam/view?usp=drive_link</x18tc:text>
    <x18tc:extLst>
      <ext uri="{F7C98A9C-CBB3-438F-8F68-D28B6AF4A901}">
        <xltc2:checksum/>
        <xltc2:hyperlink startIndex="0" length="85" url="https://drive.google.com/file/d/1XRiCrvccsickToj4MJzFaD3kGe4IVcam/view?usp=drive_link"/>
      </ext>
    </x18tc:extLst>
  </x18tc:threadedComment>
  <x18tc:threadedComment ref="K563" dT="2026-03-13T16:05:20.00" personId="{f9b224d0-ee33-4499-ae47-db5bcd2d0435}" id="{07ff46a0-f38b-4467-a8fc-8276f192ed23}" done="0">
    <x18tc:text xml:space="preserve">https://drive.google.com/file/d/1OeTchMW0qJfuEMmnBvPrR2oHariFtvZO/view?usp=drive_link</x18tc:text>
    <x18tc:extLst>
      <ext uri="{F7C98A9C-CBB3-438F-8F68-D28B6AF4A901}">
        <xltc2:checksum/>
        <xltc2:hyperlink startIndex="0" length="85" url="https://drive.google.com/file/d/1OeTchMW0qJfuEMmnBvPrR2oHariFtvZO/view?usp=drive_link"/>
      </ext>
    </x18tc:extLst>
  </x18tc:threadedComment>
  <x18tc:threadedComment ref="S240" dT="2025-09-23T23:41:41.00" personId="{d8e4f5ad-b65d-4160-a56f-197530fb7eb1}" id="{d4528825-bd09-407d-abf8-ec5ec60d0cb0}" done="0">
    <x18tc:text xml:space="preserve">https://drive.google.com/file/d/1K6v9EkD1pDqpJAPuknRYvRKYSaDF-_Cd/view?usp=drive_link</x18tc:text>
    <x18tc:extLst>
      <ext uri="{F7C98A9C-CBB3-438F-8F68-D28B6AF4A901}">
        <xltc2:checksum/>
        <xltc2:hyperlink startIndex="0" length="85" url="https://drive.google.com/file/d/1K6v9EkD1pDqpJAPuknRYvRKYSaDF-_Cd/view?usp=drive_link"/>
      </ext>
    </x18tc:extLst>
  </x18tc:threadedComment>
  <x18tc:threadedComment ref="J426" dT="2025-12-24T01:41:13.00" personId="{d8e4f5ad-b65d-4160-a56f-197530fb7eb1}" id="{7cc40052-40f8-497d-8896-04f72f293659}" done="0">
    <x18tc:text xml:space="preserve">https://drive.google.com/file/d/1gn3CyrjT9hV4zU0S-3ewySRQuWUDSH7t/view?usp=drive_link</x18tc:text>
    <x18tc:extLst>
      <ext uri="{F7C98A9C-CBB3-438F-8F68-D28B6AF4A901}">
        <xltc2:checksum/>
        <xltc2:hyperlink startIndex="0" length="85" url="https://drive.google.com/file/d/1gn3CyrjT9hV4zU0S-3ewySRQuWUDSH7t/view?usp=drive_link"/>
      </ext>
    </x18tc:extLst>
  </x18tc:threadedComment>
  <x18tc:threadedComment ref="K668" dT="2026-04-30T16:11:19.00" personId="{d8e4f5ad-b65d-4160-a56f-197530fb7eb1}" id="{dd1e01af-79b4-401f-988b-952dd09df88a}" done="0">
    <x18tc:text xml:space="preserve">https://drive.google.com/file/d/1U2p4w_3VLSUPbSQG0IwqFrsRH7Rq0WZx/view?usp=drive_link</x18tc:text>
    <x18tc:extLst>
      <ext uri="{F7C98A9C-CBB3-438F-8F68-D28B6AF4A901}">
        <xltc2:checksum/>
        <xltc2:hyperlink startIndex="0" length="85" url="https://drive.google.com/file/d/1U2p4w_3VLSUPbSQG0IwqFrsRH7Rq0WZx/view?usp=drive_link"/>
      </ext>
    </x18tc:extLst>
  </x18tc:threadedComment>
  <x18tc:threadedComment ref="K564" dT="2026-03-13T16:07:17.00" personId="{f9b224d0-ee33-4499-ae47-db5bcd2d0435}" id="{3e439f62-d5dc-4873-a71e-6e2884fc1fa9}" done="0">
    <x18tc:text xml:space="preserve">https://drive.google.com/file/d/1BJH-6XLQk_KrfFV16giQemGPErNLvkg8/view?usp=drive_link</x18tc:text>
    <x18tc:extLst>
      <ext uri="{F7C98A9C-CBB3-438F-8F68-D28B6AF4A901}">
        <xltc2:checksum/>
        <xltc2:hyperlink startIndex="0" length="85" url="https://drive.google.com/file/d/1BJH-6XLQk_KrfFV16giQemGPErNLvkg8/view?usp=drive_link"/>
      </ext>
    </x18tc:extLst>
  </x18tc:threadedComment>
  <x18tc:threadedComment ref="AH729" dT="2026-05-20T22:13:18.00" personId="{7d9bea4b-cfe7-4c29-b483-8e83a1c4f52a}" id="{742b90c2-ca19-4d11-aaaa-ccb0898644e7}" done="0">
    <x18tc:text xml:space="preserve">https://drive.google.com/file/d/1ARyGZ-EPuMaAYoP1RfVNFu6Lzrnl6TYp/view?usp=drive_link</x18tc:text>
    <x18tc:extLst>
      <ext uri="{F7C98A9C-CBB3-438F-8F68-D28B6AF4A901}">
        <xltc2:checksum/>
        <xltc2:hyperlink startIndex="0" length="85" url="https://drive.google.com/file/d/1ARyGZ-EPuMaAYoP1RfVNFu6Lzrnl6TYp/view?usp=drive_link"/>
      </ext>
    </x18tc:extLst>
  </x18tc:threadedComment>
  <x18tc:threadedComment ref="K421" dT="2025-12-24T01:32:41.00" personId="{d8e4f5ad-b65d-4160-a56f-197530fb7eb1}" id="{7da30bf7-8d26-44c2-afd8-c407b3d856a4}" done="0">
    <x18tc:text xml:space="preserve">https://drive.google.com/file/d/1yCdi5YsQR0-yrWkCbSWMbTVQnTivARGX/view?usp=drive_link</x18tc:text>
    <x18tc:extLst>
      <ext uri="{F7C98A9C-CBB3-438F-8F68-D28B6AF4A901}">
        <xltc2:checksum/>
        <xltc2:hyperlink startIndex="0" length="85" url="https://drive.google.com/file/d/1yCdi5YsQR0-yrWkCbSWMbTVQnTivARGX/view?usp=drive_link"/>
      </ext>
    </x18tc:extLst>
  </x18tc:threadedComment>
  <x18tc:threadedComment ref="AF310" dT="2025-12-03T20:38:10.00" personId="{2ddfa542-8116-4937-a057-08470d7abaab}" id="{44ff7086-1f8f-4da4-be25-d56978477f1b}" done="1">
    <x18tc:text xml:space="preserve">Venta final y fixit</x18tc:text>
  </x18tc:threadedComment>
  <x18tc:threadedComment ref="AF310" dT="2025-12-20T21:11:56.00" personId="{2ddfa542-8116-4937-a057-08470d7abaab}" id="{e5c365a0-0e18-46db-b2ba-68e051a84e5f}" parentId="{44ff7086-1f8f-4da4-be25-d56978477f1b}">
    <x18tc:text xml:space="preserve">Marcado como resuelto</x18tc:text>
  </x18tc:threadedComment>
  <x18tc:threadedComment ref="AF310" dT="2025-12-27T19:08:06.00" personId="{2ddfa542-8116-4937-a057-08470d7abaab}" id="{fd870ce6-4bee-40f8-8ab7-d63c27fb3a5d}" parentId="{44ff7086-1f8f-4da4-be25-d56978477f1b}">
    <x18tc:text xml:space="preserve">Reabierto</x18tc:text>
  </x18tc:threadedComment>
  <x18tc:threadedComment ref="AF675" dT="2026-04-26T20:39:35.00" personId="{2ddfa542-8116-4937-a057-08470d7abaab}" id="{fe621f54-0774-4c7c-bb12-b2b9fbb392bc}" done="1">
    <x18tc:text xml:space="preserve">fixit, excedentes, venta final</x18tc:text>
  </x18tc:threadedComment>
  <x18tc:threadedComment ref="L240" dT="2025-09-23T23:36:03.00" personId="{d8e4f5ad-b65d-4160-a56f-197530fb7eb1}" id="{be2183e9-dd35-449b-aaaa-4dce59b9a65d}" done="0">
    <x18tc:text xml:space="preserve">https://drive.google.com/file/d/1VlQB_VWeSjsFUqpfZGXdWMGZLa1j85Ra/view?usp=drive_link</x18tc:text>
    <x18tc:extLst>
      <ext uri="{F7C98A9C-CBB3-438F-8F68-D28B6AF4A901}">
        <xltc2:checksum/>
        <xltc2:hyperlink startIndex="0" length="85" url="https://drive.google.com/file/d/1VlQB_VWeSjsFUqpfZGXdWMGZLa1j85Ra/view?usp=drive_link"/>
      </ext>
    </x18tc:extLst>
  </x18tc:threadedComment>
  <x18tc:threadedComment ref="AF694" dT="2026-04-26T20:32:59.00" personId="{2ddfa542-8116-4937-a057-08470d7abaab}" id="{b31b3114-7d63-4329-a124-69ef4063d014}" done="1">
    <x18tc:text xml:space="preserve">fixit, excedentes, venta final</x18tc:text>
  </x18tc:threadedComment>
  <x18tc:threadedComment ref="W240" dT="2025-09-23T23:40:15.00" personId="{d8e4f5ad-b65d-4160-a56f-197530fb7eb1}" id="{4b468a6c-732d-4dde-8d1c-657d4bfa9d10}" done="0">
    <x18tc:text xml:space="preserve">https://drive.google.com/file/d/1_K5tTI_pSpzLavCxFkOAdRoblEVlZsRN/view?usp=drive_link</x18tc:text>
    <x18tc:extLst>
      <ext uri="{F7C98A9C-CBB3-438F-8F68-D28B6AF4A901}">
        <xltc2:checksum/>
        <xltc2:hyperlink startIndex="0" length="85" url="https://drive.google.com/file/d/1_K5tTI_pSpzLavCxFkOAdRoblEVlZsRN/view?usp=drive_link"/>
      </ext>
    </x18tc:extLst>
  </x18tc:threadedComment>
  <x18tc:threadedComment ref="C814" dT="2026-07-01T20:37:14.00" personId="{d8e4f5ad-b65d-4160-a56f-197530fb7eb1}" id="{64d48ed7-9e03-43ed-95fb-429077f97964}" done="0">
    <x18tc:text xml:space="preserve">https://www.ebay.com/itm/226967926710</x18tc:text>
    <x18tc:extLst>
      <ext uri="{F7C98A9C-CBB3-438F-8F68-D28B6AF4A901}">
        <xltc2:checksum/>
        <xltc2:hyperlink startIndex="0" length="37" url="https://www.ebay.com/itm/226967926710"/>
      </ext>
    </x18tc:extLst>
  </x18tc:threadedComment>
  <x18tc:threadedComment ref="K379" dT="2025-12-24T01:37:06.00" personId="{d8e4f5ad-b65d-4160-a56f-197530fb7eb1}" id="{083d56e4-e409-4173-ba01-4feeff9a4aa6}" done="0">
    <x18tc:text xml:space="preserve">https://drive.google.com/file/d/13B0U9fBOLoVgryMi9yxyF1VLRR8C76vs/view?usp=drive_link</x18tc:text>
    <x18tc:extLst>
      <ext uri="{F7C98A9C-CBB3-438F-8F68-D28B6AF4A901}">
        <xltc2:checksum/>
        <xltc2:hyperlink startIndex="0" length="85" url="https://drive.google.com/file/d/13B0U9fBOLoVgryMi9yxyF1VLRR8C76vs/view?usp=drive_link"/>
      </ext>
    </x18tc:extLst>
  </x18tc:threadedComment>
  <x18tc:threadedComment ref="K368" dT="2025-12-24T01:35:10.00" personId="{d8e4f5ad-b65d-4160-a56f-197530fb7eb1}" id="{928979cb-384d-47aa-8c35-86d7b4517cad}" done="0">
    <x18tc:text xml:space="preserve">https://drive.google.com/file/d/1bjHHDq3jYwX5eH2VHyjPps5TkePOyjTX/view?usp=drive_link</x18tc:text>
    <x18tc:extLst>
      <ext uri="{F7C98A9C-CBB3-438F-8F68-D28B6AF4A901}">
        <xltc2:checksum/>
        <xltc2:hyperlink startIndex="0" length="85" url="https://drive.google.com/file/d/1bjHHDq3jYwX5eH2VHyjPps5TkePOyjTX/view?usp=drive_link"/>
      </ext>
    </x18tc:extLst>
  </x18tc:threadedComment>
  <x18tc:threadedComment ref="AF311" dT="2025-12-03T20:38:14.00" personId="{2ddfa542-8116-4937-a057-08470d7abaab}" id="{425a4746-9ed1-401b-ae35-ddb0db9734e8}" done="1">
    <x18tc:text xml:space="preserve">Venta final y fixit</x18tc:text>
  </x18tc:threadedComment>
  <x18tc:threadedComment ref="AF311" dT="2025-12-20T21:11:58.00" personId="{2ddfa542-8116-4937-a057-08470d7abaab}" id="{f44544a1-ce00-4289-9a88-58cc7e5207b5}" parentId="{425a4746-9ed1-401b-ae35-ddb0db9734e8}">
    <x18tc:text xml:space="preserve">Marcado como resuelto</x18tc:text>
  </x18tc:threadedComment>
  <x18tc:threadedComment ref="AF311" dT="2025-12-27T19:08:03.00" personId="{2ddfa542-8116-4937-a057-08470d7abaab}" id="{cdcf7202-7877-4755-8711-b97cb1cf14b2}" parentId="{425a4746-9ed1-401b-ae35-ddb0db9734e8}">
    <x18tc:text xml:space="preserve">Reabierto</x18tc:text>
  </x18tc:threadedComment>
  <x18tc:threadedComment ref="AF683" dT="2026-04-26T20:39:49.00" personId="{2ddfa542-8116-4937-a057-08470d7abaab}" id="{7d9b943b-b0d7-4e91-bba9-d2e680b7ff55}" done="0">
    <x18tc:text xml:space="preserve">fixit, excedentes, venta final</x18tc:text>
  </x18tc:threadedComment>
  <x18tc:threadedComment ref="J240" dT="2025-09-23T23:35:44.00" personId="{d8e4f5ad-b65d-4160-a56f-197530fb7eb1}" id="{f344a0a6-4e87-4193-99ac-2a8459808843}" done="0">
    <x18tc:text xml:space="preserve">https://drive.google.com/file/d/1-TiSPcaPCbeQFSTVXdiwo5b3ZY9juSp3/view?usp=drive_link</x18tc:text>
    <x18tc:extLst>
      <ext uri="{F7C98A9C-CBB3-438F-8F68-D28B6AF4A901}">
        <xltc2:checksum/>
        <xltc2:hyperlink startIndex="0" length="85" url="https://drive.google.com/file/d/1-TiSPcaPCbeQFSTVXdiwo5b3ZY9juSp3/view?usp=drive_link"/>
      </ext>
    </x18tc:extLst>
  </x18tc:threadedComment>
  <x18tc:threadedComment ref="D503" dT="2026-01-26T18:18:41.00" personId="{a5d43f6d-3c72-4414-b012-8f52ef50acc4}" id="{442b9cc7-e997-4d98-ab0c-56dfae02cf3c}" done="0">
    <x18tc:text xml:space="preserve">ara la boleta/factura del servicio por traer la laptop desde EEUU:
✅NOMBRES COMPLETOS O RAZÓN SOCIAL: SUPPORT BRIGADES FIRE &amp; SAFETY S.A.C.
✅DNI O RUC: 20548730776
✅NÚMERO DE CELULAR: 987628571
✅CORREO ELECTRÓNICO: gr.camuss@gmail.com</x18tc:text>
  </x18tc:threadedComment>
  <x18tc:threadedComment ref="D326" dT="2025-11-21T19:52:43.00" personId="{a5d43f6d-3c72-4414-b012-8f52ef50acc4}" id="{469bfa48-e21e-40e4-8cd1-e2993305fd27}" done="0">
    <x18tc:text xml:space="preserve">✅NOMBRES COMPLETOS O RAZÓN SOCIAL: OSCAR DANIEL NAVARRO CIEZA
✅RUC: 10722314188
✅DNI: 72231418
✅NÚMERO DE CELULAR: 929178606
✅CORREO ELECTRÓNICO: oscardanielnc@outlook.com.pe</x18tc:text>
  </x18tc:threadedComment>
  <x18tc:threadedComment ref="J159" dT="2025-08-04T23:07:35.00" personId="{a5d43f6d-3c72-4414-b012-8f52ef50acc4}" id="{bf3f9fec-b273-4ac9-865f-2c8e0aad694b}" done="0">
    <x18tc:text xml:space="preserve">https://drive.google.com/file/d/13u21Bu4K-oZa6y3cvrllSouN0MGWXY5c/view?usp=drive_link</x18tc:text>
    <x18tc:extLst>
      <ext uri="{F7C98A9C-CBB3-438F-8F68-D28B6AF4A901}">
        <xltc2:checksum/>
        <xltc2:hyperlink startIndex="0" length="85" url="https://drive.google.com/file/d/13u21Bu4K-oZa6y3cvrllSouN0MGWXY5c/view?usp=drive_link"/>
      </ext>
    </x18tc:extLst>
  </x18tc:threadedComment>
  <x18tc:threadedComment ref="C503" dT="2026-01-26T18:18:11.00" personId="{a5d43f6d-3c72-4414-b012-8f52ef50acc4}" id="{524cbda4-c477-4484-98da-fb42ebb8a296}" done="0">
    <x18tc:text xml:space="preserve">https://www.ebay.com/itm/205606875313?_skw=aurora&amp;epid=17084374273&amp;itmmeta=01KFXJ2NCZJYQ6VW9ZDP6SEP68&amp;hash=item2fdf1ff0b1:g:gHQAAeSwNqNpdkEE</x18tc:text>
    <x18tc:extLst>
      <ext uri="{F7C98A9C-CBB3-438F-8F68-D28B6AF4A901}">
        <xltc2:checksum/>
        <xltc2:hyperlink startIndex="0" length="140" url="https://www.ebay.com/itm/205606875313?_skw=aurora&amp;epid=17084374273&amp;itmmeta=01KFXJ2NCZJYQ6VW9ZDP6SEP68&amp;hash=item2fdf1ff0b1:g:gHQAAeSwNqNpdkEE"/>
      </ext>
    </x18tc:extLst>
  </x18tc:threadedComment>
  <x18tc:threadedComment ref="K581" dT="2026-03-04T16:23:44.00" personId="{d8e4f5ad-b65d-4160-a56f-197530fb7eb1}" id="{2facbb72-62fa-42c7-878a-005e04b4233f}" done="0">
    <x18tc:text xml:space="preserve">https://drive.google.com/file/d/1o5Bk5a03wkvjgoILHyO0vH2GpHeZ7a6Y/view?usp=drive_link</x18tc:text>
    <x18tc:extLst>
      <ext uri="{F7C98A9C-CBB3-438F-8F68-D28B6AF4A901}">
        <xltc2:checksum/>
        <xltc2:hyperlink startIndex="0" length="85" url="https://drive.google.com/file/d/1o5Bk5a03wkvjgoILHyO0vH2GpHeZ7a6Y/view?usp=drive_link"/>
      </ext>
    </x18tc:extLst>
  </x18tc:threadedComment>
  <x18tc:threadedComment ref="AF324" dT="2025-12-03T21:47:47.00" personId="{2ddfa542-8116-4937-a057-08470d7abaab}" id="{6d7fedb0-5f4e-49d9-ae62-c56cd3786702}" done="0">
    <x18tc:text xml:space="preserve">Venta final y excedentes</x18tc:text>
  </x18tc:threadedComment>
  <x18tc:threadedComment ref="AF324" dT="2025-12-20T21:15:46.00" personId="{2ddfa542-8116-4937-a057-08470d7abaab}" id="{5445caba-c71e-4dec-a904-2fbf70008523}" parentId="{6d7fedb0-5f4e-49d9-ae62-c56cd3786702}">
    <x18tc:text xml:space="preserve">Marcado como resuelto</x18tc:text>
  </x18tc:threadedComment>
  <x18tc:threadedComment ref="AF324" dT="2025-12-27T19:07:54.00" personId="{2ddfa542-8116-4937-a057-08470d7abaab}" id="{fc95b906-b730-46b6-81b2-01e62136dbcd}" parentId="{6d7fedb0-5f4e-49d9-ae62-c56cd3786702}">
    <x18tc:text xml:space="preserve">Reabierto</x18tc:text>
  </x18tc:threadedComment>
  <x18tc:threadedComment ref="AI804" dT="2026-06-26T18:56:27.00" personId="{7d9bea4b-cfe7-4c29-b483-8e83a1c4f52a}" id="{0e778387-6832-4164-8ce0-eeb76d9d776d}" done="0">
    <x18tc:text xml:space="preserve">https://drive.google.com/file/d/1TYkJklYGRFOWG5rQkVPqR3ysZmE_DAlU/view?usp=drive_link</x18tc:text>
    <x18tc:extLst>
      <ext uri="{F7C98A9C-CBB3-438F-8F68-D28B6AF4A901}">
        <xltc2:checksum/>
        <xltc2:hyperlink startIndex="0" length="85" url="https://drive.google.com/file/d/1TYkJklYGRFOWG5rQkVPqR3ysZmE_DAlU/view?usp=drive_link"/>
      </ext>
    </x18tc:extLst>
  </x18tc:threadedComment>
  <x18tc:threadedComment ref="L218" dT="2025-09-23T20:43:07.00" personId="{a5d43f6d-3c72-4414-b012-8f52ef50acc4}" id="{8d276137-2be3-4754-b057-5aab95b6ce79}" done="0">
    <x18tc:text xml:space="preserve">https://drive.google.com/file/d/1Xi1OhNdmbAHJRD87dj4iBy3Q-aXsaPEf/view?usp=drive_link</x18tc:text>
    <x18tc:extLst>
      <ext uri="{F7C98A9C-CBB3-438F-8F68-D28B6AF4A901}">
        <xltc2:checksum/>
        <xltc2:hyperlink startIndex="0" length="85" url="https://drive.google.com/file/d/1Xi1OhNdmbAHJRD87dj4iBy3Q-aXsaPEf/view?usp=drive_link"/>
      </ext>
    </x18tc:extLst>
  </x18tc:threadedComment>
  <x18tc:threadedComment ref="AF323" dT="2025-12-03T21:47:18.00" personId="{2ddfa542-8116-4937-a057-08470d7abaab}" id="{f995f089-2c98-4e27-bf9d-3020e19a3fb4}" done="0">
    <x18tc:text xml:space="preserve">Venta final y excedentes</x18tc:text>
  </x18tc:threadedComment>
  <x18tc:threadedComment ref="AF323" dT="2025-12-22T22:10:46.00" personId="{2ddfa542-8116-4937-a057-08470d7abaab}" id="{519d5aab-8e86-4f79-a0d9-0bf1c8ecc529}" parentId="{f995f089-2c98-4e27-bf9d-3020e19a3fb4}">
    <x18tc:text xml:space="preserve">Marcado como resuelto</x18tc:text>
  </x18tc:threadedComment>
  <x18tc:threadedComment ref="AF323" dT="2025-12-27T19:07:58.00" personId="{2ddfa542-8116-4937-a057-08470d7abaab}" id="{18ed0b90-8c19-4c18-b8fa-b61b02cf5a91}" parentId="{f995f089-2c98-4e27-bf9d-3020e19a3fb4}">
    <x18tc:text xml:space="preserve">Reabierto</x18tc:text>
  </x18tc:threadedComment>
  <x18tc:threadedComment ref="L281" dT="2025-11-11T00:44:25.00" personId="{d8e4f5ad-b65d-4160-a56f-197530fb7eb1}" id="{0623df20-20d8-4dbc-92ca-268aeba5d07c}" done="0">
    <x18tc:text xml:space="preserve">https://drive.google.com/file/d/1soOrgLqIO0z0G4tJYa8Vzd2spTKBQ6Qy/view?usp=drive_link</x18tc:text>
    <x18tc:extLst>
      <ext uri="{F7C98A9C-CBB3-438F-8F68-D28B6AF4A901}">
        <xltc2:checksum/>
        <xltc2:hyperlink startIndex="0" length="85" url="https://drive.google.com/file/d/1soOrgLqIO0z0G4tJYa8Vzd2spTKBQ6Qy/view?usp=drive_link"/>
      </ext>
    </x18tc:extLst>
  </x18tc:threadedComment>
  <x18tc:threadedComment ref="C259" dT="2025-10-01T21:57:26.00" personId="{d8e4f5ad-b65d-4160-a56f-197530fb7eb1}" id="{30fe33fc-fe9f-49d2-b036-f76649712664}" done="0">
    <x18tc:text xml:space="preserve">https://www.ebay.com/itm/197444306465?_skw=laptop+rtx&amp;itmmeta=01K6CRG707NE0A31SQRZ74DF9Z&amp;hash=item2df8990621:g:qo0AAeSwwfdo15Hx</x18tc:text>
    <x18tc:extLst>
      <ext uri="{F7C98A9C-CBB3-438F-8F68-D28B6AF4A901}">
        <xltc2:checksum/>
        <xltc2:hyperlink startIndex="0" length="127" url="https://www.ebay.com/itm/197444306465?_skw=laptop+rtx&amp;itmmeta=01K6CRG707NE0A31SQRZ74DF9Z&amp;hash=item2df8990621:g:qo0AAeSwwfdo15Hx"/>
      </ext>
    </x18tc:extLst>
  </x18tc:threadedComment>
  <x18tc:threadedComment ref="O211" dT="2025-09-09T21:04:01.00" personId="{a5d43f6d-3c72-4414-b012-8f52ef50acc4}" id="{e3d9f54e-c1f7-461a-b6e0-b4a4f1c75144}" done="0">
    <x18tc:text xml:space="preserve">+349 de garantía
https://drive.google.com/file/d/1if_5KpVZgYJ96w6i7Y1vUA72--7qjMMS/view?usp=drive_link</x18tc:text>
    <x18tc:extLst>
      <ext uri="{F7C98A9C-CBB3-438F-8F68-D28B6AF4A901}">
        <xltc2:checksum/>
        <xltc2:hyperlink startIndex="17" length="85" url="https://drive.google.com/file/d/1if_5KpVZgYJ96w6i7Y1vUA72--7qjMMS/view?usp=drive_link"/>
      </ext>
    </x18tc:extLst>
  </x18tc:threadedComment>
  <x18tc:threadedComment ref="A1" dT="2025-08-20T00:34:43.00" personId="{4df2d6c4-e43e-4f2e-b623-d90f458472ff}" id="{b29ef2a8-6854-4356-bc7a-0a31bdc2a5a3}" done="1">
    <x18tc:text xml:space="preserve">https://www.ebay.com/itm/167641074088?_skw=rtx&amp;itmmeta=01K1CTZQE1WZG9DJEE4TFWE7WE&amp;hash=item27082fc9a8%3Ag%3AC%7EUAAeSwoAdoiZTA&amp;LH_ItemCondition=1000</x18tc:text>
    <x18tc:extLst>
      <ext uri="{F7C98A9C-CBB3-438F-8F68-D28B6AF4A901}">
        <xltc2:checksum/>
        <xltc2:hyperlink startIndex="0" length="148" url="https://www.ebay.com/itm/167641074088?_skw=rtx&amp;itmmeta=01K1CTZQE1WZG9DJEE4TFWE7WE&amp;hash=item27082fc9a8%3Ag%3AC%7EUAAeSwoAdoiZTA&amp;LH_ItemCondition=1000"/>
      </ext>
    </x18tc:extLst>
  </x18tc:threadedComment>
  <x18tc:threadedComment ref="J108" dT="2025-07-05T19:24:32.00" personId="{a5d43f6d-3c72-4414-b012-8f52ef50acc4}" id="{a37eb969-a021-4be2-8b5a-453f883eb622}" done="0">
    <x18tc:text xml:space="preserve">https://drive.google.com/file/d/1zcKbrOt2MDfWFPvxzOWgTpD4oLgYLgDg/view?usp=drive_link</x18tc:text>
    <x18tc:extLst>
      <ext uri="{F7C98A9C-CBB3-438F-8F68-D28B6AF4A901}">
        <xltc2:checksum/>
        <xltc2:hyperlink startIndex="0" length="85" url="https://drive.google.com/file/d/1zcKbrOt2MDfWFPvxzOWgTpD4oLgYLgDg/view?usp=drive_link"/>
      </ext>
    </x18tc:extLst>
  </x18tc:threadedComment>
  <x18tc:threadedComment ref="J258" dT="2025-10-01T22:04:02.00" personId="{a5d43f6d-3c72-4414-b012-8f52ef50acc4}" id="{91f1b71e-88fb-4f5c-9bed-ec385127f764}" done="0">
    <x18tc:text xml:space="preserve">https://drive.google.com/file/d/1UrIqSdl3dq955a8q1Y18HQBI8mzOV-Z-/view?usp=drive_link</x18tc:text>
    <x18tc:extLst>
      <ext uri="{F7C98A9C-CBB3-438F-8F68-D28B6AF4A901}">
        <xltc2:checksum/>
        <xltc2:hyperlink startIndex="0" length="85" url="https://drive.google.com/file/d/1UrIqSdl3dq955a8q1Y18HQBI8mzOV-Z-/view?usp=drive_link"/>
      </ext>
    </x18tc:extLst>
  </x18tc:threadedComment>
  <x18tc:threadedComment ref="C812" dT="2026-07-01T17:55:35.00" personId="{80195d68-4e9b-4dc7-a031-ca5391c97d0f}" id="{6a6e5671-fc8d-47e6-ac8c-d721d96fe5c3}" done="0">
    <x18tc:text xml:space="preserve">https://www.microcenter.com/product/709072/msi-raider-16-max-hx-b2wi-003us-oled-16-gaming-laptop-computer-platinum-collection-core-black?__cf_chl_f_tk=p528NInm61078s94uQeGx2rk2tJC6eSDpS.OIe7ONvM-1782920541-1.0.1.1-EvBQQ2C9m2.uCJmX45DhUZin32Phfj3QyV1h1YKKNOc</x18tc:text>
    <x18tc:extLst>
      <ext uri="{F7C98A9C-CBB3-438F-8F68-D28B6AF4A901}">
        <xltc2:checksum/>
        <xltc2:hyperlink startIndex="0" length="257" url="https://www.microcenter.com/product/709072/msi-raider-16-max-hx-b2wi-003us-oled-16-gaming-laptop-computer-platinum-collection-core-black?__cf_chl_f_tk=p528NInm61078s94uQeGx2rk2tJC6eSDpS.OIe7ONvM-1782920541-1.0.1.1-EvBQQ2C9m2.uCJmX45DhUZin32Phfj3QyV1h1YKKNOc"/>
      </ext>
    </x18tc:extLst>
  </x18tc:threadedComment>
  <x18tc:threadedComment ref="J259" dT="2025-10-01T22:12:25.00" personId="{d8e4f5ad-b65d-4160-a56f-197530fb7eb1}" id="{da6722a2-5f82-4423-92a0-1ec8a0599fd6}" done="0">
    <x18tc:text xml:space="preserve">https://drive.google.com/file/d/1YVlRkFyxHEohE5YDzs48lehDkpt-JiMB/view?usp=drive_link</x18tc:text>
    <x18tc:extLst>
      <ext uri="{F7C98A9C-CBB3-438F-8F68-D28B6AF4A901}">
        <xltc2:checksum/>
        <xltc2:hyperlink startIndex="0" length="85" url="https://drive.google.com/file/d/1YVlRkFyxHEohE5YDzs48lehDkpt-JiMB/view?usp=drive_link"/>
      </ext>
    </x18tc:extLst>
  </x18tc:threadedComment>
  <x18tc:threadedComment ref="L94" dT="2025-07-02T17:48:06.00" personId="{d8e4f5ad-b65d-4160-a56f-197530fb7eb1}" id="{83233ca5-6fc5-412f-bfb5-8ae0540f80e7}" done="0">
    <x18tc:text xml:space="preserve">https://drive.google.com/file/d/1stwbtz7VoxPwJvPDKVKpRh6rwqQYzl6y/view?usp=drive_link</x18tc:text>
    <x18tc:extLst>
      <ext uri="{F7C98A9C-CBB3-438F-8F68-D28B6AF4A901}">
        <xltc2:checksum/>
        <xltc2:hyperlink startIndex="0" length="85" url="https://drive.google.com/file/d/1stwbtz7VoxPwJvPDKVKpRh6rwqQYzl6y/view?usp=drive_link"/>
      </ext>
    </x18tc:extLst>
  </x18tc:threadedComment>
  <x18tc:threadedComment ref="J327" dT="2025-11-21T21:02:51.00" personId="{d8e4f5ad-b65d-4160-a56f-197530fb7eb1}" id="{9b25853c-7f24-4660-add3-6016dce077d6}" done="0">
    <x18tc:text xml:space="preserve">https://drive.google.com/file/d/1pVBU2kdV1V0w4Y-HcDdzcxlV-EVW9XO4/view?usp=drive_link</x18tc:text>
    <x18tc:extLst>
      <ext uri="{F7C98A9C-CBB3-438F-8F68-D28B6AF4A901}">
        <xltc2:checksum/>
        <xltc2:hyperlink startIndex="0" length="85" url="https://drive.google.com/file/d/1pVBU2kdV1V0w4Y-HcDdzcxlV-EVW9XO4/view?usp=drive_link"/>
      </ext>
    </x18tc:extLst>
  </x18tc:threadedComment>
  <x18tc:threadedComment ref="A1" dT="2025-08-20T00:36:22.00" personId="{4df2d6c4-e43e-4f2e-b623-d90f458472ff}" id="{94fa1526-382e-43fa-b288-fc97a27c7eda}" done="0">
    <x18tc:text xml:space="preserve">https://drive.google.com/file/d/1APQkR_CDfHnHE6m1v0x8-mE4UkXT6YQJ/view?usp=drive_link</x18tc:text>
    <x18tc:extLst>
      <ext uri="{F7C98A9C-CBB3-438F-8F68-D28B6AF4A901}">
        <xltc2:checksum/>
        <xltc2:hyperlink startIndex="0" length="85" url="https://drive.google.com/file/d/1APQkR_CDfHnHE6m1v0x8-mE4UkXT6YQJ/view?usp=drive_link"/>
      </ext>
    </x18tc:extLst>
  </x18tc:threadedComment>
  <x18tc:threadedComment ref="K540" dT="2026-02-16T23:48:18.00" personId="{68efe3e3-8b68-4e02-81e2-a29fa228b211}" id="{b345da53-dc42-49ae-be59-ff055243039d}" done="0">
    <x18tc:text xml:space="preserve">https://drive.google.com/file/d/1t-kd9qL8KaFXf-YbcMxcv8i4i-K4HUgj/view?usp=drive_link</x18tc:text>
    <x18tc:extLst>
      <ext uri="{F7C98A9C-CBB3-438F-8F68-D28B6AF4A901}">
        <xltc2:checksum/>
        <xltc2:hyperlink startIndex="0" length="85" url="https://drive.google.com/file/d/1t-kd9qL8KaFXf-YbcMxcv8i4i-K4HUgj/view?usp=drive_link"/>
      </ext>
    </x18tc:extLst>
  </x18tc:threadedComment>
  <x18tc:threadedComment ref="K540" dT="2026-03-04T21:08:38.00" personId="{2ddfa542-8116-4937-a057-08470d7abaab}" id="{bdc30be8-cdc5-4479-ad7b-ac6643f11548}" parentId="{b345da53-dc42-49ae-be59-ff055243039d}">
    <x18tc:text xml:space="preserve">el excedente es por la compra de una memoria</x18tc:text>
  </x18tc:threadedComment>
  <x18tc:threadedComment ref="AF309" dT="2025-12-03T20:36:33.00" personId="{2ddfa542-8116-4937-a057-08470d7abaab}" id="{9f79be5d-b891-45a2-bc0f-b9bec42eddf7}" done="1">
    <x18tc:text xml:space="preserve">Venta final y fixit</x18tc:text>
  </x18tc:threadedComment>
  <x18tc:threadedComment ref="AF309" dT="2025-12-22T22:08:16.00" personId="{2ddfa542-8116-4937-a057-08470d7abaab}" id="{b5342906-ec5f-4aad-ae58-57de453da033}" parentId="{9f79be5d-b891-45a2-bc0f-b9bec42eddf7}">
    <x18tc:text xml:space="preserve">Marcado como resuelto</x18tc:text>
  </x18tc:threadedComment>
  <x18tc:threadedComment ref="AF309" dT="2025-12-27T19:08:10.00" personId="{2ddfa542-8116-4937-a057-08470d7abaab}" id="{64f2ea97-0218-44ac-9962-9da3c6a66fb8}" parentId="{9f79be5d-b891-45a2-bc0f-b9bec42eddf7}">
    <x18tc:text xml:space="preserve">Reabierto</x18tc:text>
  </x18tc:threadedComment>
  <x18tc:threadedComment ref="N256" dT="2025-10-01T22:26:19.00" personId="{a5d43f6d-3c72-4414-b012-8f52ef50acc4}" id="{6c05b1d8-a995-4712-af86-1b1a5390dec9}" done="0">
    <x18tc:text xml:space="preserve">S/.1.470,29661
S/.1.734,9500</x18tc:text>
  </x18tc:threadedComment>
  <x18tc:threadedComment ref="C152" dT="2025-07-30T22:07:11.00" personId="{d8e4f5ad-b65d-4160-a56f-197530fb7eb1}" id="{51002954-8c9c-4262-aaa5-c0110eccf068}" done="0">
    <x18tc:text xml:space="preserve">https://www.microcenter.com/product/692117/Titan_18_HX_AI_A2XWJG-412US_18%22_Gaming_Laptop_Computer_-_Core_Black;_Intel_Core_Ultra_9_285HX_21GHz_Processor;_NVIDIA_GeForce_RTX_5090_GPU_24GB_GDDR7;</x18tc:text>
    <x18tc:extLst>
      <ext uri="{F7C98A9C-CBB3-438F-8F68-D28B6AF4A901}">
        <xltc2:checksum/>
        <xltc2:hyperlink startIndex="0" length="194" url="https://www.microcenter.com/product/692117/Titan_18_HX_AI_A2XWJG-412US_18%22_Gaming_Laptop_Computer_-_Core_Black;_Intel_Core_Ultra_9_285HX_21GHz_Processor;_NVIDIA_GeForce_RTX_5090_GPU_24GB_GDDR7"/>
      </ext>
    </x18tc:extLst>
  </x18tc:threadedComment>
  <x18tc:threadedComment ref="AF509" dT="2026-03-04T06:15:28.00" personId="{2ddfa542-8116-4937-a057-08470d7abaab}" id="{f36736dc-803a-429a-8d7e-aaf531c7a70d}" done="1">
    <x18tc:text xml:space="preserve">Fixit, excedentes</x18tc:text>
  </x18tc:threadedComment>
  <x18tc:threadedComment ref="J545" dT="2026-02-17T00:59:27.00" personId="{68efe3e3-8b68-4e02-81e2-a29fa228b211}" id="{f56267aa-6569-4c10-834b-df60bf481e67}" done="0">
    <x18tc:text xml:space="preserve">https://drive.google.com/file/d/1mZdOjmVqG8t8llxBxXjEEML2ufllFe6c/view?usp=drive_link
https://drive.google.com/file/d/1EOzO33ZUf0_qvU1W2yPyElQm7hMhgmoi/view?usp=drive_link</x18tc:text>
    <x18tc:extLst>
      <ext uri="{F7C98A9C-CBB3-438F-8F68-D28B6AF4A901}">
        <xltc2:checksum/>
        <xltc2:hyperlink startIndex="0" length="85" url="https://drive.google.com/file/d/1mZdOjmVqG8t8llxBxXjEEML2ufllFe6c/view?usp=drive_link"/>
        <xltc2:hyperlink startIndex="87" length="85" url="https://drive.google.com/file/d/1EOzO33ZUf0_qvU1W2yPyElQm7hMhgmoi/view?usp=drive_link"/>
      </ext>
    </x18tc:extLst>
  </x18tc:threadedComment>
  <x18tc:threadedComment ref="AF308" dT="2025-12-03T20:36:11.00" personId="{2ddfa542-8116-4937-a057-08470d7abaab}" id="{6ac5095e-a7ff-4b8d-8ec9-eaee7d6b8d09}" done="1">
    <x18tc:text xml:space="preserve">Venta final y fixit</x18tc:text>
  </x18tc:threadedComment>
  <x18tc:threadedComment ref="AF308" dT="2025-12-22T22:08:14.00" personId="{2ddfa542-8116-4937-a057-08470d7abaab}" id="{086cc56c-f0c6-4b46-aeca-421e4d6d5e19}" parentId="{6ac5095e-a7ff-4b8d-8ec9-eaee7d6b8d09}">
    <x18tc:text xml:space="preserve">Marcado como resuelto</x18tc:text>
  </x18tc:threadedComment>
  <x18tc:threadedComment ref="AF308" dT="2025-12-27T19:08:12.00" personId="{2ddfa542-8116-4937-a057-08470d7abaab}" id="{a44afa30-7911-4312-9cc8-eeb6f5e0d125}" parentId="{6ac5095e-a7ff-4b8d-8ec9-eaee7d6b8d09}">
    <x18tc:text xml:space="preserve">Reabierto</x18tc:text>
  </x18tc:threadedComment>
  <x18tc:threadedComment ref="M256" dT="2025-10-01T22:26:57.00" personId="{a5d43f6d-3c72-4414-b012-8f52ef50acc4}" id="{579ae201-b4ae-4306-92bc-67637681ab70}" done="0">
    <x18tc:text xml:space="preserve">se cambió porque se compro de otra tienda</x18tc:text>
  </x18tc:threadedComment>
  <x18tc:threadedComment ref="L138" dT="2025-08-20T00:52:28.00" personId="{4df2d6c4-e43e-4f2e-b623-d90f458472ff}" id="{f0aed436-dfb8-4f59-b41a-cc95e2c82075}" done="0">
    <x18tc:text xml:space="preserve">https://drive.google.com/file/d/1VhabxoPgAB6srrS0kpKSdoFShfQYhRuH/view?usp=drive_link</x18tc:text>
    <x18tc:extLst>
      <ext uri="{F7C98A9C-CBB3-438F-8F68-D28B6AF4A901}">
        <xltc2:checksum/>
        <xltc2:hyperlink startIndex="0" length="85" url="https://drive.google.com/file/d/1VhabxoPgAB6srrS0kpKSdoFShfQYhRuH/view?usp=drive_link"/>
      </ext>
    </x18tc:extLst>
  </x18tc:threadedComment>
  <x18tc:threadedComment ref="L97" dT="2025-07-05T16:55:42.00" personId="{d8e4f5ad-b65d-4160-a56f-197530fb7eb1}" id="{48af4296-e65a-4633-a74e-0fa8bc52897a}" done="0">
    <x18tc:text xml:space="preserve">https://drive.google.com/file/d/18Pp9KXbl9Tlg1da87z3uZOfAAZ8qVVVF/view?usp=drive_link</x18tc:text>
    <x18tc:extLst>
      <ext uri="{F7C98A9C-CBB3-438F-8F68-D28B6AF4A901}">
        <xltc2:checksum/>
        <xltc2:hyperlink startIndex="0" length="85" url="https://drive.google.com/file/d/18Pp9KXbl9Tlg1da87z3uZOfAAZ8qVVVF/view?usp=drive_link"/>
      </ext>
    </x18tc:extLst>
  </x18tc:threadedComment>
  <x18tc:threadedComment ref="C545" dT="2026-02-17T01:00:06.00" personId="{68efe3e3-8b68-4e02-81e2-a29fa228b211}" id="{b8b720cd-c937-479b-9ca5-9b40074e623d}" done="0">
    <x18tc:text xml:space="preserve">https://www.ebay.com/itm/306433464520?_skw=zenbook+14&amp;itmmeta=01KHMFKDQY0R95M90YVXC007XQ&amp;hash=item4758db98c8:g:gGQAAeSw1Clokkci&amp;itmprp=enc%3AAQALAAAAwGfYFPkwiKCW4ZNSs2u11xCgT9IIoYxBnlQ%2B4T9oKXukJ%2F7lQW3VDBxdrw2xM%2FtIcd34VQ%2BSb1QgMyJ6AI4eY4iEwbzwfgWSRBf7dQOFW9CwBZpE66I81T5SyG21fl6QWCeiKQkgm1T3DC9OcpHXECcX%2FxqwjQlDjTg81sO3ycG%2B%2Fy2i3fOUF8D5fCw9MWBi3Wxk0I6omd5Fg86BEQRTbHW%2FYIa0y7ycUUvXZ97HNAUBm4rMXlQckJiZ%2F9pE1ZDZLA%3D%3D%7Ctkp%3ABk9SR5LczY-NZw</x18tc:text>
    <x18tc:extLst>
      <ext uri="{F7C98A9C-CBB3-438F-8F68-D28B6AF4A901}">
        <xltc2:checksum/>
        <xltc2:hyperlink startIndex="0" length="454" url="https://www.ebay.com/itm/306433464520?_skw=zenbook+14&amp;itmmeta=01KHMFKDQY0R95M90YVXC007XQ&amp;hash=item4758db98c8:g:gGQAAeSw1Clokkci&amp;itmprp=enc%3AAQALAAAAwGfYFPkwiKCW4ZNSs2u11xCgT9IIoYxBnlQ%2B4T9oKXukJ%2F7lQW3VDBxdrw2xM%2FtIcd34VQ%2BSb1QgMyJ6AI4eY4iEwbzwfgWSRBf7dQOFW9CwBZpE66I81T5SyG21fl6QWCeiKQkgm1T3DC9OcpHXECcX%2FxqwjQlDjTg81sO3ycG%2B%2Fy2i3fOUF8D5fCw9MWBi3Wxk0I6omd5Fg86BEQRTbHW%2FYIa0y7ycUUvXZ97HNAUBm4rMXlQckJiZ%2F9pE1ZDZLA%3D%3D%7Ctkp%3ABk9SR5LczY-NZw"/>
      </ext>
    </x18tc:extLst>
  </x18tc:threadedComment>
  <x18tc:threadedComment ref="J319" dT="2025-11-21T21:17:11.00" personId="{d8e4f5ad-b65d-4160-a56f-197530fb7eb1}" id="{107557c8-5c72-4d00-8569-f1668fb66fae}" done="0">
    <x18tc:text xml:space="preserve">https://drive.google.com/file/d/1c61VkmmCrf-sx_EtqrwY3U8InFa6KMJM/view?usp=drive_link</x18tc:text>
    <x18tc:extLst>
      <ext uri="{F7C98A9C-CBB3-438F-8F68-D28B6AF4A901}">
        <xltc2:checksum/>
        <xltc2:hyperlink startIndex="0" length="85" url="https://drive.google.com/file/d/1c61VkmmCrf-sx_EtqrwY3U8InFa6KMJM/view?usp=drive_link"/>
      </ext>
    </x18tc:extLst>
  </x18tc:threadedComment>
  <x18tc:threadedComment ref="AF205" dT="2025-09-24T00:59:27.00" personId="{2ddfa542-8116-4937-a057-08470d7abaab}" id="{db99166d-295a-4829-881a-a9bd823c8ad6}" done="1">
    <x18tc:text xml:space="preserve">solo BOLETA</x18tc:text>
  </x18tc:threadedComment>
  <x18tc:threadedComment ref="K298" dT="2025-11-21T21:14:50.00" personId="{d8e4f5ad-b65d-4160-a56f-197530fb7eb1}" id="{7cc2751e-ebc2-4f4c-a352-dac27082ab16}" done="0">
    <x18tc:text xml:space="preserve">https://drive.google.com/file/d/1uXSjKX5OgBTkU91zwCPvDS-fXEsXFiX2/view?usp=drive_link</x18tc:text>
    <x18tc:extLst>
      <ext uri="{F7C98A9C-CBB3-438F-8F68-D28B6AF4A901}">
        <xltc2:checksum/>
        <xltc2:hyperlink startIndex="0" length="85" url="https://drive.google.com/file/d/1uXSjKX5OgBTkU91zwCPvDS-fXEsXFiX2/view?usp=drive_link"/>
      </ext>
    </x18tc:extLst>
  </x18tc:threadedComment>
  <x18tc:threadedComment ref="L147" dT="2025-08-20T00:58:57.00" personId="{4df2d6c4-e43e-4f2e-b623-d90f458472ff}" id="{ca25f2e4-ed52-4ddf-afdb-ba8d9f7846e6}" done="0">
    <x18tc:text xml:space="preserve">https://drive.google.com/file/d/1xrFvEbPEpXRE1XtYStUN4TxgeDbJ3yJr/view?usp=drive_link</x18tc:text>
    <x18tc:extLst>
      <ext uri="{F7C98A9C-CBB3-438F-8F68-D28B6AF4A901}">
        <xltc2:checksum/>
        <xltc2:hyperlink startIndex="0" length="85" url="https://drive.google.com/file/d/1xrFvEbPEpXRE1XtYStUN4TxgeDbJ3yJr/view?usp=drive_link"/>
      </ext>
    </x18tc:extLst>
  </x18tc:threadedComment>
  <x18tc:threadedComment ref="AF208" dT="2025-09-24T01:18:25.00" personId="{2ddfa542-8116-4937-a057-08470d7abaab}" id="{c7b0401a-70f0-4d14-bae4-fdcce8b9f595}" done="1">
    <x18tc:text xml:space="preserve">No suma voucher</x18tc:text>
  </x18tc:threadedComment>
  <x18tc:threadedComment ref="K514" dT="2026-03-04T16:29:19.00" personId="{80195d68-4e9b-4dc7-a031-ca5391c97d0f}" id="{4db6778e-a70f-4146-87c6-8cc28e70da52}" done="0">
    <x18tc:text xml:space="preserve">https://drive.google.com/file/d/1lbk-zPkxkfyjHBDKQEV1JPCkJqloddTh/view?usp=drive_link</x18tc:text>
    <x18tc:extLst>
      <ext uri="{F7C98A9C-CBB3-438F-8F68-D28B6AF4A901}">
        <xltc2:checksum/>
        <xltc2:hyperlink startIndex="0" length="85" url="https://drive.google.com/file/d/1lbk-zPkxkfyjHBDKQEV1JPCkJqloddTh/view?usp=drive_link"/>
      </ext>
    </x18tc:extLst>
  </x18tc:threadedComment>
  <x18tc:threadedComment ref="P672" dT="2026-05-18T16:00:41.00" personId="{80195d68-4e9b-4dc7-a031-ca5391c97d0f}" id="{e88a2157-043b-441a-874f-07681ee82794}" done="0">
    <x18tc:text xml:space="preserve">faltante para descuento por equivocación 143 descontar fila 666</x18tc:text>
  </x18tc:threadedComment>
  <x18tc:threadedComment ref="P672" dT="2026-05-18T16:08:01.00" personId="{80195d68-4e9b-4dc7-a031-ca5391c97d0f}" id="{e4016b7e-0f3c-4b7e-bf89-4770cf161487}" parentId="{e88a2157-043b-441a-874f-07681ee82794}">
    <x18tc:text xml:space="preserve">faltante para configuración 100 descontar fila 658</x18tc:text>
  </x18tc:threadedComment>
  <x18tc:threadedComment ref="K282" dT="2025-11-21T21:04:22.00" personId="{d8e4f5ad-b65d-4160-a56f-197530fb7eb1}" id="{8bc32c8b-c584-4079-a198-699534fa1474}" done="0">
    <x18tc:text xml:space="preserve">https://drive.google.com/file/d/1zbVUg1Vf7B8y4CN5vdBrhssAq151Gs5H/view?usp=drive_link</x18tc:text>
    <x18tc:extLst>
      <ext uri="{F7C98A9C-CBB3-438F-8F68-D28B6AF4A901}">
        <xltc2:checksum/>
        <xltc2:hyperlink startIndex="0" length="85" url="https://drive.google.com/file/d/1zbVUg1Vf7B8y4CN5vdBrhssAq151Gs5H/view?usp=drive_link"/>
      </ext>
    </x18tc:extLst>
  </x18tc:threadedComment>
  <x18tc:threadedComment ref="J268" dT="2025-10-12T00:45:00.00" personId="{a5d43f6d-3c72-4414-b012-8f52ef50acc4}" id="{6e3b5dcc-d2f3-4374-81f0-1a0c1008a238}" done="0">
    <x18tc:text xml:space="preserve">https://drive.google.com/file/d/1x_ijNk973B68a6IPZkhZcJNU-Z29GUTw/view?usp=drive_link</x18tc:text>
    <x18tc:extLst>
      <ext uri="{F7C98A9C-CBB3-438F-8F68-D28B6AF4A901}">
        <xltc2:checksum/>
        <xltc2:hyperlink startIndex="0" length="85" url="https://drive.google.com/file/d/1x_ijNk973B68a6IPZkhZcJNU-Z29GUTw/view?usp=drive_link"/>
      </ext>
    </x18tc:extLst>
  </x18tc:threadedComment>
  <x18tc:threadedComment ref="M545" dT="2026-02-17T01:44:55.00" personId="{6afbe8df-a68a-4403-9951-ca8c0d21ef43}" id="{f2cb42d4-deef-42db-b23b-a7e68ad6a918}" done="0">
    <x18tc:text xml:space="preserve">@katiuskarodriempresa@gmail.com
Falta agregar el costo de envío ($21.55), usar la calculadora para obtener el nuevo precio de la laptop
Asignada a katiuskarodriempresa@gmail.com</x18tc:text>
    <x18tc:mentions>
      <x18tc:mention mentionpersonId="{35da361e-a7bc-4cb9-aa92-04fb9a954f9b}" mentionId="{ddd5ef83-7c4c-4ebf-86fd-d0e54a7cbcc5}" startIndex="0" length="31"/>
    </x18tc:mentions>
  </x18tc:threadedComment>
  <x18tc:threadedComment ref="J238" dT="2025-09-20T19:26:00.00" personId="{a5d43f6d-3c72-4414-b012-8f52ef50acc4}" id="{15d77431-3d5e-48bf-9910-f60789b71c41}" done="0">
    <x18tc:text xml:space="preserve">https://drive.google.com/file/d/1IjbTvHlJoPvYSBim0i9_qllzM6236dRU/view?usp=drive_link</x18tc:text>
    <x18tc:extLst>
      <ext uri="{F7C98A9C-CBB3-438F-8F68-D28B6AF4A901}">
        <xltc2:checksum/>
        <xltc2:hyperlink startIndex="0" length="85" url="https://drive.google.com/file/d/1IjbTvHlJoPvYSBim0i9_qllzM6236dRU/view?usp=drive_link"/>
      </ext>
    </x18tc:extLst>
  </x18tc:threadedComment>
  <x18tc:threadedComment ref="C268" dT="2025-10-12T00:44:12.00" personId="{a5d43f6d-3c72-4414-b012-8f52ef50acc4}" id="{66877c61-4896-466e-8417-348bb4833dac}" done="0">
    <x18tc:text xml:space="preserve">https://www.dell.com/en-us/shop/dell-laptops/alienware-16x-aurora-gaming-laptop/spd/alienware-aurora-ac16251-gaming-laptop/useac16251hbtshqmy</x18tc:text>
    <x18tc:extLst>
      <ext uri="{F7C98A9C-CBB3-438F-8F68-D28B6AF4A901}">
        <xltc2:checksum/>
        <xltc2:hyperlink startIndex="0" length="141" url="https://www.dell.com/en-us/shop/dell-laptops/alienware-16x-aurora-gaming-laptop/spd/alienware-aurora-ac16251-gaming-laptop/useac16251hbtshqmy"/>
      </ext>
    </x18tc:extLst>
  </x18tc:threadedComment>
  <x18tc:threadedComment ref="K512" dT="2026-03-04T16:32:33.00" personId="{2ddfa542-8116-4937-a057-08470d7abaab}" id="{fb7348df-b688-4737-827e-f41a71713691}" done="0">
    <x18tc:text xml:space="preserve">se le devolvió a la clienta 90 soles, porque pago demás</x18tc:text>
  </x18tc:threadedComment>
  <x18tc:threadedComment ref="K512" dT="2026-03-04T16:33:20.00" personId="{80195d68-4e9b-4dc7-a031-ca5391c97d0f}" id="{4aeb426e-111b-4fee-84b2-a663305b1b88}" parentId="{fb7348df-b688-4737-827e-f41a71713691}">
    <x18tc:text xml:space="preserve">https://drive.google.com/file/d/1Ky-ZgQ5AjszqaA1WH6mU1NjV-Qc8xiji/view?usp=drive_link</x18tc:text>
    <x18tc:extLst>
      <ext uri="{F7C98A9C-CBB3-438F-8F68-D28B6AF4A901}">
        <xltc2:checksum/>
        <xltc2:hyperlink startIndex="0" length="85" url="https://drive.google.com/file/d/1Ky-ZgQ5AjszqaA1WH6mU1NjV-Qc8xiji/view?usp=drive_link"/>
      </ext>
    </x18tc:extLst>
  </x18tc:threadedComment>
  <x18tc:threadedComment ref="K512" dT="2026-03-04T16:40:03.00" personId="{80195d68-4e9b-4dc7-a031-ca5391c97d0f}" id="{ef0bc385-3193-4c84-a7a6-eed9e4179986}" parentId="{fb7348df-b688-4737-827e-f41a71713691}">
    <x18tc:text xml:space="preserve">https://drive.google.com/file/d/1AjMDjN9bqUOe7o6yZoIVAVrrtL4d8TMI/view?usp=drive_link devolucion</x18tc:text>
    <x18tc:extLst>
      <ext uri="{F7C98A9C-CBB3-438F-8F68-D28B6AF4A901}">
        <xltc2:checksum/>
        <xltc2:hyperlink startIndex="0" length="85" url="https://drive.google.com/file/d/1AjMDjN9bqUOe7o6yZoIVAVrrtL4d8TMI/view?usp=drive_link"/>
      </ext>
    </x18tc:extLst>
  </x18tc:threadedComment>
  <x18tc:threadedComment ref="C238" dT="2025-09-20T19:24:39.00" personId="{a5d43f6d-3c72-4414-b012-8f52ef50acc4}" id="{5aa14d93-78fe-4139-a55b-d40d8f312ff0}" done="0">
    <x18tc:text xml:space="preserve">https://www.ebay.com/itm/326677331843?</x18tc:text>
    <x18tc:extLst>
      <ext uri="{F7C98A9C-CBB3-438F-8F68-D28B6AF4A901}">
        <xltc2:checksum/>
        <xltc2:hyperlink startIndex="0" length="37" url="https://www.ebay.com/itm/326677331843"/>
      </ext>
    </x18tc:extLst>
  </x18tc:threadedComment>
  <x18tc:threadedComment ref="F580" dT="2026-03-06T18:12:02.00" personId="{6afbe8df-a68a-4403-9951-ca8c0d21ef43}" id="{81e23611-5ae6-4eee-b9f4-4d8ed1cdd489}" done="0">
    <x18tc:text xml:space="preserve">se está procesando, aún no está confirmado</x18tc:text>
  </x18tc:threadedComment>
  <x18tc:threadedComment ref="F580" dT="2026-03-07T18:01:13.00" personId="{2ddfa542-8116-4937-a057-08470d7abaab}" id="{8e3a690d-6e48-40fc-aabc-49aff2b493ca}" parentId="{81e23611-5ae6-4eee-b9f4-4d8ed1cdd489}">
    <x18tc:text xml:space="preserve">sale complete</x18tc:text>
  </x18tc:threadedComment>
  <x18tc:threadedComment ref="J794" dT="2026-06-22T16:34:35.00" personId="{80195d68-4e9b-4dc7-a031-ca5391c97d0f}" id="{5ebe9d10-4ad7-46c1-8bfe-d062b3285331}" done="0">
    <x18tc:text xml:space="preserve">https://drive.google.com/file/d/1BQzormr0IMIMF-QfwDwRo1-PEQSqTYSq/view?usp=drive_link</x18tc:text>
    <x18tc:extLst>
      <ext uri="{F7C98A9C-CBB3-438F-8F68-D28B6AF4A901}">
        <xltc2:checksum/>
        <xltc2:hyperlink startIndex="0" length="85" url="https://drive.google.com/file/d/1BQzormr0IMIMF-QfwDwRo1-PEQSqTYSq/view?usp=drive_link"/>
      </ext>
    </x18tc:extLst>
  </x18tc:threadedComment>
  <x18tc:threadedComment ref="F585" dT="2026-03-06T18:11:56.00" personId="{6afbe8df-a68a-4403-9951-ca8c0d21ef43}" id="{5f513e08-8e55-4564-ae86-d2a3879dc6de}" done="0">
    <x18tc:text xml:space="preserve">se está procesando, aún no está confirmado</x18tc:text>
  </x18tc:threadedComment>
  <x18tc:threadedComment ref="F585" dT="2026-03-07T17:44:29.00" personId="{2ddfa542-8116-4937-a057-08470d7abaab}" id="{b647fccd-d557-41e6-983f-61d8cebc9691}" parentId="{5f513e08-8e55-4564-ae86-d2a3879dc6de}">
    <x18tc:text xml:space="preserve">ya se confirmó</x18tc:text>
  </x18tc:threadedComment>
  <x18tc:threadedComment ref="K499" dT="2026-01-23T23:51:19.00" personId="{a5d43f6d-3c72-4414-b012-8f52ef50acc4}" id="{82b544e0-c1d5-4f39-8060-f0fb5ca371cf}" done="0">
    <x18tc:text xml:space="preserve">https://drive.google.com/file/d/1GrPTtGFvW-AEZdy7ctwot8_4lC8xF1fp/view?usp=sharing</x18tc:text>
    <x18tc:extLst>
      <ext uri="{F7C98A9C-CBB3-438F-8F68-D28B6AF4A901}">
        <xltc2:checksum/>
        <xltc2:hyperlink startIndex="0" length="82" url="https://drive.google.com/file/d/1GrPTtGFvW-AEZdy7ctwot8_4lC8xF1fp/view?usp=sharing"/>
      </ext>
    </x18tc:extLst>
  </x18tc:threadedComment>
  <x18tc:threadedComment ref="K734" dT="2026-06-22T16:41:41.00" personId="{80195d68-4e9b-4dc7-a031-ca5391c97d0f}" id="{4a430ac6-e213-4a59-8e59-054b976a45aa}" done="0">
    <x18tc:text xml:space="preserve">https://drive.google.com/file/d/1fwp7YqW5E5kZnLLkXtA8rWLP0R0FfMux/view?usp=drive_link</x18tc:text>
    <x18tc:extLst>
      <ext uri="{F7C98A9C-CBB3-438F-8F68-D28B6AF4A901}">
        <xltc2:checksum/>
        <xltc2:hyperlink startIndex="0" length="85" url="https://drive.google.com/file/d/1fwp7YqW5E5kZnLLkXtA8rWLP0R0FfMux/view?usp=drive_link"/>
      </ext>
    </x18tc:extLst>
  </x18tc:threadedComment>
  <x18tc:threadedComment ref="C634" dT="2026-03-23T19:42:41.00" personId="{d8e4f5ad-b65d-4160-a56f-197530fb7eb1}" id="{5834735b-bdbe-45ee-8be3-51fe870bc9be}" done="0">
    <x18tc:text xml:space="preserve">https://www.microcenter.com/product/695522/dell-alienware-18-area-51-aa18250-18-gaming-laptop-computer-liquid-teal</x18tc:text>
    <x18tc:extLst>
      <ext uri="{F7C98A9C-CBB3-438F-8F68-D28B6AF4A901}">
        <xltc2:checksum/>
        <xltc2:hyperlink startIndex="0" length="114" url="https://www.microcenter.com/product/695522/dell-alienware-18-area-51-aa18250-18-gaming-laptop-computer-liquid-teal"/>
      </ext>
    </x18tc:extLst>
  </x18tc:threadedComment>
  <x18tc:threadedComment ref="K582" dT="2026-03-06T19:17:22.00" personId="{80195d68-4e9b-4dc7-a031-ca5391c97d0f}" id="{623d4c16-8eab-40b3-b00b-83cae45e15a0}" done="0">
    <x18tc:text xml:space="preserve">https://drive.google.com/file/d/1TjJ3P3XXg5nlgP1lgJy8J29Ng50z2M2V/view?usp=drive_link</x18tc:text>
    <x18tc:extLst>
      <ext uri="{F7C98A9C-CBB3-438F-8F68-D28B6AF4A901}">
        <xltc2:checksum/>
        <xltc2:hyperlink startIndex="0" length="85" url="https://drive.google.com/file/d/1TjJ3P3XXg5nlgP1lgJy8J29Ng50z2M2V/view?usp=drive_link"/>
      </ext>
    </x18tc:extLst>
  </x18tc:threadedComment>
  <x18tc:threadedComment ref="J140" dT="2025-07-24T21:15:36.00" personId="{a5d43f6d-3c72-4414-b012-8f52ef50acc4}" id="{7193d497-aa50-4856-88f9-7c354e4c6878}" done="0">
    <x18tc:text xml:space="preserve">https://drive.google.com/file/d/1qEceTBe6H9efCeHZ81tAyFnkTh_rR3He/view?usp=drive_link
https://drive.google.com/file/d/1_RUi7C_H-DNy8hLYEYFRepcXMXbVjMYx/view?usp=drive_link</x18tc:text>
    <x18tc:extLst>
      <ext uri="{F7C98A9C-CBB3-438F-8F68-D28B6AF4A901}">
        <xltc2:checksum/>
        <xltc2:hyperlink startIndex="0" length="85" url="https://drive.google.com/file/d/1qEceTBe6H9efCeHZ81tAyFnkTh_rR3He/view?usp=drive_link"/>
        <xltc2:hyperlink startIndex="86" length="85" url="https://drive.google.com/file/d/1_RUi7C_H-DNy8hLYEYFRepcXMXbVjMYx/view?usp=drive_link"/>
      </ext>
    </x18tc:extLst>
  </x18tc:threadedComment>
  <x18tc:threadedComment ref="K728" dT="2026-06-22T16:42:23.00" personId="{80195d68-4e9b-4dc7-a031-ca5391c97d0f}" id="{ef9b5793-9d4c-4644-94b3-f8b15cec786c}" done="0">
    <x18tc:text xml:space="preserve">https://drive.google.com/file/d/1EY6D4TncXZIKS2G_JW0gqBg5HzpmTJOP/view?usp=drive_link</x18tc:text>
    <x18tc:extLst>
      <ext uri="{F7C98A9C-CBB3-438F-8F68-D28B6AF4A901}">
        <xltc2:checksum/>
        <xltc2:hyperlink startIndex="0" length="85" url="https://drive.google.com/file/d/1EY6D4TncXZIKS2G_JW0gqBg5HzpmTJOP/view?usp=drive_link"/>
      </ext>
    </x18tc:extLst>
  </x18tc:threadedComment>
  <x18tc:threadedComment ref="K675" dT="2026-05-29T20:02:40.00" personId="{2ddfa542-8116-4937-a057-08470d7abaab}" id="{98f19e32-2c76-4629-a0a9-af1842a24c3a}" done="0">
    <x18tc:text xml:space="preserve">se encuentra en su chat</x18tc:text>
  </x18tc:threadedComment>
  <x18tc:threadedComment ref="C633" dT="2026-03-23T18:46:42.00" personId="{d8e4f5ad-b65d-4160-a56f-197530fb7eb1}" id="{0d1c02d3-e3c5-4dc9-9c86-5df494156209}" done="0">
    <x18tc:text xml:space="preserve">https://www.microcenter.com/product/691907/asus-rog-strix-scar-16-g635lw-xs97-16-gaming-laptop-computer-off-black?ob=1</x18tc:text>
    <x18tc:extLst>
      <ext uri="{F7C98A9C-CBB3-438F-8F68-D28B6AF4A901}">
        <xltc2:checksum/>
        <xltc2:hyperlink startIndex="0" length="118" url="https://www.microcenter.com/product/691907/asus-rog-strix-scar-16-g635lw-xs97-16-gaming-laptop-computer-off-black?ob=1"/>
      </ext>
    </x18tc:extLst>
  </x18tc:threadedComment>
  <x18tc:threadedComment ref="K729" dT="2026-05-20T20:00:10.00" personId="{f9b224d0-ee33-4499-ae47-db5bcd2d0435}" id="{c42e6d2c-b12c-44db-ab06-67220f03969a}" done="0">
    <x18tc:text xml:space="preserve">https://drive.google.com/file/d/1b4-DkHpcVF5bVkzkv_AHhDsV19MkYD5c/view?usp=drive_link</x18tc:text>
    <x18tc:extLst>
      <ext uri="{F7C98A9C-CBB3-438F-8F68-D28B6AF4A901}">
        <xltc2:checksum/>
        <xltc2:hyperlink startIndex="0" length="85" url="https://drive.google.com/file/d/1b4-DkHpcVF5bVkzkv_AHhDsV19MkYD5c/view?usp=drive_link"/>
      </ext>
    </x18tc:extLst>
  </x18tc:threadedComment>
  <x18tc:threadedComment ref="J788" dT="2026-06-22T16:29:46.00" personId="{80195d68-4e9b-4dc7-a031-ca5391c97d0f}" id="{2130e974-2c9d-492f-a44f-aea5e7376796}" done="0">
    <x18tc:text xml:space="preserve">https://drive.google.com/file/d/13lzc7_zhjaM7_IF_C3JAzZxDmG6Dz6OK/view?usp=drive_link</x18tc:text>
    <x18tc:extLst>
      <ext uri="{F7C98A9C-CBB3-438F-8F68-D28B6AF4A901}">
        <xltc2:checksum/>
        <xltc2:hyperlink startIndex="0" length="85" url="https://drive.google.com/file/d/13lzc7_zhjaM7_IF_C3JAzZxDmG6Dz6OK/view?usp=drive_link"/>
      </ext>
    </x18tc:extLst>
  </x18tc:threadedComment>
  <x18tc:threadedComment ref="AF497" dT="2026-02-06T02:08:32.00" personId="{2ddfa542-8116-4937-a057-08470d7abaab}" id="{939087a1-5a0e-4b32-973f-81966279cb61}" done="1">
    <x18tc:text xml:space="preserve">fixit, venta final, excedentes</x18tc:text>
  </x18tc:threadedComment>
  <x18tc:threadedComment ref="K423" dT="2026-01-17T22:37:22.00" personId="{a5d43f6d-3c72-4414-b012-8f52ef50acc4}" id="{f5952053-2fd4-4141-b400-5c05a9c9ec00}" done="0">
    <x18tc:text xml:space="preserve">https://drive.google.com/file/d/1otEEpxVpS_YQ0XR2xWTGS_qO7hGLctSF/view?usp=drive_link</x18tc:text>
    <x18tc:extLst>
      <ext uri="{F7C98A9C-CBB3-438F-8F68-D28B6AF4A901}">
        <xltc2:checksum/>
        <xltc2:hyperlink startIndex="0" length="85" url="https://drive.google.com/file/d/1otEEpxVpS_YQ0XR2xWTGS_qO7hGLctSF/view?usp=drive_link"/>
      </ext>
    </x18tc:extLst>
  </x18tc:threadedComment>
  <x18tc:threadedComment ref="O134" dT="2025-07-24T21:34:33.00" personId="{4df2d6c4-e43e-4f2e-b623-d90f458472ff}" id="{61f3511c-72db-407d-81d5-af5edf758c04}" done="0">
    <x18tc:text xml:space="preserve">31 dolares para cotsco 3.55 precio de dolares, 110 solees</x18tc:text>
  </x18tc:threadedComment>
  <x18tc:threadedComment ref="AG485" dT="2026-02-06T02:06:36.00" personId="{2ddfa542-8116-4937-a057-08470d7abaab}" id="{16696175-be28-4bb7-9225-5a59df74fd98}" done="1">
    <x18tc:text xml:space="preserve">fixit, venta final, excedentes</x18tc:text>
  </x18tc:threadedComment>
  <x18tc:threadedComment ref="J491" dT="2026-01-17T22:50:16.00" personId="{d8e4f5ad-b65d-4160-a56f-197530fb7eb1}" id="{a9a95ab6-387a-4b4f-ba0b-c936d1873005}" done="0">
    <x18tc:text xml:space="preserve">https://drive.google.com/file/d/17ruRO6ZqUgMJwEahPOusrP22KPbURzU3/view?usp=drive_link</x18tc:text>
    <x18tc:extLst>
      <ext uri="{F7C98A9C-CBB3-438F-8F68-D28B6AF4A901}">
        <xltc2:checksum/>
        <xltc2:hyperlink startIndex="0" length="85" url="https://drive.google.com/file/d/17ruRO6ZqUgMJwEahPOusrP22KPbURzU3/view?usp=drive_link"/>
      </ext>
    </x18tc:extLst>
  </x18tc:threadedComment>
  <x18tc:threadedComment ref="C496" dT="2026-01-23T16:47:54.00" personId="{a5d43f6d-3c72-4414-b012-8f52ef50acc4}" id="{05da447e-48b6-49d8-832c-0d06a1390131}" done="0">
    <x18tc:text xml:space="preserve">https://us-store.msi.com/Laptops/Gaming-Series/msi-Vector-16-HX-AI-A2XWIG-050US</x18tc:text>
    <x18tc:extLst>
      <ext uri="{F7C98A9C-CBB3-438F-8F68-D28B6AF4A901}">
        <xltc2:checksum/>
        <xltc2:hyperlink startIndex="0" length="79" url="https://us-store.msi.com/Laptops/Gaming-Series/msi-Vector-16-HX-AI-A2XWIG-050US"/>
      </ext>
    </x18tc:extLst>
  </x18tc:threadedComment>
  <x18tc:threadedComment ref="J133" dT="2025-08-14T00:56:05.00" personId="{4df2d6c4-e43e-4f2e-b623-d90f458472ff}" id="{c339bb9d-6ddb-49d2-bc26-d3e9bff21b41}" done="0">
    <x18tc:text xml:space="preserve">https://drive.google.com/file/d/10ckTMIVAQy3OuLe0a88TTPo1FwqeiTae/view?usp=drive_link</x18tc:text>
    <x18tc:extLst>
      <ext uri="{F7C98A9C-CBB3-438F-8F68-D28B6AF4A901}">
        <xltc2:checksum/>
        <xltc2:hyperlink startIndex="0" length="85" url="https://drive.google.com/file/d/10ckTMIVAQy3OuLe0a88TTPo1FwqeiTae/view?usp=drive_link"/>
      </ext>
    </x18tc:extLst>
  </x18tc:threadedComment>
  <x18tc:threadedComment ref="J789" dT="2026-06-22T16:31:23.00" personId="{80195d68-4e9b-4dc7-a031-ca5391c97d0f}" id="{58cab6a4-d716-4a2f-9bd1-63b3f11dec0f}" done="0">
    <x18tc:text xml:space="preserve">https://drive.google.com/file/d/1fKZt6jxa5qS5UirpcIfP51Gh8ysOdpFU/view?usp=drive_link
https://drive.google.com/file/d/1F6Y1yIxdk1mTJIhm56chillnfZ0wx0ot/view?usp=drive_link
https://drive.google.com/file/d/1ty2qt5FRlAZt97pKWFhVFFduRuxU6A-a/view?usp=drive_link</x18tc:text>
    <x18tc:extLst>
      <ext uri="{F7C98A9C-CBB3-438F-8F68-D28B6AF4A901}">
        <xltc2:checksum/>
        <xltc2:hyperlink startIndex="0" length="85" url="https://drive.google.com/file/d/1fKZt6jxa5qS5UirpcIfP51Gh8ysOdpFU/view?usp=drive_link"/>
        <xltc2:hyperlink startIndex="86" length="85" url="https://drive.google.com/file/d/1F6Y1yIxdk1mTJIhm56chillnfZ0wx0ot/view?usp=drive_link"/>
        <xltc2:hyperlink startIndex="172" length="85" url="https://drive.google.com/file/d/1ty2qt5FRlAZt97pKWFhVFFduRuxU6A-a/view?usp=drive_link"/>
      </ext>
    </x18tc:extLst>
  </x18tc:threadedComment>
  <x18tc:threadedComment ref="J498" dT="2026-01-23T23:57:30.00" personId="{d8e4f5ad-b65d-4160-a56f-197530fb7eb1}" id="{6ac44e37-ebd4-4c4b-bc21-540f1ab5a883}" done="0">
    <x18tc:text xml:space="preserve">https://drive.google.com/file/d/1eXhtWi0oCo7XpJITbBqZLp4_BGwBh-3R/view?usp=drive_link</x18tc:text>
    <x18tc:extLst>
      <ext uri="{F7C98A9C-CBB3-438F-8F68-D28B6AF4A901}">
        <xltc2:checksum/>
        <xltc2:hyperlink startIndex="0" length="85" url="https://drive.google.com/file/d/1eXhtWi0oCo7XpJITbBqZLp4_BGwBh-3R/view?usp=drive_link"/>
      </ext>
    </x18tc:extLst>
  </x18tc:threadedComment>
  <x18tc:threadedComment ref="W460" dT="2026-01-17T18:35:32.00" personId="{2ddfa542-8116-4937-a057-08470d7abaab}" id="{dee7909a-98e0-4c69-b87b-cbd732123417}" done="0">
    <x18tc:text xml:space="preserve">https://drive.google.com/open?id=16xZHUkR7Wlm8QLtU3y3E9jIP6WFTf0X3&amp;usp=drive_copy</x18tc:text>
    <x18tc:extLst>
      <ext uri="{F7C98A9C-CBB3-438F-8F68-D28B6AF4A901}">
        <xltc2:checksum/>
        <xltc2:hyperlink startIndex="0" length="81" url="https://drive.google.com/open?id=16xZHUkR7Wlm8QLtU3y3E9jIP6WFTf0X3&amp;usp=drive_copy"/>
      </ext>
    </x18tc:extLst>
  </x18tc:threadedComment>
  <x18tc:threadedComment ref="K681" dT="2026-06-22T16:51:10.00" personId="{80195d68-4e9b-4dc7-a031-ca5391c97d0f}" id="{3efc9ab2-8ef8-460c-818b-e279d9c04efe}" done="0">
    <x18tc:text xml:space="preserve">https://drive.google.com/file/d/1NATIwLK4KImPbIt-V-TJLF1q6mqUWEBL/view?usp=drive_link</x18tc:text>
    <x18tc:extLst>
      <ext uri="{F7C98A9C-CBB3-438F-8F68-D28B6AF4A901}">
        <xltc2:checksum/>
        <xltc2:hyperlink startIndex="0" length="85" url="https://drive.google.com/file/d/1NATIwLK4KImPbIt-V-TJLF1q6mqUWEBL/view?usp=drive_link"/>
      </ext>
    </x18tc:extLst>
  </x18tc:threadedComment>
  <x18tc:threadedComment ref="J496" dT="2026-01-23T16:48:42.00" personId="{a5d43f6d-3c72-4414-b012-8f52ef50acc4}" id="{bebe812c-9d01-439c-b99c-fab7a4345d49}" done="0">
    <x18tc:text xml:space="preserve">https://drive.google.com/file/d/1o7vWXDS66sWF-ddCg9xfbODKRgwup0fP/view?usp=drive_link</x18tc:text>
    <x18tc:extLst>
      <ext uri="{F7C98A9C-CBB3-438F-8F68-D28B6AF4A901}">
        <xltc2:checksum/>
        <xltc2:hyperlink startIndex="0" length="85" url="https://drive.google.com/file/d/1o7vWXDS66sWF-ddCg9xfbODKRgwup0fP/view?usp=drive_link"/>
      </ext>
    </x18tc:extLst>
  </x18tc:threadedComment>
  <x18tc:threadedComment ref="J793" dT="2026-06-22T16:33:55.00" personId="{80195d68-4e9b-4dc7-a031-ca5391c97d0f}" id="{d1935d77-582e-415b-8351-d2e86c8b9a3e}" done="0">
    <x18tc:text xml:space="preserve">https://drive.google.com/file/d/1jnQ2glOBVrufdgaeE-goaDfcBYPsdXIK/view?usp=drive_link</x18tc:text>
    <x18tc:extLst>
      <ext uri="{F7C98A9C-CBB3-438F-8F68-D28B6AF4A901}">
        <xltc2:checksum/>
        <xltc2:hyperlink startIndex="0" length="85" url="https://drive.google.com/file/d/1jnQ2glOBVrufdgaeE-goaDfcBYPsdXIK/view?usp=drive_link"/>
      </ext>
    </x18tc:extLst>
  </x18tc:threadedComment>
  <x18tc:threadedComment ref="J497" dT="2026-01-23T23:59:05.00" personId="{d8e4f5ad-b65d-4160-a56f-197530fb7eb1}" id="{67e5e701-4b67-4d41-981c-d781d8398af7}" done="0">
    <x18tc:text xml:space="preserve">https://drive.google.com/file/d/1PkO8NobZzZRhSDZ8amnwMHCgJ-BdNTb3/view?usp=drive_link</x18tc:text>
    <x18tc:extLst>
      <ext uri="{F7C98A9C-CBB3-438F-8F68-D28B6AF4A901}">
        <xltc2:checksum/>
        <xltc2:hyperlink startIndex="0" length="85" url="https://drive.google.com/file/d/1PkO8NobZzZRhSDZ8amnwMHCgJ-BdNTb3/view?usp=drive_link"/>
      </ext>
    </x18tc:extLst>
  </x18tc:threadedComment>
  <x18tc:threadedComment ref="C491" dT="2026-01-17T22:33:46.00" personId="{d8e4f5ad-b65d-4160-a56f-197530fb7eb1}" id="{7e30ad27-3bd8-45b0-b570-a682b63cee9a}" done="0">
    <x18tc:text xml:space="preserve">https://www.microcenter.com/product/693835/asus-rog-strix-g16-g614pp-ms96-16-gaming-laptop-computer-eclipse-gray</x18tc:text>
    <x18tc:extLst>
      <ext uri="{F7C98A9C-CBB3-438F-8F68-D28B6AF4A901}">
        <xltc2:checksum/>
        <xltc2:hyperlink startIndex="0" length="112" url="https://www.microcenter.com/product/693835/asus-rog-strix-g16-g614pp-ms96-16-gaming-laptop-computer-eclipse-gray"/>
      </ext>
    </x18tc:extLst>
  </x18tc:threadedComment>
  <x18tc:threadedComment ref="W287" dT="2025-12-17T17:19:36.00" personId="{2ddfa542-8116-4937-a057-08470d7abaab}" id="{b1ecc1f4-1774-4ae3-b1d9-1ca93d4107ea}" done="0">
    <x18tc:text xml:space="preserve">https://drive.google.com/file/d/1gg1RjgdO1m-cPjSaMgKpHghSvuDPHpW9/view?usp=drive_link</x18tc:text>
    <x18tc:extLst>
      <ext uri="{F7C98A9C-CBB3-438F-8F68-D28B6AF4A901}">
        <xltc2:checksum/>
        <xltc2:hyperlink startIndex="0" length="85" url="https://drive.google.com/file/d/1gg1RjgdO1m-cPjSaMgKpHghSvuDPHpW9/view?usp=drive_link"/>
      </ext>
    </x18tc:extLst>
  </x18tc:threadedComment>
  <x18tc:threadedComment ref="J189" dT="2025-08-24T00:23:33.00" personId="{d8e4f5ad-b65d-4160-a56f-197530fb7eb1}" id="{2ab50836-4a2d-46fa-be23-2372f358b794}" done="0">
    <x18tc:text xml:space="preserve">https://drive.google.com/file/d/1LUskICJ4l8p1j3VpAlEhiHNnqA_KQ2cA/view?usp=drive_link</x18tc:text>
    <x18tc:extLst>
      <ext uri="{F7C98A9C-CBB3-438F-8F68-D28B6AF4A901}">
        <xltc2:checksum/>
        <xltc2:hyperlink startIndex="0" length="85" url="https://drive.google.com/file/d/1LUskICJ4l8p1j3VpAlEhiHNnqA_KQ2cA/view?usp=drive_link"/>
      </ext>
    </x18tc:extLst>
  </x18tc:threadedComment>
  <x18tc:threadedComment ref="J189" dT="2025-08-24T00:24:02.00" personId="{d8e4f5ad-b65d-4160-a56f-197530fb7eb1}" id="{15ee6b36-6e1b-426f-b584-e1788fe8fac3}" parentId="{2ab50836-4a2d-46fa-be23-2372f358b794}">
    <x18tc:text xml:space="preserve">https://drive.google.com/file/d/1NoU10wqToA7AxRAkAGzH0ASe-0xda5Ak/view?usp=drive_link</x18tc:text>
    <x18tc:extLst>
      <ext uri="{F7C98A9C-CBB3-438F-8F68-D28B6AF4A901}">
        <xltc2:checksum/>
        <xltc2:hyperlink startIndex="0" length="85" url="https://drive.google.com/file/d/1NoU10wqToA7AxRAkAGzH0ASe-0xda5Ak/view?usp=drive_link"/>
      </ext>
    </x18tc:extLst>
  </x18tc:threadedComment>
  <x18tc:threadedComment ref="C177" dT="2025-08-21T22:20:47.00" personId="{d8e4f5ad-b65d-4160-a56f-197530fb7eb1}" id="{6ff6483f-57b4-42e0-9afc-6449f68a01c5}" done="0">
    <x18tc:text xml:space="preserve">https://www.ebay.com/itm/167729091577?_skw=asus+tuf+F16&amp;itmmeta=01K37A5PEV3X861RV5ZJJEADTK&amp;hash=item270d6ed3f9:g:06IAAeSwvg9opRAo&amp;itmprp=enc%3AAQAKAAAA0FkggFvd1GGDu0w3yXCmi1cpPFlPB6kqRG%2FDSmaBXuqdv5CTa6en0aDd6e%2FYjSAwRtyy9JFYa8vD2cIcEf9rife449UakgXfhtkhNHEgJvdW42TcG29GNT3uyCxyZ41Q4dMgZONdERJZnJ1n2j1aapTQkGRi1xnQsYYIFkRNlO068HredTo0ZnpHCPBZtiCNTIj%2BYGelFYUdA4TnpY%2BxCkscwYB9Cc84jj86aSuHUjNKh01628F2ksvzoVjyJ2r6oL2QEbqo9S%2FpZvSIuJb4qgo%3D%7Ctkp%3ABk9SR8jnluqZZg</x18tc:text>
    <x18tc:extLst>
      <ext uri="{F7C98A9C-CBB3-438F-8F68-D28B6AF4A901}">
        <xltc2:checksum/>
        <xltc2:hyperlink startIndex="0" length="466" url="https://www.ebay.com/itm/167729091577?_skw=asus+tuf+F16&amp;itmmeta=01K37A5PEV3X861RV5ZJJEADTK&amp;hash=item270d6ed3f9:g:06IAAeSwvg9opRAo&amp;itmprp=enc%3AAQAKAAAA0FkggFvd1GGDu0w3yXCmi1cpPFlPB6kqRG%2FDSmaBXuqdv5CTa6en0aDd6e%2FYjSAwRtyy9JFYa8vD2cIcEf9rife449UakgXfhtkhNHEgJvdW42TcG29GNT3uyCxyZ41Q4dMgZONdERJZnJ1n2j1aapTQkGRi1xnQsYYIFkRNlO068HredTo0ZnpHCPBZtiCNTIj%2BYGelFYUdA4TnpY%2BxCkscwYB9Cc84jj86aSuHUjNKh01628F2ksvzoVjyJ2r6oL2QEbqo9S%2FpZvSIuJb4qgo%3D%7Ctkp%3ABk9SR8jnluqZZg"/>
      </ext>
    </x18tc:extLst>
  </x18tc:threadedComment>
  <x18tc:threadedComment ref="J783" dT="2026-06-22T16:29:08.00" personId="{80195d68-4e9b-4dc7-a031-ca5391c97d0f}" id="{e8b5f659-c6fc-424c-b58b-53d7fcbea39e}" done="0">
    <x18tc:text xml:space="preserve">https://drive.google.com/file/d/11XqN43Lr97GlZvZHD3udSEEoCxrmI9uv/view?usp=drive_link</x18tc:text>
    <x18tc:extLst>
      <ext uri="{F7C98A9C-CBB3-438F-8F68-D28B6AF4A901}">
        <xltc2:checksum/>
        <xltc2:hyperlink startIndex="0" length="85" url="https://drive.google.com/file/d/11XqN43Lr97GlZvZHD3udSEEoCxrmI9uv/view?usp=drive_link"/>
      </ext>
    </x18tc:extLst>
  </x18tc:threadedComment>
  <x18tc:threadedComment ref="J763" dT="2026-05-26T23:53:08.00" personId="{f9b224d0-ee33-4499-ae47-db5bcd2d0435}" id="{e4cf707c-f7b0-40bf-8d14-c578880d4019}" done="0">
    <x18tc:text xml:space="preserve">https://drive.google.com/file/d/1EAaKg862E4lQPjEAJlAmxKywOSLUDmQJ/view?usp=drive_link</x18tc:text>
    <x18tc:extLst>
      <ext uri="{F7C98A9C-CBB3-438F-8F68-D28B6AF4A901}">
        <xltc2:checksum/>
        <xltc2:hyperlink startIndex="0" length="85" url="https://drive.google.com/file/d/1EAaKg862E4lQPjEAJlAmxKywOSLUDmQJ/view?usp=drive_link"/>
      </ext>
    </x18tc:extLst>
  </x18tc:threadedComment>
  <x18tc:threadedComment ref="J760" dT="2026-06-22T16:24:42.00" personId="{80195d68-4e9b-4dc7-a031-ca5391c97d0f}" id="{4ee29bae-83e1-411a-913a-3cb85d3db654}" done="0">
    <x18tc:text xml:space="preserve">https://drive.google.com/file/d/1UmzaP2g6uu6qcErJyShZNVHbMEttizjN/view?usp=drive_link</x18tc:text>
    <x18tc:extLst>
      <ext uri="{F7C98A9C-CBB3-438F-8F68-D28B6AF4A901}">
        <xltc2:checksum/>
        <xltc2:hyperlink startIndex="0" length="85" url="https://drive.google.com/file/d/1UmzaP2g6uu6qcErJyShZNVHbMEttizjN/view?usp=drive_link"/>
      </ext>
    </x18tc:extLst>
  </x18tc:threadedComment>
  <x18tc:threadedComment ref="J588" dT="2026-03-06T20:40:13.00" personId="{80195d68-4e9b-4dc7-a031-ca5391c97d0f}" id="{57bd7234-a93b-4ca1-9ac5-abecc5ec650e}" done="0">
    <x18tc:text xml:space="preserve">https://drive.google.com/file/d/1PnKzcbK8wLf2t2DHPkMY3wSege1D8tEP/view?usp=drive_link</x18tc:text>
    <x18tc:extLst>
      <ext uri="{F7C98A9C-CBB3-438F-8F68-D28B6AF4A901}">
        <xltc2:checksum/>
        <xltc2:hyperlink startIndex="0" length="85" url="https://drive.google.com/file/d/1PnKzcbK8wLf2t2DHPkMY3wSege1D8tEP/view?usp=drive_link"/>
      </ext>
    </x18tc:extLst>
  </x18tc:threadedComment>
  <x18tc:threadedComment ref="W430" dT="2026-01-23T19:52:52.00" personId="{d8e4f5ad-b65d-4160-a56f-197530fb7eb1}" id="{3e7794c7-8091-49b2-a225-00ee97606110}" done="0">
    <x18tc:text xml:space="preserve">10422848555 FACTURA</x18tc:text>
  </x18tc:threadedComment>
  <x18tc:threadedComment ref="W430" dT="2026-01-27T21:49:12.00" personId="{2ddfa542-8116-4937-a057-08470d7abaab}" id="{fcf79815-7575-480d-83dc-a1f1796db529}" parentId="{3e7794c7-8091-49b2-a225-00ee97606110}">
    <x18tc:text xml:space="preserve">https://drive.google.com/open?id=1kNSB_QMR-rsfoHOAkJ3vl-Gxll2U50_U&amp;usp=drive_copy</x18tc:text>
    <x18tc:extLst>
      <ext uri="{F7C98A9C-CBB3-438F-8F68-D28B6AF4A901}">
        <xltc2:checksum/>
        <xltc2:hyperlink startIndex="0" length="81" url="https://drive.google.com/open?id=1kNSB_QMR-rsfoHOAkJ3vl-Gxll2U50_U&amp;usp=drive_copy"/>
      </ext>
    </x18tc:extLst>
  </x18tc:threadedComment>
  <x18tc:threadedComment ref="C763" dT="2026-05-26T23:48:58.00" personId="{f9b224d0-ee33-4499-ae47-db5bcd2d0435}" id="{7f0ac243-9115-4d7b-917f-755b62476d0a}" done="0">
    <x18tc:text xml:space="preserve">https://www.ebay.com/itm/326840072490</x18tc:text>
    <x18tc:extLst>
      <ext uri="{F7C98A9C-CBB3-438F-8F68-D28B6AF4A901}">
        <xltc2:checksum/>
        <xltc2:hyperlink startIndex="0" length="37" url="https://www.ebay.com/itm/326840072490"/>
      </ext>
    </x18tc:extLst>
  </x18tc:threadedComment>
  <x18tc:threadedComment ref="L284" dT="2025-11-11T21:00:04.00" personId="{a5d43f6d-3c72-4414-b012-8f52ef50acc4}" id="{d6ce034f-c759-470d-930c-660ef48bf810}" done="0">
    <x18tc:text xml:space="preserve">https://drive.google.com/file/d/1FVqS3Cp-leRtgTHi7cGTK6IeSvwSvO-y/view?usp=drive_link</x18tc:text>
    <x18tc:extLst>
      <ext uri="{F7C98A9C-CBB3-438F-8F68-D28B6AF4A901}">
        <xltc2:checksum/>
        <xltc2:hyperlink startIndex="0" length="85" url="https://drive.google.com/file/d/1FVqS3Cp-leRtgTHi7cGTK6IeSvwSvO-y/view?usp=drive_link"/>
      </ext>
    </x18tc:extLst>
  </x18tc:threadedComment>
  <x18tc:threadedComment ref="J769" dT="2026-06-22T16:26:19.00" personId="{80195d68-4e9b-4dc7-a031-ca5391c97d0f}" id="{93a6f98c-0d9f-4bc0-a0b6-4915d75a1448}" done="0">
    <x18tc:text xml:space="preserve">https://drive.google.com/file/d/1VzWtEw7GH4VaU1MDHLOyhlzlrMGrwBx-/view?usp=drive_link</x18tc:text>
    <x18tc:extLst>
      <ext uri="{F7C98A9C-CBB3-438F-8F68-D28B6AF4A901}">
        <xltc2:checksum/>
        <xltc2:hyperlink startIndex="0" length="85" url="https://drive.google.com/file/d/1VzWtEw7GH4VaU1MDHLOyhlzlrMGrwBx-/view?usp=drive_link"/>
      </ext>
    </x18tc:extLst>
  </x18tc:threadedComment>
  <x18tc:threadedComment ref="C588" dT="2026-03-06T20:34:54.00" personId="{80195d68-4e9b-4dc7-a031-ca5391c97d0f}" id="{b4562bbc-a270-4bd6-83a5-2487f7a22f92}"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J756" dT="2026-06-22T16:14:39.00" personId="{80195d68-4e9b-4dc7-a031-ca5391c97d0f}" id="{9453a5fe-4586-4210-9b03-46ebabcfafc7}" done="0">
    <x18tc:text xml:space="preserve">https://drive.google.com/file/d/14fDCSk3VO8u6UttvbYfQYVp3mkWflWk0/view?usp=drive_link</x18tc:text>
    <x18tc:extLst>
      <ext uri="{F7C98A9C-CBB3-438F-8F68-D28B6AF4A901}">
        <xltc2:checksum/>
        <xltc2:hyperlink startIndex="0" length="85" url="https://drive.google.com/file/d/14fDCSk3VO8u6UttvbYfQYVp3mkWflWk0/view?usp=drive_link"/>
      </ext>
    </x18tc:extLst>
  </x18tc:threadedComment>
  <x18tc:threadedComment ref="K597" dT="2026-03-30T18:34:54.00" personId="{f9b224d0-ee33-4499-ae47-db5bcd2d0435}" id="{9124dea6-539d-41b1-96a1-63375d0b75ee}" done="0">
    <x18tc:text xml:space="preserve">https://drive.google.com/file/d/1fmfnW0lOXgOLigRv1-pscOfa1b1WiyYS/view?usp=drive_link</x18tc:text>
    <x18tc:extLst>
      <ext uri="{F7C98A9C-CBB3-438F-8F68-D28B6AF4A901}">
        <xltc2:checksum/>
        <xltc2:hyperlink startIndex="0" length="85" url="https://drive.google.com/file/d/1fmfnW0lOXgOLigRv1-pscOfa1b1WiyYS/view?usp=drive_link"/>
      </ext>
    </x18tc:extLst>
  </x18tc:threadedComment>
  <x18tc:threadedComment ref="C191" dT="2025-08-23T23:25:38.00" personId="{a5d43f6d-3c72-4414-b012-8f52ef50acc4}" id="{7eb9f6d9-791c-4c78-9678-4f38e0ccc5ad}" done="0">
    <x18tc:text xml:space="preserve">https://www.bestbuy.com/product/asus-rog-strix-g18-18-2-5k-240hz-gaming-laptop-intel-core-ultra-9-hx-32gb-ram-nvidia-geforce-rtx-5080-2tb-ssd-eclipse-grey/JJGGLHXFW8</x18tc:text>
    <x18tc:extLst>
      <ext uri="{F7C98A9C-CBB3-438F-8F68-D28B6AF4A901}">
        <xltc2:checksum/>
        <xltc2:hyperlink startIndex="0" length="165" url="https://www.bestbuy.com/product/asus-rog-strix-g18-18-2-5k-240hz-gaming-laptop-intel-core-ultra-9-hx-32gb-ram-nvidia-geforce-rtx-5080-2tb-ssd-eclipse-grey/JJGGLHXFW8"/>
      </ext>
    </x18tc:extLst>
  </x18tc:threadedComment>
  <x18tc:threadedComment ref="J139" dT="2025-07-24T21:15:00.00" personId="{a5d43f6d-3c72-4414-b012-8f52ef50acc4}" id="{103eb23e-0a03-472f-a0b7-d1acb9ffa9ce}" done="0">
    <x18tc:text xml:space="preserve">https://drive.google.com/file/d/1NVrwQ8MhAoZXwv_XJedsEP8U7SpnIrAw/view?usp=drive_link</x18tc:text>
    <x18tc:extLst>
      <ext uri="{F7C98A9C-CBB3-438F-8F68-D28B6AF4A901}">
        <xltc2:checksum/>
        <xltc2:hyperlink startIndex="0" length="85" url="https://drive.google.com/file/d/1NVrwQ8MhAoZXwv_XJedsEP8U7SpnIrAw/view?usp=drive_link"/>
      </ext>
    </x18tc:extLst>
  </x18tc:threadedComment>
  <x18tc:threadedComment ref="K740" dT="2026-06-22T16:40:02.00" personId="{80195d68-4e9b-4dc7-a031-ca5391c97d0f}" id="{c19d51a2-410e-4054-8245-bf14728b5fd7}" done="0">
    <x18tc:text xml:space="preserve">https://drive.google.com/file/d/1-6r71dZicoTegfsipnFXsFiqDiYQQpDv/view?usp=drive_link</x18tc:text>
    <x18tc:extLst>
      <ext uri="{F7C98A9C-CBB3-438F-8F68-D28B6AF4A901}">
        <xltc2:checksum/>
        <xltc2:hyperlink startIndex="0" length="85" url="https://drive.google.com/file/d/1-6r71dZicoTegfsipnFXsFiqDiYQQpDv/view?usp=drive_link"/>
      </ext>
    </x18tc:extLst>
  </x18tc:threadedComment>
  <x18tc:threadedComment ref="J411" dT="2025-12-17T16:56:55.00" personId="{a5d43f6d-3c72-4414-b012-8f52ef50acc4}" id="{676e1bc4-41e5-43c5-b905-968eb0816657}" done="0">
    <x18tc:text xml:space="preserve">https://drive.google.com/file/d/1CBI5eYTUANwML3yZoAxLjCHv-7_LgW0M/view?usp=drive_link</x18tc:text>
    <x18tc:extLst>
      <ext uri="{F7C98A9C-CBB3-438F-8F68-D28B6AF4A901}">
        <xltc2:checksum/>
        <xltc2:hyperlink startIndex="0" length="85" url="https://drive.google.com/file/d/1CBI5eYTUANwML3yZoAxLjCHv-7_LgW0M/view?usp=drive_link"/>
      </ext>
    </x18tc:extLst>
  </x18tc:threadedComment>
  <x18tc:threadedComment ref="W363" dT="2025-12-17T18:31:41.00" personId="{2ddfa542-8116-4937-a057-08470d7abaab}" id="{09af4a28-44c2-4e63-864c-cd4b4d3b279c}" done="0">
    <x18tc:text xml:space="preserve">https://drive.google.com/file/d/10jHIsoUySKL6i38saOyDHXx52aGKNb97/view?usp=drive_link</x18tc:text>
    <x18tc:extLst>
      <ext uri="{F7C98A9C-CBB3-438F-8F68-D28B6AF4A901}">
        <xltc2:checksum/>
        <xltc2:hyperlink startIndex="0" length="85" url="https://drive.google.com/file/d/10jHIsoUySKL6i38saOyDHXx52aGKNb97/view?usp=drive_link"/>
      </ext>
    </x18tc:extLst>
  </x18tc:threadedComment>
  <x18tc:threadedComment ref="K739" dT="2026-06-22T16:40:58.00" personId="{80195d68-4e9b-4dc7-a031-ca5391c97d0f}" id="{8bd33630-1969-423d-bf47-529b35227d7f}" done="0">
    <x18tc:text xml:space="preserve">https://drive.google.com/file/d/1gUOYXBqikXmnIxhFUzwHCFLxfTP9VVKA/view?usp=drive_link</x18tc:text>
    <x18tc:extLst>
      <ext uri="{F7C98A9C-CBB3-438F-8F68-D28B6AF4A901}">
        <xltc2:checksum/>
        <xltc2:hyperlink startIndex="0" length="85" url="https://drive.google.com/file/d/1gUOYXBqikXmnIxhFUzwHCFLxfTP9VVKA/view?usp=drive_link"/>
      </ext>
    </x18tc:extLst>
  </x18tc:threadedComment>
  <x18tc:threadedComment ref="J759" dT="2026-06-22T16:22:11.00" personId="{80195d68-4e9b-4dc7-a031-ca5391c97d0f}" id="{7957e9e5-a025-4577-9021-b81248b3be7f}" done="0">
    <x18tc:text xml:space="preserve">https://drive.google.com/file/d/1pw2KKAGdvxfprkWWdz-FxhLwro1c_R5W/view?usp=drive_link
https://drive.google.com/file/d/17YjW5xk2KmVCPhcMYv7eEJVAeK36tZ_8/view?usp=drive_link</x18tc:text>
    <x18tc:extLst>
      <ext uri="{F7C98A9C-CBB3-438F-8F68-D28B6AF4A901}">
        <xltc2:checksum/>
        <xltc2:hyperlink startIndex="0" length="85" url="https://drive.google.com/file/d/1pw2KKAGdvxfprkWWdz-FxhLwro1c_R5W/view?usp=drive_link"/>
        <xltc2:hyperlink startIndex="86" length="85" url="https://drive.google.com/file/d/17YjW5xk2KmVCPhcMYv7eEJVAeK36tZ_8/view?usp=drive_link"/>
      </ext>
    </x18tc:extLst>
  </x18tc:threadedComment>
  <x18tc:threadedComment ref="J759" dT="2026-06-23T01:27:59.00" personId="{2ddfa542-8116-4937-a057-08470d7abaab}" id="{f4812c50-2bad-4a28-8a4e-781ba23a9aed}" parentId="{7957e9e5-a025-4577-9021-b81248b3be7f}">
    <x18tc:text xml:space="preserve">revisar culqui</x18tc:text>
  </x18tc:threadedComment>
  <x18tc:threadedComment ref="C411" dT="2025-12-17T16:56:05.00" personId="{a5d43f6d-3c72-4414-b012-8f52ef50acc4}" id="{2ae2c4ac-edff-4b23-b16a-bdac4581f612}" done="0">
    <x18tc:text xml:space="preserve">https://www.ebay.com/itm/326796273689?_skw=g16&amp;itmmeta=01KCPKTEQHSE7F8J89SD13MGBG&amp;hash=item4c16936819:g:9lQAAeSwvZ9pOcsP</x18tc:text>
    <x18tc:extLst>
      <ext uri="{F7C98A9C-CBB3-438F-8F68-D28B6AF4A901}">
        <xltc2:checksum/>
        <xltc2:hyperlink startIndex="0" length="120" url="https://www.ebay.com/itm/326796273689?_skw=g16&amp;itmmeta=01KCPKTEQHSE7F8J89SD13MGBG&amp;hash=item4c16936819:g:9lQAAeSwvZ9pOcsP"/>
      </ext>
    </x18tc:extLst>
  </x18tc:threadedComment>
  <x18tc:threadedComment ref="J141" dT="2025-07-25T00:10:07.00" personId="{d8e4f5ad-b65d-4160-a56f-197530fb7eb1}" id="{7c7ef1f2-e713-4b1d-9378-4e7d4882bf5f}" done="0">
    <x18tc:text xml:space="preserve">https://drive.google.com/file/d/1R2nCSYiT9JAJ5VgRK8BcgeeU0ttgrr5v/view?usp=drive_link</x18tc:text>
    <x18tc:extLst>
      <ext uri="{F7C98A9C-CBB3-438F-8F68-D28B6AF4A901}">
        <xltc2:checksum/>
        <xltc2:hyperlink startIndex="0" length="85" url="https://drive.google.com/file/d/1R2nCSYiT9JAJ5VgRK8BcgeeU0ttgrr5v/view?usp=drive_link"/>
      </ext>
    </x18tc:extLst>
  </x18tc:threadedComment>
  <x18tc:threadedComment ref="W492" dT="2026-01-23T19:06:18.00" personId="{2ddfa542-8116-4937-a057-08470d7abaab}" id="{d1e6db93-5d58-4a4a-aa7a-c18108c7fb33}" done="0">
    <x18tc:text xml:space="preserve">https://drive.google.com/open?id=1D42b__tRVjHBA_8LQHPjd2-UoxEIFoZw&amp;usp=drive_copy</x18tc:text>
    <x18tc:extLst>
      <ext uri="{F7C98A9C-CBB3-438F-8F68-D28B6AF4A901}">
        <xltc2:checksum/>
        <xltc2:hyperlink startIndex="0" length="81" url="https://drive.google.com/open?id=1D42b__tRVjHBA_8LQHPjd2-UoxEIFoZw&amp;usp=drive_copy"/>
      </ext>
    </x18tc:extLst>
  </x18tc:threadedComment>
  <x18tc:threadedComment ref="J191" dT="2025-08-23T23:37:45.00" personId="{a5d43f6d-3c72-4414-b012-8f52ef50acc4}" id="{1bb6acec-d3ef-4b56-9629-49bf619c8d0f}" done="0">
    <x18tc:text xml:space="preserve">https://drive.google.com/file/d/1qh0M7hZ-ldV-UfRtRUdgPu1z5e6ukxQv/view?usp=drive_link</x18tc:text>
    <x18tc:extLst>
      <ext uri="{F7C98A9C-CBB3-438F-8F68-D28B6AF4A901}">
        <xltc2:checksum/>
        <xltc2:hyperlink startIndex="0" length="85" url="https://drive.google.com/file/d/1qh0M7hZ-ldV-UfRtRUdgPu1z5e6ukxQv/view?usp=drive_link"/>
      </ext>
    </x18tc:extLst>
  </x18tc:threadedComment>
  <x18tc:threadedComment ref="M211" dT="2025-09-04T22:30:29.00" personId="{a5d43f6d-3c72-4414-b012-8f52ef50acc4}" id="{ef2f8134-98ae-4c44-bdaf-1ddc50b6e055}" done="0">
    <x18tc:text xml:space="preserve">+349 de garantía que se considera con la laptop</x18tc:text>
  </x18tc:threadedComment>
  <x18tc:threadedComment ref="K375" dT="2025-12-21T03:42:11.00" personId="{4df2d6c4-e43e-4f2e-b623-d90f458472ff}" id="{df4e89f8-b34e-42da-b9e2-2fb574341d6b}" done="0">
    <x18tc:text xml:space="preserve">https://drive.google.com/file/d/1GbJZKmO-BSqVFeaEeNGQen43nmMbJdIr/view?usp=drive_link</x18tc:text>
    <x18tc:extLst>
      <ext uri="{F7C98A9C-CBB3-438F-8F68-D28B6AF4A901}">
        <xltc2:checksum/>
        <xltc2:hyperlink startIndex="0" length="85" url="https://drive.google.com/file/d/1GbJZKmO-BSqVFeaEeNGQen43nmMbJdIr/view?usp=drive_link"/>
      </ext>
    </x18tc:extLst>
  </x18tc:threadedComment>
  <x18tc:threadedComment ref="K375" dT="2025-12-21T03:42:26.00" personId="{4df2d6c4-e43e-4f2e-b623-d90f458472ff}" id="{e76317d7-ecef-4139-afdc-16407c8a433b}" parentId="{df4e89f8-b34e-42da-b9e2-2fb574341d6b}">
    <x18tc:text xml:space="preserve">https://drive.google.com/file/d/1GSwibE6abq6dIBpq2lIfolp0YVLSLJie/view?usp=drive_link</x18tc:text>
    <x18tc:extLst>
      <ext uri="{F7C98A9C-CBB3-438F-8F68-D28B6AF4A901}">
        <xltc2:checksum/>
        <xltc2:hyperlink startIndex="0" length="85" url="https://drive.google.com/file/d/1GSwibE6abq6dIBpq2lIfolp0YVLSLJie/view?usp=drive_link"/>
      </ext>
    </x18tc:extLst>
  </x18tc:threadedComment>
  <x18tc:threadedComment ref="K660" dT="2026-04-06T17:09:56.00" personId="{d8e4f5ad-b65d-4160-a56f-197530fb7eb1}" id="{a53783e5-3410-4275-ab73-a26c6534178e}" done="0">
    <x18tc:text xml:space="preserve">https://drive.google.com/file/d/19waoZ5-hwr3dMEN-vmnM1lAr19gK74x4/view?usp=drive_link</x18tc:text>
    <x18tc:extLst>
      <ext uri="{F7C98A9C-CBB3-438F-8F68-D28B6AF4A901}">
        <xltc2:checksum/>
        <xltc2:hyperlink startIndex="0" length="85" url="https://drive.google.com/file/d/19waoZ5-hwr3dMEN-vmnM1lAr19gK74x4/view?usp=drive_link"/>
      </ext>
    </x18tc:extLst>
  </x18tc:threadedComment>
  <x18tc:threadedComment ref="K660" dT="2026-04-06T17:10:19.00" personId="{d8e4f5ad-b65d-4160-a56f-197530fb7eb1}" id="{e1951603-b27f-4353-9937-33639f20d06e}" parentId="{a53783e5-3410-4275-ab73-a26c6534178e}">
    <x18tc:text xml:space="preserve">pago incluye envio</x18tc:text>
  </x18tc:threadedComment>
  <x18tc:threadedComment ref="J211" dT="2025-09-04T22:32:43.00" personId="{a5d43f6d-3c72-4414-b012-8f52ef50acc4}" id="{3d0a4f9b-9ecc-4130-9d58-30867856cf3a}" done="0">
    <x18tc:text xml:space="preserve">https://drive.google.com/file/d/1yb5PSEbXR1mJ0JzzTt-xb9j3TgADQnJF/view?usp=drive_link</x18tc:text>
    <x18tc:extLst>
      <ext uri="{F7C98A9C-CBB3-438F-8F68-D28B6AF4A901}">
        <xltc2:checksum/>
        <xltc2:hyperlink startIndex="0" length="85" url="https://drive.google.com/file/d/1yb5PSEbXR1mJ0JzzTt-xb9j3TgADQnJF/view?usp=drive_link"/>
      </ext>
    </x18tc:extLst>
  </x18tc:threadedComment>
  <x18tc:threadedComment ref="K335" dT="2025-12-21T02:47:35.00" personId="{4df2d6c4-e43e-4f2e-b623-d90f458472ff}" id="{ce19d567-b6be-475d-9447-4827bbe57381}" done="0">
    <x18tc:text xml:space="preserve">https://drive.google.com/file/d/1mRYFHXYMUM09d1zsXJcRaLVlaI9pseaj/view?usp=drive_link</x18tc:text>
    <x18tc:extLst>
      <ext uri="{F7C98A9C-CBB3-438F-8F68-D28B6AF4A901}">
        <xltc2:checksum/>
        <xltc2:hyperlink startIndex="0" length="85" url="https://drive.google.com/file/d/1mRYFHXYMUM09d1zsXJcRaLVlaI9pseaj/view?usp=drive_link"/>
      </ext>
    </x18tc:extLst>
  </x18tc:threadedComment>
  <x18tc:threadedComment ref="C489" dT="2026-01-17T18:19:10.00" personId="{a5d43f6d-3c72-4414-b012-8f52ef50acc4}" id="{324a3974-8fba-4633-bfa3-d2d87073e126}" done="0">
    <x18tc:text xml:space="preserve">https://www.amazon.com/Almohadilla-refrigeraci%C3%B3n-turboventilador-enfriamiento-concentrador/dp/B0CDC3XW44?th=1&amp;language=es_US&amp;currency=PEN</x18tc:text>
    <x18tc:extLst>
      <ext uri="{F7C98A9C-CBB3-438F-8F68-D28B6AF4A901}">
        <xltc2:checksum/>
        <xltc2:hyperlink startIndex="0" length="142" url="https://www.amazon.com/Almohadilla-refrigeraci%C3%B3n-turboventilador-enfriamiento-concentrador/dp/B0CDC3XW44?th=1&amp;language=es_US&amp;currency=PEN"/>
      </ext>
    </x18tc:extLst>
  </x18tc:threadedComment>
  <x18tc:threadedComment ref="K334" dT="2025-12-21T02:46:42.00" personId="{4df2d6c4-e43e-4f2e-b623-d90f458472ff}" id="{a5bcc552-be2a-4458-9f0f-238524a33c3a}" done="0">
    <x18tc:text xml:space="preserve">https://drive.google.com/file/d/1UBr24T_WMr8qECeR31M_2f4hrUoWD-dv/view?usp=drive_link</x18tc:text>
    <x18tc:extLst>
      <ext uri="{F7C98A9C-CBB3-438F-8F68-D28B6AF4A901}">
        <xltc2:checksum/>
        <xltc2:hyperlink startIndex="0" length="85" url="https://drive.google.com/file/d/1UBr24T_WMr8qECeR31M_2f4hrUoWD-dv/view?usp=drive_link"/>
      </ext>
    </x18tc:extLst>
  </x18tc:threadedComment>
  <x18tc:threadedComment ref="O211" dT="2025-09-04T22:35:52.00" personId="{a5d43f6d-3c72-4414-b012-8f52ef50acc4}" id="{a6326065-a5da-481c-89fc-14a8669956d0}" done="1">
    <x18tc:text xml:space="preserve">+349 que se considera con la laptop</x18tc:text>
  </x18tc:threadedComment>
  <x18tc:threadedComment ref="K691" dT="2026-06-22T16:49:15.00" personId="{80195d68-4e9b-4dc7-a031-ca5391c97d0f}" id="{32d0004e-8eb7-465d-9227-da4ae4864791}" done="0">
    <x18tc:text xml:space="preserve">https://drive.google.com/file/d/1-ZtiKJz_TnYtndS1CU_u8v50EVaNOJtd/view?usp=drive_link</x18tc:text>
    <x18tc:extLst>
      <ext uri="{F7C98A9C-CBB3-438F-8F68-D28B6AF4A901}">
        <xltc2:checksum/>
        <xltc2:hyperlink startIndex="0" length="85" url="https://drive.google.com/file/d/1-ZtiKJz_TnYtndS1CU_u8v50EVaNOJtd/view?usp=drive_link"/>
      </ext>
    </x18tc:extLst>
  </x18tc:threadedComment>
  <x18tc:threadedComment ref="U599" dT="2026-04-06T17:31:13.00" personId="{80195d68-4e9b-4dc7-a031-ca5391c97d0f}" id="{f0af015c-ed23-44cb-9e72-7c7e36415c39}" done="0">
    <x18tc:text xml:space="preserve">soporte laptop</x18tc:text>
  </x18tc:threadedComment>
  <x18tc:threadedComment ref="K434" dT="2026-01-17T23:43:45.00" personId="{a5d43f6d-3c72-4414-b012-8f52ef50acc4}" id="{871bfd12-4ee9-489a-a3a3-14cdc7f723bb}" done="0">
    <x18tc:text xml:space="preserve">https://drive.google.com/file/d/1iWX9IU3Ggc_bFEc4SyPWTyCpfRn4P8g6/view?usp=drive_link
https://drive.google.com/file/d/14xmA-Npoq7r-XB8n21ko--qdnRlPPEi1/view?usp=drive_link</x18tc:text>
    <x18tc:extLst>
      <ext uri="{F7C98A9C-CBB3-438F-8F68-D28B6AF4A901}">
        <xltc2:checksum/>
        <xltc2:hyperlink startIndex="0" length="85" url="https://drive.google.com/file/d/1iWX9IU3Ggc_bFEc4SyPWTyCpfRn4P8g6/view?usp=drive_link"/>
        <xltc2:hyperlink startIndex="86" length="85" url="https://drive.google.com/file/d/14xmA-Npoq7r-XB8n21ko--qdnRlPPEi1/view?usp=drive_link"/>
      </ext>
    </x18tc:extLst>
  </x18tc:threadedComment>
  <x18tc:threadedComment ref="K599" dT="2026-04-06T17:30:30.00" personId="{80195d68-4e9b-4dc7-a031-ca5391c97d0f}" id="{1262d594-88b3-40a8-9d68-c3d88cf96e0d}" done="0">
    <x18tc:text xml:space="preserve">https://drive.google.com/file/d/1-oGD07rtqFr-QvMkOQkakhALEnxWH9gp/view?usp=drive_link</x18tc:text>
    <x18tc:extLst>
      <ext uri="{F7C98A9C-CBB3-438F-8F68-D28B6AF4A901}">
        <xltc2:checksum/>
        <xltc2:hyperlink startIndex="0" length="85" url="https://drive.google.com/file/d/1-oGD07rtqFr-QvMkOQkakhALEnxWH9gp/view?usp=drive_link"/>
      </ext>
    </x18tc:extLst>
  </x18tc:threadedComment>
  <x18tc:threadedComment ref="K325" dT="2025-12-21T02:39:19.00" personId="{4df2d6c4-e43e-4f2e-b623-d90f458472ff}" id="{3671f506-a983-4ea4-aaf1-3a8c45df6c7f}" done="0">
    <x18tc:text xml:space="preserve">https://drive.google.com/file/d/1svTpFUMIdD9Djy4c2VsZF8py8Fx0HeAk/view?usp=drive_link</x18tc:text>
    <x18tc:extLst>
      <ext uri="{F7C98A9C-CBB3-438F-8F68-D28B6AF4A901}">
        <xltc2:checksum/>
        <xltc2:hyperlink startIndex="0" length="85" url="https://drive.google.com/file/d/1svTpFUMIdD9Djy4c2VsZF8py8Fx0HeAk/view?usp=drive_link"/>
      </ext>
    </x18tc:extLst>
  </x18tc:threadedComment>
  <x18tc:threadedComment ref="J120" dT="2025-07-14T17:15:48.00" personId="{a5d43f6d-3c72-4414-b012-8f52ef50acc4}" id="{1cd8579b-4103-44d6-92f1-9f388e9b1413}" done="0">
    <x18tc:text xml:space="preserve">https://drive.google.com/file/d/1ojmYde3KXi4KviZUEZBHuVI6ZkHGx4vk/view?usp=drive_link</x18tc:text>
    <x18tc:extLst>
      <ext uri="{F7C98A9C-CBB3-438F-8F68-D28B6AF4A901}">
        <xltc2:checksum/>
        <xltc2:hyperlink startIndex="0" length="85" url="https://drive.google.com/file/d/1ojmYde3KXi4KviZUEZBHuVI6ZkHGx4vk/view?usp=drive_link"/>
      </ext>
    </x18tc:extLst>
  </x18tc:threadedComment>
  <x18tc:threadedComment ref="L306" dT="2025-11-15T20:47:46.00" personId="{a5d43f6d-3c72-4414-b012-8f52ef50acc4}" id="{e4171e91-eeb2-4312-939a-e4f6f4b647af}" done="0">
    <x18tc:text xml:space="preserve">https://drive.google.com/file/d/1cXERDfsUGiOMwrCfcWfBcToZr3RrLTHm/view?usp=drive_link</x18tc:text>
    <x18tc:extLst>
      <ext uri="{F7C98A9C-CBB3-438F-8F68-D28B6AF4A901}">
        <xltc2:checksum/>
        <xltc2:hyperlink startIndex="0" length="85" url="https://drive.google.com/file/d/1cXERDfsUGiOMwrCfcWfBcToZr3RrLTHm/view?usp=drive_link"/>
      </ext>
    </x18tc:extLst>
  </x18tc:threadedComment>
  <x18tc:threadedComment ref="K309" dT="2025-12-21T02:10:36.00" personId="{4df2d6c4-e43e-4f2e-b623-d90f458472ff}" id="{7bb97a88-a07e-45e4-b65c-3297452b9cdb}" done="0">
    <x18tc:text xml:space="preserve">https://drive.google.com/file/d/1aPglbr7MbIdNTGnbNpWLNGLGTDVXTbdG/view?usp=drive_link</x18tc:text>
    <x18tc:extLst>
      <ext uri="{F7C98A9C-CBB3-438F-8F68-D28B6AF4A901}">
        <xltc2:checksum/>
        <xltc2:hyperlink startIndex="0" length="85" url="https://drive.google.com/file/d/1aPglbr7MbIdNTGnbNpWLNGLGTDVXTbdG/view?usp=drive_link"/>
      </ext>
    </x18tc:extLst>
  </x18tc:threadedComment>
  <x18tc:threadedComment ref="K640" dT="2026-05-02T17:45:13.00" personId="{d8e4f5ad-b65d-4160-a56f-197530fb7eb1}" id="{054972e5-67c0-4bfc-96d6-825ec04a98d6}" done="0">
    <x18tc:text xml:space="preserve">https://drive.google.com/file/d/1O5ARAsWNo5jw5a0Tz27QtEGnjV_ARTEn/view?usp=drive_link</x18tc:text>
    <x18tc:extLst>
      <ext uri="{F7C98A9C-CBB3-438F-8F68-D28B6AF4A901}">
        <xltc2:checksum/>
        <xltc2:hyperlink startIndex="0" length="85" url="https://drive.google.com/file/d/1O5ARAsWNo5jw5a0Tz27QtEGnjV_ARTEn/view?usp=drive_link"/>
      </ext>
    </x18tc:extLst>
  </x18tc:threadedComment>
  <x18tc:threadedComment ref="Q496" dT="2026-01-23T16:49:38.00" personId="{a5d43f6d-3c72-4414-b012-8f52ef50acc4}" id="{fe9c6280-9288-49ed-8d8e-729ccf98cb72}" done="1">
    <x18tc:text xml:space="preserve">apertura + configuración inicial con formateo + eset nod 32 + windows 11 pro + office profesional plus 2024</x18tc:text>
  </x18tc:threadedComment>
  <x18tc:threadedComment ref="C505" dT="2026-01-17T22:54:49.00" personId="{4df2d6c4-e43e-4f2e-b623-d90f458472ff}" id="{c4498452-c5b8-451b-8abf-4a356124781e}" done="1">
    <x18tc:text xml:space="preserve">https://www.ebay.com/itm/326840072490?_skw=laptop+gaming&amp;itmmeta=01KETC2QE15N7Y56C8XQ1PJY0H&amp;hash=item4c192fb92a:g:3EkAAeSw~RBpXBpQ</x18tc:text>
    <x18tc:extLst>
      <ext uri="{F7C98A9C-CBB3-438F-8F68-D28B6AF4A901}">
        <xltc2:checksum/>
        <xltc2:hyperlink startIndex="0" length="130" url="https://www.ebay.com/itm/326840072490?_skw=laptop+gaming&amp;itmmeta=01KETC2QE15N7Y56C8XQ1PJY0H&amp;hash=item4c192fb92a:g:3EkAAeSw~RBpXBpQ"/>
      </ext>
    </x18tc:extLst>
  </x18tc:threadedComment>
  <x18tc:threadedComment ref="K323" dT="2025-12-21T02:26:23.00" personId="{4df2d6c4-e43e-4f2e-b623-d90f458472ff}" id="{7c27e7c0-31a4-424d-a121-0444e0999483}" done="0">
    <x18tc:text xml:space="preserve">https://drive.google.com/file/d/1j5oJg70cqzXUICi0rIDhZpajExtP13lZ/view?usp=drive_link</x18tc:text>
    <x18tc:extLst>
      <ext uri="{F7C98A9C-CBB3-438F-8F68-D28B6AF4A901}">
        <xltc2:checksum/>
        <xltc2:hyperlink startIndex="0" length="85" url="https://drive.google.com/file/d/1j5oJg70cqzXUICi0rIDhZpajExtP13lZ/view?usp=drive_link"/>
      </ext>
    </x18tc:extLst>
  </x18tc:threadedComment>
  <x18tc:threadedComment ref="K323" dT="2025-12-21T02:26:44.00" personId="{4df2d6c4-e43e-4f2e-b623-d90f458472ff}" id="{dfbd20df-c7e8-4a8b-b2c0-e27a370bc8cf}" parentId="{7c27e7c0-31a4-424d-a121-0444e0999483}">
    <x18tc:text xml:space="preserve">https://drive.google.com/file/d/1cJYbQf4wByXP8JmaEZ33KfGFdm5PdSho/view?usp=drive_link</x18tc:text>
    <x18tc:extLst>
      <ext uri="{F7C98A9C-CBB3-438F-8F68-D28B6AF4A901}">
        <xltc2:checksum/>
        <xltc2:hyperlink startIndex="0" length="85" url="https://drive.google.com/file/d/1cJYbQf4wByXP8JmaEZ33KfGFdm5PdSho/view?usp=drive_link"/>
      </ext>
    </x18tc:extLst>
  </x18tc:threadedComment>
  <x18tc:threadedComment ref="C725" dT="2026-05-02T17:41:21.00" personId="{f9b224d0-ee33-4499-ae47-db5bcd2d0435}" id="{884ef5ec-8dde-467b-8d82-123aa2964c08}"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M139" dT="2025-07-24T20:05:00.00" personId="{a5d43f6d-3c72-4414-b012-8f52ef50acc4}" id="{584a24bf-30be-4165-b771-79971868e96c}" done="0">
    <x18tc:text xml:space="preserve">7856+15 dolares de envio</x18tc:text>
  </x18tc:threadedComment>
  <x18tc:threadedComment ref="K457" dT="2026-01-23T16:55:32.00" personId="{a5d43f6d-3c72-4414-b012-8f52ef50acc4}" id="{2e338d96-7de6-48b0-a8e1-79d4f1bb9d21}" done="0">
    <x18tc:text xml:space="preserve">https://drive.google.com/file/d/1ITHkWHSS1XLSFJbRJaIwgwLPXI0FxMDl/view?usp=drive_link</x18tc:text>
    <x18tc:extLst>
      <ext uri="{F7C98A9C-CBB3-438F-8F68-D28B6AF4A901}">
        <xltc2:checksum/>
        <xltc2:hyperlink startIndex="0" length="85" url="https://drive.google.com/file/d/1ITHkWHSS1XLSFJbRJaIwgwLPXI0FxMDl/view?usp=drive_link"/>
      </ext>
    </x18tc:extLst>
  </x18tc:threadedComment>
  <x18tc:threadedComment ref="K308" dT="2025-12-21T02:10:30.00" personId="{4df2d6c4-e43e-4f2e-b623-d90f458472ff}" id="{3b8e0864-6c13-4b7b-ae44-b3f0d8a5e675}" done="0">
    <x18tc:text xml:space="preserve">https://drive.google.com/file/d/1aPglbr7MbIdNTGnbNpWLNGLGTDVXTbdG/view?usp=drive_link</x18tc:text>
    <x18tc:extLst>
      <ext uri="{F7C98A9C-CBB3-438F-8F68-D28B6AF4A901}">
        <xltc2:checksum/>
        <xltc2:hyperlink startIndex="0" length="85" url="https://drive.google.com/file/d/1aPglbr7MbIdNTGnbNpWLNGLGTDVXTbdG/view?usp=drive_link"/>
      </ext>
    </x18tc:extLst>
  </x18tc:threadedComment>
  <x18tc:threadedComment ref="J488" dT="2026-01-17T18:31:29.00" personId="{a5d43f6d-3c72-4414-b012-8f52ef50acc4}" id="{92a16bac-9df5-4cbc-9a26-1c016fcee3e0}" done="0">
    <x18tc:text xml:space="preserve">https://drive.google.com/file/d/1RDnsexJlpOQO9TH6Fw9WDjRW0RKmjR0q/view?usp=drive_link</x18tc:text>
    <x18tc:extLst>
      <ext uri="{F7C98A9C-CBB3-438F-8F68-D28B6AF4A901}">
        <xltc2:checksum/>
        <xltc2:hyperlink startIndex="0" length="85" url="https://drive.google.com/file/d/1RDnsexJlpOQO9TH6Fw9WDjRW0RKmjR0q/view?usp=drive_link"/>
      </ext>
    </x18tc:extLst>
  </x18tc:threadedComment>
  <x18tc:threadedComment ref="J287" dT="2025-11-04T23:55:40.00" personId="{d8e4f5ad-b65d-4160-a56f-197530fb7eb1}" id="{2e087ec8-1c35-4448-a965-914b6fe98ece}" done="0">
    <x18tc:text xml:space="preserve">https://drive.google.com/file/d/1cqulx1I7a7Aq5eylSaIwEjCp45DvF8dM/view?usp=drive_link</x18tc:text>
    <x18tc:extLst>
      <ext uri="{F7C98A9C-CBB3-438F-8F68-D28B6AF4A901}">
        <xltc2:checksum/>
        <xltc2:hyperlink startIndex="0" length="85" url="https://drive.google.com/file/d/1cqulx1I7a7Aq5eylSaIwEjCp45DvF8dM/view?usp=drive_link"/>
      </ext>
    </x18tc:extLst>
  </x18tc:threadedComment>
  <x18tc:threadedComment ref="F686" dT="2026-04-19T00:31:03.00" personId="{2ddfa542-8116-4937-a057-08470d7abaab}" id="{b8adde2b-da45-4429-801c-24584874cac1}" done="1">
    <x18tc:text xml:space="preserve">reservado</x18tc:text>
  </x18tc:threadedComment>
  <x18tc:threadedComment ref="K329" dT="2025-12-21T02:10:34.00" personId="{a5d43f6d-3c72-4414-b012-8f52ef50acc4}" id="{74f4b64b-8e4f-4b89-a759-ab5580e5fe52}" done="0">
    <x18tc:text xml:space="preserve">https://drive.google.com/file/d/1OQSjZvD862ba6MPtHC69c2o3O18pXbzj/view?usp=drive_link
https://drive.google.com/file/d/1EKOE9-OiysjytM9NbbFjIgqF2R8PDMbY/view?usp=drive_link</x18tc:text>
    <x18tc:extLst>
      <ext uri="{F7C98A9C-CBB3-438F-8F68-D28B6AF4A901}">
        <xltc2:checksum/>
        <xltc2:hyperlink startIndex="0" length="85" url="https://drive.google.com/file/d/1OQSjZvD862ba6MPtHC69c2o3O18pXbzj/view?usp=drive_link"/>
        <xltc2:hyperlink startIndex="86" length="85" url="https://drive.google.com/file/d/1EKOE9-OiysjytM9NbbFjIgqF2R8PDMbY/view?usp=drive_link"/>
      </ext>
    </x18tc:extLst>
  </x18tc:threadedComment>
  <x18tc:threadedComment ref="J489" dT="2026-01-17T18:31:40.00" personId="{a5d43f6d-3c72-4414-b012-8f52ef50acc4}" id="{cd9f4ec3-554d-48a0-afe5-283f04010347}" done="0">
    <x18tc:text xml:space="preserve">https://drive.google.com/file/d/1POKDzeo0abpo49VscYMDRrrL-qsMGoyA/view?usp=drive_link</x18tc:text>
    <x18tc:extLst>
      <ext uri="{F7C98A9C-CBB3-438F-8F68-D28B6AF4A901}">
        <xltc2:checksum/>
        <xltc2:hyperlink startIndex="0" length="85" url="https://drive.google.com/file/d/1POKDzeo0abpo49VscYMDRrrL-qsMGoyA/view?usp=drive_link"/>
      </ext>
    </x18tc:extLst>
  </x18tc:threadedComment>
  <x18tc:threadedComment ref="J257" dT="2025-11-04T23:58:35.00" personId="{d8e4f5ad-b65d-4160-a56f-197530fb7eb1}" id="{93612c60-10fd-4cc3-914d-1a459d4fec62}" done="0">
    <x18tc:text xml:space="preserve">https://drive.google.com/file/d/1WFN1P1YDaEDqhDXm2p6b4ek3_xZHyRn2/view?usp=drive_link</x18tc:text>
    <x18tc:extLst>
      <ext uri="{F7C98A9C-CBB3-438F-8F68-D28B6AF4A901}">
        <xltc2:checksum/>
        <xltc2:hyperlink startIndex="0" length="85" url="https://drive.google.com/file/d/1WFN1P1YDaEDqhDXm2p6b4ek3_xZHyRn2/view?usp=drive_link"/>
      </ext>
    </x18tc:extLst>
  </x18tc:threadedComment>
  <x18tc:threadedComment ref="L195" dT="2025-09-05T00:44:22.00" personId="{a5d43f6d-3c72-4414-b012-8f52ef50acc4}" id="{1d494b59-f652-4c09-9583-33b9b2d83228}" done="0">
    <x18tc:text xml:space="preserve">https://drive.google.com/file/d/13hw8Y6fIj6TkHXbGObRIGEIwUuaFi8rN/view?usp=drive_link</x18tc:text>
    <x18tc:extLst>
      <ext uri="{F7C98A9C-CBB3-438F-8F68-D28B6AF4A901}">
        <xltc2:checksum/>
        <xltc2:hyperlink startIndex="0" length="85" url="https://drive.google.com/file/d/13hw8Y6fIj6TkHXbGObRIGEIwUuaFi8rN/view?usp=drive_link"/>
      </ext>
    </x18tc:extLst>
  </x18tc:threadedComment>
  <x18tc:threadedComment ref="K693" dT="2026-06-22T16:48:03.00" personId="{80195d68-4e9b-4dc7-a031-ca5391c97d0f}" id="{ba8ddfd5-3685-4855-89a3-e38ff33df618}" done="0">
    <x18tc:text xml:space="preserve">https://drive.google.com/file/d/1hltGd6BL9zWuxdF8fH-EhSzMxubIbU_2/view?usp=drive_link</x18tc:text>
    <x18tc:extLst>
      <ext uri="{F7C98A9C-CBB3-438F-8F68-D28B6AF4A901}">
        <xltc2:checksum/>
        <xltc2:hyperlink startIndex="0" length="85" url="https://drive.google.com/file/d/1hltGd6BL9zWuxdF8fH-EhSzMxubIbU_2/view?usp=drive_link"/>
      </ext>
    </x18tc:extLst>
  </x18tc:threadedComment>
  <x18tc:threadedComment ref="K589" dT="2026-03-06T21:07:04.00" personId="{f9b224d0-ee33-4499-ae47-db5bcd2d0435}" id="{33821431-a1b5-499c-bcc7-07a82eee5d5b}" done="0">
    <x18tc:text xml:space="preserve">https://drive.google.com/file/d/1p9Xdf6JwSxSH8PlvWTwsv-umkcLcjuvI/view?usp=drive_link</x18tc:text>
    <x18tc:extLst>
      <ext uri="{F7C98A9C-CBB3-438F-8F68-D28B6AF4A901}">
        <xltc2:checksum/>
        <xltc2:hyperlink startIndex="0" length="85" url="https://drive.google.com/file/d/1p9Xdf6JwSxSH8PlvWTwsv-umkcLcjuvI/view?usp=drive_link"/>
      </ext>
    </x18tc:extLst>
  </x18tc:threadedComment>
  <x18tc:threadedComment ref="W260" dT="2025-11-05T00:19:38.00" personId="{d8e4f5ad-b65d-4160-a56f-197530fb7eb1}" id="{caa0a27e-7846-4d9f-9c55-d258bbf789fe}" done="0">
    <x18tc:text xml:space="preserve">https://drive.google.com/file/d/1E5QGYAL02E00BbtYXTcpZB548SwNQs6d/view?usp=drive_link</x18tc:text>
    <x18tc:extLst>
      <ext uri="{F7C98A9C-CBB3-438F-8F68-D28B6AF4A901}">
        <xltc2:checksum/>
        <xltc2:hyperlink startIndex="0" length="85" url="https://drive.google.com/file/d/1E5QGYAL02E00BbtYXTcpZB548SwNQs6d/view?usp=drive_link"/>
      </ext>
    </x18tc:extLst>
  </x18tc:threadedComment>
  <x18tc:threadedComment ref="AF192" dT="2025-09-05T00:46:35.00" personId="{d28ef52a-149c-458c-84f2-6b54860887d5}" id="{80f5f3d8-c9f7-47f5-9fd9-a4a38a925e45}" done="1">
    <x18tc:text xml:space="preserve">falta validar todo</x18tc:text>
  </x18tc:threadedComment>
  <x18tc:threadedComment ref="N489" dT="2026-01-17T18:25:11.00" personId="{a5d43f6d-3c72-4414-b012-8f52ef50acc4}" id="{033a5b50-7935-4b62-b483-77957c22629a}" done="0">
    <x18tc:text xml:space="preserve">consideré el peso con 1.5 kg en total</x18tc:text>
  </x18tc:threadedComment>
  <x18tc:threadedComment ref="O163" dT="2025-08-08T22:40:53.00" personId="{4df2d6c4-e43e-4f2e-b623-d90f458472ff}" id="{378b3894-04e6-401d-924c-d4f71db8fd7e}" done="0">
    <x18tc:text xml:space="preserve">200 dolares para el servicio de compra que equivale a 750 en soles</x18tc:text>
  </x18tc:threadedComment>
  <x18tc:threadedComment ref="W286" dT="2025-11-05T00:38:55.00" personId="{d8e4f5ad-b65d-4160-a56f-197530fb7eb1}" id="{0aa45c5f-bc97-4b17-b243-45dc504eb718}" done="0">
    <x18tc:text xml:space="preserve">https://drive.google.com/file/d/1nsPq6zpILQ2wr33NeJfuiJ4-BlLgpMfX/view?usp=drive_link</x18tc:text>
    <x18tc:extLst>
      <ext uri="{F7C98A9C-CBB3-438F-8F68-D28B6AF4A901}">
        <xltc2:checksum/>
        <xltc2:hyperlink startIndex="0" length="85" url="https://drive.google.com/file/d/1nsPq6zpILQ2wr33NeJfuiJ4-BlLgpMfX/view?usp=drive_link"/>
      </ext>
    </x18tc:extLst>
  </x18tc:threadedComment>
  <x18tc:threadedComment ref="K727" dT="2026-06-22T16:46:53.00" personId="{80195d68-4e9b-4dc7-a031-ca5391c97d0f}" id="{740f2dbf-6faa-4196-9200-fb0bc6029eb8}" done="0">
    <x18tc:text xml:space="preserve">https://drive.google.com/file/d/15fJFX1xvWpjU7FOL4Iuq9bfguIcI6L0-/view?usp=drive_link</x18tc:text>
    <x18tc:extLst>
      <ext uri="{F7C98A9C-CBB3-438F-8F68-D28B6AF4A901}">
        <xltc2:checksum/>
        <xltc2:hyperlink startIndex="0" length="85" url="https://drive.google.com/file/d/15fJFX1xvWpjU7FOL4Iuq9bfguIcI6L0-/view?usp=drive_link"/>
      </ext>
    </x18tc:extLst>
  </x18tc:threadedComment>
  <x18tc:threadedComment ref="AF272" dT="2025-11-04T23:07:58.00" personId="{2ddfa542-8116-4937-a057-08470d7abaab}" id="{76aa3244-c3fc-4dc2-a7ba-44bb3d785c7f}" done="1">
    <x18tc:text xml:space="preserve">boleta, fixit, venta final, nuevo cambio</x18tc:text>
  </x18tc:threadedComment>
  <x18tc:threadedComment ref="K769" dT="2026-06-22T16:35:42.00" personId="{80195d68-4e9b-4dc7-a031-ca5391c97d0f}" id="{3d3b182d-12bf-4007-92a8-45fa3e9e259c}" done="0">
    <x18tc:text xml:space="preserve">https://drive.google.com/file/d/1xoeCmOxIzHYPMJy6lrRTtFH7jgqosW_t/view?usp=drive_link</x18tc:text>
    <x18tc:extLst>
      <ext uri="{F7C98A9C-CBB3-438F-8F68-D28B6AF4A901}">
        <xltc2:checksum/>
        <xltc2:hyperlink startIndex="0" length="85" url="https://drive.google.com/file/d/1xoeCmOxIzHYPMJy6lrRTtFH7jgqosW_t/view?usp=drive_link"/>
      </ext>
    </x18tc:extLst>
  </x18tc:threadedComment>
  <x18tc:threadedComment ref="K590" dT="2026-03-23T20:52:16.00" personId="{f9b224d0-ee33-4499-ae47-db5bcd2d0435}" id="{81847317-852b-4867-86cf-e2b0fbd957c9}" done="0">
    <x18tc:text xml:space="preserve">https://drive.google.com/file/d/1NeH8hf9GcczWM0rwP5x86j8pm-qdJrt4/view?usp=drive_link</x18tc:text>
    <x18tc:extLst>
      <ext uri="{F7C98A9C-CBB3-438F-8F68-D28B6AF4A901}">
        <xltc2:checksum/>
        <xltc2:hyperlink startIndex="0" length="85" url="https://drive.google.com/file/d/1NeH8hf9GcczWM0rwP5x86j8pm-qdJrt4/view?usp=drive_link"/>
      </ext>
    </x18tc:extLst>
  </x18tc:threadedComment>
  <x18tc:threadedComment ref="K590" dT="2026-03-23T20:53:26.00" personId="{f9b224d0-ee33-4499-ae47-db5bcd2d0435}" id="{d9a56a80-8afa-4ef9-b703-faf9eed3a5cb}" parentId="{81847317-852b-4867-86cf-e2b0fbd957c9}">
    <x18tc:text xml:space="preserve">https://drive.google.com/file/d/1G3pLybT5TqcAiK8E2vzVHKH5bPeVWrh9/view?usp=drive_link</x18tc:text>
    <x18tc:extLst>
      <ext uri="{F7C98A9C-CBB3-438F-8F68-D28B6AF4A901}">
        <xltc2:checksum/>
        <xltc2:hyperlink startIndex="0" length="85" url="https://drive.google.com/file/d/1G3pLybT5TqcAiK8E2vzVHKH5bPeVWrh9/view?usp=drive_link"/>
      </ext>
    </x18tc:extLst>
  </x18tc:threadedComment>
  <x18tc:threadedComment ref="K590" dT="2026-03-23T20:54:05.00" personId="{f9b224d0-ee33-4499-ae47-db5bcd2d0435}" id="{ea52409c-150d-45a9-b6d1-806c4277993f}" parentId="{81847317-852b-4867-86cf-e2b0fbd957c9}">
    <x18tc:text xml:space="preserve">https://drive.google.com/file/d/1ziUEKPc4GpBqZDgl7wxmOHC7vCiuxdPt/view?usp=drive_link</x18tc:text>
    <x18tc:extLst>
      <ext uri="{F7C98A9C-CBB3-438F-8F68-D28B6AF4A901}">
        <xltc2:checksum/>
        <xltc2:hyperlink startIndex="0" length="85" url="https://drive.google.com/file/d/1ziUEKPc4GpBqZDgl7wxmOHC7vCiuxdPt/view?usp=drive_link"/>
      </ext>
    </x18tc:extLst>
  </x18tc:threadedComment>
  <x18tc:threadedComment ref="M488" dT="2026-01-17T18:22:46.00" personId="{a5d43f6d-3c72-4414-b012-8f52ef50acc4}" id="{bb12cbe8-5b2c-46ea-8845-2ec2d145b6cf}" done="0">
    <x18tc:text xml:space="preserve">No lo han puesto en el sheet todavía pondré el de hoy</x18tc:text>
  </x18tc:threadedComment>
  <x18tc:threadedComment ref="K371" dT="2025-12-21T03:35:12.00" personId="{4df2d6c4-e43e-4f2e-b623-d90f458472ff}" id="{6ac6a1db-1c00-4ff9-b6ee-3025fc2af5cf}" done="0">
    <x18tc:text xml:space="preserve">https://drive.google.com/file/d/1wsEI9XpR9mXQBx4X_kjvVf7YluwNxol1/view?usp=drive_link</x18tc:text>
    <x18tc:extLst>
      <ext uri="{F7C98A9C-CBB3-438F-8F68-D28B6AF4A901}">
        <xltc2:checksum/>
        <xltc2:hyperlink startIndex="0" length="85" url="https://drive.google.com/file/d/1wsEI9XpR9mXQBx4X_kjvVf7YluwNxol1/view?usp=drive_link"/>
      </ext>
    </x18tc:extLst>
  </x18tc:threadedComment>
  <x18tc:threadedComment ref="C772" dT="2026-06-01T12:42:43.00" personId="{d8e4f5ad-b65d-4160-a56f-197530fb7eb1}" id="{d6fa8606-ca99-4460-99cf-bdb8e2b26da9}" done="0">
    <x18tc:text xml:space="preserve">https://www.amazon.com/ASUS-ROG-Strix-Gaming-Laptop/dp/B0DZZWMB2L/?th=1</x18tc:text>
    <x18tc:extLst>
      <ext uri="{F7C98A9C-CBB3-438F-8F68-D28B6AF4A901}">
        <xltc2:checksum/>
        <xltc2:hyperlink startIndex="0" length="71" url="https://www.amazon.com/ASUS-ROG-Strix-Gaming-Laptop/dp/B0DZZWMB2L/?th=1"/>
      </ext>
    </x18tc:extLst>
  </x18tc:threadedComment>
  <x18tc:threadedComment ref="C689" dT="2026-04-19T00:07:01.00" personId="{d8e4f5ad-b65d-4160-a56f-197530fb7eb1}" id="{86d1f4b8-260b-495a-9104-39240abc24f1}"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K756" dT="2026-06-22T16:36:46.00" personId="{80195d68-4e9b-4dc7-a031-ca5391c97d0f}" id="{b3dbb165-6250-47a0-b7a4-ffccaee951d0}" done="0">
    <x18tc:text xml:space="preserve">https://drive.google.com/file/d/17gzV3f6eod8iQjmQEan61H_0DWowvPuq/view?usp=drive_link
https://drive.google.com/file/d/1o7EgKn6lu-Bj6Taf7-L6u1SEG0l_1gWu/view?usp=drive_link</x18tc:text>
    <x18tc:extLst>
      <ext uri="{F7C98A9C-CBB3-438F-8F68-D28B6AF4A901}">
        <xltc2:checksum/>
        <xltc2:hyperlink startIndex="0" length="85" url="https://drive.google.com/file/d/17gzV3f6eod8iQjmQEan61H_0DWowvPuq/view?usp=drive_link"/>
        <xltc2:hyperlink startIndex="86" length="85" url="https://drive.google.com/file/d/1o7EgKn6lu-Bj6Taf7-L6u1SEG0l_1gWu/view?usp=drive_link"/>
      </ext>
    </x18tc:extLst>
  </x18tc:threadedComment>
  <x18tc:threadedComment ref="Q488" dT="2026-01-17T18:24:27.00" personId="{a5d43f6d-3c72-4414-b012-8f52ef50acc4}" id="{c4aac629-c846-4172-a34c-39e0c8bc1055}" done="0">
    <x18tc:text xml:space="preserve">apertura + configuración inicial con formateo + office 2024 + eset nod 32 + windows 11 pro</x18tc:text>
  </x18tc:threadedComment>
  <x18tc:threadedComment ref="K372" dT="2025-12-21T03:37:51.00" personId="{4df2d6c4-e43e-4f2e-b623-d90f458472ff}" id="{8c1fce2a-b56e-4c2b-8afd-bdb21b6406a0}" done="0">
    <x18tc:text xml:space="preserve">https://drive.google.com/file/d/1UD_-6dEJa6RJnt7rXfo5T-KrtfW1iR-i/view?usp=drive_link</x18tc:text>
    <x18tc:extLst>
      <ext uri="{F7C98A9C-CBB3-438F-8F68-D28B6AF4A901}">
        <xltc2:checksum/>
        <xltc2:hyperlink startIndex="0" length="85" url="https://drive.google.com/file/d/1UD_-6dEJa6RJnt7rXfo5T-KrtfW1iR-i/view?usp=drive_link"/>
      </ext>
    </x18tc:extLst>
  </x18tc:threadedComment>
  <x18tc:threadedComment ref="K372" dT="2025-12-21T03:38:06.00" personId="{4df2d6c4-e43e-4f2e-b623-d90f458472ff}" id="{f8e8b3bd-82de-4a79-9030-8d65d1bc2cd8}" parentId="{8c1fce2a-b56e-4c2b-8afd-bdb21b6406a0}">
    <x18tc:text xml:space="preserve">https://drive.google.com/file/d/1UtOECmWcdYHlVLLMMkr0hqtBBErci6fi/view?usp=drive_link</x18tc:text>
    <x18tc:extLst>
      <ext uri="{F7C98A9C-CBB3-438F-8F68-D28B6AF4A901}">
        <xltc2:checksum/>
        <xltc2:hyperlink startIndex="0" length="85" url="https://drive.google.com/file/d/1UtOECmWcdYHlVLLMMkr0hqtBBErci6fi/view?usp=drive_link"/>
      </ext>
    </x18tc:extLst>
  </x18tc:threadedComment>
  <x18tc:threadedComment ref="J689" dT="2026-04-19T00:25:56.00" personId="{d8e4f5ad-b65d-4160-a56f-197530fb7eb1}" id="{a08ee022-19a6-47f0-80e6-fe576cd9752a}" done="0">
    <x18tc:text xml:space="preserve">https://drive.google.com/file/d/15OaodcwEpSj0KlPiscj1d5IG4MHb3uuS/view?usp=drive_link</x18tc:text>
    <x18tc:extLst>
      <ext uri="{F7C98A9C-CBB3-438F-8F68-D28B6AF4A901}">
        <xltc2:checksum/>
        <xltc2:hyperlink startIndex="0" length="85" url="https://drive.google.com/file/d/15OaodcwEpSj0KlPiscj1d5IG4MHb3uuS/view?usp=drive_link"/>
      </ext>
    </x18tc:extLst>
  </x18tc:threadedComment>
  <x18tc:threadedComment ref="C490" dT="2026-01-17T18:19:27.00" personId="{a5d43f6d-3c72-4414-b012-8f52ef50acc4}" id="{e521c56b-218c-485e-8bd6-e41ff9616b51}" done="0">
    <x18tc:text xml:space="preserve">https://www.amazon.com/-/es/GT600-filtro-algod%C3%B3n-piezas-blanco/dp/B0D1TF8T2Y/ref=pd_bxgy_d_sccl_1/144-4487549-9820511?pd_rd_w=ctn8p&amp;content-id=amzn1.sym.9bef5913-5870-4504-8883-3ba89d7f8e39&amp;pf_rd_p=9bef5913-5870-4504-8883-3ba89d7f8e39&amp;pf_rd_r=DZ8HWRX5A0ZXYE3MBGPS&amp;pd_rd_wg=oj7Lf&amp;pd_rd_r=f899c19c-f16e-4683-ac2b-ace766b7cd15&amp;pd_rd_i=B0D1TF8T2Y&amp;psc=1</x18tc:text>
    <x18tc:extLst>
      <ext uri="{F7C98A9C-CBB3-438F-8F68-D28B6AF4A901}">
        <xltc2:checksum/>
        <xltc2:hyperlink startIndex="0" length="353" url="https://www.amazon.com/-/es/GT600-filtro-algod%C3%B3n-piezas-blanco/dp/B0D1TF8T2Y/ref=pd_bxgy_d_sccl_1/144-4487549-9820511?pd_rd_w=ctn8p&amp;content-id=amzn1.sym.9bef5913-5870-4504-8883-3ba89d7f8e39&amp;pf_rd_p=9bef5913-5870-4504-8883-3ba89d7f8e39&amp;pf_rd_r=DZ8HWRX5A0ZXYE3MBGPS&amp;pd_rd_wg=oj7Lf&amp;pd_rd_r=f899c19c-f16e-4683-ac2b-ace766b7cd15&amp;pd_rd_i=B0D1TF8T2Y&amp;psc=1"/>
      </ext>
    </x18tc:extLst>
  </x18tc:threadedComment>
  <x18tc:threadedComment ref="K760" dT="2026-06-22T16:56:18.00" personId="{80195d68-4e9b-4dc7-a031-ca5391c97d0f}" id="{eeb89429-1e90-4ed6-8749-451fc2085c94}" done="0">
    <x18tc:text xml:space="preserve">https://drive.google.com/file/d/10QFYVTmccgbdxtXgaHE5fZam107pQQY4/view?usp=drive_link</x18tc:text>
    <x18tc:extLst>
      <ext uri="{F7C98A9C-CBB3-438F-8F68-D28B6AF4A901}">
        <xltc2:checksum/>
        <xltc2:hyperlink startIndex="0" length="85" url="https://drive.google.com/file/d/10QFYVTmccgbdxtXgaHE5fZam107pQQY4/view?usp=drive_link"/>
      </ext>
    </x18tc:extLst>
  </x18tc:threadedComment>
  <x18tc:threadedComment ref="AF270" dT="2025-11-04T23:47:38.00" personId="{2ddfa542-8116-4937-a057-08470d7abaab}" id="{a8d0f3b0-a02c-4bb0-a18f-808b38281b2f}" done="1">
    <x18tc:text xml:space="preserve">boleta, fixit, venta final, nuevo cambio</x18tc:text>
  </x18tc:threadedComment>
  <x18tc:threadedComment ref="F685" dT="2026-04-19T00:30:36.00" personId="{2ddfa542-8116-4937-a057-08470d7abaab}" id="{208f4d46-7121-400a-8209-663ae24b8aaa}" done="1">
    <x18tc:text xml:space="preserve">Reservado</x18tc:text>
  </x18tc:threadedComment>
  <x18tc:threadedComment ref="K742" dT="2026-06-22T16:38:31.00" personId="{80195d68-4e9b-4dc7-a031-ca5391c97d0f}" id="{528ba728-0526-46e4-a104-8863a84a48c3}" done="0">
    <x18tc:text xml:space="preserve">https://drive.google.com/file/d/1X-vnvCIZAC0DjnEykohvoaxhGLbZ3LUz/view?usp=drive_link</x18tc:text>
    <x18tc:extLst>
      <ext uri="{F7C98A9C-CBB3-438F-8F68-D28B6AF4A901}">
        <xltc2:checksum/>
        <xltc2:hyperlink startIndex="0" length="85" url="https://drive.google.com/file/d/1X-vnvCIZAC0DjnEykohvoaxhGLbZ3LUz/view?usp=drive_link"/>
      </ext>
    </x18tc:extLst>
  </x18tc:threadedComment>
  <x18tc:threadedComment ref="J490" dT="2026-01-17T18:20:19.00" personId="{a5d43f6d-3c72-4414-b012-8f52ef50acc4}" id="{cb41fa97-de1b-4b0d-ac12-f961cbe848ec}" done="0">
    <x18tc:text xml:space="preserve">se juntó con el de arriba</x18tc:text>
  </x18tc:threadedComment>
  <x18tc:threadedComment ref="AF638" dT="2026-04-26T18:12:42.00" personId="{2ddfa542-8116-4937-a057-08470d7abaab}" id="{0cff2116-c9d2-4013-9ee0-bca76f093b1e}" done="1">
    <x18tc:text xml:space="preserve">venta final, excedentes, fixit</x18tc:text>
  </x18tc:threadedComment>
  <x18tc:threadedComment ref="Z156" dT="2025-08-08T23:55:28.00" personId="{d8e4f5ad-b65d-4160-a56f-197530fb7eb1}" id="{081b2216-0c6a-413c-a9b0-9e1e712f3014}" done="0">
    <x18tc:text xml:space="preserve">https://drive.google.com/file/d/1o8_2DDp0ihVPz_Dqe2nbgCEc8mtU_af_/view?usp=drive_link</x18tc:text>
    <x18tc:extLst>
      <ext uri="{F7C98A9C-CBB3-438F-8F68-D28B6AF4A901}">
        <xltc2:checksum/>
        <xltc2:hyperlink startIndex="0" length="85" url="https://drive.google.com/file/d/1o8_2DDp0ihVPz_Dqe2nbgCEc8mtU_af_/view?usp=drive_link"/>
      </ext>
    </x18tc:extLst>
  </x18tc:threadedComment>
  <x18tc:threadedComment ref="L260" dT="2025-11-04T23:33:02.00" personId="{d8e4f5ad-b65d-4160-a56f-197530fb7eb1}" id="{da6336a8-dfdd-417a-990e-3a5df4b96f80}" done="0">
    <x18tc:text xml:space="preserve">https://drive.google.com/file/d/1jiciutdr4JQ7zM_JuHjAAWmEyR5rFGUu/view?usp=drive_link</x18tc:text>
    <x18tc:extLst>
      <ext uri="{F7C98A9C-CBB3-438F-8F68-D28B6AF4A901}">
        <xltc2:checksum/>
        <xltc2:hyperlink startIndex="0" length="85" url="https://drive.google.com/file/d/1jiciutdr4JQ7zM_JuHjAAWmEyR5rFGUu/view?usp=drive_link"/>
      </ext>
    </x18tc:extLst>
  </x18tc:threadedComment>
  <x18tc:threadedComment ref="J554" dT="2026-02-19T23:34:47.00" personId="{d8e4f5ad-b65d-4160-a56f-197530fb7eb1}" id="{78f7d57c-ccad-430d-b748-fb03f98bc159}" done="0">
    <x18tc:text xml:space="preserve">https://drive.google.com/file/d/1-Aka80b6O5PG6dc3ozGAvauyZg9o_gOF/view?usp=drive_link</x18tc:text>
    <x18tc:extLst>
      <ext uri="{F7C98A9C-CBB3-438F-8F68-D28B6AF4A901}">
        <xltc2:checksum/>
        <xltc2:hyperlink startIndex="0" length="85" url="https://drive.google.com/file/d/1-Aka80b6O5PG6dc3ozGAvauyZg9o_gOF/view?usp=drive_link"/>
      </ext>
    </x18tc:extLst>
  </x18tc:threadedComment>
  <x18tc:threadedComment ref="J554" dT="2026-02-19T23:35:00.00" personId="{d8e4f5ad-b65d-4160-a56f-197530fb7eb1}" id="{7a732b56-d388-4564-8fa2-697251249fdc}" parentId="{78f7d57c-ccad-430d-b748-fb03f98bc159}">
    <x18tc:text xml:space="preserve">https://drive.google.com/file/d/1K83KBuAb4AizsKwOJxGIf0bH9d0wwoVa/view?usp=drive_link</x18tc:text>
    <x18tc:extLst>
      <ext uri="{F7C98A9C-CBB3-438F-8F68-D28B6AF4A901}">
        <xltc2:checksum/>
        <xltc2:hyperlink startIndex="0" length="85" url="https://drive.google.com/file/d/1K83KBuAb4AizsKwOJxGIf0bH9d0wwoVa/view?usp=drive_link"/>
      </ext>
    </x18tc:extLst>
  </x18tc:threadedComment>
  <x18tc:threadedComment ref="J554" dT="2026-02-19T23:35:12.00" personId="{d8e4f5ad-b65d-4160-a56f-197530fb7eb1}" id="{f996eb7e-57cc-46de-a584-0b396823483d}" parentId="{78f7d57c-ccad-430d-b748-fb03f98bc159}">
    <x18tc:text xml:space="preserve">https://drive.google.com/file/d/1TxjGCstNuyQhqpJfZ8RwJe9I2Ty3-j3v/view?usp=drive_link</x18tc:text>
    <x18tc:extLst>
      <ext uri="{F7C98A9C-CBB3-438F-8F68-D28B6AF4A901}">
        <xltc2:checksum/>
        <xltc2:hyperlink startIndex="0" length="85" url="https://drive.google.com/file/d/1TxjGCstNuyQhqpJfZ8RwJe9I2Ty3-j3v/view?usp=drive_link"/>
      </ext>
    </x18tc:extLst>
  </x18tc:threadedComment>
  <x18tc:threadedComment ref="J554" dT="2026-02-19T23:35:26.00" personId="{d8e4f5ad-b65d-4160-a56f-197530fb7eb1}" id="{96ea58c6-9583-43ef-8ec7-3cedf870fa8b}" parentId="{78f7d57c-ccad-430d-b748-fb03f98bc159}">
    <x18tc:text xml:space="preserve">https://drive.google.com/file/d/1_YlW2VyyfNSWzBjklgSpaevlpD7r9v_b/view?usp=drive_link</x18tc:text>
    <x18tc:extLst>
      <ext uri="{F7C98A9C-CBB3-438F-8F68-D28B6AF4A901}">
        <xltc2:checksum/>
        <xltc2:hyperlink startIndex="0" length="85" url="https://drive.google.com/file/d/1_YlW2VyyfNSWzBjklgSpaevlpD7r9v_b/view?usp=drive_link"/>
      </ext>
    </x18tc:extLst>
  </x18tc:threadedComment>
  <x18tc:threadedComment ref="C658" dT="2026-04-16T21:55:28.00" personId="{4df2d6c4-e43e-4f2e-b623-d90f458472ff}" id="{eba355d1-3cf2-45d4-828d-8869638f6cde}" done="0">
    <x18tc:text xml:space="preserve">https://www.ebay.com/itm/205579362586?_skw=legion+7&amp;itmmeta=01KPC484TXSYTF7T534CTH3CQT&amp;hash=item2fdd7c211a:g:~hsAAeSwfLxp4LsL&amp;itmprp=enc%3AAQALAAAA4GfYFPkwiKCW4ZNSs2u11xBX6ZIhQxuE%2BuZPKjNZtjZkLwPr%2F3ywXvQriohad6ivGjKnM6bSkSVa%2FLv4VmhXVkBcf1A%2BPgts9KLNSaznMfUlnKsq7yKcZbapD%2FUr4wUUN2GSZtpIVY3pjZ05Oel8%2B5%2FWXtoeWSCJcdc2Inp09mfRnMXwK9PNjgLeOATgMgsKZM63lgfUm6no%2BaV5I3I1rvY5bd9yDX44tnLVLwpGuXTdm%2FwQEiFHdfCSEI0qXio4CbGp%2Bm%2BGFqljMOY9AqEBywFZSDEMF4MKoVpUeVa3hvqh%7Ctkp%3ABk9SR-DNoISzZw</x18tc:text>
    <x18tc:extLst>
      <ext uri="{F7C98A9C-CBB3-438F-8F68-D28B6AF4A901}">
        <xltc2:checksum/>
        <xltc2:hyperlink startIndex="0" length="492" url="https://www.ebay.com/itm/205579362586?_skw=legion+7&amp;itmmeta=01KPC484TXSYTF7T534CTH3CQT&amp;hash=item2fdd7c211a:g:~hsAAeSwfLxp4LsL&amp;itmprp=enc%3AAQALAAAA4GfYFPkwiKCW4ZNSs2u11xBX6ZIhQxuE%2BuZPKjNZtjZkLwPr%2F3ywXvQriohad6ivGjKnM6bSkSVa%2FLv4VmhXVkBcf1A%2BPgts9KLNSaznMfUlnKsq7yKcZbapD%2FUr4wUUN2GSZtpIVY3pjZ05Oel8%2B5%2FWXtoeWSCJcdc2Inp09mfRnMXwK9PNjgLeOATgMgsKZM63lgfUm6no%2BaV5I3I1rvY5bd9yDX44tnLVLwpGuXTdm%2FwQEiFHdfCSEI0qXio4CbGp%2Bm%2BGFqljMOY9AqEBywFZSDEMF4MKoVpUeVa3hvqh%7Ctkp%3ABk9SR-DNoISzZw"/>
      </ext>
    </x18tc:extLst>
  </x18tc:threadedComment>
  <x18tc:threadedComment ref="AF260" dT="2025-11-04T22:40:55.00" personId="{2ddfa542-8116-4937-a057-08470d7abaab}" id="{6b576446-a485-44d6-9882-a8a50af5c39f}" done="1">
    <x18tc:text xml:space="preserve">boleta, fixit, venta final, nuevo cambio</x18tc:text>
  </x18tc:threadedComment>
  <x18tc:threadedComment ref="AF290" dT="2025-11-04T23:37:13.00" personId="{2ddfa542-8116-4937-a057-08470d7abaab}" id="{a0de482d-540c-4f8d-ad3d-7d0a407cfffb}" done="1">
    <x18tc:text xml:space="preserve">verificar vocuher con kefrin</x18tc:text>
  </x18tc:threadedComment>
  <x18tc:threadedComment ref="L200" dT="2025-09-05T01:37:54.00" personId="{4df2d6c4-e43e-4f2e-b623-d90f458472ff}" id="{bb66ac92-3dfb-475a-8f63-1ea8c01e2f68}" done="0">
    <x18tc:text xml:space="preserve">https://drive.google.com/file/d/1VWcoDqdZ0QwVUXOjMFz0DnBSsUsnNXOm/view?usp=drive_link</x18tc:text>
    <x18tc:extLst>
      <ext uri="{F7C98A9C-CBB3-438F-8F68-D28B6AF4A901}">
        <xltc2:checksum/>
        <xltc2:hyperlink startIndex="0" length="85" url="https://drive.google.com/file/d/1VWcoDqdZ0QwVUXOjMFz0DnBSsUsnNXOm/view?usp=drive_link"/>
      </ext>
    </x18tc:extLst>
  </x18tc:threadedComment>
  <x18tc:threadedComment ref="C687" dT="2026-04-17T22:31:36.00" personId="{d8e4f5ad-b65d-4160-a56f-197530fb7eb1}" id="{35dde276-0d00-4253-a0ae-55fc29276299}"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AF268" dT="2025-11-04T22:41:44.00" personId="{2ddfa542-8116-4937-a057-08470d7abaab}" id="{d8b05c45-4829-406b-af82-6537bfaccb31}" done="1">
    <x18tc:text xml:space="preserve">boleta, fixit, venta final, nuevo cambio</x18tc:text>
  </x18tc:threadedComment>
  <x18tc:threadedComment ref="AF282" dT="2025-11-04T23:39:44.00" personId="{2ddfa542-8116-4937-a057-08470d7abaab}" id="{3f42bf85-483f-49cf-a960-be154a97b9e8}" done="1">
    <x18tc:text xml:space="preserve">boleta, fixit, venta final, nuevo cambio</x18tc:text>
  </x18tc:threadedComment>
  <x18tc:threadedComment ref="J212" dT="2025-09-05T01:43:15.00" personId="{4df2d6c4-e43e-4f2e-b623-d90f458472ff}" id="{53176bd7-5a6e-40c9-b1cf-0fe46196624d}" done="0">
    <x18tc:text xml:space="preserve">https://drive.google.com/file/d/1YSHHGzs7CP7sC3vr9w3VW_fy8ZxT-QME/view?usp=drive_link</x18tc:text>
    <x18tc:extLst>
      <ext uri="{F7C98A9C-CBB3-438F-8F68-D28B6AF4A901}">
        <xltc2:checksum/>
        <xltc2:hyperlink startIndex="0" length="85" url="https://drive.google.com/file/d/1YSHHGzs7CP7sC3vr9w3VW_fy8ZxT-QME/view?usp=drive_link"/>
      </ext>
    </x18tc:extLst>
  </x18tc:threadedComment>
  <x18tc:threadedComment ref="J164" dT="2025-08-08T23:08:26.00" personId="{a5d43f6d-3c72-4414-b012-8f52ef50acc4}" id="{22071e4e-746a-4b6a-b7e7-681fc57cbc74}" done="0">
    <x18tc:text xml:space="preserve">https://drive.google.com/file/d/1Oi1YkcZdt2dc83oTf-oMWdNthEnkN97T/view?usp=drive_link</x18tc:text>
    <x18tc:extLst>
      <ext uri="{F7C98A9C-CBB3-438F-8F68-D28B6AF4A901}">
        <xltc2:checksum/>
        <xltc2:hyperlink startIndex="0" length="85" url="https://drive.google.com/file/d/1Oi1YkcZdt2dc83oTf-oMWdNthEnkN97T/view?usp=drive_link"/>
      </ext>
    </x18tc:extLst>
  </x18tc:threadedComment>
  <x18tc:threadedComment ref="J214" dT="2025-09-05T01:43:46.00" personId="{4df2d6c4-e43e-4f2e-b623-d90f458472ff}" id="{be883f4b-ec37-4382-b962-479e8dada776}" done="0">
    <x18tc:text xml:space="preserve">https://drive.google.com/file/d/14YxtfngsvdZkJFX-2thzepVk-XwlzUcY/view?usp=drive_link</x18tc:text>
    <x18tc:extLst>
      <ext uri="{F7C98A9C-CBB3-438F-8F68-D28B6AF4A901}">
        <xltc2:checksum/>
        <xltc2:hyperlink startIndex="0" length="85" url="https://drive.google.com/file/d/14YxtfngsvdZkJFX-2thzepVk-XwlzUcY/view?usp=drive_link"/>
      </ext>
    </x18tc:extLst>
  </x18tc:threadedComment>
  <x18tc:threadedComment ref="Q685" dT="2026-04-17T19:34:16.00" personId="{a5d43f6d-3c72-4414-b012-8f52ef50acc4}" id="{0d6c0bf2-224c-4ecb-b445-ef01231cec10}" done="0">
    <x18tc:text xml:space="preserve">Configuración inicial con formateo + eset nod + office 2024</x18tc:text>
  </x18tc:threadedComment>
  <x18tc:threadedComment ref="J403" dT="2025-12-13T21:21:17.00" personId="{d8e4f5ad-b65d-4160-a56f-197530fb7eb1}" id="{d5abebc5-3476-461b-8911-e0c657f03c2d}" done="0">
    <x18tc:text xml:space="preserve">https://drive.google.com/file/d/1C7srIemW-I3A6Khy2Cb_jtIrurSfMyvj/view?usp=drive_link</x18tc:text>
    <x18tc:extLst>
      <ext uri="{F7C98A9C-CBB3-438F-8F68-D28B6AF4A901}">
        <xltc2:checksum/>
        <xltc2:hyperlink startIndex="0" length="85" url="https://drive.google.com/file/d/1C7srIemW-I3A6Khy2Cb_jtIrurSfMyvj/view?usp=drive_link"/>
      </ext>
    </x18tc:extLst>
  </x18tc:threadedComment>
  <x18tc:threadedComment ref="AF151" dT="2025-08-08T23:20:41.00" personId="{2ddfa542-8116-4937-a057-08470d7abaab}" id="{feeb417c-e88d-47e9-937d-3e8728efea4c}" done="1">
    <x18tc:text xml:space="preserve">falta fixit</x18tc:text>
  </x18tc:threadedComment>
  <x18tc:threadedComment ref="L213" dT="2025-09-05T01:47:33.00" personId="{4df2d6c4-e43e-4f2e-b623-d90f458472ff}" id="{55a1ab1a-2bbf-4fa1-8e63-b8de06881a58}" done="0">
    <x18tc:text xml:space="preserve">https://drive.google.com/file/d/1qJC0642p8AbAHhmAHIgG-ZCRJ7OZ7jhz/view?usp=drive_link</x18tc:text>
    <x18tc:extLst>
      <ext uri="{F7C98A9C-CBB3-438F-8F68-D28B6AF4A901}">
        <xltc2:checksum/>
        <xltc2:hyperlink startIndex="0" length="85" url="https://drive.google.com/file/d/1qJC0642p8AbAHhmAHIgG-ZCRJ7OZ7jhz/view?usp=drive_link"/>
      </ext>
    </x18tc:extLst>
  </x18tc:threadedComment>
  <x18tc:threadedComment ref="C686" dT="2026-04-17T21:19:57.00" personId="{d8e4f5ad-b65d-4160-a56f-197530fb7eb1}" id="{62ab4559-21e4-4953-a4a6-1802106ac86c}"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L286" dT="2025-11-04T23:30:47.00" personId="{d8e4f5ad-b65d-4160-a56f-197530fb7eb1}" id="{759f3d59-54bc-4447-9417-04b0d2d16300}" done="0">
    <x18tc:text xml:space="preserve">https://drive.google.com/file/d/1p0sQo-5GBV8d9Bj7D4Fa15ZdyuolRCij/view?usp=drive_link</x18tc:text>
    <x18tc:extLst>
      <ext uri="{F7C98A9C-CBB3-438F-8F68-D28B6AF4A901}">
        <xltc2:checksum/>
        <xltc2:hyperlink startIndex="0" length="85" url="https://drive.google.com/file/d/1p0sQo-5GBV8d9Bj7D4Fa15ZdyuolRCij/view?usp=drive_link"/>
      </ext>
    </x18tc:extLst>
  </x18tc:threadedComment>
  <x18tc:threadedComment ref="L286" dT="2025-11-04T23:31:04.00" personId="{d8e4f5ad-b65d-4160-a56f-197530fb7eb1}" id="{37467257-70e4-465d-afae-03ce3becc057}" parentId="{759f3d59-54bc-4447-9417-04b0d2d16300}">
    <x18tc:text xml:space="preserve">https://drive.google.com/file/d/1-HxRS7JzEOJOl7ZWv1waRJjD5vba4mbK/view?usp=drive_link</x18tc:text>
    <x18tc:extLst>
      <ext uri="{F7C98A9C-CBB3-438F-8F68-D28B6AF4A901}">
        <xltc2:checksum/>
        <xltc2:hyperlink startIndex="0" length="85" url="https://drive.google.com/file/d/1-HxRS7JzEOJOl7ZWv1waRJjD5vba4mbK/view?usp=drive_link"/>
      </ext>
    </x18tc:extLst>
  </x18tc:threadedComment>
  <x18tc:threadedComment ref="L286" dT="2025-11-04T23:31:20.00" personId="{d8e4f5ad-b65d-4160-a56f-197530fb7eb1}" id="{9321fad3-38d1-4cff-b10d-7f120ff76d52}" parentId="{759f3d59-54bc-4447-9417-04b0d2d16300}">
    <x18tc:text xml:space="preserve">https://drive.google.com/file/d/1Qe7tfJ0FgA3dTq5TX5OuxOtXYkZpTvvK/view?usp=drive_link</x18tc:text>
    <x18tc:extLst>
      <ext uri="{F7C98A9C-CBB3-438F-8F68-D28B6AF4A901}">
        <xltc2:checksum/>
        <xltc2:hyperlink startIndex="0" length="85" url="https://drive.google.com/file/d/1Qe7tfJ0FgA3dTq5TX5OuxOtXYkZpTvvK/view?usp=drive_link"/>
      </ext>
    </x18tc:extLst>
  </x18tc:threadedComment>
  <x18tc:threadedComment ref="K305" dT="2025-12-01T16:23:37.00" personId="{d8e4f5ad-b65d-4160-a56f-197530fb7eb1}" id="{cbae4e9b-a8ec-4df6-898b-d491a88d094a}" done="0">
    <x18tc:text xml:space="preserve">https://drive.google.com/file/d/1amPF8LcEkhX59O0TZQcV-glOhkEWnqma/view?usp=drive_link</x18tc:text>
    <x18tc:extLst>
      <ext uri="{F7C98A9C-CBB3-438F-8F68-D28B6AF4A901}">
        <xltc2:checksum/>
        <xltc2:hyperlink startIndex="0" length="85" url="https://drive.google.com/file/d/1amPF8LcEkhX59O0TZQcV-glOhkEWnqma/view?usp=drive_link"/>
      </ext>
    </x18tc:extLst>
  </x18tc:threadedComment>
  <x18tc:threadedComment ref="AF152" dT="2025-08-08T23:27:09.00" personId="{2ddfa542-8116-4937-a057-08470d7abaab}" id="{45d8d8f1-fba0-483f-8a98-f5b1698fb1fb}" done="1">
    <x18tc:text xml:space="preserve">falta fixit y la venta final</x18tc:text>
  </x18tc:threadedComment>
  <x18tc:threadedComment ref="K324" dT="2025-12-05T00:07:30.00" personId="{a5d43f6d-3c72-4414-b012-8f52ef50acc4}" id="{4a396268-f163-46df-87a0-6c5317e14d3c}" done="0">
    <x18tc:text xml:space="preserve">https://drive.google.com/file/d/1-lxz7UafbwaHajMDL5YE4rVbXwZazB_F/view?usp=drive_link
https://drive.google.com/file/d/1Rwtf4uHJBY4ZqJkOdeCDbA78c29Zd73B/view?usp=drive_link</x18tc:text>
    <x18tc:extLst>
      <ext uri="{F7C98A9C-CBB3-438F-8F68-D28B6AF4A901}">
        <xltc2:checksum/>
        <xltc2:hyperlink startIndex="0" length="85" url="https://drive.google.com/file/d/1-lxz7UafbwaHajMDL5YE4rVbXwZazB_F/view?usp=drive_link"/>
        <xltc2:hyperlink startIndex="86" length="85" url="https://drive.google.com/file/d/1Rwtf4uHJBY4ZqJkOdeCDbA78c29Zd73B/view?usp=drive_link"/>
      </ext>
    </x18tc:extLst>
  </x18tc:threadedComment>
  <x18tc:threadedComment ref="L167" dT="2025-08-09T00:49:12.00" personId="{4df2d6c4-e43e-4f2e-b623-d90f458472ff}" id="{fa4769c3-1aea-42ce-bf6a-0650dafb46b2}" done="0">
    <x18tc:text xml:space="preserve">https://drive.google.com/file/d/1rCS49EPRI-WDX7ig4GMZRm7FR0IGRtzd/view?usp=drive_link</x18tc:text>
    <x18tc:extLst>
      <ext uri="{F7C98A9C-CBB3-438F-8F68-D28B6AF4A901}">
        <xltc2:checksum/>
        <xltc2:hyperlink startIndex="0" length="85" url="https://drive.google.com/file/d/1rCS49EPRI-WDX7ig4GMZRm7FR0IGRtzd/view?usp=drive_link"/>
      </ext>
    </x18tc:extLst>
  </x18tc:threadedComment>
  <x18tc:threadedComment ref="L154" dT="2025-08-09T01:00:10.00" personId="{4df2d6c4-e43e-4f2e-b623-d90f458472ff}" id="{0990a972-8707-4ed7-94cd-13afbdeaeae6}" done="0">
    <x18tc:text xml:space="preserve">https://drive.google.com/file/d/18_0E4rq4wBf-ZplZ92XrwTjkuKcbV4Ca/view?usp=drive_link</x18tc:text>
    <x18tc:extLst>
      <ext uri="{F7C98A9C-CBB3-438F-8F68-D28B6AF4A901}">
        <xltc2:checksum/>
        <xltc2:hyperlink startIndex="0" length="85" url="https://drive.google.com/file/d/18_0E4rq4wBf-ZplZ92XrwTjkuKcbV4Ca/view?usp=drive_link"/>
      </ext>
    </x18tc:extLst>
  </x18tc:threadedComment>
  <x18tc:threadedComment ref="L154" dT="2025-08-09T01:00:26.00" personId="{4df2d6c4-e43e-4f2e-b623-d90f458472ff}" id="{a239faa5-2a19-4e2b-98cb-b0d43150d650}" parentId="{0990a972-8707-4ed7-94cd-13afbdeaeae6}">
    <x18tc:text xml:space="preserve">https://drive.google.com/file/d/1ggFkT-lGyvpwmjxXeoGRHa7vWlgLU9yl/view?usp=drive_link</x18tc:text>
    <x18tc:extLst>
      <ext uri="{F7C98A9C-CBB3-438F-8F68-D28B6AF4A901}">
        <xltc2:checksum/>
        <xltc2:hyperlink startIndex="0" length="85" url="https://drive.google.com/file/d/1ggFkT-lGyvpwmjxXeoGRHa7vWlgLU9yl/view?usp=drive_link"/>
      </ext>
    </x18tc:extLst>
  </x18tc:threadedComment>
  <x18tc:threadedComment ref="C295" dT="2025-11-04T18:00:52.00" personId="{a5d43f6d-3c72-4414-b012-8f52ef50acc4}" id="{f9e36d02-ddd9-455a-8e87-bdf58ea419f5}" done="0">
    <x18tc:text xml:space="preserve">https://www.microcenter.com/product/692120/msi-raider-18-hx-ai-a2xwig-418us-18-gaming-laptop-computer-core-black?storeid=185</x18tc:text>
    <x18tc:extLst>
      <ext uri="{F7C98A9C-CBB3-438F-8F68-D28B6AF4A901}">
        <xltc2:checksum/>
        <xltc2:hyperlink startIndex="0" length="124" url="https://www.microcenter.com/product/692120/msi-raider-18-hx-ai-a2xwig-418us-18-gaming-laptop-computer-core-black?storeid=185"/>
      </ext>
    </x18tc:extLst>
  </x18tc:threadedComment>
  <x18tc:threadedComment ref="C688" dT="2026-04-17T22:36:12.00" personId="{a5d43f6d-3c72-4414-b012-8f52ef50acc4}" id="{d7a347b9-9a66-4b45-a8a2-566e3669a8eb}" done="0">
    <x18tc:text xml:space="preserve">https://www.ebay.com/itm/297282597330?</x18tc:text>
    <x18tc:extLst>
      <ext uri="{F7C98A9C-CBB3-438F-8F68-D28B6AF4A901}">
        <xltc2:checksum/>
        <xltc2:hyperlink startIndex="0" length="37" url="https://www.ebay.com/itm/297282597330"/>
      </ext>
    </x18tc:extLst>
  </x18tc:threadedComment>
  <x18tc:threadedComment ref="J165" dT="2025-08-09T00:37:26.00" personId="{4df2d6c4-e43e-4f2e-b623-d90f458472ff}" id="{767a5cc5-eee0-400c-96ec-709c51e4d3c1}" done="0">
    <x18tc:text xml:space="preserve">https://drive.google.com/file/d/1y6LoQmyw75HstYF-uK6-wpqxKRGMC9Jg/view?usp=drive_link</x18tc:text>
    <x18tc:extLst>
      <ext uri="{F7C98A9C-CBB3-438F-8F68-D28B6AF4A901}">
        <xltc2:checksum/>
        <xltc2:hyperlink startIndex="0" length="85" url="https://drive.google.com/file/d/1y6LoQmyw75HstYF-uK6-wpqxKRGMC9Jg/view?usp=drive_link"/>
      </ext>
    </x18tc:extLst>
  </x18tc:threadedComment>
  <x18tc:threadedComment ref="J282" dT="2025-11-04T23:23:18.00" personId="{d8e4f5ad-b65d-4160-a56f-197530fb7eb1}" id="{3d5a593d-2587-42e6-b66c-1de3715ffe40}" done="0">
    <x18tc:text xml:space="preserve">https://drive.google.com/file/d/1ccoNoLbJRPHJDq3NX2Ud6k1s9epJl1RW/view?usp=drive_link</x18tc:text>
    <x18tc:extLst>
      <ext uri="{F7C98A9C-CBB3-438F-8F68-D28B6AF4A901}">
        <xltc2:checksum/>
        <xltc2:hyperlink startIndex="0" length="85" url="https://drive.google.com/file/d/1ccoNoLbJRPHJDq3NX2Ud6k1s9epJl1RW/view?usp=drive_link"/>
      </ext>
    </x18tc:extLst>
  </x18tc:threadedComment>
  <x18tc:threadedComment ref="D295" dT="2025-11-04T18:11:15.00" personId="{a5d43f6d-3c72-4414-b012-8f52ef50acc4}" id="{9f8dddec-0ab8-4733-ba4c-2b00e43136cd}" done="0">
    <x18tc:text xml:space="preserve">TITO ANGEL REYES CARAHUANCO
DNI 45622707
CELULAR N° 932044064
CORREO: tito_rt3@hotmail.com</x18tc:text>
  </x18tc:threadedComment>
  <x18tc:threadedComment ref="Q688" dT="2026-04-17T22:47:35.00" personId="{a5d43f6d-3c72-4414-b012-8f52ef50acc4}" id="{1687e7a2-418a-481b-bea6-7142e91c67b3}" done="0">
    <x18tc:text xml:space="preserve">Configuración inicial con formateo + eset nod + office 2024</x18tc:text>
  </x18tc:threadedComment>
  <x18tc:threadedComment ref="L166" dT="2025-08-09T00:43:11.00" personId="{4df2d6c4-e43e-4f2e-b623-d90f458472ff}" id="{04e87606-232c-4cf0-ae41-9ac8eb7ea9ca}" done="0">
    <x18tc:text xml:space="preserve">https://drive.google.com/file/d/14qvvFXDfLd92g2O6ijINXkHBwmXh4Aou/view?usp=drive_link</x18tc:text>
    <x18tc:extLst>
      <ext uri="{F7C98A9C-CBB3-438F-8F68-D28B6AF4A901}">
        <xltc2:checksum/>
        <xltc2:hyperlink startIndex="0" length="85" url="https://drive.google.com/file/d/14qvvFXDfLd92g2O6ijINXkHBwmXh4Aou/view?usp=drive_link"/>
      </ext>
    </x18tc:extLst>
  </x18tc:threadedComment>
  <x18tc:threadedComment ref="C406" dT="2025-12-14T07:08:53.00" personId="{4df2d6c4-e43e-4f2e-b623-d90f458472ff}" id="{4ba9228b-6f3d-4c70-aedd-3e883482e23d}" done="0">
    <x18tc:text xml:space="preserve">https://www.ebay.com/itm/205756001751?_skw=laptop+gaming&amp;itmmeta=01KC39AGPB0DTWSSW32Z58NHBM&amp;hash=item2fe8036dd7:g:Qs0AAeSwFhRpN1SK</x18tc:text>
    <x18tc:extLst>
      <ext uri="{F7C98A9C-CBB3-438F-8F68-D28B6AF4A901}">
        <xltc2:checksum/>
        <xltc2:hyperlink startIndex="0" length="130" url="https://www.ebay.com/itm/205756001751?_skw=laptop+gaming&amp;itmmeta=01KC39AGPB0DTWSSW32Z58NHBM&amp;hash=item2fe8036dd7:g:Qs0AAeSwFhRpN1SK"/>
      </ext>
    </x18tc:extLst>
  </x18tc:threadedComment>
  <x18tc:threadedComment ref="N295" dT="2025-11-04T18:11:51.00" personId="{a5d43f6d-3c72-4414-b012-8f52ef50acc4}" id="{29452769-3f08-42ab-aeab-f297cd1dd7b2}" done="0">
    <x18tc:text xml:space="preserve">S/.1.190,40678
S/.1.404,6800</x18tc:text>
  </x18tc:threadedComment>
  <x18tc:threadedComment ref="J688" dT="2026-04-17T22:49:51.00" personId="{a5d43f6d-3c72-4414-b012-8f52ef50acc4}" id="{8b2d0119-85c4-4f76-b193-d4f448b55c7f}" done="0">
    <x18tc:text xml:space="preserve">https://drive.google.com/file/d/1kRE8X-APNkeF8IpkAbreK6ngmwtHeJlh/view?usp=drive_link</x18tc:text>
    <x18tc:extLst>
      <ext uri="{F7C98A9C-CBB3-438F-8F68-D28B6AF4A901}">
        <xltc2:checksum/>
        <xltc2:hyperlink startIndex="0" length="85" url="https://drive.google.com/file/d/1kRE8X-APNkeF8IpkAbreK6ngmwtHeJlh/view?usp=drive_link"/>
      </ext>
    </x18tc:extLst>
  </x18tc:threadedComment>
  <x18tc:threadedComment ref="J162" dT="2025-08-09T00:44:31.00" personId="{4df2d6c4-e43e-4f2e-b623-d90f458472ff}" id="{9a54bf49-2557-4eed-a556-0d4d4ed592ad}" done="0">
    <x18tc:text xml:space="preserve">https://drive.google.com/file/d/1u41HZHU_Bo6f937q8bGj3tpLDwx7PJUC/view?usp=drive_link</x18tc:text>
    <x18tc:extLst>
      <ext uri="{F7C98A9C-CBB3-438F-8F68-D28B6AF4A901}">
        <xltc2:checksum/>
        <xltc2:hyperlink startIndex="0" length="85" url="https://drive.google.com/file/d/1u41HZHU_Bo6f937q8bGj3tpLDwx7PJUC/view?usp=drive_link"/>
      </ext>
    </x18tc:extLst>
  </x18tc:threadedComment>
  <x18tc:threadedComment ref="C405" dT="2025-12-14T07:07:57.00" personId="{4df2d6c4-e43e-4f2e-b623-d90f458472ff}" id="{57b8e23e-e7e4-4a94-b9d3-e6d5880a2487}" done="0">
    <x18tc:text xml:space="preserve">https://us-store.msi.com/Laptops/Gaming-Series/msi-Vector-16-HX-AI-A2XWIG-050US</x18tc:text>
    <x18tc:extLst>
      <ext uri="{F7C98A9C-CBB3-438F-8F68-D28B6AF4A901}">
        <xltc2:checksum/>
        <xltc2:hyperlink startIndex="0" length="79" url="https://us-store.msi.com/Laptops/Gaming-Series/msi-Vector-16-HX-AI-A2XWIG-050US"/>
      </ext>
    </x18tc:extLst>
  </x18tc:threadedComment>
  <x18tc:threadedComment ref="J295" dT="2025-11-04T18:12:56.00" personId="{a5d43f6d-3c72-4414-b012-8f52ef50acc4}" id="{9b647d4d-20cd-4240-a431-a4d24905862d}" done="0">
    <x18tc:text xml:space="preserve">https://drive.google.com/file/d/1ESk1EVrq3x5HprK5C6gQ1eyHRfiGrUI8/view?usp=drive_link</x18tc:text>
    <x18tc:extLst>
      <ext uri="{F7C98A9C-CBB3-438F-8F68-D28B6AF4A901}">
        <xltc2:checksum/>
        <xltc2:hyperlink startIndex="0" length="85" url="https://drive.google.com/file/d/1ESk1EVrq3x5HprK5C6gQ1eyHRfiGrUI8/view?usp=drive_link"/>
      </ext>
    </x18tc:extLst>
  </x18tc:threadedComment>
  <x18tc:threadedComment ref="F414" dT="2025-12-19T03:00:12.00" personId="{4df2d6c4-e43e-4f2e-b623-d90f458472ff}" id="{bc79a202-003b-4b9b-96b6-2dbdb2d71c3b}" done="0">
    <x18tc:text xml:space="preserve">Yoli la srta sofia me envio el comprobante de compra</x18tc:text>
  </x18tc:threadedComment>
  <x18tc:threadedComment ref="P167" dT="2025-08-09T00:47:57.00" personId="{4df2d6c4-e43e-4f2e-b623-d90f458472ff}" id="{d6bfee25-73c8-4c58-90a5-d8f8c325fd09}" done="1">
    <x18tc:text xml:space="preserve">se le dio mouse de 30 soles y soporte de 20 soles</x18tc:text>
  </x18tc:threadedComment>
  <x18tc:threadedComment ref="K664" dT="2026-05-14T23:55:55.00" personId="{d8e4f5ad-b65d-4160-a56f-197530fb7eb1}" id="{4c225cb9-180b-425c-9a0c-e25b8df51ae0}" done="0">
    <x18tc:text xml:space="preserve">https://drive.google.com/file/d/11wvv4Kbqto_Po-mDuSZkglQ_x1Ja0rZg/view?usp=drive_link</x18tc:text>
    <x18tc:extLst>
      <ext uri="{F7C98A9C-CBB3-438F-8F68-D28B6AF4A901}">
        <xltc2:checksum/>
        <xltc2:hyperlink startIndex="0" length="85" url="https://drive.google.com/file/d/11wvv4Kbqto_Po-mDuSZkglQ_x1Ja0rZg/view?usp=drive_link"/>
      </ext>
    </x18tc:extLst>
  </x18tc:threadedComment>
  <x18tc:threadedComment ref="C311" dT="2025-11-15T18:31:11.00" personId="{4df2d6c4-e43e-4f2e-b623-d90f458472ff}" id="{d180f8bf-0494-45e3-b972-9a60a1e74c10}" done="0">
    <x18tc:text xml:space="preserve">https://www.ebay.com/itm/197489938982?_skw=laptop+gaming&amp;itmmeta=01K9RRJGZTT40T9ADAN7GJ7CRY&amp;hash=item2dfb515226:g:z3IAAeSw7QlpEOn9</x18tc:text>
    <x18tc:extLst>
      <ext uri="{F7C98A9C-CBB3-438F-8F68-D28B6AF4A901}">
        <xltc2:checksum/>
        <xltc2:hyperlink startIndex="0" length="130" url="https://www.ebay.com/itm/197489938982?_skw=laptop+gaming&amp;itmmeta=01K9RRJGZTT40T9ADAN7GJ7CRY&amp;hash=item2dfb515226:g:z3IAAeSw7QlpEOn9"/>
      </ext>
    </x18tc:extLst>
  </x18tc:threadedComment>
  <x18tc:threadedComment ref="J780" dT="2026-06-22T16:27:32.00" personId="{80195d68-4e9b-4dc7-a031-ca5391c97d0f}" id="{909a6885-d760-4e78-a7c4-014a42e2a033}" done="0">
    <x18tc:text xml:space="preserve">https://drive.google.com/file/d/11dha-5WckDrvskyXST7IMAKPiNaVBoeq/view?usp=drive_link</x18tc:text>
    <x18tc:extLst>
      <ext uri="{F7C98A9C-CBB3-438F-8F68-D28B6AF4A901}">
        <xltc2:checksum/>
        <xltc2:hyperlink startIndex="0" length="85" url="https://drive.google.com/file/d/11dha-5WckDrvskyXST7IMAKPiNaVBoeq/view?usp=drive_link"/>
      </ext>
    </x18tc:extLst>
  </x18tc:threadedComment>
  <x18tc:threadedComment ref="Q499" dT="2026-01-23T22:43:48.00" personId="{a5d43f6d-3c72-4414-b012-8f52ef50acc4}" id="{96471ff7-77d7-4950-ba3e-34abf571bfa6}" done="0">
    <x18tc:text xml:space="preserve">se saca 305 de excedente de otra laptop, debido a que se necesitaba ofrecerle cosas para venderlo, había autorización para esta laptop</x18tc:text>
  </x18tc:threadedComment>
  <x18tc:threadedComment ref="Q499" dT="2026-02-05T22:34:39.00" personId="{2ddfa542-8116-4937-a057-08470d7abaab}" id="{53e078cc-195a-4c66-889e-43d743a81a6b}" parentId="{96471ff7-77d7-4950-ba3e-34abf571bfa6}">
    <x18tc:text xml:space="preserve">Se pondrá esto como "accesorios" de la fila 483.</x18tc:text>
  </x18tc:threadedComment>
  <x18tc:threadedComment ref="C178" dT="2025-08-18T22:38:22.00" personId="{d8e4f5ad-b65d-4160-a56f-197530fb7eb1}" id="{5ab181d3-9248-49f1-92e0-80bfc203b1d0}" done="0">
    <x18tc:text xml:space="preserve">https://www.bestbuy.com/site/asus-zenbook-s-16-16-3k-oled-touch-screen-laptop-copilot-pc-amd-ryzen-ai-9-365-24gb-memory-1tb-ssd-scandinavian-white/6584435.p?skuId=6584435</x18tc:text>
    <x18tc:extLst>
      <ext uri="{F7C98A9C-CBB3-438F-8F68-D28B6AF4A901}">
        <xltc2:checksum/>
        <xltc2:hyperlink startIndex="0" length="170" url="https://www.bestbuy.com/site/asus-zenbook-s-16-16-3k-oled-touch-screen-laptop-copilot-pc-amd-ryzen-ai-9-365-24gb-memory-1tb-ssd-scandinavian-white/6584435.p?skuId=6584435"/>
      </ext>
    </x18tc:extLst>
  </x18tc:threadedComment>
  <x18tc:threadedComment ref="C308" dT="2025-11-15T18:32:07.00" personId="{4df2d6c4-e43e-4f2e-b623-d90f458472ff}" id="{bd5a0c03-3f42-46a5-9f5c-5419321283ff}" done="0">
    <x18tc:text xml:space="preserve">https://www.ebay.com/itm/306399222517?_skw=laptop+gaming&amp;itmmeta=01K9RT5AFMDAHXY5QXSR6V6Z9S&amp;hash=item4756d11af5:g:w4oAAeSw7F5o8zYa</x18tc:text>
    <x18tc:extLst>
      <ext uri="{F7C98A9C-CBB3-438F-8F68-D28B6AF4A901}">
        <xltc2:checksum/>
        <xltc2:hyperlink startIndex="0" length="130" url="https://www.ebay.com/itm/306399222517?_skw=laptop+gaming&amp;itmmeta=01K9RT5AFMDAHXY5QXSR6V6Z9S&amp;hash=item4756d11af5:g:w4oAAeSw7F5o8zYa"/>
      </ext>
    </x18tc:extLst>
  </x18tc:threadedComment>
  <x18tc:threadedComment ref="J499" dT="2026-01-23T22:44:31.00" personId="{a5d43f6d-3c72-4414-b012-8f52ef50acc4}" id="{ffdb2b66-2d70-4552-b724-c4696e2ba099}" done="0">
    <x18tc:text xml:space="preserve">https://drive.google.com/file/d/1mZdtV-7AckoZyzJjxXOdLbnVjNkDW7Lb/view?usp=drive_link</x18tc:text>
    <x18tc:extLst>
      <ext uri="{F7C98A9C-CBB3-438F-8F68-D28B6AF4A901}">
        <xltc2:checksum/>
        <xltc2:hyperlink startIndex="0" length="85" url="https://drive.google.com/file/d/1mZdtV-7AckoZyzJjxXOdLbnVjNkDW7Lb/view?usp=drive_link"/>
      </ext>
    </x18tc:extLst>
  </x18tc:threadedComment>
  <x18tc:threadedComment ref="L279" dT="2025-11-11T19:54:37.00" personId="{a5d43f6d-3c72-4414-b012-8f52ef50acc4}" id="{63db089c-02ff-43c2-bfed-38e3ae6f4bb5}" done="0">
    <x18tc:text xml:space="preserve">https://drive.google.com/file/d/1IxCLZ0cpBKmaqDlb9pQ0L3EfpecOpuvN/view?usp=drive_link
https://drive.google.com/file/d/1N_2AKl9W-UK_jG-Owgkl4y55STVAhITZ/view?usp=drive_link
https://drive.google.com/file/d/1LKTk6rmWc6lWQF5AjJBGpTrwMe6kWeVO/view?usp=drive_link</x18tc:text>
    <x18tc:extLst>
      <ext uri="{F7C98A9C-CBB3-438F-8F68-D28B6AF4A901}">
        <xltc2:checksum/>
        <xltc2:hyperlink startIndex="0" length="85" url="https://drive.google.com/file/d/1IxCLZ0cpBKmaqDlb9pQ0L3EfpecOpuvN/view?usp=drive_link"/>
        <xltc2:hyperlink startIndex="86" length="85" url="https://drive.google.com/file/d/1N_2AKl9W-UK_jG-Owgkl4y55STVAhITZ/view?usp=drive_link"/>
        <xltc2:hyperlink startIndex="172" length="85" url="https://drive.google.com/file/d/1LKTk6rmWc6lWQF5AjJBGpTrwMe6kWeVO/view?usp=drive_link"/>
      </ext>
    </x18tc:extLst>
  </x18tc:threadedComment>
  <x18tc:threadedComment ref="J178" dT="2025-08-18T22:48:33.00" personId="{d8e4f5ad-b65d-4160-a56f-197530fb7eb1}" id="{71377e4d-9f66-47ef-8188-f10a7f774857}" done="0">
    <x18tc:text xml:space="preserve">https://drive.google.com/file/d/1envNHAnc35giPruwShyNP26EY6kFFXD5/view?usp=drive_link</x18tc:text>
    <x18tc:extLst>
      <ext uri="{F7C98A9C-CBB3-438F-8F68-D28B6AF4A901}">
        <xltc2:checksum/>
        <xltc2:hyperlink startIndex="0" length="85" url="https://drive.google.com/file/d/1envNHAnc35giPruwShyNP26EY6kFFXD5/view?usp=drive_link"/>
      </ext>
    </x18tc:extLst>
  </x18tc:threadedComment>
  <x18tc:threadedComment ref="C685" dT="2026-04-17T19:32:11.00" personId="{a5d43f6d-3c72-4414-b012-8f52ef50acc4}" id="{d1039ac2-0678-4fe1-be64-9e586d5d77c3}"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AF281" dT="2025-11-04T23:11:02.00" personId="{2ddfa542-8116-4937-a057-08470d7abaab}" id="{8caad82d-6122-4a2c-a0e6-b34632baee68}" done="1">
    <x18tc:text xml:space="preserve">boleta, fixit, venta final, nuevo cambio</x18tc:text>
  </x18tc:threadedComment>
  <x18tc:threadedComment ref="D499" dT="2026-01-24T00:04:21.00" personId="{a5d43f6d-3c72-4414-b012-8f52ef50acc4}" id="{0f343499-8fcd-4f98-923a-6f4605a97325}" done="0">
    <x18tc:text xml:space="preserve">Rosa Anita Huayhuas Castro 
Dni 09914300
cel 956292794
correo rosa.huayhuas@hotmail.com</x18tc:text>
  </x18tc:threadedComment>
  <x18tc:threadedComment ref="AF279" dT="2025-11-04T23:11:56.00" personId="{2ddfa542-8116-4937-a057-08470d7abaab}" id="{3a65b2a5-a311-4fa6-bfc4-1cc0f11fd92f}" done="1">
    <x18tc:text xml:space="preserve">boleta, fixit, venta final, nuevo cambio, precio de laptop</x18tc:text>
  </x18tc:threadedComment>
  <x18tc:threadedComment ref="C310" dT="2025-11-15T18:30:54.00" personId="{4df2d6c4-e43e-4f2e-b623-d90f458472ff}" id="{e239ddfc-01bf-4f21-8909-37d9a9d65eae}" done="0">
    <x18tc:text xml:space="preserve">https://www.ebay.com/itm/205579362586?_skw=laptop+gaming&amp;itmmeta=01K9RRJGZTKQ63JGPAHEGEWE3A&amp;hash=item2fdd7c211a:g:UGEAAeSw9ktpEQ2-</x18tc:text>
    <x18tc:extLst>
      <ext uri="{F7C98A9C-CBB3-438F-8F68-D28B6AF4A901}">
        <xltc2:checksum/>
        <xltc2:hyperlink startIndex="0" length="130" url="https://www.ebay.com/itm/205579362586?_skw=laptop+gaming&amp;itmmeta=01K9RRJGZTKQ63JGPAHEGEWE3A&amp;hash=item2fdd7c211a:g:UGEAAeSw9ktpEQ2-"/>
      </ext>
    </x18tc:extLst>
  </x18tc:threadedComment>
  <x18tc:threadedComment ref="J500" dT="2026-01-23T23:24:27.00" personId="{a5d43f6d-3c72-4414-b012-8f52ef50acc4}" id="{da59335d-7200-4789-b675-33d045fc650c}" done="0">
    <x18tc:text xml:space="preserve">https://drive.google.com/file/d/1ocVPyLEDEuv8coW3EpKccqWNpROzgLeA/view?usp=drive_link</x18tc:text>
    <x18tc:extLst>
      <ext uri="{F7C98A9C-CBB3-438F-8F68-D28B6AF4A901}">
        <xltc2:checksum/>
        <xltc2:hyperlink startIndex="0" length="85" url="https://drive.google.com/file/d/1ocVPyLEDEuv8coW3EpKccqWNpROzgLeA/view?usp=drive_link"/>
      </ext>
    </x18tc:extLst>
  </x18tc:threadedComment>
  <x18tc:threadedComment ref="K452" dT="2026-01-19T16:08:41.00" personId="{d8e4f5ad-b65d-4160-a56f-197530fb7eb1}" id="{0b669fd9-e389-48be-8152-75d1a080e9bb}" done="0">
    <x18tc:text xml:space="preserve">https://drive.google.com/file/d/1GiLpLYXRD1pqD_cagXHRb9ibzZaBXVRd/view?usp=drive_link</x18tc:text>
    <x18tc:extLst>
      <ext uri="{F7C98A9C-CBB3-438F-8F68-D28B6AF4A901}">
        <xltc2:checksum/>
        <xltc2:hyperlink startIndex="0" length="85" url="https://drive.google.com/file/d/1GiLpLYXRD1pqD_cagXHRb9ibzZaBXVRd/view?usp=drive_link"/>
      </ext>
    </x18tc:extLst>
  </x18tc:threadedComment>
  <x18tc:threadedComment ref="J179" dT="2025-08-18T23:03:42.00" personId="{d8e4f5ad-b65d-4160-a56f-197530fb7eb1}" id="{5c4b4653-d7fb-43da-aa4a-f5a51f7f9576}" done="0">
    <x18tc:text xml:space="preserve">https://drive.google.com/file/d/1pc8IDx28BiSvuolOcGh6HS_RnSMUgLYG/view?usp=drive_link</x18tc:text>
    <x18tc:extLst>
      <ext uri="{F7C98A9C-CBB3-438F-8F68-D28B6AF4A901}">
        <xltc2:checksum/>
        <xltc2:hyperlink startIndex="0" length="85" url="https://drive.google.com/file/d/1pc8IDx28BiSvuolOcGh6HS_RnSMUgLYG/view?usp=drive_link"/>
      </ext>
    </x18tc:extLst>
  </x18tc:threadedComment>
  <x18tc:threadedComment ref="Q500" dT="2026-01-23T23:25:06.00" personId="{a5d43f6d-3c72-4414-b012-8f52ef50acc4}" id="{be005955-e1a2-46d6-a195-6c1351323a75}" done="0">
    <x18tc:text xml:space="preserve">apertura + configuración inicial con formateo + eset nod 32 + windows 11 pro + office profesional plus 2024</x18tc:text>
  </x18tc:threadedComment>
  <x18tc:threadedComment ref="U150" dT="2025-08-18T21:09:20.00" personId="{a5d43f6d-3c72-4414-b012-8f52ef50acc4}" id="{0cd75dcd-bfe2-4618-b776-430935e614ae}" done="0">
    <x18tc:text xml:space="preserve">mouse</x18tc:text>
  </x18tc:threadedComment>
  <x18tc:threadedComment ref="K349" dT="2025-11-27T01:24:52.00" personId="{4df2d6c4-e43e-4f2e-b623-d90f458472ff}" id="{7a1031e2-d382-427c-970f-9fde27cfddf1}" done="0">
    <x18tc:text xml:space="preserve">https://drive.google.com/file/d/1FtVuucRXvZry-Aw7r_001fGWBBbws6FL/view?usp=drive_link</x18tc:text>
    <x18tc:extLst>
      <ext uri="{F7C98A9C-CBB3-438F-8F68-D28B6AF4A901}">
        <xltc2:checksum/>
        <xltc2:hyperlink startIndex="0" length="85" url="https://drive.google.com/file/d/1FtVuucRXvZry-Aw7r_001fGWBBbws6FL/view?usp=drive_link"/>
      </ext>
    </x18tc:extLst>
  </x18tc:threadedComment>
  <x18tc:threadedComment ref="L150" dT="2025-08-18T21:10:27.00" personId="{a5d43f6d-3c72-4414-b012-8f52ef50acc4}" id="{3586a0df-359c-4690-ac3f-712c31c65554}" done="0">
    <x18tc:text xml:space="preserve">https://drive.google.com/file/d/1EgPqLwte2xJZiIz1rvt0e9qhjxgFXB0_/view?usp=drive_link</x18tc:text>
    <x18tc:extLst>
      <ext uri="{F7C98A9C-CBB3-438F-8F68-D28B6AF4A901}">
        <xltc2:checksum/>
        <xltc2:hyperlink startIndex="0" length="85" url="https://drive.google.com/file/d/1EgPqLwte2xJZiIz1rvt0e9qhjxgFXB0_/view?usp=drive_link"/>
      </ext>
    </x18tc:extLst>
  </x18tc:threadedComment>
  <x18tc:threadedComment ref="C552" dT="2026-02-19T22:35:56.00" personId="{68efe3e3-8b68-4e02-81e2-a29fa228b211}" id="{76268672-2f6c-475a-ba1c-c61e812fd858}" done="0">
    <x18tc:text xml:space="preserve">https://www.ebay.com/itm/326840072490?_skw=laptop+gaming&amp;itmmeta=01KHN5B21PYNDPA6E1QHAWW3DZ&amp;hash=item4c192fb92a:g:ingAAeSwviJpixKV</x18tc:text>
    <x18tc:extLst>
      <ext uri="{F7C98A9C-CBB3-438F-8F68-D28B6AF4A901}">
        <xltc2:checksum/>
        <xltc2:hyperlink startIndex="0" length="130" url="https://www.ebay.com/itm/326840072490?_skw=laptop+gaming&amp;itmmeta=01KHN5B21PYNDPA6E1QHAWW3DZ&amp;hash=item4c192fb92a:g:ingAAeSwviJpixKV"/>
      </ext>
    </x18tc:extLst>
  </x18tc:threadedComment>
  <x18tc:threadedComment ref="W349" dT="2025-11-27T01:21:29.00" personId="{4df2d6c4-e43e-4f2e-b623-d90f458472ff}" id="{31155cb2-b8a5-4274-82d1-5911d2d1f320}" done="0">
    <x18tc:text xml:space="preserve">https://drive.google.com/file/d/14SPALSXmH9m8Z5cB-AEjRQm7ksORboPH/view?usp=drive_link</x18tc:text>
    <x18tc:extLst>
      <ext uri="{F7C98A9C-CBB3-438F-8F68-D28B6AF4A901}">
        <xltc2:checksum/>
        <xltc2:hyperlink startIndex="0" length="85" url="https://drive.google.com/file/d/14SPALSXmH9m8Z5cB-AEjRQm7ksORboPH/view?usp=drive_link"/>
      </ext>
    </x18tc:extLst>
  </x18tc:threadedComment>
  <x18tc:threadedComment ref="K348" dT="2025-11-27T01:16:29.00" personId="{4df2d6c4-e43e-4f2e-b623-d90f458472ff}" id="{d78c46a7-51d3-4087-8573-4ca91c8b9d34}" done="0">
    <x18tc:text xml:space="preserve">https://drive.google.com/file/d/1yr-56evaqF4VOuZOmKMb_y5kfomm584Y/view?usp=drive_link</x18tc:text>
    <x18tc:extLst>
      <ext uri="{F7C98A9C-CBB3-438F-8F68-D28B6AF4A901}">
        <xltc2:checksum/>
        <xltc2:hyperlink startIndex="0" length="85" url="https://drive.google.com/file/d/1yr-56evaqF4VOuZOmKMb_y5kfomm584Y/view?usp=drive_link"/>
      </ext>
    </x18tc:extLst>
  </x18tc:threadedComment>
  <x18tc:threadedComment ref="J555" dT="2026-02-19T23:19:08.00" personId="{d8e4f5ad-b65d-4160-a56f-197530fb7eb1}" id="{f9c3e6a4-41f3-4b86-bafd-e276bccd1139}" done="0">
    <x18tc:text xml:space="preserve">https://drive.google.com/file/d/1Sg56KCBCc6R3v7kw_Bn1bnBVwQjp_2iH/view?usp=drive_link</x18tc:text>
    <x18tc:extLst>
      <ext uri="{F7C98A9C-CBB3-438F-8F68-D28B6AF4A901}">
        <xltc2:checksum/>
        <xltc2:hyperlink startIndex="0" length="85" url="https://drive.google.com/file/d/1Sg56KCBCc6R3v7kw_Bn1bnBVwQjp_2iH/view?usp=drive_link"/>
      </ext>
    </x18tc:extLst>
  </x18tc:threadedComment>
  <x18tc:threadedComment ref="J685" dT="2026-04-17T22:50:02.00" personId="{a5d43f6d-3c72-4414-b012-8f52ef50acc4}" id="{25246a83-944d-4e2f-bfab-2cbaad5c0df2}" done="0">
    <x18tc:text xml:space="preserve">https://drive.google.com/file/d/1PsI9Fh2Wk_xZkh32ynjkp7g8sxHJNm8J/view?usp=drive_link</x18tc:text>
    <x18tc:extLst>
      <ext uri="{F7C98A9C-CBB3-438F-8F68-D28B6AF4A901}">
        <xltc2:checksum/>
        <xltc2:hyperlink startIndex="0" length="85" url="https://drive.google.com/file/d/1PsI9Fh2Wk_xZkh32ynjkp7g8sxHJNm8J/view?usp=drive_link"/>
      </ext>
    </x18tc:extLst>
  </x18tc:threadedComment>
  <x18tc:threadedComment ref="J553" dT="2026-02-19T23:19:26.00" personId="{d8e4f5ad-b65d-4160-a56f-197530fb7eb1}" id="{332f767d-fc5e-442b-93d3-ff62338db2f5}" done="0">
    <x18tc:text xml:space="preserve">https://drive.google.com/file/d/1eIJDDQfVAF7v3bTfw6_zWAaKh5O__gC-/view?usp=drive_link</x18tc:text>
    <x18tc:extLst>
      <ext uri="{F7C98A9C-CBB3-438F-8F68-D28B6AF4A901}">
        <xltc2:checksum/>
        <xltc2:hyperlink startIndex="0" length="85" url="https://drive.google.com/file/d/1eIJDDQfVAF7v3bTfw6_zWAaKh5O__gC-/view?usp=drive_link"/>
      </ext>
    </x18tc:extLst>
  </x18tc:threadedComment>
  <x18tc:threadedComment ref="J683" dT="2026-04-17T22:50:10.00" personId="{a5d43f6d-3c72-4414-b012-8f52ef50acc4}" id="{75358e9e-6b4b-4a31-965f-744b98f13886}" done="0">
    <x18tc:text xml:space="preserve">https://drive.google.com/file/d/11vez8ptgGWRlH91IYwNh-fVz-c5g6b41/view?usp=drive_link</x18tc:text>
    <x18tc:extLst>
      <ext uri="{F7C98A9C-CBB3-438F-8F68-D28B6AF4A901}">
        <xltc2:checksum/>
        <xltc2:hyperlink startIndex="0" length="85" url="https://drive.google.com/file/d/11vez8ptgGWRlH91IYwNh-fVz-c5g6b41/view?usp=drive_link"/>
      </ext>
    </x18tc:extLst>
  </x18tc:threadedComment>
  <x18tc:threadedComment ref="C752" dT="2026-05-20T20:34:26.00" personId="{d8e4f5ad-b65d-4160-a56f-197530fb7eb1}" id="{111ecbf7-3fc1-465d-b33f-3ba48085de4b}" done="0">
    <x18tc:text xml:space="preserve">https://www.amazon.com/-/es/Laptop-gamer-Strix-pulgadas-Nebula/dp/B0DW24Z28P/ref=sr_1_3?__mk_es_US=%C3%85M%C3%85%C5%BD%C3%95%C3%91&amp;crid=PNB0Q8OM58KG&amp;dib=eyJ2IjoiMSJ9.p8wIC8g93SILiBs__UVjOQG48U8_7YftU5_51mi2fwMEWCFfXBxvFVgD5NaXtQaNHpsLlR7Je2A4JlhoOxzJfpD3OS7NJlyDoEv2xI6K2ErZyiFFp4oB0hWFx8pnIhisvkzJYobBzb7AML8nKvCuS8-xDefKD1tRILeYIbwxtKca8l22wfbCSRb_FwZIQ2bKenZRigk_3nQguephMCfv9v7498YtAn3a02FqCMvV3pU.I1dipSejqTR7IMjAcFYB_7fw8yHpx5Xx4J_t1S-x8cA&amp;dib_tag=se&amp;keywords=SCAR%2B18&amp;qid=1779308935&amp;sprefix=scar%2B18%2Caps%2C361&amp;sr=8-3&amp;th=1</x18tc:text>
    <x18tc:extLst>
      <ext uri="{F7C98A9C-CBB3-438F-8F68-D28B6AF4A901}">
        <xltc2:checksum/>
        <xltc2:hyperlink startIndex="0" length="532" url="https://www.amazon.com/-/es/Laptop-gamer-Strix-pulgadas-Nebula/dp/B0DW24Z28P/ref=sr_1_3?__mk_es_US=%C3%85M%C3%85%C5%BD%C3%95%C3%91&amp;crid=PNB0Q8OM58KG&amp;dib=eyJ2IjoiMSJ9.p8wIC8g93SILiBs__UVjOQG48U8_7YftU5_51mi2fwMEWCFfXBxvFVgD5NaXtQaNHpsLlR7Je2A4JlhoOxzJfpD3OS7NJlyDoEv2xI6K2ErZyiFFp4oB0hWFx8pnIhisvkzJYobBzb7AML8nKvCuS8-xDefKD1tRILeYIbwxtKca8l22wfbCSRb_FwZIQ2bKenZRigk_3nQguephMCfv9v7498YtAn3a02FqCMvV3pU.I1dipSejqTR7IMjAcFYB_7fw8yHpx5Xx4J_t1S-x8cA&amp;dib_tag=se&amp;keywords=SCAR%2B18&amp;qid=1779308935&amp;sprefix=scar%2B18%2Caps%2C361&amp;sr=8-3&amp;th=1"/>
      </ext>
    </x18tc:extLst>
  </x18tc:threadedComment>
  <x18tc:threadedComment ref="C309" dT="2025-11-15T18:32:12.00" personId="{4df2d6c4-e43e-4f2e-b623-d90f458472ff}" id="{92fbee2d-8f2c-47c8-8c23-2371a79e2650}" done="0">
    <x18tc:text xml:space="preserve">https://www.ebay.com/itm/306399222517?_skw=laptop+gaming&amp;itmmeta=01K9RT5AFMDAHXY5QXSR6V6Z9S&amp;hash=item4756d11af5:g:w4oAAeSw7F5o8zYa</x18tc:text>
    <x18tc:extLst>
      <ext uri="{F7C98A9C-CBB3-438F-8F68-D28B6AF4A901}">
        <xltc2:checksum/>
        <xltc2:hyperlink startIndex="0" length="130" url="https://www.ebay.com/itm/306399222517?_skw=laptop+gaming&amp;itmmeta=01K9RT5AFMDAHXY5QXSR6V6Z9S&amp;hash=item4756d11af5:g:w4oAAeSw7F5o8zYa"/>
      </ext>
    </x18tc:extLst>
  </x18tc:threadedComment>
  <x18tc:threadedComment ref="J552" dT="2026-02-19T22:38:43.00" personId="{68efe3e3-8b68-4e02-81e2-a29fa228b211}" id="{0a8c7c87-99cb-4987-8d3f-9457863233ac}" done="0">
    <x18tc:text xml:space="preserve">https://drive.google.com/file/d/1ZIT-kpUNUBpUGLw46phWB5L3Ki2aNlXs/view?usp=drive_link</x18tc:text>
    <x18tc:extLst>
      <ext uri="{F7C98A9C-CBB3-438F-8F68-D28B6AF4A901}">
        <xltc2:checksum/>
        <xltc2:hyperlink startIndex="0" length="85" url="https://drive.google.com/file/d/1ZIT-kpUNUBpUGLw46phWB5L3Ki2aNlXs/view?usp=drive_link"/>
      </ext>
    </x18tc:extLst>
  </x18tc:threadedComment>
  <x18tc:threadedComment ref="K332" dT="2025-12-17T17:23:59.00" personId="{d8e4f5ad-b65d-4160-a56f-197530fb7eb1}" id="{f544594f-fe00-44d4-aa39-c3d796d75bde}" done="0">
    <x18tc:text xml:space="preserve">https://drive.google.com/file/d/1J8zhnFQdjDc3qr1EZh-XQAy3y4Q_Hm4H/view?usp=drive_link</x18tc:text>
    <x18tc:extLst>
      <ext uri="{F7C98A9C-CBB3-438F-8F68-D28B6AF4A901}">
        <xltc2:checksum/>
        <xltc2:hyperlink startIndex="0" length="85" url="https://drive.google.com/file/d/1J8zhnFQdjDc3qr1EZh-XQAy3y4Q_Hm4H/view?usp=drive_link"/>
      </ext>
    </x18tc:extLst>
  </x18tc:threadedComment>
  <x18tc:threadedComment ref="K332" dT="2025-12-17T17:24:43.00" personId="{d8e4f5ad-b65d-4160-a56f-197530fb7eb1}" id="{def11195-2f1f-42c8-84ee-e90195dede6f}" parentId="{f544594f-fe00-44d4-aa39-c3d796d75bde}">
    <x18tc:text xml:space="preserve">https://drive.google.com/file/d/19WU4AtfXfBTypTt4j6CL6ngEOmOTxoYL/view?usp=drive_link</x18tc:text>
    <x18tc:extLst>
      <ext uri="{F7C98A9C-CBB3-438F-8F68-D28B6AF4A901}">
        <xltc2:checksum/>
        <xltc2:hyperlink startIndex="0" length="85" url="https://drive.google.com/file/d/19WU4AtfXfBTypTt4j6CL6ngEOmOTxoYL/view?usp=drive_link"/>
      </ext>
    </x18tc:extLst>
  </x18tc:threadedComment>
  <x18tc:threadedComment ref="K351" dT="2025-12-20T23:41:24.00" personId="{a5d43f6d-3c72-4414-b012-8f52ef50acc4}" id="{81067a89-0ac7-472e-bc9e-8d11333e5308}" done="0">
    <x18tc:text xml:space="preserve">https://drive.google.com/file/d/1FCNYIoI7bGThegxrRrvQ2D7cwOlXMCXd/view?usp=drive_link</x18tc:text>
    <x18tc:extLst>
      <ext uri="{F7C98A9C-CBB3-438F-8F68-D28B6AF4A901}">
        <xltc2:checksum/>
        <xltc2:hyperlink startIndex="0" length="85" url="https://drive.google.com/file/d/1FCNYIoI7bGThegxrRrvQ2D7cwOlXMCXd/view?usp=drive_link"/>
      </ext>
    </x18tc:extLst>
  </x18tc:threadedComment>
  <x18tc:threadedComment ref="K653" dT="2026-04-15T00:06:43.00" personId="{80195d68-4e9b-4dc7-a031-ca5391c97d0f}" id="{f518c7a1-feff-414b-9b2f-91c7a1f25f46}" done="0">
    <x18tc:text xml:space="preserve">https://drive.google.com/file/d/1T8vwY9LcmnJ3lTsWkdu4Bkd13hjh-vx9/view?usp=drive_link</x18tc:text>
    <x18tc:extLst>
      <ext uri="{F7C98A9C-CBB3-438F-8F68-D28B6AF4A901}">
        <xltc2:checksum/>
        <xltc2:hyperlink startIndex="0" length="85" url="https://drive.google.com/file/d/1T8vwY9LcmnJ3lTsWkdu4Bkd13hjh-vx9/view?usp=drive_link"/>
      </ext>
    </x18tc:extLst>
  </x18tc:threadedComment>
  <x18tc:threadedComment ref="J591" dT="2026-04-04T16:18:22.00" personId="{4df2d6c4-e43e-4f2e-b623-d90f458472ff}" id="{b09d38c6-c28f-412c-b84c-ce3a1b23b996}" done="0">
    <x18tc:text xml:space="preserve">https://drive.google.com/file/d/14QIuxt6EAoiCEx9-2lAKi4GGqjzzqa5l/view?usp=drive_link</x18tc:text>
    <x18tc:extLst>
      <ext uri="{F7C98A9C-CBB3-438F-8F68-D28B6AF4A901}">
        <xltc2:checksum/>
        <xltc2:hyperlink startIndex="0" length="85" url="https://drive.google.com/file/d/14QIuxt6EAoiCEx9-2lAKi4GGqjzzqa5l/view?usp=drive_link"/>
      </ext>
    </x18tc:extLst>
  </x18tc:threadedComment>
  <x18tc:threadedComment ref="J578" dT="2026-03-01T00:50:33.00" personId="{a5d43f6d-3c72-4414-b012-8f52ef50acc4}" id="{80ae0be9-840f-4684-9750-2375c4cacc10}" done="0">
    <x18tc:text xml:space="preserve">https://drive.google.com/file/d/1qyb6NI8PmD6b3Bx1kllAYVZAKOOGQK9B/view?usp=drive_link</x18tc:text>
    <x18tc:extLst>
      <ext uri="{F7C98A9C-CBB3-438F-8F68-D28B6AF4A901}">
        <xltc2:checksum/>
        <xltc2:hyperlink startIndex="0" length="85" url="https://drive.google.com/file/d/1qyb6NI8PmD6b3Bx1kllAYVZAKOOGQK9B/view?usp=drive_link"/>
      </ext>
    </x18tc:extLst>
  </x18tc:threadedComment>
  <x18tc:threadedComment ref="J423" dT="2025-12-21T01:48:33.00" personId="{a5d43f6d-3c72-4414-b012-8f52ef50acc4}" id="{67aa7c9d-bee1-4b80-a973-7356d2d5c33c}" done="0">
    <x18tc:text xml:space="preserve">https://drive.google.com/file/d/1W2J34fKTWcxvAl3Ms4-IHU01LiqZjbBZ/view?usp=drive_link</x18tc:text>
    <x18tc:extLst>
      <ext uri="{F7C98A9C-CBB3-438F-8F68-D28B6AF4A901}">
        <xltc2:checksum/>
        <xltc2:hyperlink startIndex="0" length="85" url="https://drive.google.com/file/d/1W2J34fKTWcxvAl3Ms4-IHU01LiqZjbBZ/view?usp=drive_link"/>
      </ext>
    </x18tc:extLst>
  </x18tc:threadedComment>
  <x18tc:threadedComment ref="C525" dT="2026-02-07T18:09:34.00" personId="{68efe3e3-8b68-4e02-81e2-a29fa228b211}" id="{d3ce5bc2-3f60-44a8-b27b-3cb4f3fe905f}" done="0">
    <x18tc:text xml:space="preserve">https://www.bestbuy.com/product/asus-proart-px13-13-3k-oled-touch-screen-laptop-copilot-pc-amd-ryzen-ai-9-hx-370-32gb-memory-rtx-4050-1tb-ssd-nano-black/JJGGLQYGGT</x18tc:text>
    <x18tc:extLst>
      <ext uri="{F7C98A9C-CBB3-438F-8F68-D28B6AF4A901}">
        <xltc2:checksum/>
        <xltc2:hyperlink startIndex="0" length="163" url="https://www.bestbuy.com/product/asus-proart-px13-13-3k-oled-touch-screen-laptop-copilot-pc-amd-ryzen-ai-9-hx-370-32gb-memory-rtx-4050-1tb-ssd-nano-black/JJGGLQYGGT"/>
      </ext>
    </x18tc:extLst>
  </x18tc:threadedComment>
  <x18tc:threadedComment ref="K591" dT="2026-04-04T16:19:16.00" personId="{4df2d6c4-e43e-4f2e-b623-d90f458472ff}" id="{8ef9c874-ac70-48d8-9f7b-c0c1625388b8}" done="0">
    <x18tc:text xml:space="preserve">https://drive.google.com/file/d/1srA8u3wS2hgbmwe19bi-pivped8p2FlB/view?usp=drive_link</x18tc:text>
    <x18tc:extLst>
      <ext uri="{F7C98A9C-CBB3-438F-8F68-D28B6AF4A901}">
        <xltc2:checksum/>
        <xltc2:hyperlink startIndex="0" length="85" url="https://drive.google.com/file/d/1srA8u3wS2hgbmwe19bi-pivped8p2FlB/view?usp=drive_link"/>
      </ext>
    </x18tc:extLst>
  </x18tc:threadedComment>
  <x18tc:threadedComment ref="Q578" dT="2026-03-01T00:51:41.00" personId="{a5d43f6d-3c72-4414-b012-8f52ef50acc4}" id="{d288a0ce-d0e8-4874-83d6-8464994b3259}" done="0">
    <x18tc:text xml:space="preserve">configuracion inicial con formateo + eset nod 32 + apertura</x18tc:text>
  </x18tc:threadedComment>
  <x18tc:threadedComment ref="K500" dT="2026-02-28T18:28:45.00" personId="{a5d43f6d-3c72-4414-b012-8f52ef50acc4}" id="{0dcb6e25-f314-469c-bbbf-472227be4973}" done="0">
    <x18tc:text xml:space="preserve">https://drive.google.com/file/d/1qeAEUA2CzPpt6YVv2_CMre5crg1Vcra3/view?usp=drive_link</x18tc:text>
    <x18tc:extLst>
      <ext uri="{F7C98A9C-CBB3-438F-8F68-D28B6AF4A901}">
        <xltc2:checksum/>
        <xltc2:hyperlink startIndex="0" length="85" url="https://drive.google.com/file/d/1qeAEUA2CzPpt6YVv2_CMre5crg1Vcra3/view?usp=drive_link"/>
      </ext>
    </x18tc:extLst>
  </x18tc:threadedComment>
  <x18tc:threadedComment ref="K667" dT="2026-05-14T23:19:10.00" personId="{d8e4f5ad-b65d-4160-a56f-197530fb7eb1}" id="{ddde6c13-db51-49a4-b646-e83a62c8c28d}" done="0">
    <x18tc:text xml:space="preserve">https://drive.google.com/file/d/1JbsUkXouKHiRnfwSi88gUy4JrbB-c_Ru/view?usp=drive_link</x18tc:text>
    <x18tc:extLst>
      <ext uri="{F7C98A9C-CBB3-438F-8F68-D28B6AF4A901}">
        <xltc2:checksum/>
        <xltc2:hyperlink startIndex="0" length="85" url="https://drive.google.com/file/d/1JbsUkXouKHiRnfwSi88gUy4JrbB-c_Ru/view?usp=drive_link"/>
      </ext>
    </x18tc:extLst>
  </x18tc:threadedComment>
  <x18tc:threadedComment ref="J673" dT="2026-04-15T00:01:26.00" personId="{80195d68-4e9b-4dc7-a031-ca5391c97d0f}" id="{0f88e0a5-82f9-43db-b933-0b7912e21ebf}" done="0">
    <x18tc:text xml:space="preserve">https://drive.google.com/file/d/1Kh4DJHIp8p5ardFJsPEB6fJ5HfjRjYKS/view?usp=drive_link</x18tc:text>
    <x18tc:extLst>
      <ext uri="{F7C98A9C-CBB3-438F-8F68-D28B6AF4A901}">
        <xltc2:checksum/>
        <xltc2:hyperlink startIndex="0" length="85" url="https://drive.google.com/file/d/1Kh4DJHIp8p5ardFJsPEB6fJ5HfjRjYKS/view?usp=drive_link"/>
      </ext>
    </x18tc:extLst>
  </x18tc:threadedComment>
  <x18tc:threadedComment ref="AF578" dT="2026-03-06T03:17:34.00" personId="{2ddfa542-8116-4937-a057-08470d7abaab}" id="{85fc31dc-0fed-4560-8db9-1810a1262469}" done="1">
    <x18tc:text xml:space="preserve">SOLO FORMS</x18tc:text>
  </x18tc:threadedComment>
  <x18tc:threadedComment ref="K528" dT="2026-03-01T01:04:45.00" personId="{a5d43f6d-3c72-4414-b012-8f52ef50acc4}" id="{16b404a6-40e1-4330-9aad-4d8f746308ac}" done="0">
    <x18tc:text xml:space="preserve">https://drive.google.com/file/d/1OgbFHFML5pC_2qa2YxBLL-7vbWcCz4Dq/view?usp=drive_link</x18tc:text>
    <x18tc:extLst>
      <ext uri="{F7C98A9C-CBB3-438F-8F68-D28B6AF4A901}">
        <xltc2:checksum/>
        <xltc2:hyperlink startIndex="0" length="85" url="https://drive.google.com/file/d/1OgbFHFML5pC_2qa2YxBLL-7vbWcCz4Dq/view?usp=drive_link"/>
      </ext>
    </x18tc:extLst>
  </x18tc:threadedComment>
  <x18tc:threadedComment ref="J575" dT="2026-02-28T23:47:00.00" personId="{a5d43f6d-3c72-4414-b012-8f52ef50acc4}" id="{25fe2059-4925-48c3-8934-0abf0673cb73}" done="0">
    <x18tc:text xml:space="preserve">https://drive.google.com/file/d/16UfAhUCMEHcRDn1268o8F5Aq-RvCCsZl/view?usp=drive_link</x18tc:text>
    <x18tc:extLst>
      <ext uri="{F7C98A9C-CBB3-438F-8F68-D28B6AF4A901}">
        <xltc2:checksum/>
        <xltc2:hyperlink startIndex="0" length="85" url="https://drive.google.com/file/d/16UfAhUCMEHcRDn1268o8F5Aq-RvCCsZl/view?usp=drive_link"/>
      </ext>
    </x18tc:extLst>
  </x18tc:threadedComment>
  <x18tc:threadedComment ref="J681" dT="2026-04-15T00:03:04.00" personId="{80195d68-4e9b-4dc7-a031-ca5391c97d0f}" id="{7b9c9801-ab37-427e-8bb7-24ff705296ff}" done="0">
    <x18tc:text xml:space="preserve">https://drive.google.com/file/d/1Hgxs6p60m0KU6_JjSGnUfNPr1nLmhWnY/view?usp=drive_link</x18tc:text>
    <x18tc:extLst>
      <ext uri="{F7C98A9C-CBB3-438F-8F68-D28B6AF4A901}">
        <xltc2:checksum/>
        <xltc2:hyperlink startIndex="0" length="85" url="https://drive.google.com/file/d/1Hgxs6p60m0KU6_JjSGnUfNPr1nLmhWnY/view?usp=drive_link"/>
      </ext>
    </x18tc:extLst>
  </x18tc:threadedComment>
  <x18tc:threadedComment ref="AF363" dT="2025-12-20T21:39:54.00" personId="{2ddfa542-8116-4937-a057-08470d7abaab}" id="{caff2082-af79-41a5-adbf-65a38b5bb7ee}" done="1">
    <x18tc:text xml:space="preserve">falta GARANTIA colocar</x18tc:text>
  </x18tc:threadedComment>
  <x18tc:threadedComment ref="AF363" dT="2025-12-20T21:48:56.00" personId="{2ddfa542-8116-4937-a057-08470d7abaab}" id="{5b16c831-4663-4a01-83ba-ea2a48ef2152}" parentId="{caff2082-af79-41a5-adbf-65a38b5bb7ee}">
    <x18tc:text xml:space="preserve">Marcado como resuelto</x18tc:text>
  </x18tc:threadedComment>
  <x18tc:threadedComment ref="AF363" dT="2025-12-27T19:06:19.00" personId="{2ddfa542-8116-4937-a057-08470d7abaab}" id="{9a278adf-9735-4922-bc43-def7bb6be914}" parentId="{caff2082-af79-41a5-adbf-65a38b5bb7ee}">
    <x18tc:text xml:space="preserve">Reabierto</x18tc:text>
  </x18tc:threadedComment>
  <x18tc:threadedComment ref="J744" dT="2026-05-15T19:33:46.00" personId="{d8e4f5ad-b65d-4160-a56f-197530fb7eb1}" id="{79fd5243-9677-43a9-80ec-4ea804866292}" done="0">
    <x18tc:text xml:space="preserve">https://drive.google.com/file/d/1RbMtUt5RXRCSqTqmmH2eM6jNqNDDfkbU/view?usp=drive_link</x18tc:text>
    <x18tc:extLst>
      <ext uri="{F7C98A9C-CBB3-438F-8F68-D28B6AF4A901}">
        <xltc2:checksum/>
        <xltc2:hyperlink startIndex="0" length="85" url="https://drive.google.com/file/d/1RbMtUt5RXRCSqTqmmH2eM6jNqNDDfkbU/view?usp=drive_link"/>
      </ext>
    </x18tc:extLst>
  </x18tc:threadedComment>
  <x18tc:threadedComment ref="C736" dT="2026-05-07T17:55:04.00" personId="{f9b224d0-ee33-4499-ae47-db5bcd2d0435}" id="{ef6cd88b-869d-4761-85ee-2c033969a68d}" done="0">
    <x18tc:text xml:space="preserve">https://www.costco.com/p/-/lenovo-legion-5i-16-gaming-laptop-intel-core-ultra-9-275hx-geforce-rtx-5060-wqxga-2560x1600-windows-11-home-32gb-ram-1tb-ssd/4000380973?langId=-1</x18tc:text>
    <x18tc:extLst>
      <ext uri="{F7C98A9C-CBB3-438F-8F68-D28B6AF4A901}">
        <xltc2:checksum/>
        <xltc2:hyperlink startIndex="0" length="172" url="https://www.costco.com/p/-/lenovo-legion-5i-16-gaming-laptop-intel-core-ultra-9-275hx-geforce-rtx-5060-wqxga-2560x1600-windows-11-home-32gb-ram-1tb-ssd/4000380973?langId=-1"/>
      </ext>
    </x18tc:extLst>
  </x18tc:threadedComment>
  <x18tc:threadedComment ref="C20" dT="2025-04-16T01:41:28.00" personId="{4df2d6c4-e43e-4f2e-b623-d90f458472ff}" id="{4320e0bc-a829-41fa-9e18-bc8bcfa29638}" done="0">
    <x18tc:text xml:space="preserve">https://www.amazon.com/-/es/Procesador-i9-13900H-port%C3%A1til-Pantalla-pulgadas/dp/B0D8JXHZTH/ref=sr_1_4?__mk_es_US=%C3%85M%C3%85%C5%BD%C3%95%C3%91&amp;crid=3DC1XDY4NBAMV&amp;dib=eyJ2IjoiMSJ9.LlJLGkPJZLs_QnqygPLqF51wTQgIHJDtzmXRfFFrHdlYhj-dzlgeJnZAeDe_4JGoecvhl1s9UxovgaiafPTLCRupy7Q-QvOm-8wKgSQBTkQgSn1Lsrg892-TnlvPfMHLJOFqdsb6W8sFW6TIhpmdNLPswGZwsm7AbgolYhEj905lBzPQumNQJ7XifD45GBry1xSUzfW9A0dM82pOO6yzUfr2acyDGaEeEC3KnvjiOsY.spi6gSyOqJAe8xHpF7RVvtZA1yeUsyqb8UcbLMpeDhM&amp;dib_tag=se&amp;keywords=acer%2Bi9&amp;qid=1744499230&amp;sprefix=acer%2Bi9%2Caps%2C181&amp;sr=8-4&amp;th=1</x18tc:text>
    <x18tc:extLst>
      <ext uri="{F7C98A9C-CBB3-438F-8F68-D28B6AF4A901}">
        <xltc2:checksum/>
        <xltc2:hyperlink startIndex="0" length="551" url="https://www.amazon.com/-/es/Procesador-i9-13900H-port%C3%A1til-Pantalla-pulgadas/dp/B0D8JXHZTH/ref=sr_1_4?__mk_es_US=%C3%85M%C3%85%C5%BD%C3%95%C3%91&amp;crid=3DC1XDY4NBAMV&amp;dib=eyJ2IjoiMSJ9.LlJLGkPJZLs_QnqygPLqF51wTQgIHJDtzmXRfFFrHdlYhj-dzlgeJnZAeDe_4JGoecvhl1s9UxovgaiafPTLCRupy7Q-QvOm-8wKgSQBTkQgSn1Lsrg892-TnlvPfMHLJOFqdsb6W8sFW6TIhpmdNLPswGZwsm7AbgolYhEj905lBzPQumNQJ7XifD45GBry1xSUzfW9A0dM82pOO6yzUfr2acyDGaEeEC3KnvjiOsY.spi6gSyOqJAe8xHpF7RVvtZA1yeUsyqb8UcbLMpeDhM&amp;dib_tag=se&amp;keywords=acer%2Bi9&amp;qid=1744499230&amp;sprefix=acer%2Bi9%2Caps%2C181&amp;sr=8-4&amp;th=1"/>
      </ext>
    </x18tc:extLst>
  </x18tc:threadedComment>
  <x18tc:threadedComment ref="W245" dT="2025-09-26T02:38:43.00" personId="{4df2d6c4-e43e-4f2e-b623-d90f458472ff}" id="{2a512a3a-2571-4d5d-8d09-9013b0be2be3}" done="0">
    <x18tc:text xml:space="preserve">https://drive.google.com/file/d/1F4U_mYuJBJ0Xur3fLl2ei0VnILvQBSdB/view?usp=drive_link</x18tc:text>
    <x18tc:extLst>
      <ext uri="{F7C98A9C-CBB3-438F-8F68-D28B6AF4A901}">
        <xltc2:checksum/>
        <xltc2:hyperlink startIndex="0" length="85" url="https://drive.google.com/file/d/1F4U_mYuJBJ0Xur3fLl2ei0VnILvQBSdB/view?usp=drive_link"/>
      </ext>
    </x18tc:extLst>
  </x18tc:threadedComment>
  <x18tc:threadedComment ref="L214" dT="2025-09-26T01:37:08.00" personId="{4df2d6c4-e43e-4f2e-b623-d90f458472ff}" id="{421b6467-d8fd-4b69-ac47-f979a05b47e7}" done="0">
    <x18tc:text xml:space="preserve">https://drive.google.com/file/d/1-_wXQgGoWAH_ONPdfcRPxpLP9UHAyPNJ/view?usp=drive_link</x18tc:text>
    <x18tc:extLst>
      <ext uri="{F7C98A9C-CBB3-438F-8F68-D28B6AF4A901}">
        <xltc2:checksum/>
        <xltc2:hyperlink startIndex="0" length="85" url="https://drive.google.com/file/d/1-_wXQgGoWAH_ONPdfcRPxpLP9UHAyPNJ/view?usp=drive_link"/>
      </ext>
    </x18tc:extLst>
  </x18tc:threadedComment>
  <x18tc:threadedComment ref="L245" dT="2025-09-26T02:32:59.00" personId="{4df2d6c4-e43e-4f2e-b623-d90f458472ff}" id="{32cc981b-9bf7-4f82-87f0-9f648bc402dc}" done="0">
    <x18tc:text xml:space="preserve">https://drive.google.com/file/d/1ijt0EZnWOlmzJLNY5HyLF5j3hem9JqvL/view?usp=drive_link</x18tc:text>
    <x18tc:extLst>
      <ext uri="{F7C98A9C-CBB3-438F-8F68-D28B6AF4A901}">
        <xltc2:checksum/>
        <xltc2:hyperlink startIndex="0" length="85" url="https://drive.google.com/file/d/1ijt0EZnWOlmzJLNY5HyLF5j3hem9JqvL/view?usp=drive_link"/>
      </ext>
    </x18tc:extLst>
  </x18tc:threadedComment>
  <x18tc:threadedComment ref="L245" dT="2025-09-26T02:33:16.00" personId="{4df2d6c4-e43e-4f2e-b623-d90f458472ff}" id="{78d1e7d0-97f9-4cfe-a337-ec18609be59c}" parentId="{32cc981b-9bf7-4f82-87f0-9f648bc402dc}">
    <x18tc:text xml:space="preserve">https://drive.google.com/file/d/16EYdKMtzEr9_CZ5VJUk2vmKy9XVkIwJN/view?usp=drive_link</x18tc:text>
    <x18tc:extLst>
      <ext uri="{F7C98A9C-CBB3-438F-8F68-D28B6AF4A901}">
        <xltc2:checksum/>
        <xltc2:hyperlink startIndex="0" length="85" url="https://drive.google.com/file/d/16EYdKMtzEr9_CZ5VJUk2vmKy9XVkIwJN/view?usp=drive_link"/>
      </ext>
    </x18tc:extLst>
  </x18tc:threadedComment>
  <x18tc:threadedComment ref="C742" dT="2026-05-13T00:25:25.00" personId="{80195d68-4e9b-4dc7-a031-ca5391c97d0f}" id="{aa3e4926-5863-400b-98be-bd89f1e46231}" done="0">
    <x18tc:text xml:space="preserve">https://www.bhphotovideo.com/c/product/1900311-REG/acer_ph16_73_94qc_16_predator_helios_16.html/specs</x18tc:text>
    <x18tc:extLst>
      <ext uri="{F7C98A9C-CBB3-438F-8F68-D28B6AF4A901}">
        <xltc2:checksum/>
        <xltc2:hyperlink startIndex="0" length="101" url="https://www.bhphotovideo.com/c/product/1900311-REG/acer_ph16_73_94qc_16_predator_helios_16.html/specs"/>
      </ext>
    </x18tc:extLst>
  </x18tc:threadedComment>
  <x18tc:threadedComment ref="K710" dT="2026-05-25T22:33:43.00" personId="{d8e4f5ad-b65d-4160-a56f-197530fb7eb1}" id="{c6c89f4d-9114-4669-835f-65b8f8fa56a2}" done="0">
    <x18tc:text xml:space="preserve">https://drive.google.com/file/d/1yZwpqdSGCGU_oRVTY_im5-jpTgiC_hGv/view?usp=drive_link</x18tc:text>
    <x18tc:extLst>
      <ext uri="{F7C98A9C-CBB3-438F-8F68-D28B6AF4A901}">
        <xltc2:checksum/>
        <xltc2:hyperlink startIndex="0" length="85" url="https://drive.google.com/file/d/1yZwpqdSGCGU_oRVTY_im5-jpTgiC_hGv/view?usp=drive_link"/>
      </ext>
    </x18tc:extLst>
  </x18tc:threadedComment>
  <x18tc:threadedComment ref="J670" dT="2026-04-14T23:58:45.00" personId="{80195d68-4e9b-4dc7-a031-ca5391c97d0f}" id="{8b1cd73e-69fd-447c-a123-0db58c5935df}" done="0">
    <x18tc:text xml:space="preserve">https://drive.google.com/file/d/1fzMfa-OOy7bT86DU9RIiQNw32FtWex2_/view?usp=drive_link</x18tc:text>
    <x18tc:extLst>
      <ext uri="{F7C98A9C-CBB3-438F-8F68-D28B6AF4A901}">
        <xltc2:checksum/>
        <xltc2:hyperlink startIndex="0" length="85" url="https://drive.google.com/file/d/1fzMfa-OOy7bT86DU9RIiQNw32FtWex2_/view?usp=drive_link"/>
      </ext>
    </x18tc:extLst>
  </x18tc:threadedComment>
  <x18tc:threadedComment ref="A1" dT="2026-01-29T22:59:15.00" personId="{f9b224d0-ee33-4499-ae47-db5bcd2d0435}" id="{56a30074-3dee-4d98-861f-aa436e4bbee6}" done="0">
    <x18tc:text xml:space="preserve">https://drive.google.com/file/d/14AnPtEQ8pXRR558r44A7n1ESxPI3bs6f/view?usp=drive_link</x18tc:text>
    <x18tc:extLst>
      <ext uri="{F7C98A9C-CBB3-438F-8F68-D28B6AF4A901}">
        <xltc2:checksum/>
        <xltc2:hyperlink startIndex="0" length="85" url="https://drive.google.com/file/d/14AnPtEQ8pXRR558r44A7n1ESxPI3bs6f/view?usp=drive_link"/>
      </ext>
    </x18tc:extLst>
  </x18tc:threadedComment>
  <x18tc:threadedComment ref="W403" dT="2025-12-20T20:54:13.00" personId="{2ddfa542-8116-4937-a057-08470d7abaab}" id="{d9c0484d-eb70-44ce-8d1f-a64fa1301261}" done="0">
    <x18tc:text xml:space="preserve">https://drive.google.com/file/d/1aVO1XMooYVhTWBGoKu_pDuz3chj4XuIj/view?usp=drive_link</x18tc:text>
    <x18tc:extLst>
      <ext uri="{F7C98A9C-CBB3-438F-8F68-D28B6AF4A901}">
        <xltc2:checksum/>
        <xltc2:hyperlink startIndex="0" length="85" url="https://drive.google.com/file/d/1aVO1XMooYVhTWBGoKu_pDuz3chj4XuIj/view?usp=drive_link"/>
      </ext>
    </x18tc:extLst>
  </x18tc:threadedComment>
  <x18tc:threadedComment ref="J577" dT="2026-03-01T00:46:19.00" personId="{d8e4f5ad-b65d-4160-a56f-197530fb7eb1}" id="{d01f3c84-a6fa-4aaf-88b8-15b022a763e2}" done="0">
    <x18tc:text xml:space="preserve">https://drive.google.com/file/d/1EDK4NkcjXpnTFLq1EKSkwSEOCwYJ2nj6/view?usp=drive_link</x18tc:text>
    <x18tc:extLst>
      <ext uri="{F7C98A9C-CBB3-438F-8F68-D28B6AF4A901}">
        <xltc2:checksum/>
        <xltc2:hyperlink startIndex="0" length="85" url="https://drive.google.com/file/d/1EDK4NkcjXpnTFLq1EKSkwSEOCwYJ2nj6/view?usp=drive_link"/>
      </ext>
    </x18tc:extLst>
  </x18tc:threadedComment>
  <x18tc:threadedComment ref="J577" dT="2026-03-01T00:46:34.00" personId="{d8e4f5ad-b65d-4160-a56f-197530fb7eb1}" id="{d99e98f6-ac33-4f95-bbb7-df936b287540}" parentId="{d01f3c84-a6fa-4aaf-88b8-15b022a763e2}">
    <x18tc:text xml:space="preserve">https://drive.google.com/file/d/1b1RnW16w3jTPnC7DeTCKekVTFW5kDNVW/view?usp=drive_link</x18tc:text>
    <x18tc:extLst>
      <ext uri="{F7C98A9C-CBB3-438F-8F68-D28B6AF4A901}">
        <xltc2:checksum/>
        <xltc2:hyperlink startIndex="0" length="85" url="https://drive.google.com/file/d/1b1RnW16w3jTPnC7DeTCKekVTFW5kDNVW/view?usp=drive_link"/>
      </ext>
    </x18tc:extLst>
  </x18tc:threadedComment>
  <x18tc:threadedComment ref="J577" dT="2026-03-01T00:46:49.00" personId="{d8e4f5ad-b65d-4160-a56f-197530fb7eb1}" id="{47eb92a6-b90b-4560-89a6-052cae5dcb80}" parentId="{d01f3c84-a6fa-4aaf-88b8-15b022a763e2}">
    <x18tc:text xml:space="preserve">https://drive.google.com/file/d/1rOSQ9N82HV6N3nAEeXgz390DsI8MUBxm/view?usp=drive_link</x18tc:text>
    <x18tc:extLst>
      <ext uri="{F7C98A9C-CBB3-438F-8F68-D28B6AF4A901}">
        <xltc2:checksum/>
        <xltc2:hyperlink startIndex="0" length="85" url="https://drive.google.com/file/d/1rOSQ9N82HV6N3nAEeXgz390DsI8MUBxm/view?usp=drive_link"/>
      </ext>
    </x18tc:extLst>
  </x18tc:threadedComment>
  <x18tc:threadedComment ref="J577" dT="2026-03-02T16:11:04.00" personId="{d8e4f5ad-b65d-4160-a56f-197530fb7eb1}" id="{c10f67f5-f1d2-4692-ba04-f582e7bad7cf}" parentId="{d01f3c84-a6fa-4aaf-88b8-15b022a763e2}">
    <x18tc:text xml:space="preserve">https://docs.google.com/presentation/d/1WEDbOt7xagsx2tuY99q8fSiE1cj9wWy4/edit?usp=drive_link&amp;ouid=100487870793048741695&amp;rtpof=true&amp;sd=true</x18tc:text>
    <x18tc:extLst>
      <ext uri="{F7C98A9C-CBB3-438F-8F68-D28B6AF4A901}">
        <xltc2:checksum/>
        <xltc2:hyperlink startIndex="0" length="138" url="https://docs.google.com/presentation/d/1WEDbOt7xagsx2tuY99q8fSiE1cj9wWy4/edit?usp=drive_link&amp;ouid=100487870793048741695&amp;rtpof=true&amp;sd=true"/>
      </ext>
    </x18tc:extLst>
  </x18tc:threadedComment>
  <x18tc:threadedComment ref="J781" dT="2026-05-25T22:32:13.00" personId="{d8e4f5ad-b65d-4160-a56f-197530fb7eb1}" id="{f975fe6b-ea13-4196-abc9-e0938a895e8b}" done="0">
    <x18tc:text xml:space="preserve">https://drive.google.com/file/d/1gB7HmHRT6pbqca4SYg6Vx6qm2XLlTR3g/view?usp=drive_link</x18tc:text>
    <x18tc:extLst>
      <ext uri="{F7C98A9C-CBB3-438F-8F68-D28B6AF4A901}">
        <xltc2:checksum/>
        <xltc2:hyperlink startIndex="0" length="85" url="https://drive.google.com/file/d/1gB7HmHRT6pbqca4SYg6Vx6qm2XLlTR3g/view?usp=drive_link"/>
      </ext>
    </x18tc:extLst>
  </x18tc:threadedComment>
  <x18tc:threadedComment ref="J781" dT="2026-06-09T18:28:10.00" personId="{d8e4f5ad-b65d-4160-a56f-197530fb7eb1}" id="{c5ced80b-4985-485f-9947-ae11664db650}" parentId="{f975fe6b-ea13-4196-abc9-e0938a895e8b}">
    <x18tc:text xml:space="preserve">https://drive.google.com/file/d/1SHDlWzmSs_DdlH-NiZrCemkrRjTVv6Ks/view?usp=drive_link</x18tc:text>
    <x18tc:extLst>
      <ext uri="{F7C98A9C-CBB3-438F-8F68-D28B6AF4A901}">
        <xltc2:checksum/>
        <xltc2:hyperlink startIndex="0" length="85" url="https://drive.google.com/file/d/1SHDlWzmSs_DdlH-NiZrCemkrRjTVv6Ks/view?usp=drive_link"/>
      </ext>
    </x18tc:extLst>
  </x18tc:threadedComment>
  <x18tc:threadedComment ref="L86" dT="2025-06-16T18:37:48.00" personId="{d8e4f5ad-b65d-4160-a56f-197530fb7eb1}" id="{571fdeb1-6952-47f6-ae2e-c4332c78ea7a}" done="0">
    <x18tc:text xml:space="preserve">https://drive.google.com/file/d/1x_YKCKdSMndf7iPxptCpUMBroSG04l-l/view?usp=drive_link</x18tc:text>
    <x18tc:extLst>
      <ext uri="{F7C98A9C-CBB3-438F-8F68-D28B6AF4A901}">
        <xltc2:checksum/>
        <xltc2:hyperlink startIndex="0" length="85" url="https://drive.google.com/file/d/1x_YKCKdSMndf7iPxptCpUMBroSG04l-l/view?usp=drive_link"/>
      </ext>
    </x18tc:extLst>
  </x18tc:threadedComment>
  <x18tc:threadedComment ref="J672" dT="2026-04-14T23:59:25.00" personId="{80195d68-4e9b-4dc7-a031-ca5391c97d0f}" id="{f5187391-fdf0-4fd2-bd59-31b60b99db9d}" done="0">
    <x18tc:text xml:space="preserve">https://drive.google.com/file/d/12f-xC0q7v7HgQPGbuIOgseyeH_fQh34C/view?usp=drive_link</x18tc:text>
    <x18tc:extLst>
      <ext uri="{F7C98A9C-CBB3-438F-8F68-D28B6AF4A901}">
        <xltc2:checksum/>
        <xltc2:hyperlink startIndex="0" length="85" url="https://drive.google.com/file/d/12f-xC0q7v7HgQPGbuIOgseyeH_fQh34C/view?usp=drive_link"/>
      </ext>
    </x18tc:extLst>
  </x18tc:threadedComment>
  <x18tc:threadedComment ref="W404" dT="2025-12-20T20:59:26.00" personId="{2ddfa542-8116-4937-a057-08470d7abaab}" id="{70ba4f92-2f30-4de3-bf4e-1a504079fecf}" done="0">
    <x18tc:text xml:space="preserve">https://drive.google.com/file/d/1GTrwE66MuhDy7zg05prgt2KhLGAw9ZTn/view?usp=drive_link</x18tc:text>
    <x18tc:extLst>
      <ext uri="{F7C98A9C-CBB3-438F-8F68-D28B6AF4A901}">
        <xltc2:checksum/>
        <xltc2:hyperlink startIndex="0" length="85" url="https://drive.google.com/file/d/1GTrwE66MuhDy7zg05prgt2KhLGAw9ZTn/view?usp=drive_link"/>
      </ext>
    </x18tc:extLst>
  </x18tc:threadedComment>
  <x18tc:threadedComment ref="K716" dT="2026-06-04T22:30:58.00" personId="{d8e4f5ad-b65d-4160-a56f-197530fb7eb1}" id="{a0c3750d-d87d-4bf6-9a47-25fdcdc8a70c}" done="0">
    <x18tc:text xml:space="preserve">https://drive.google.com/file/d/1pwkSb9Dtxzlj_cggBoyQNabRqYo1UCXr/view?usp=drive_link</x18tc:text>
    <x18tc:extLst>
      <ext uri="{F7C98A9C-CBB3-438F-8F68-D28B6AF4A901}">
        <xltc2:checksum/>
        <xltc2:hyperlink startIndex="0" length="85" url="https://drive.google.com/file/d/1pwkSb9Dtxzlj_cggBoyQNabRqYo1UCXr/view?usp=drive_link"/>
      </ext>
    </x18tc:extLst>
  </x18tc:threadedComment>
  <x18tc:threadedComment ref="J665" dT="2026-04-14T23:56:50.00" personId="{80195d68-4e9b-4dc7-a031-ca5391c97d0f}" id="{712cec30-ceca-4470-a444-ca91711bb561}" done="0">
    <x18tc:text xml:space="preserve">https://drive.google.com/file/d/192jrvLPTBjAhgWu9hF01lZ4dCPXt__GR/view?usp=drive_link</x18tc:text>
    <x18tc:extLst>
      <ext uri="{F7C98A9C-CBB3-438F-8F68-D28B6AF4A901}">
        <xltc2:checksum/>
        <xltc2:hyperlink startIndex="0" length="85" url="https://drive.google.com/file/d/192jrvLPTBjAhgWu9hF01lZ4dCPXt__GR/view?usp=drive_link"/>
      </ext>
    </x18tc:extLst>
  </x18tc:threadedComment>
  <x18tc:threadedComment ref="J614" dT="2026-04-04T16:21:08.00" personId="{4df2d6c4-e43e-4f2e-b623-d90f458472ff}" id="{3fc991a3-341b-425c-b11d-c0570316b205}" done="0">
    <x18tc:text xml:space="preserve">https://drive.google.com/file/d/1RHPk0T3oqFrlly1EtdVoC0RyL2IJi4AE/view?usp=drive_link</x18tc:text>
    <x18tc:extLst>
      <ext uri="{F7C98A9C-CBB3-438F-8F68-D28B6AF4A901}">
        <xltc2:checksum/>
        <xltc2:hyperlink startIndex="0" length="85" url="https://drive.google.com/file/d/1RHPk0T3oqFrlly1EtdVoC0RyL2IJi4AE/view?usp=drive_link"/>
      </ext>
    </x18tc:extLst>
  </x18tc:threadedComment>
  <x18tc:threadedComment ref="C318" dT="2025-11-19T15:37:27.00" personId="{d8e4f5ad-b65d-4160-a56f-197530fb7eb1}" id="{c043ac36-9d85-4b91-ae4b-bbb340e769b1}" done="0">
    <x18tc:text xml:space="preserve">https://www.bhphotovideo.com/c/product/1875948-REG/lenovo_83f5001bus_16_legion_pro_7i.html</x18tc:text>
    <x18tc:extLst>
      <ext uri="{F7C98A9C-CBB3-438F-8F68-D28B6AF4A901}">
        <xltc2:checksum/>
        <xltc2:hyperlink startIndex="0" length="90" url="https://www.bhphotovideo.com/c/product/1875948-REG/lenovo_83f5001bus_16_legion_pro_7i.html"/>
      </ext>
    </x18tc:extLst>
  </x18tc:threadedComment>
  <x18tc:threadedComment ref="C266" dT="2025-10-11T14:53:14.00" personId="{a5d43f6d-3c72-4414-b012-8f52ef50acc4}" id="{49b3fb4a-685e-4604-9792-494d3ff0248e}" done="0">
    <x18tc:text xml:space="preserve">https://www.ebay.com/itm/226987295595</x18tc:text>
    <x18tc:extLst>
      <ext uri="{F7C98A9C-CBB3-438F-8F68-D28B6AF4A901}">
        <xltc2:checksum/>
        <xltc2:hyperlink startIndex="0" length="37" url="https://www.ebay.com/itm/226987295595"/>
      </ext>
    </x18tc:extLst>
  </x18tc:threadedComment>
  <x18tc:threadedComment ref="J666" dT="2026-04-14T23:58:02.00" personId="{80195d68-4e9b-4dc7-a031-ca5391c97d0f}" id="{4ea5ed2d-f494-40ee-900f-3abd25667832}" done="0">
    <x18tc:text xml:space="preserve">https://drive.google.com/file/d/1zkjrO5YiOqhLPYbBGnVeVUC8MkOyNRqJ/view?usp=drive_link</x18tc:text>
    <x18tc:extLst>
      <ext uri="{F7C98A9C-CBB3-438F-8F68-D28B6AF4A901}">
        <xltc2:checksum/>
        <xltc2:hyperlink startIndex="0" length="85" url="https://drive.google.com/file/d/1zkjrO5YiOqhLPYbBGnVeVUC8MkOyNRqJ/view?usp=drive_link"/>
      </ext>
    </x18tc:extLst>
  </x18tc:threadedComment>
  <x18tc:threadedComment ref="C682" dT="2026-04-14T22:28:02.00" personId="{80195d68-4e9b-4dc7-a031-ca5391c97d0f}" id="{95c27427-f7c7-4aa0-b6e1-ac72a539dd9b}" done="0">
    <x18tc:text xml:space="preserve">https://www.ebay.com/itm/197812721427?_skw=laptop+gaming&amp;itmmeta=01KMFJ8Q1GK6RDN559610M4RQG&amp;hash=item2e0e8e9713:g:vpQAAeSwVRppvCqu</x18tc:text>
    <x18tc:extLst>
      <ext uri="{F7C98A9C-CBB3-438F-8F68-D28B6AF4A901}">
        <xltc2:checksum/>
        <xltc2:hyperlink startIndex="0" length="130" url="https://www.ebay.com/itm/197812721427?_skw=laptop+gaming&amp;itmmeta=01KMFJ8Q1GK6RDN559610M4RQG&amp;hash=item2e0e8e9713:g:vpQAAeSwVRppvCqu"/>
      </ext>
    </x18tc:extLst>
  </x18tc:threadedComment>
  <x18tc:threadedComment ref="J266" dT="2025-10-11T14:55:01.00" personId="{a5d43f6d-3c72-4414-b012-8f52ef50acc4}" id="{2556cb93-db77-4fb1-9a96-ce5239c6398a}" done="0">
    <x18tc:text xml:space="preserve">https://drive.google.com/file/d/1MvqzjvMlwwJEUlq9czFmM8bvNxnxeLaI/view?usp=drive_link</x18tc:text>
    <x18tc:extLst>
      <ext uri="{F7C98A9C-CBB3-438F-8F68-D28B6AF4A901}">
        <xltc2:checksum/>
        <xltc2:hyperlink startIndex="0" length="85" url="https://drive.google.com/file/d/1MvqzjvMlwwJEUlq9czFmM8bvNxnxeLaI/view?usp=drive_link"/>
      </ext>
    </x18tc:extLst>
  </x18tc:threadedComment>
  <x18tc:threadedComment ref="K480" dT="2026-02-02T23:55:21.00" personId="{d8e4f5ad-b65d-4160-a56f-197530fb7eb1}" id="{0c2be401-411d-471e-8db6-e93aa861c400}" done="0">
    <x18tc:text xml:space="preserve">https://drive.google.com/file/d/1cNcGy6MNAZPkeDnIppNP-WhtbzP0BhFZ/view?usp=drive_link</x18tc:text>
    <x18tc:extLst>
      <ext uri="{F7C98A9C-CBB3-438F-8F68-D28B6AF4A901}">
        <xltc2:checksum/>
        <xltc2:hyperlink startIndex="0" length="85" url="https://drive.google.com/file/d/1cNcGy6MNAZPkeDnIppNP-WhtbzP0BhFZ/view?usp=drive_link"/>
      </ext>
    </x18tc:extLst>
  </x18tc:threadedComment>
  <x18tc:threadedComment ref="K480" dT="2026-02-02T23:55:52.00" personId="{d8e4f5ad-b65d-4160-a56f-197530fb7eb1}" id="{feed4b46-6f40-43a0-80b0-f3ef186e84be}" parentId="{0c2be401-411d-471e-8db6-e93aa861c400}">
    <x18tc:text xml:space="preserve">https://drive.google.com/file/d/12tbKOoC0_KuvaYxu66dQ7T_WKVUWxRU5/view?usp=drive_link</x18tc:text>
    <x18tc:extLst>
      <ext uri="{F7C98A9C-CBB3-438F-8F68-D28B6AF4A901}">
        <xltc2:checksum/>
        <xltc2:hyperlink startIndex="0" length="85" url="https://drive.google.com/file/d/12tbKOoC0_KuvaYxu66dQ7T_WKVUWxRU5/view?usp=drive_link"/>
      </ext>
    </x18tc:extLst>
  </x18tc:threadedComment>
  <x18tc:threadedComment ref="W277" dT="2025-11-01T16:50:16.00" personId="{4df2d6c4-e43e-4f2e-b623-d90f458472ff}" id="{bc1f4c1e-e647-4bbe-b882-190033d812bc}" done="0">
    <x18tc:text xml:space="preserve">https://drive.google.com/file/d/1OqPkdM1NOq9zOEoQ7GAasjuQmBNuUw3M/view?usp=drive_link</x18tc:text>
    <x18tc:extLst>
      <ext uri="{F7C98A9C-CBB3-438F-8F68-D28B6AF4A901}">
        <xltc2:checksum/>
        <xltc2:hyperlink startIndex="0" length="85" url="https://drive.google.com/file/d/1OqPkdM1NOq9zOEoQ7GAasjuQmBNuUw3M/view?usp=drive_link"/>
      </ext>
    </x18tc:extLst>
  </x18tc:threadedComment>
  <x18tc:threadedComment ref="L72" dT="2025-06-12T18:15:14.00" personId="{a5d43f6d-3c72-4414-b012-8f52ef50acc4}" id="{bca04aa5-171b-4927-a4da-670edf3be621}" done="0">
    <x18tc:text xml:space="preserve">https://drive.google.com/file/d/156d2WxST4tqxiN9vkvLw6dOJxXf1Fij-/view?usp=drive_link</x18tc:text>
    <x18tc:extLst>
      <ext uri="{F7C98A9C-CBB3-438F-8F68-D28B6AF4A901}">
        <xltc2:checksum/>
        <xltc2:hyperlink startIndex="0" length="85" url="https://drive.google.com/file/d/156d2WxST4tqxiN9vkvLw6dOJxXf1Fij-/view?usp=drive_link"/>
      </ext>
    </x18tc:extLst>
  </x18tc:threadedComment>
  <x18tc:threadedComment ref="AF437" dT="2026-01-06T20:20:34.00" personId="{2ddfa542-8116-4937-a057-08470d7abaab}" id="{3adecac5-d68b-4877-bae8-0d33e8cffe8c}" done="1">
    <x18tc:text xml:space="preserve">VENTAL FINAL, EXCEDENTE, FIXIT</x18tc:text>
  </x18tc:threadedComment>
  <x18tc:threadedComment ref="L277" dT="2025-11-01T16:44:54.00" personId="{4df2d6c4-e43e-4f2e-b623-d90f458472ff}" id="{b98fa988-1c6d-48d4-9a31-56b746cb0975}" done="0">
    <x18tc:text xml:space="preserve">https://drive.google.com/file/d/1VSp5kCAkeJtCHBwumq02B-yTtVZdmBsZ/view?usp=drive_link</x18tc:text>
    <x18tc:extLst>
      <ext uri="{F7C98A9C-CBB3-438F-8F68-D28B6AF4A901}">
        <xltc2:checksum/>
        <xltc2:hyperlink startIndex="0" length="85" url="https://drive.google.com/file/d/1VSp5kCAkeJtCHBwumq02B-yTtVZdmBsZ/view?usp=drive_link"/>
      </ext>
    </x18tc:extLst>
  </x18tc:threadedComment>
  <x18tc:threadedComment ref="AF443" dT="2026-01-06T20:23:14.00" personId="{2ddfa542-8116-4937-a057-08470d7abaab}" id="{64fd3f21-c218-4fca-8a68-74052614433e}" done="1">
    <x18tc:text xml:space="preserve">VENTAL FINAL, EXCEDENTE, FIXIT</x18tc:text>
  </x18tc:threadedComment>
  <x18tc:threadedComment ref="AF454" dT="2026-01-06T20:24:40.00" personId="{2ddfa542-8116-4937-a057-08470d7abaab}" id="{098f15be-c5ee-49c0-b4f3-75ebecaaa52a}" done="1">
    <x18tc:text xml:space="preserve">VENTAL FINAL, EXCEDENTE, FIXIT</x18tc:text>
  </x18tc:threadedComment>
  <x18tc:threadedComment ref="O284" dT="2025-11-11T15:44:00.00" personId="{a5d43f6d-3c72-4414-b012-8f52ef50acc4}" id="{7e51eda4-db33-4e4b-be14-9b747534d971}" done="0">
    <x18tc:text xml:space="preserve">hubo una cancelación de compra en ga duluth, lo que cuesta las licencias en todal es 250, lo restante lo sacaré del excedente de otra laptop, como me indicaron</x18tc:text>
  </x18tc:threadedComment>
  <x18tc:threadedComment ref="AF615" dT="2026-04-07T04:28:51.00" personId="{2ddfa542-8116-4937-a057-08470d7abaab}" id="{8afbb0c4-58eb-4259-9b98-278debd4e94e}" done="1">
    <x18tc:text xml:space="preserve">venta final, excedentes, fixit</x18tc:text>
  </x18tc:threadedComment>
  <x18tc:threadedComment ref="A1" dT="2026-01-06T19:19:37.00" personId="{2ddfa542-8116-4937-a057-08470d7abaab}" id="{720e07d4-b2b9-4032-857b-41865c9454b5}" done="0">
    <x18tc:text xml:space="preserve">VENTA FINAL, EXCEDENTES, FIXIT</x18tc:text>
  </x18tc:threadedComment>
  <x18tc:threadedComment ref="T414" dT="2026-01-06T19:27:48.00" personId="{2ddfa542-8116-4937-a057-08470d7abaab}" id="{9626dc3e-9ffe-4795-b601-9855ce62781d}" done="0">
    <x18tc:text xml:space="preserve">Se agrega 168 para el viajero que la compró por 50$ más</x18tc:text>
  </x18tc:threadedComment>
  <x18tc:threadedComment ref="C257" dT="2025-10-30T04:46:13.00" personId="{d8e4f5ad-b65d-4160-a56f-197530fb7eb1}" id="{080acedc-b820-4359-9ebb-f72bb48f664f}" done="0">
    <x18tc:text xml:space="preserve">https://www.bestbuy.com/product/lenovo-legion-pro-5i-16-2-5k-oled-gaming-laptop-intel-core-ultra-9-275hx-32gb-memory-nvidia-geforce-rtx-5070-1tb-ssd-eclipse-black/JJGSHXJRCS</x18tc:text>
    <x18tc:extLst>
      <ext uri="{F7C98A9C-CBB3-438F-8F68-D28B6AF4A901}">
        <xltc2:checksum/>
        <xltc2:hyperlink startIndex="0" length="173" url="https://www.bestbuy.com/product/lenovo-legion-pro-5i-16-2-5k-oled-gaming-laptop-intel-core-ultra-9-275hx-32gb-memory-nvidia-geforce-rtx-5070-1tb-ssd-eclipse-black/JJGSHXJRCS"/>
      </ext>
    </x18tc:extLst>
  </x18tc:threadedComment>
  <x18tc:threadedComment ref="AF414" dT="2026-01-06T19:28:29.00" personId="{2ddfa542-8116-4937-a057-08470d7abaab}" id="{f224d739-8563-4144-89be-9885c3a5190f}" done="1">
    <x18tc:text xml:space="preserve">VENTA FINAL, EXCEDENTES, FIXIT</x18tc:text>
  </x18tc:threadedComment>
  <x18tc:threadedComment ref="W233" dT="2025-09-26T02:03:03.00" personId="{4df2d6c4-e43e-4f2e-b623-d90f458472ff}" id="{935464ec-8642-4df9-bc24-c296cb9a1be5}" done="0">
    <x18tc:text xml:space="preserve">https://drive.google.com/file/d/1CXCw5wPYr62HezguGux_4Vk0lXgeYYQi/view?usp=drive_link</x18tc:text>
    <x18tc:extLst>
      <ext uri="{F7C98A9C-CBB3-438F-8F68-D28B6AF4A901}">
        <xltc2:checksum/>
        <xltc2:hyperlink startIndex="0" length="85" url="https://drive.google.com/file/d/1CXCw5wPYr62HezguGux_4Vk0lXgeYYQi/view?usp=drive_link"/>
      </ext>
    </x18tc:extLst>
  </x18tc:threadedComment>
  <x18tc:threadedComment ref="AF422" dT="2026-01-06T19:32:16.00" personId="{2ddfa542-8116-4937-a057-08470d7abaab}" id="{30468cc0-2e02-426a-9ecf-2c10449b08ed}" done="0">
    <x18tc:text xml:space="preserve">VENTA FINAL, EXCEDENTES, FIXIT</x18tc:text>
  </x18tc:threadedComment>
  <x18tc:threadedComment ref="C236" dT="2025-09-17T20:03:52.00" personId="{d8e4f5ad-b65d-4160-a56f-197530fb7eb1}" id="{690161eb-affd-4dcc-8ecb-5bb6fd13334b}" done="0">
    <x18tc:text xml:space="preserve">https://www.bestbuy.com/product/asus-rog-strix-g16-16-fhd-165hz-gaming-laptop-intel-core-i9-hx-16gb-ram-nvidia-geforce-rtx-5060-1tb-ssd-eclipse-gray/JJGGLHJPZS</x18tc:text>
    <x18tc:extLst>
      <ext uri="{F7C98A9C-CBB3-438F-8F68-D28B6AF4A901}">
        <xltc2:checksum/>
        <xltc2:hyperlink startIndex="0" length="159" url="https://www.bestbuy.com/product/asus-rog-strix-g16-16-fhd-165hz-gaming-laptop-intel-core-i9-hx-16gb-ram-nvidia-geforce-rtx-5060-1tb-ssd-eclipse-gray/JJGGLHJPZS"/>
      </ext>
    </x18tc:extLst>
  </x18tc:threadedComment>
  <x18tc:threadedComment ref="Y433" dT="2026-01-07T00:58:31.00" personId="{2ddfa542-8116-4937-a057-08470d7abaab}" id="{2f340df0-3acc-46c3-902a-cffdb4333a07}" done="0">
    <x18tc:text xml:space="preserve">Envió DNI al privado</x18tc:text>
  </x18tc:threadedComment>
  <x18tc:threadedComment ref="L233" dT="2025-09-26T01:59:20.00" personId="{4df2d6c4-e43e-4f2e-b623-d90f458472ff}" id="{583013fd-f539-4998-944a-c64fc4d7cf80}" done="0">
    <x18tc:text xml:space="preserve">https://drive.google.com/file/d/1i2c9G3WaCaZWPFc__FhjzYjLAS09Dz53/view?usp=drive_link</x18tc:text>
    <x18tc:extLst>
      <ext uri="{F7C98A9C-CBB3-438F-8F68-D28B6AF4A901}">
        <xltc2:checksum/>
        <xltc2:hyperlink startIndex="0" length="85" url="https://drive.google.com/file/d/1i2c9G3WaCaZWPFc__FhjzYjLAS09Dz53/view?usp=drive_link"/>
      </ext>
    </x18tc:extLst>
  </x18tc:threadedComment>
  <x18tc:threadedComment ref="AF423" dT="2026-01-06T19:45:10.00" personId="{2ddfa542-8116-4937-a057-08470d7abaab}" id="{e58c793e-2174-4d0c-8d58-518aa5b9acae}" done="1">
    <x18tc:text xml:space="preserve">VENTA FINAL, EXCEDENTES, FIXIT</x18tc:text>
  </x18tc:threadedComment>
  <x18tc:threadedComment ref="AF433" dT="2026-01-07T01:05:03.00" personId="{2ddfa542-8116-4937-a057-08470d7abaab}" id="{aa19804d-741c-409e-bcc4-3a05d99ba8d9}" done="1">
    <x18tc:text xml:space="preserve">FIXIT, EXCEDENTE, VOUCHER FINAL</x18tc:text>
  </x18tc:threadedComment>
  <x18tc:threadedComment ref="W214" dT="2025-09-26T01:42:29.00" personId="{4df2d6c4-e43e-4f2e-b623-d90f458472ff}" id="{6afe18a3-0eaf-45b5-ac3e-942f92e8a3a5}" done="0">
    <x18tc:text xml:space="preserve">https://drive.google.com/file/d/1YzWnZHoG1bcnEgJE3MM8M6wxri_wHix1/view?usp=drive_link</x18tc:text>
    <x18tc:extLst>
      <ext uri="{F7C98A9C-CBB3-438F-8F68-D28B6AF4A901}">
        <xltc2:checksum/>
        <xltc2:hyperlink startIndex="0" length="85" url="https://drive.google.com/file/d/1YzWnZHoG1bcnEgJE3MM8M6wxri_wHix1/view?usp=drive_link"/>
      </ext>
    </x18tc:extLst>
  </x18tc:threadedComment>
  <x18tc:threadedComment ref="K747" dT="2026-05-20T18:36:48.00" personId="{d8e4f5ad-b65d-4160-a56f-197530fb7eb1}" id="{175510d1-b4ae-4844-bc42-e948857da113}" done="0">
    <x18tc:text xml:space="preserve">https://drive.google.com/file/d/1zFBwXa8s7vsja_YVVZ75IKTP-GV-U0wk/view?usp=drive_link</x18tc:text>
    <x18tc:extLst>
      <ext uri="{F7C98A9C-CBB3-438F-8F68-D28B6AF4A901}">
        <xltc2:checksum/>
        <xltc2:hyperlink startIndex="0" length="85" url="https://drive.google.com/file/d/1zFBwXa8s7vsja_YVVZ75IKTP-GV-U0wk/view?usp=drive_link"/>
      </ext>
    </x18tc:extLst>
  </x18tc:threadedComment>
  <x18tc:threadedComment ref="AF429" dT="2026-01-06T19:45:32.00" personId="{2ddfa542-8116-4937-a057-08470d7abaab}" id="{752e26a6-0242-4a29-80da-2a3946aaabdc}" done="1">
    <x18tc:text xml:space="preserve">VENTA FINAL, EXCEDENTES, FIXIT</x18tc:text>
  </x18tc:threadedComment>
  <x18tc:threadedComment ref="C746" dT="2026-05-16T17:16:36.00" personId="{f9b224d0-ee33-4499-ae47-db5bcd2d0435}" id="{350abc12-add2-4140-89b7-8c2aa09054a1}" done="0">
    <x18tc:text xml:space="preserve">https://shop.asus.com/us/30939-us-cnf-auto.html?config=90NR0KJ1-M00020</x18tc:text>
    <x18tc:extLst>
      <ext uri="{F7C98A9C-CBB3-438F-8F68-D28B6AF4A901}">
        <xltc2:checksum/>
        <xltc2:hyperlink startIndex="0" length="70" url="https://shop.asus.com/us/30939-us-cnf-auto.html?config=90NR0KJ1-M00020"/>
      </ext>
    </x18tc:extLst>
  </x18tc:threadedComment>
  <x18tc:threadedComment ref="J95" dT="2025-06-12T20:54:04.00" personId="{d8e4f5ad-b65d-4160-a56f-197530fb7eb1}" id="{67360f19-10e5-4657-884c-fb77c669c349}" done="0">
    <x18tc:text xml:space="preserve">https://drive.google.com/file/d/1drYWqj7w_4ZyWPTukx8AuC6sdR5CA9to/view?usp=drive_link</x18tc:text>
    <x18tc:extLst>
      <ext uri="{F7C98A9C-CBB3-438F-8F68-D28B6AF4A901}">
        <xltc2:checksum/>
        <xltc2:hyperlink startIndex="0" length="85" url="https://drive.google.com/file/d/1drYWqj7w_4ZyWPTukx8AuC6sdR5CA9to/view?usp=drive_link"/>
      </ext>
    </x18tc:extLst>
  </x18tc:threadedComment>
  <x18tc:threadedComment ref="AF428" dT="2026-01-07T01:05:57.00" personId="{2ddfa542-8116-4937-a057-08470d7abaab}" id="{ff365e98-6fb2-4b06-98bc-abfac4c84e18}" done="1">
    <x18tc:text xml:space="preserve">FIXIT, EXCEDENTE, VOUCHER FINAL</x18tc:text>
  </x18tc:threadedComment>
  <x18tc:threadedComment ref="AF434" dT="2026-01-06T19:49:00.00" personId="{2ddfa542-8116-4937-a057-08470d7abaab}" id="{024c5ac2-a94d-47e7-be5d-d2b027c8072a}" done="1">
    <x18tc:text xml:space="preserve">VENTA FINAL, EXCEDENTES, FIXIT</x18tc:text>
  </x18tc:threadedComment>
  <x18tc:threadedComment ref="J236" dT="2025-09-17T20:45:40.00" personId="{d8e4f5ad-b65d-4160-a56f-197530fb7eb1}" id="{32cc0563-16ba-4f95-a5bc-ce07e948c0fe}" done="0">
    <x18tc:text xml:space="preserve">https://drive.google.com/file/d/1lLdEOkK2wSRssxUQrqRmO2SYQDr0kqne/view?usp=drive_link</x18tc:text>
    <x18tc:extLst>
      <ext uri="{F7C98A9C-CBB3-438F-8F68-D28B6AF4A901}">
        <xltc2:checksum/>
        <xltc2:hyperlink startIndex="0" length="85" url="https://drive.google.com/file/d/1lLdEOkK2wSRssxUQrqRmO2SYQDr0kqne/view?usp=drive_link"/>
      </ext>
    </x18tc:extLst>
  </x18tc:threadedComment>
  <x18tc:threadedComment ref="Q575" dT="2026-02-28T23:47:42.00" personId="{a5d43f6d-3c72-4414-b012-8f52ef50acc4}" id="{a6024c01-0ce3-4396-ab38-8ac4ce0b1bb0}" done="0">
    <x18tc:text xml:space="preserve">office 2024 + eset nod 32 + windows 11 pro + apertura con configuración inicial con formateo</x18tc:text>
  </x18tc:threadedComment>
  <x18tc:threadedComment ref="W147" dT="2025-08-30T01:49:07.00" personId="{4df2d6c4-e43e-4f2e-b623-d90f458472ff}" id="{26529378-3cd9-42d4-b0a4-fe8a951ad2ce}" done="0">
    <x18tc:text xml:space="preserve">https://drive.google.com/file/d/1Pic1y2JOVIDToJ9mzs2jf3hsI80T9E7W/view?usp=drive_link</x18tc:text>
    <x18tc:extLst>
      <ext uri="{F7C98A9C-CBB3-438F-8F68-D28B6AF4A901}">
        <xltc2:checksum/>
        <xltc2:hyperlink startIndex="0" length="85" url="https://drive.google.com/file/d/1Pic1y2JOVIDToJ9mzs2jf3hsI80T9E7W/view?usp=drive_link"/>
      </ext>
    </x18tc:extLst>
  </x18tc:threadedComment>
  <x18tc:threadedComment ref="C765" dT="2026-05-27T20:13:29.00" personId="{d8e4f5ad-b65d-4160-a56f-197530fb7eb1}" id="{30cf345f-2bc9-4afd-ab3d-b3b975a72e3e}" done="0">
    <x18tc:text xml:space="preserve">https://us-store.msi.com/Laptops/Gaming-Series/Vector-GP-Series/Vector-16-HX-AI-A2XWIG-420US</x18tc:text>
    <x18tc:extLst>
      <ext uri="{F7C98A9C-CBB3-438F-8F68-D28B6AF4A901}">
        <xltc2:checksum/>
        <xltc2:hyperlink startIndex="0" length="92" url="https://us-store.msi.com/Laptops/Gaming-Series/Vector-GP-Series/Vector-16-HX-AI-A2XWIG-420US"/>
      </ext>
    </x18tc:extLst>
  </x18tc:threadedComment>
  <x18tc:threadedComment ref="C576" dT="2026-02-28T23:59:20.00" personId="{d8e4f5ad-b65d-4160-a56f-197530fb7eb1}" id="{2faa3cd0-d81e-4241-86fb-3b3bc208ed36}" done="0">
    <x18tc:text xml:space="preserve">https://www.costco.com/p/-/acer-predator-helios-neo-16-ai-gaming-laptop-intel-core-ultra-9-275hx-processor-16-2560-x-1600-240hz-display-nvidia-rtx-5070-ti-12gb-1-tb-ssd-windows-11-home/4000398640?langId=-1</x18tc:text>
    <x18tc:extLst>
      <ext uri="{F7C98A9C-CBB3-438F-8F68-D28B6AF4A901}">
        <xltc2:checksum/>
        <xltc2:hyperlink startIndex="0" length="205" url="https://www.costco.com/p/-/acer-predator-helios-neo-16-ai-gaming-laptop-intel-core-ultra-9-275hx-processor-16-2560-x-1600-240hz-display-nvidia-rtx-5070-ti-12gb-1-tb-ssd-windows-11-home/4000398640?langId=-1"/>
      </ext>
    </x18tc:extLst>
  </x18tc:threadedComment>
  <x18tc:threadedComment ref="C287" dT="2025-10-30T17:51:32.00" personId="{d8e4f5ad-b65d-4160-a56f-197530fb7eb1}" id="{928d5de6-ee33-40b4-9a65-377683444a8f}" done="0">
    <x18tc:text xml:space="preserve">https://www.amazon.com/-/es/ASUS-Strix-Port%C3%A1til-juegos-Nebula/dp/B0DW1ZPQXX/ref=sr_1_3?__mk_es_US=%C3%85M%C3%85%C5%BD%C3%95%C3%91&amp;crid=1Q9P4J2UI35RX&amp;dib=eyJ2IjoiMSJ9.e2S-https%3A%2F%2Fwww.amazon.com%2F-%2Fes%2FASUS-Strix-Port%C3%A1til-juegos-Nebula%2Fdp%2FB0DW1ZPQXX%2Fref&amp;th=1</x18tc:text>
    <x18tc:extLst>
      <ext uri="{F7C98A9C-CBB3-438F-8F68-D28B6AF4A901}">
        <xltc2:checksum/>
        <xltc2:hyperlink startIndex="0" length="282" url="https://www.amazon.com/-/es/ASUS-Strix-Port%C3%A1til-juegos-Nebula/dp/B0DW1ZPQXX/ref=sr_1_3?__mk_es_US=%C3%85M%C3%85%C5%BD%C3%95%C3%91&amp;crid=1Q9P4J2UI35RX&amp;dib=eyJ2IjoiMSJ9.e2S-https%3A%2F%2Fwww.amazon.com%2F-%2Fes%2FASUS-Strix-Port%C3%A1til-juegos-Nebula%2Fdp%2FB0DW1ZPQXX%2Fref&amp;th=1"/>
      </ext>
    </x18tc:extLst>
  </x18tc:threadedComment>
  <x18tc:threadedComment ref="AF431" dT="2026-01-06T20:40:03.00" personId="{2ddfa542-8116-4937-a057-08470d7abaab}" id="{2ff10d61-2be1-4849-932c-a5f01b09e1e9}" done="1">
    <x18tc:text xml:space="preserve">VENTAL FINAL, EXCEDENTE, FIXIT</x18tc:text>
  </x18tc:threadedComment>
  <x18tc:threadedComment ref="C577" dT="2026-03-01T00:38:19.00" personId="{d8e4f5ad-b65d-4160-a56f-197530fb7eb1}" id="{d2822002-7f53-431c-a719-91f14b9ae996}"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AF435" dT="2026-01-06T19:52:44.00" personId="{2ddfa542-8116-4937-a057-08470d7abaab}" id="{9b386dfd-83b4-4883-9577-07c8c6d6d78a}" done="1">
    <x18tc:text xml:space="preserve">VENTA FINAL, EXCEDENTES, FIXIT</x18tc:text>
  </x18tc:threadedComment>
  <x18tc:threadedComment ref="AF430" dT="2026-01-06T20:49:14.00" personId="{2ddfa542-8116-4937-a057-08470d7abaab}" id="{5d60754a-058c-4a83-88c9-dde4ab671d53}" done="1">
    <x18tc:text xml:space="preserve">VENTAL FINAL, EXCEDENTE, FIXIT</x18tc:text>
  </x18tc:threadedComment>
  <x18tc:threadedComment ref="L46" dT="2025-05-21T01:50:38.00" personId="{a5d43f6d-3c72-4414-b012-8f52ef50acc4}" id="{7aee8704-4b63-4442-843b-f2ab56df760f}" done="0">
    <x18tc:text xml:space="preserve">https://drive.google.com/file/d/1tKOQuCXwW3FEOe6-cJNiyS2cbveIGLu0/view?usp=drive_link</x18tc:text>
    <x18tc:extLst>
      <ext uri="{F7C98A9C-CBB3-438F-8F68-D28B6AF4A901}">
        <xltc2:checksum/>
        <xltc2:hyperlink startIndex="0" length="85" url="https://drive.google.com/file/d/1tKOQuCXwW3FEOe6-cJNiyS2cbveIGLu0/view?usp=drive_link"/>
      </ext>
    </x18tc:extLst>
  </x18tc:threadedComment>
  <x18tc:threadedComment ref="J576" dT="2026-03-01T00:45:31.00" personId="{d8e4f5ad-b65d-4160-a56f-197530fb7eb1}" id="{de5709c3-aa64-4719-b2cd-25f30862cd8c}" done="0">
    <x18tc:text xml:space="preserve">https://drive.google.com/file/d/16dz8TqI8_g2c6Z5cS1pOHEyBbmSusf9I/view?usp=drive_link</x18tc:text>
    <x18tc:extLst>
      <ext uri="{F7C98A9C-CBB3-438F-8F68-D28B6AF4A901}">
        <xltc2:checksum/>
        <xltc2:hyperlink startIndex="0" length="85" url="https://drive.google.com/file/d/16dz8TqI8_g2c6Z5cS1pOHEyBbmSusf9I/view?usp=drive_link"/>
      </ext>
    </x18tc:extLst>
  </x18tc:threadedComment>
  <x18tc:threadedComment ref="AF444" dT="2026-01-06T19:53:46.00" personId="{2ddfa542-8116-4937-a057-08470d7abaab}" id="{af144b1d-f621-4722-b9b7-a7ec5eba2932}" done="1">
    <x18tc:text xml:space="preserve">VENTA FINAL, EXCEDENTES, FIXIT</x18tc:text>
  </x18tc:threadedComment>
  <x18tc:threadedComment ref="AF452" dT="2026-01-06T20:51:36.00" personId="{2ddfa542-8116-4937-a057-08470d7abaab}" id="{dace757b-ccd4-4619-a850-173af8a67b11}" done="1">
    <x18tc:text xml:space="preserve">VENTAL FINAL, EXCEDENTE, FIXIT</x18tc:text>
  </x18tc:threadedComment>
  <x18tc:threadedComment ref="J63" dT="2025-05-21T02:47:38.00" personId="{d8e4f5ad-b65d-4160-a56f-197530fb7eb1}" id="{1ff69423-aaa6-4bea-8797-206649d2ec99}" done="0">
    <x18tc:text xml:space="preserve">https://drive.google.com/file/d/1AB8DVmyJEDm-Zt61J0A1vXJtK200Fa9L/view?usp=drive_link</x18tc:text>
    <x18tc:extLst>
      <ext uri="{F7C98A9C-CBB3-438F-8F68-D28B6AF4A901}">
        <xltc2:checksum/>
        <xltc2:hyperlink startIndex="0" length="85" url="https://drive.google.com/file/d/1AB8DVmyJEDm-Zt61J0A1vXJtK200Fa9L/view?usp=drive_link"/>
      </ext>
    </x18tc:extLst>
  </x18tc:threadedComment>
  <x18tc:threadedComment ref="AF641" dT="2026-04-08T02:04:08.00" personId="{2ddfa542-8116-4937-a057-08470d7abaab}" id="{cbb8fd53-ffec-4b34-811f-49a8ec292fb9}" done="1">
    <x18tc:text xml:space="preserve">venta final, excedentes, fixit</x18tc:text>
  </x18tc:threadedComment>
  <x18tc:threadedComment ref="AF446" dT="2026-01-06T19:54:51.00" personId="{2ddfa542-8116-4937-a057-08470d7abaab}" id="{0c057eee-84a3-4bfc-9e15-7045a14e53b1}" done="1">
    <x18tc:text xml:space="preserve">VENTA FINAL, EXCEDENTES, FIXIT</x18tc:text>
  </x18tc:threadedComment>
  <x18tc:threadedComment ref="C63" dT="2025-05-21T02:49:13.00" personId="{d8e4f5ad-b65d-4160-a56f-197530fb7eb1}" id="{a5953836-1931-4c6b-b29b-4b678765318f}" done="0">
    <x18tc:text xml:space="preserve">https://www.amazon.com/-/es/Lenovo-Legion-Notebook-GeForce-Eclipse/dp/B0DXXMLXVD/ref=sr_1_3?__mk_es_US=%C3%85M%C3%85%C5%BD%C3%95%C3%91&amp;crid=3OEM3W1IJDDLZ&amp;dib=eyJ2IjoiMSJ9.IY-Q9rbA1IPX2kqalD-XqsduyN1ioYbR_he7MpDFQjpN4GDD6aBOds3T0FNzWlNHXtS77Vdd5k9Gazk2Lm0YphCbxNRSA9SQjISRKPkuxflP_2ccKs9spULtWxwa4t1ajOJmFWVfDh29O17IVHvbFUz6PqgmPofb-eXsWkqqBKNFe114jvyX_fOpJG7kHrAUrcRqcaQ-AXmdEX6GJVxq7gl8R91jedRS7_lIcTylofs.XdEAVfuelWred6M1avJ_WIjZePQXPAwRa1Jxeg-HyZg&amp;dib_tag=se&amp;keywords=Lenovo+Legion+Pro&amp;qid=1747775658&amp;sprefix=lenovo+legion+pro%2Caps%2C236&amp;sr=8-3</x18tc:text>
    <x18tc:extLst>
      <ext uri="{F7C98A9C-CBB3-438F-8F68-D28B6AF4A901}">
        <xltc2:checksum/>
        <xltc2:hyperlink startIndex="0" length="548" url="https://www.amazon.com/-/es/Lenovo-Legion-Notebook-GeForce-Eclipse/dp/B0DXXMLXVD/ref=sr_1_3?__mk_es_US=%C3%85M%C3%85%C5%BD%C3%95%C3%91&amp;crid=3OEM3W1IJDDLZ&amp;dib=eyJ2IjoiMSJ9.IY-Q9rbA1IPX2kqalD-XqsduyN1ioYbR_he7MpDFQjpN4GDD6aBOds3T0FNzWlNHXtS77Vdd5k9Gazk2Lm0YphCbxNRSA9SQjISRKPkuxflP_2ccKs9spULtWxwa4t1ajOJmFWVfDh29O17IVHvbFUz6PqgmPofb-eXsWkqqBKNFe114jvyX_fOpJG7kHrAUrcRqcaQ-AXmdEX6GJVxq7gl8R91jedRS7_lIcTylofs.XdEAVfuelWred6M1avJ_WIjZePQXPAwRa1Jxeg-HyZg&amp;dib_tag=se&amp;keywords=Lenovo+Legion+Pro&amp;qid=1747775658&amp;sprefix=lenovo+legion+pro%2Caps%2C236&amp;sr=8-3"/>
      </ext>
    </x18tc:extLst>
  </x18tc:threadedComment>
  <x18tc:threadedComment ref="W183" dT="2025-08-30T02:06:02.00" personId="{d8e4f5ad-b65d-4160-a56f-197530fb7eb1}" id="{1bab0f4a-6558-4596-9963-370a291793af}" done="0">
    <x18tc:text xml:space="preserve">https://drive.google.com/file/d/1QBVlkK9VjcatkbbJoLrYmC13DDHMzXOv/view?usp=drive_link</x18tc:text>
    <x18tc:extLst>
      <ext uri="{F7C98A9C-CBB3-438F-8F68-D28B6AF4A901}">
        <xltc2:checksum/>
        <xltc2:hyperlink startIndex="0" length="85" url="https://drive.google.com/file/d/1QBVlkK9VjcatkbbJoLrYmC13DDHMzXOv/view?usp=drive_link"/>
      </ext>
    </x18tc:extLst>
  </x18tc:threadedComment>
  <x18tc:threadedComment ref="J182" dT="2025-08-19T23:19:17.00" personId="{d8e4f5ad-b65d-4160-a56f-197530fb7eb1}" id="{fd843bf7-06d1-4d72-85cb-6910d4865574}" done="0">
    <x18tc:text xml:space="preserve">https://drive.google.com/file/d/1nV5RCovnQR5JsH4yhcBEsmN6sdpnb4E0/view?usp=drive_link</x18tc:text>
    <x18tc:extLst>
      <ext uri="{F7C98A9C-CBB3-438F-8F68-D28B6AF4A901}">
        <xltc2:checksum/>
        <xltc2:hyperlink startIndex="0" length="85" url="https://drive.google.com/file/d/1nV5RCovnQR5JsH4yhcBEsmN6sdpnb4E0/view?usp=drive_link"/>
      </ext>
    </x18tc:extLst>
  </x18tc:threadedComment>
  <x18tc:threadedComment ref="J182" dT="2025-08-19T23:19:36.00" personId="{d8e4f5ad-b65d-4160-a56f-197530fb7eb1}" id="{29ec826b-819e-490e-b99b-dccd8b48cb4f}" parentId="{fd843bf7-06d1-4d72-85cb-6910d4865574}">
    <x18tc:text xml:space="preserve">https://drive.google.com/file/d/14NK3C-v1lGh7gtE0kmjJaMXRukWQvudo/view?usp=drive_link</x18tc:text>
    <x18tc:extLst>
      <ext uri="{F7C98A9C-CBB3-438F-8F68-D28B6AF4A901}">
        <xltc2:checksum/>
        <xltc2:hyperlink startIndex="0" length="85" url="https://drive.google.com/file/d/14NK3C-v1lGh7gtE0kmjJaMXRukWQvudo/view?usp=drive_link"/>
      </ext>
    </x18tc:extLst>
  </x18tc:threadedComment>
  <x18tc:threadedComment ref="M458" dT="2026-01-06T19:57:07.00" personId="{2ddfa542-8116-4937-a057-08470d7abaab}" id="{fc1d0560-20d5-409f-984e-fdf7cb2309ce}" done="0">
    <x18tc:text xml:space="preserve">la puse como estaba en el sheet de Ventas seguimiento</x18tc:text>
  </x18tc:threadedComment>
  <x18tc:threadedComment ref="W141" dT="2025-08-30T02:12:24.00" personId="{d8e4f5ad-b65d-4160-a56f-197530fb7eb1}" id="{10c6dae8-9b61-4ab9-9ba3-9138980225d2}" done="0">
    <x18tc:text xml:space="preserve">https://drive.google.com/file/d/12KCWbaEycd_JcagUfEQ21Dz6wRrZjw1S/view?usp=drive_link</x18tc:text>
    <x18tc:extLst>
      <ext uri="{F7C98A9C-CBB3-438F-8F68-D28B6AF4A901}">
        <xltc2:checksum/>
        <xltc2:hyperlink startIndex="0" length="85" url="https://drive.google.com/file/d/12KCWbaEycd_JcagUfEQ21Dz6wRrZjw1S/view?usp=drive_link"/>
      </ext>
    </x18tc:extLst>
  </x18tc:threadedComment>
  <x18tc:threadedComment ref="J183" dT="2025-08-19T23:15:39.00" personId="{d8e4f5ad-b65d-4160-a56f-197530fb7eb1}" id="{4ff78b62-1812-4b00-b0df-e007f14c9527}" done="0">
    <x18tc:text xml:space="preserve">https://drive.google.com/file/d/1Zoz_XD9C1G1YLy0ZuH0Gy-t_LxMhWsiE/view?usp=drive_link</x18tc:text>
    <x18tc:extLst>
      <ext uri="{F7C98A9C-CBB3-438F-8F68-D28B6AF4A901}">
        <xltc2:checksum/>
        <xltc2:hyperlink startIndex="0" length="85" url="https://drive.google.com/file/d/1Zoz_XD9C1G1YLy0ZuH0Gy-t_LxMhWsiE/view?usp=drive_link"/>
      </ext>
    </x18tc:extLst>
  </x18tc:threadedComment>
  <x18tc:threadedComment ref="J784" dT="2026-06-10T17:46:08.00" personId="{d8e4f5ad-b65d-4160-a56f-197530fb7eb1}" id="{e0fc4833-0ac1-4459-a5bb-54b7a4a94bbc}" done="0">
    <x18tc:text xml:space="preserve">https://drive.google.com/file/d/1T00XZxVGspnkzFK-J_Gzptgok32DrB8S/view?usp=drive_link</x18tc:text>
    <x18tc:extLst>
      <ext uri="{F7C98A9C-CBB3-438F-8F68-D28B6AF4A901}">
        <xltc2:checksum/>
        <xltc2:hyperlink startIndex="0" length="85" url="https://drive.google.com/file/d/1T00XZxVGspnkzFK-J_Gzptgok32DrB8S/view?usp=drive_link"/>
      </ext>
    </x18tc:extLst>
  </x18tc:threadedComment>
  <x18tc:threadedComment ref="AF458" dT="2026-01-06T19:57:54.00" personId="{2ddfa542-8116-4937-a057-08470d7abaab}" id="{fab6e829-84be-401e-86ad-c5a5042a03bd}" done="1">
    <x18tc:text xml:space="preserve">VENTA FINAL, EXCEDENTES, FIXIT</x18tc:text>
  </x18tc:threadedComment>
  <x18tc:threadedComment ref="K478" dT="2026-02-07T22:58:25.00" personId="{a5d43f6d-3c72-4414-b012-8f52ef50acc4}" id="{ab52d8d6-ddc4-47bc-9a0a-15462cc67bb6}" done="0">
    <x18tc:text xml:space="preserve">https://drive.google.com/file/d/1ZICkeafwMgI-cfagoVw4cdbLHqsKSESw/view?usp=drive_link</x18tc:text>
    <x18tc:extLst>
      <ext uri="{F7C98A9C-CBB3-438F-8F68-D28B6AF4A901}">
        <xltc2:checksum/>
        <xltc2:hyperlink startIndex="0" length="85" url="https://drive.google.com/file/d/1ZICkeafwMgI-cfagoVw4cdbLHqsKSESw/view?usp=drive_link"/>
      </ext>
    </x18tc:extLst>
  </x18tc:threadedComment>
  <x18tc:threadedComment ref="J293" dT="2025-11-01T17:15:34.00" personId="{4df2d6c4-e43e-4f2e-b623-d90f458472ff}" id="{f040db72-c663-4df4-9f7d-805f365a3dea}" done="0">
    <x18tc:text xml:space="preserve">https://drive.google.com/file/d/12dNUo7nXs8eRF5TJ9XYy4fqJtXpYt7Ne/view?usp=drive_link</x18tc:text>
    <x18tc:extLst>
      <ext uri="{F7C98A9C-CBB3-438F-8F68-D28B6AF4A901}">
        <xltc2:checksum/>
        <xltc2:hyperlink startIndex="0" length="85" url="https://drive.google.com/file/d/12dNUo7nXs8eRF5TJ9XYy4fqJtXpYt7Ne/view?usp=drive_link"/>
      </ext>
    </x18tc:extLst>
  </x18tc:threadedComment>
  <x18tc:threadedComment ref="AI778" dT="2026-06-10T16:51:47.00" personId="{7d9bea4b-cfe7-4c29-b483-8e83a1c4f52a}" id="{84082a2c-8ab4-42b3-8e24-ddae83d2121d}" done="0">
    <x18tc:text xml:space="preserve">https://drive.google.com/file/d/1oI10QQJVF-JkMcCSnhjalcEXKgee9K3x/view?usp=drive_link</x18tc:text>
    <x18tc:extLst>
      <ext uri="{F7C98A9C-CBB3-438F-8F68-D28B6AF4A901}">
        <xltc2:checksum/>
        <xltc2:hyperlink startIndex="0" length="85" url="https://drive.google.com/file/d/1oI10QQJVF-JkMcCSnhjalcEXKgee9K3x/view?usp=drive_link"/>
      </ext>
    </x18tc:extLst>
  </x18tc:threadedComment>
  <x18tc:threadedComment ref="T436" dT="2026-01-03T18:55:37.00" personId="{2ddfa542-8116-4937-a057-08470d7abaab}" id="{02b1476c-ba87-432d-adae-f6cfeace23ef}" done="0">
    <x18tc:text xml:space="preserve">Puse 80 soles del cliente de la FILA 13, que se debía ese excedente</x18tc:text>
  </x18tc:threadedComment>
  <x18tc:threadedComment ref="AF459" dT="2026-01-06T20:05:35.00" personId="{2ddfa542-8116-4937-a057-08470d7abaab}" id="{181fbb1a-5933-4ab8-b5f5-c0796f99f1b0}" done="1">
    <x18tc:text xml:space="preserve">VENTA FINAL, EXCEDENTES, FIXIT</x18tc:text>
  </x18tc:threadedComment>
  <x18tc:threadedComment ref="K352" dT="2026-01-06T23:47:02.00" personId="{a5d43f6d-3c72-4414-b012-8f52ef50acc4}" id="{0a30efdf-487e-4dd5-a451-95c3ec049db7}" done="0">
    <x18tc:text xml:space="preserve">https://drive.google.com/file/d/1lujjnWinAg-6Wjt7R6MUDgYGlfY1ukwq/view?usp=drive_link</x18tc:text>
    <x18tc:extLst>
      <ext uri="{F7C98A9C-CBB3-438F-8F68-D28B6AF4A901}">
        <xltc2:checksum/>
        <xltc2:hyperlink startIndex="0" length="85" url="https://drive.google.com/file/d/1lujjnWinAg-6Wjt7R6MUDgYGlfY1ukwq/view?usp=drive_link"/>
      </ext>
    </x18tc:extLst>
  </x18tc:threadedComment>
  <x18tc:threadedComment ref="J294" dT="2025-11-01T17:12:38.00" personId="{4df2d6c4-e43e-4f2e-b623-d90f458472ff}" id="{a0ae56a3-144a-43dd-8a9d-2665ad6642ec}" done="0">
    <x18tc:text xml:space="preserve">https://drive.google.com/file/d/1WVgsf34LyXnjo_kPi31VCxGHsl1kZ8eK/view?usp=drive_link</x18tc:text>
    <x18tc:extLst>
      <ext uri="{F7C98A9C-CBB3-438F-8F68-D28B6AF4A901}">
        <xltc2:checksum/>
        <xltc2:hyperlink startIndex="0" length="85" url="https://drive.google.com/file/d/1WVgsf34LyXnjo_kPi31VCxGHsl1kZ8eK/view?usp=drive_link"/>
      </ext>
    </x18tc:extLst>
  </x18tc:threadedComment>
  <x18tc:threadedComment ref="AF182" dT="2025-09-01T15:17:23.00" personId="{2ddfa542-8116-4937-a057-08470d7abaab}" id="{e1a3325b-074d-453d-943a-c29743549ebd}" done="1">
    <x18tc:text xml:space="preserve">FINAL: verificar PRECIO FINAL y fixit</x18tc:text>
  </x18tc:threadedComment>
  <x18tc:threadedComment ref="W172" dT="2025-08-30T02:01:00.00" personId="{4df2d6c4-e43e-4f2e-b623-d90f458472ff}" id="{43967437-c4fa-4bd0-8c18-aa637e825a43}" done="0">
    <x18tc:text xml:space="preserve">https://drive.google.com/file/d/1yQ8ufxryojM4GSZXElqVJ29Fp2VRehy2/view?usp=drive_link</x18tc:text>
    <x18tc:extLst>
      <ext uri="{F7C98A9C-CBB3-438F-8F68-D28B6AF4A901}">
        <xltc2:checksum/>
        <xltc2:hyperlink startIndex="0" length="85" url="https://drive.google.com/file/d/1yQ8ufxryojM4GSZXElqVJ29Fp2VRehy2/view?usp=drive_link"/>
      </ext>
    </x18tc:extLst>
  </x18tc:threadedComment>
  <x18tc:threadedComment ref="W292" dT="2025-11-01T17:08:43.00" personId="{4df2d6c4-e43e-4f2e-b623-d90f458472ff}" id="{ff8e7a90-dfec-4e2c-ac72-b4572950421b}" done="0">
    <x18tc:text xml:space="preserve">https://drive.google.com/file/d/1ExHljSLDsMFtNZZ9McWXS7Qiz7pjkm1z/view?usp=drive_link</x18tc:text>
    <x18tc:extLst>
      <ext uri="{F7C98A9C-CBB3-438F-8F68-D28B6AF4A901}">
        <xltc2:checksum/>
        <xltc2:hyperlink startIndex="0" length="85" url="https://drive.google.com/file/d/1ExHljSLDsMFtNZZ9McWXS7Qiz7pjkm1z/view?usp=drive_link"/>
      </ext>
    </x18tc:extLst>
  </x18tc:threadedComment>
  <x18tc:threadedComment ref="AF611" dT="2026-04-07T04:10:51.00" personId="{2ddfa542-8116-4937-a057-08470d7abaab}" id="{9b84e07c-49d0-4d0d-8166-856b8eabcdef}" done="1">
    <x18tc:text xml:space="preserve">FIXIT</x18tc:text>
  </x18tc:threadedComment>
  <x18tc:threadedComment ref="J778" dT="2026-06-10T17:47:47.00" personId="{d8e4f5ad-b65d-4160-a56f-197530fb7eb1}" id="{2eef1ff8-b03c-4b21-824f-8d5048552c55}" done="0">
    <x18tc:text xml:space="preserve">https://drive.google.com/file/d/1VYApvPsLOE9DnQnPgOtYkImmClxYN3xF/view?usp=drive_link</x18tc:text>
    <x18tc:extLst>
      <ext uri="{F7C98A9C-CBB3-438F-8F68-D28B6AF4A901}">
        <xltc2:checksum/>
        <xltc2:hyperlink startIndex="0" length="85" url="https://drive.google.com/file/d/1VYApvPsLOE9DnQnPgOtYkImmClxYN3xF/view?usp=drive_link"/>
      </ext>
    </x18tc:extLst>
  </x18tc:threadedComment>
  <x18tc:threadedComment ref="J292" dT="2025-11-01T17:02:53.00" personId="{4df2d6c4-e43e-4f2e-b623-d90f458472ff}" id="{e897d69d-1b90-453f-bc09-afcf52f60f54}" done="0">
    <x18tc:text xml:space="preserve">https://drive.google.com/file/d/1jUwi2ikfBB0G16HuIPMcR4woryn7g4su/view?usp=drive_link</x18tc:text>
    <x18tc:extLst>
      <ext uri="{F7C98A9C-CBB3-438F-8F68-D28B6AF4A901}">
        <xltc2:checksum/>
        <xltc2:hyperlink startIndex="0" length="85" url="https://drive.google.com/file/d/1jUwi2ikfBB0G16HuIPMcR4woryn7g4su/view?usp=drive_link"/>
      </ext>
    </x18tc:extLst>
  </x18tc:threadedComment>
  <x18tc:threadedComment ref="K638" dT="2026-05-02T19:08:20.00" personId="{f9b224d0-ee33-4499-ae47-db5bcd2d0435}" id="{47f15c40-0ebc-433f-89dc-0396f52cb653}" done="0">
    <x18tc:text xml:space="preserve">https://drive.google.com/file/d/1AuJv_VJAQG3ykxxU7ZaBfUIDXMGCyKZ6/view?usp=drive_link</x18tc:text>
    <x18tc:extLst>
      <ext uri="{F7C98A9C-CBB3-438F-8F68-D28B6AF4A901}">
        <xltc2:checksum/>
        <xltc2:hyperlink startIndex="0" length="85" url="https://drive.google.com/file/d/1AuJv_VJAQG3ykxxU7ZaBfUIDXMGCyKZ6/view?usp=drive_link"/>
      </ext>
    </x18tc:extLst>
  </x18tc:threadedComment>
  <x18tc:threadedComment ref="AF432" dT="2026-01-07T00:19:15.00" personId="{2ddfa542-8116-4937-a057-08470d7abaab}" id="{64899382-e3f7-4527-9a7f-6f2f5d2edd25}" done="1">
    <x18tc:text xml:space="preserve">VENTA FINAL, FIXIT, EXCEDENTES</x18tc:text>
  </x18tc:threadedComment>
  <x18tc:threadedComment ref="J593" dT="2026-04-04T16:44:59.00" personId="{4df2d6c4-e43e-4f2e-b623-d90f458472ff}" id="{2920b1f6-9920-4d49-8696-fa79b52ed8d9}" done="0">
    <x18tc:text xml:space="preserve">https://drive.google.com/file/d/1vHwM8F_Ou_D3EMf3y4N9NG6i9bHXMJ1L/view?usp=drive_link</x18tc:text>
    <x18tc:extLst>
      <ext uri="{F7C98A9C-CBB3-438F-8F68-D28B6AF4A901}">
        <xltc2:checksum/>
        <xltc2:hyperlink startIndex="0" length="85" url="https://drive.google.com/file/d/1vHwM8F_Ou_D3EMf3y4N9NG6i9bHXMJ1L/view?usp=drive_link"/>
      </ext>
    </x18tc:extLst>
  </x18tc:threadedComment>
  <x18tc:threadedComment ref="C469" dT="2026-01-07T01:49:17.00" personId="{4df2d6c4-e43e-4f2e-b623-d90f458472ff}" id="{1b3b0331-630b-4e34-a804-190edffc7e72}" done="0">
    <x18tc:text xml:space="preserve">https://us-store.msi.com/Laptops/Gaming-Series/Vector-16-HX-AI-A2XWIG-420US</x18tc:text>
    <x18tc:extLst>
      <ext uri="{F7C98A9C-CBB3-438F-8F68-D28B6AF4A901}">
        <xltc2:checksum/>
        <xltc2:hyperlink startIndex="0" length="75" url="https://us-store.msi.com/Laptops/Gaming-Series/Vector-16-HX-AI-A2XWIG-420US"/>
      </ext>
    </x18tc:extLst>
  </x18tc:threadedComment>
  <x18tc:threadedComment ref="L292" dT="2025-11-01T17:01:57.00" personId="{4df2d6c4-e43e-4f2e-b623-d90f458472ff}" id="{b10b32c2-342a-4328-b2e6-b7474cf066dc}" done="0">
    <x18tc:text xml:space="preserve">https://drive.google.com/file/d/1fSyFZyj_afauUVJN3Ge8ycixD76dcZIO/view?usp=drive_link</x18tc:text>
    <x18tc:extLst>
      <ext uri="{F7C98A9C-CBB3-438F-8F68-D28B6AF4A901}">
        <xltc2:checksum/>
        <xltc2:hyperlink startIndex="0" length="85" url="https://drive.google.com/file/d/1fSyFZyj_afauUVJN3Ge8ycixD76dcZIO/view?usp=drive_link"/>
      </ext>
    </x18tc:extLst>
  </x18tc:threadedComment>
  <x18tc:threadedComment ref="J725" dT="2026-05-02T17:53:43.00" personId="{f9b224d0-ee33-4499-ae47-db5bcd2d0435}" id="{20063c75-d6e9-483b-8053-7597ae892c5c}" done="0">
    <x18tc:text xml:space="preserve">https://drive.google.com/file/d/1WiLkaFIXgWmGIY7q5MncYH30mBQ30DLS/view?usp=drive_link</x18tc:text>
    <x18tc:extLst>
      <ext uri="{F7C98A9C-CBB3-438F-8F68-D28B6AF4A901}">
        <xltc2:checksum/>
        <xltc2:hyperlink startIndex="0" length="85" url="https://drive.google.com/file/d/1WiLkaFIXgWmGIY7q5MncYH30mBQ30DLS/view?usp=drive_link"/>
      </ext>
    </x18tc:extLst>
  </x18tc:threadedComment>
  <x18tc:threadedComment ref="C468" dT="2026-01-07T00:30:29.00" personId="{4df2d6c4-e43e-4f2e-b623-d90f458472ff}" id="{eae30fa6-0be5-4a0f-8da9-1e947c5fb963}" done="0">
    <x18tc:text xml:space="preserve">https://www.ebay.com/itm/197812697947?_skw=laptop+gaming&amp;itmmeta=01KE98AQR4YA8BVEE2HFFGVM1B&amp;hash=item2e0e8e3b5b:g:cs4AAeSw0U9pVrTT</x18tc:text>
    <x18tc:extLst>
      <ext uri="{F7C98A9C-CBB3-438F-8F68-D28B6AF4A901}">
        <xltc2:checksum/>
        <xltc2:hyperlink startIndex="0" length="130" url="https://www.ebay.com/itm/197812697947?_skw=laptop+gaming&amp;itmmeta=01KE98AQR4YA8BVEE2HFFGVM1B&amp;hash=item2e0e8e3b5b:g:cs4AAeSw0U9pVrTT"/>
      </ext>
    </x18tc:extLst>
  </x18tc:threadedComment>
  <x18tc:threadedComment ref="J761" dT="2026-05-25T20:24:37.00" personId="{f9b224d0-ee33-4499-ae47-db5bcd2d0435}" id="{a16b6f5b-783e-4f12-a37d-01208f0844f5}" done="0">
    <x18tc:text xml:space="preserve">https://drive.google.com/file/d/1S32EPaXy5wDnM_yJ-UveAaEtfAaymFJH/view?usp=drive_link</x18tc:text>
    <x18tc:extLst>
      <ext uri="{F7C98A9C-CBB3-438F-8F68-D28B6AF4A901}">
        <xltc2:checksum/>
        <xltc2:hyperlink startIndex="0" length="85" url="https://drive.google.com/file/d/1S32EPaXy5wDnM_yJ-UveAaEtfAaymFJH/view?usp=drive_link"/>
      </ext>
    </x18tc:extLst>
  </x18tc:threadedComment>
  <x18tc:threadedComment ref="AF637" dT="2026-04-07T04:29:40.00" personId="{2ddfa542-8116-4937-a057-08470d7abaab}" id="{d7b65337-83a1-46d1-bc0a-0921e6198073}" done="1">
    <x18tc:text xml:space="preserve">venta final, excedentes, fixit</x18tc:text>
  </x18tc:threadedComment>
  <x18tc:threadedComment ref="C455" dT="2026-01-01T00:05:50.00" personId="{4df2d6c4-e43e-4f2e-b623-d90f458472ff}" id="{5fed8d2e-9aa7-4600-beb0-2b7f08ff46b0}" done="0">
    <x18tc:text xml:space="preserve">https://www.ebay.com/itm/297778435393?_skw=laptop+gaming&amp;itmmeta=01KDPJCT13HS826PXQN2N10WYZ&amp;hash=item4554fa5541:g:ILUAAeSwiWBpMmk5</x18tc:text>
    <x18tc:extLst>
      <ext uri="{F7C98A9C-CBB3-438F-8F68-D28B6AF4A901}">
        <xltc2:checksum/>
        <xltc2:hyperlink startIndex="0" length="130" url="https://www.ebay.com/itm/297778435393?_skw=laptop+gaming&amp;itmmeta=01KDPJCT13HS826PXQN2N10WYZ&amp;hash=item4554fa5541:g:ILUAAeSwiWBpMmk5"/>
      </ext>
    </x18tc:extLst>
  </x18tc:threadedComment>
  <x18tc:threadedComment ref="J424" dT="2025-12-21T04:03:03.00" personId="{4df2d6c4-e43e-4f2e-b623-d90f458472ff}" id="{3b6394ab-bb70-456c-aade-241558e9b7e8}" done="0">
    <x18tc:text xml:space="preserve">https://drive.google.com/file/d/1D0yoW33_c9T5O5LuQyhlU6hxQT2y0s6W/view?usp=drive_link</x18tc:text>
    <x18tc:extLst>
      <ext uri="{F7C98A9C-CBB3-438F-8F68-D28B6AF4A901}">
        <xltc2:checksum/>
        <xltc2:hyperlink startIndex="0" length="85" url="https://drive.google.com/file/d/1D0yoW33_c9T5O5LuQyhlU6hxQT2y0s6W/view?usp=drive_link"/>
      </ext>
    </x18tc:extLst>
  </x18tc:threadedComment>
  <x18tc:threadedComment ref="W182" dT="2025-09-01T17:42:55.00" personId="{d8e4f5ad-b65d-4160-a56f-197530fb7eb1}" id="{ad5b1039-165f-453f-88bf-e3f24c2676d1}" done="0">
    <x18tc:text xml:space="preserve">https://drive.google.com/file/d/1PzVg8AzPNdVGbv3W1QdwObwqwQmmX_Nv/view?usp=drive_link</x18tc:text>
    <x18tc:extLst>
      <ext uri="{F7C98A9C-CBB3-438F-8F68-D28B6AF4A901}">
        <xltc2:checksum/>
        <xltc2:hyperlink startIndex="0" length="85" url="https://drive.google.com/file/d/1PzVg8AzPNdVGbv3W1QdwObwqwQmmX_Nv/view?usp=drive_link"/>
      </ext>
    </x18tc:extLst>
  </x18tc:threadedComment>
  <x18tc:threadedComment ref="W167" dT="2025-08-30T02:47:10.00" personId="{4df2d6c4-e43e-4f2e-b623-d90f458472ff}" id="{a0b6eecb-04be-4e4d-bedd-7cb3635279bd}" done="0">
    <x18tc:text xml:space="preserve">https://drive.google.com/file/d/1_wUPBK0V0cAK040xVu_bog6VRn0rUT5d/view?usp=drive_link</x18tc:text>
    <x18tc:extLst>
      <ext uri="{F7C98A9C-CBB3-438F-8F68-D28B6AF4A901}">
        <xltc2:checksum/>
        <xltc2:hyperlink startIndex="0" length="85" url="https://drive.google.com/file/d/1_wUPBK0V0cAK040xVu_bog6VRn0rUT5d/view?usp=drive_link"/>
      </ext>
    </x18tc:extLst>
  </x18tc:threadedComment>
  <x18tc:threadedComment ref="W424" dT="2026-01-03T18:09:55.00" personId="{2ddfa542-8116-4937-a057-08470d7abaab}" id="{2c152979-fabb-4b8d-bfda-f708da25e71d}" done="0">
    <x18tc:text xml:space="preserve">https://drive.google.com/file/d/1YUh92dYYOf2V06Lad6c9jF43YvZsdgux/view?usp=drive_link</x18tc:text>
    <x18tc:extLst>
      <ext uri="{F7C98A9C-CBB3-438F-8F68-D28B6AF4A901}">
        <xltc2:checksum/>
        <xltc2:hyperlink startIndex="0" length="85" url="https://drive.google.com/file/d/1YUh92dYYOf2V06Lad6c9jF43YvZsdgux/view?usp=drive_link"/>
      </ext>
    </x18tc:extLst>
  </x18tc:threadedComment>
  <x18tc:threadedComment ref="AF636" dT="2026-04-07T04:29:37.00" personId="{2ddfa542-8116-4937-a057-08470d7abaab}" id="{db6f2b5d-a1b5-4949-9b09-841807f44d41}" done="1">
    <x18tc:text xml:space="preserve">venta final, excedentes, fixit</x18tc:text>
  </x18tc:threadedComment>
  <x18tc:threadedComment ref="J428" dT="2026-01-07T00:57:04.00" personId="{4df2d6c4-e43e-4f2e-b623-d90f458472ff}" id="{af8782dc-e759-4d10-827e-a8d254c830c0}" done="0">
    <x18tc:text xml:space="preserve">https://drive.google.com/file/d/1tFc5QiLGqE_v0U0RUYnSZYYUrA6S8yu0/view?usp=drive_link</x18tc:text>
    <x18tc:extLst>
      <ext uri="{F7C98A9C-CBB3-438F-8F68-D28B6AF4A901}">
        <xltc2:checksum/>
        <xltc2:hyperlink startIndex="0" length="85" url="https://drive.google.com/file/d/1tFc5QiLGqE_v0U0RUYnSZYYUrA6S8yu0/view?usp=drive_link"/>
      </ext>
    </x18tc:extLst>
  </x18tc:threadedComment>
  <x18tc:threadedComment ref="F450" dT="2026-01-03T17:38:46.00" personId="{2ddfa542-8116-4937-a057-08470d7abaab}" id="{5bc2cbb0-920a-4de7-a7e2-beb1e795d9ca}" done="0">
    <x18tc:text xml:space="preserve">ES una similar</x18tc:text>
  </x18tc:threadedComment>
  <x18tc:threadedComment ref="K360" dT="2025-12-21T03:30:33.00" personId="{4df2d6c4-e43e-4f2e-b623-d90f458472ff}" id="{b392be30-11aa-4f84-8b32-8baeb8aa3859}" done="0">
    <x18tc:text xml:space="preserve">https://drive.google.com/file/d/1sUjjsZOFkW41q1maQe72DX3roZg1KKfK/view?usp=drive_link</x18tc:text>
    <x18tc:extLst>
      <ext uri="{F7C98A9C-CBB3-438F-8F68-D28B6AF4A901}">
        <xltc2:checksum/>
        <xltc2:hyperlink startIndex="0" length="85" url="https://drive.google.com/file/d/1sUjjsZOFkW41q1maQe72DX3roZg1KKfK/view?usp=drive_link"/>
      </ext>
    </x18tc:extLst>
  </x18tc:threadedComment>
  <x18tc:threadedComment ref="K630" dT="2026-04-16T16:38:17.00" personId="{4df2d6c4-e43e-4f2e-b623-d90f458472ff}" id="{16cbc25c-8afd-492e-b9e0-e71e427d6b5c}" done="0">
    <x18tc:text xml:space="preserve">https://drive.google.com/file/d/1WxW2_SiEaJOlq4F9JWWTsaEnIPe01lz4/view?usp=drive_link</x18tc:text>
    <x18tc:extLst>
      <ext uri="{F7C98A9C-CBB3-438F-8F68-D28B6AF4A901}">
        <xltc2:checksum/>
        <xltc2:hyperlink startIndex="0" length="85" url="https://drive.google.com/file/d/1WxW2_SiEaJOlq4F9JWWTsaEnIPe01lz4/view?usp=drive_link"/>
      </ext>
    </x18tc:extLst>
  </x18tc:threadedComment>
  <x18tc:threadedComment ref="C424" dT="2025-12-21T04:01:12.00" personId="{4df2d6c4-e43e-4f2e-b623-d90f458472ff}" id="{c74e127e-49fa-4d81-a110-5eb848a3893e}" done="0">
    <x18tc:text xml:space="preserve">https://www.microcenter.com/product/693716/asus-rog-strix-g16-g615lr-ms97-16-gaming-laptop-computer-platinum-collection-eclipse-gray?storeid=185</x18tc:text>
    <x18tc:extLst>
      <ext uri="{F7C98A9C-CBB3-438F-8F68-D28B6AF4A901}">
        <xltc2:checksum/>
        <xltc2:hyperlink startIndex="0" length="144" url="https://www.microcenter.com/product/693716/asus-rog-strix-g16-g615lr-ms97-16-gaming-laptop-computer-platinum-collection-eclipse-gray?storeid=185"/>
      </ext>
    </x18tc:extLst>
  </x18tc:threadedComment>
  <x18tc:threadedComment ref="C646" dT="2026-03-30T16:27:46.00" personId="{d8e4f5ad-b65d-4160-a56f-197530fb7eb1}" id="{9994f201-51d1-492c-809d-058353711bd4}" done="0">
    <x18tc:text xml:space="preserve">https://www.ebay.com/itm/205814283481?_skw=acer+predator&amp;itmmeta=01KMZPFH8PPYD63RC6WRRK7JPW&amp;hash=item2feb7cbcd9:g:HYoAAeSwZJxpxVkw&amp;itmprp=enc%3AAQALAAAA8GfYFPkwiKCW4ZNSs2u11xAQqGAcfg5r1FcauE0PxJvKZpknYhNStmu2hejxKVq2ttiJ4IgTI4vq0%2FU5x3%2BZyhnrQ0V5NeqNcRI6jOAHlkjQuXwIVWRHCGtcudTwWUlWS3%2BRvm2RtN6ym7kUn7dP11GchmhPS7D3GIwZyc%2Fqgxb2rLTZjsE6oO2Q%2FVE5ebOS1n4plbqzbFo58ONSWnPGskmKVYH0uu2igyWNltdbuIjQC9Ux8dbFERQ6fMmo1K%2FOqCT%2FtGzzy0YxlmxMNHh9TupFncCXODnhqDIxZCe0ApQE7S1NTSXSkle8%2Be2dFmjvJA%3D%3D%7Ctkp%3ABk9SR8KUvvanZw</x18tc:text>
    <x18tc:extLst>
      <ext uri="{F7C98A9C-CBB3-438F-8F68-D28B6AF4A901}">
        <xltc2:checksum/>
        <xltc2:hyperlink startIndex="0" length="519" url="https://www.ebay.com/itm/205814283481?_skw=acer+predator&amp;itmmeta=01KMZPFH8PPYD63RC6WRRK7JPW&amp;hash=item2feb7cbcd9:g:HYoAAeSwZJxpxVkw&amp;itmprp=enc%3AAQALAAAA8GfYFPkwiKCW4ZNSs2u11xAQqGAcfg5r1FcauE0PxJvKZpknYhNStmu2hejxKVq2ttiJ4IgTI4vq0%2FU5x3%2BZyhnrQ0V5NeqNcRI6jOAHlkjQuXwIVWRHCGtcudTwWUlWS3%2BRvm2RtN6ym7kUn7dP11GchmhPS7D3GIwZyc%2Fqgxb2rLTZjsE6oO2Q%2FVE5ebOS1n4plbqzbFo58ONSWnPGskmKVYH0uu2igyWNltdbuIjQC9Ux8dbFERQ6fMmo1K%2FOqCT%2FtGzzy0YxlmxMNHh9TupFncCXODnhqDIxZCe0ApQE7S1NTSXSkle8%2Be2dFmjvJA%3D%3D%7Ctkp%3ABk9SR8KUvvanZw"/>
      </ext>
    </x18tc:extLst>
  </x18tc:threadedComment>
  <x18tc:threadedComment ref="AF642" dT="2026-04-07T04:29:44.00" personId="{2ddfa542-8116-4937-a057-08470d7abaab}" id="{4c5e1aaf-300a-4908-86eb-6145e8eb1d49}" done="1">
    <x18tc:text xml:space="preserve">venta final, excedentes, fixit</x18tc:text>
  </x18tc:threadedComment>
  <x18tc:threadedComment ref="W110" dT="2025-09-01T17:31:22.00" personId="{d8e4f5ad-b65d-4160-a56f-197530fb7eb1}" id="{12db6e53-9a45-441b-bee7-0631a91a4b78}" done="0">
    <x18tc:text xml:space="preserve">https://drive.google.com/file/d/1C40126kJOYCeG2Abej8239zJYf2T1a9B/view?usp=drive_link</x18tc:text>
    <x18tc:extLst>
      <ext uri="{F7C98A9C-CBB3-438F-8F68-D28B6AF4A901}">
        <xltc2:checksum/>
        <xltc2:hyperlink startIndex="0" length="85" url="https://drive.google.com/file/d/1C40126kJOYCeG2Abej8239zJYf2T1a9B/view?usp=drive_link"/>
      </ext>
    </x18tc:extLst>
  </x18tc:threadedComment>
  <x18tc:threadedComment ref="W163" dT="2025-08-30T02:34:15.00" personId="{4df2d6c4-e43e-4f2e-b623-d90f458472ff}" id="{6dd62a4d-273e-4b3d-af79-b1f917b705a7}" done="0">
    <x18tc:text xml:space="preserve">https://drive.google.com/file/d/16wSubOeAxCIn2LGxpMXLmjsrXIPo6krP/view?usp=drive_link</x18tc:text>
    <x18tc:extLst>
      <ext uri="{F7C98A9C-CBB3-438F-8F68-D28B6AF4A901}">
        <xltc2:checksum/>
        <xltc2:hyperlink startIndex="0" length="85" url="https://drive.google.com/file/d/16wSubOeAxCIn2LGxpMXLmjsrXIPo6krP/view?usp=drive_link"/>
      </ext>
    </x18tc:extLst>
  </x18tc:threadedComment>
  <x18tc:threadedComment ref="W448" dT="2026-01-03T17:17:03.00" personId="{2ddfa542-8116-4937-a057-08470d7abaab}" id="{e0d2dd49-f5bb-475b-87c5-46c832944073}" done="0">
    <x18tc:text xml:space="preserve">https://drive.google.com/file/d/1y_HKcAm7wDKj-wlBrfpEwcgVx9_4Gh7-/view?usp=drive_link</x18tc:text>
    <x18tc:extLst>
      <ext uri="{F7C98A9C-CBB3-438F-8F68-D28B6AF4A901}">
        <xltc2:checksum/>
        <xltc2:hyperlink startIndex="0" length="85" url="https://drive.google.com/file/d/1y_HKcAm7wDKj-wlBrfpEwcgVx9_4Gh7-/view?usp=drive_link"/>
      </ext>
    </x18tc:extLst>
  </x18tc:threadedComment>
  <x18tc:threadedComment ref="L694" dT="2026-05-25T20:54:51.00" personId="{2ddfa542-8116-4937-a057-08470d7abaab}" id="{beb637a8-932d-4cd8-89ef-7ff72e24f863}" done="0">
    <x18tc:text xml:space="preserve">Se modificó porque se le cobró al cliente 85 más</x18tc:text>
  </x18tc:threadedComment>
  <x18tc:threadedComment ref="J664" dT="2026-04-08T19:02:58.00" personId="{d8e4f5ad-b65d-4160-a56f-197530fb7eb1}" id="{100ff4df-247c-4927-a4c5-d66b837e9c23}" done="0">
    <x18tc:text xml:space="preserve">https://drive.google.com/file/d/1h4-Tz7xyvryLznlk14WkY7SE_wWDKU80/view?usp=drive_link</x18tc:text>
    <x18tc:extLst>
      <ext uri="{F7C98A9C-CBB3-438F-8F68-D28B6AF4A901}">
        <xltc2:checksum/>
        <xltc2:hyperlink startIndex="0" length="85" url="https://drive.google.com/file/d/1h4-Tz7xyvryLznlk14WkY7SE_wWDKU80/view?usp=drive_link"/>
      </ext>
    </x18tc:extLst>
  </x18tc:threadedComment>
  <x18tc:threadedComment ref="AF602" dT="2026-04-08T02:02:31.00" personId="{2ddfa542-8116-4937-a057-08470d7abaab}" id="{e58a9801-e7f6-4803-9aae-3f0a5110c74d}" done="0">
    <x18tc:text xml:space="preserve">venta final, excedentes, fixit</x18tc:text>
  </x18tc:threadedComment>
  <x18tc:threadedComment ref="K424" dT="2026-01-03T17:08:47.00" personId="{4df2d6c4-e43e-4f2e-b623-d90f458472ff}" id="{ac27818d-6a78-4749-beaf-148f110e2832}" done="0">
    <x18tc:text xml:space="preserve">https://drive.google.com/file/d/175xHHd3n51Xo4meqcAeOQA-qqUIak-bV/view?usp=drive_link</x18tc:text>
    <x18tc:extLst>
      <ext uri="{F7C98A9C-CBB3-438F-8F68-D28B6AF4A901}">
        <xltc2:checksum/>
        <xltc2:hyperlink startIndex="0" length="85" url="https://drive.google.com/file/d/175xHHd3n51Xo4meqcAeOQA-qqUIak-bV/view?usp=drive_link"/>
      </ext>
    </x18tc:extLst>
  </x18tc:threadedComment>
  <x18tc:threadedComment ref="K358" dT="2025-12-21T03:26:11.00" personId="{4df2d6c4-e43e-4f2e-b623-d90f458472ff}" id="{7710689e-f06c-42b4-be10-62893c2d870e}" done="0">
    <x18tc:text xml:space="preserve">https://drive.google.com/file/d/1y4VCy1fh1z1C0yMFGuZGBLizvxfCxjrA/view?usp=drive_link</x18tc:text>
    <x18tc:extLst>
      <ext uri="{F7C98A9C-CBB3-438F-8F68-D28B6AF4A901}">
        <xltc2:checksum/>
        <xltc2:hyperlink startIndex="0" length="85" url="https://drive.google.com/file/d/1y4VCy1fh1z1C0yMFGuZGBLizvxfCxjrA/view?usp=drive_link"/>
      </ext>
    </x18tc:extLst>
  </x18tc:threadedComment>
  <x18tc:threadedComment ref="K358" dT="2025-12-21T03:26:27.00" personId="{4df2d6c4-e43e-4f2e-b623-d90f458472ff}" id="{67020e6d-e55a-45fd-9c0e-ba8a3039751c}" parentId="{7710689e-f06c-42b4-be10-62893c2d870e}">
    <x18tc:text xml:space="preserve">https://drive.google.com/file/d/1mCEb09vORmyxsbWqNdfNXVQg1yR95xt8/view?usp=drive_link</x18tc:text>
    <x18tc:extLst>
      <ext uri="{F7C98A9C-CBB3-438F-8F68-D28B6AF4A901}">
        <xltc2:checksum/>
        <xltc2:hyperlink startIndex="0" length="85" url="https://drive.google.com/file/d/1mCEb09vORmyxsbWqNdfNXVQg1yR95xt8/view?usp=drive_link"/>
      </ext>
    </x18tc:extLst>
  </x18tc:threadedComment>
  <x18tc:threadedComment ref="J389" dT="2025-12-21T03:53:37.00" personId="{4df2d6c4-e43e-4f2e-b623-d90f458472ff}" id="{eb9aa7b8-f217-4d43-aaa0-39ff71496df7}" done="0">
    <x18tc:text xml:space="preserve">https://drive.google.com/file/d/1FA20o_hKf30_JcZqm7jIcHCwee3_HiMh/view?usp=drive_link</x18tc:text>
    <x18tc:extLst>
      <ext uri="{F7C98A9C-CBB3-438F-8F68-D28B6AF4A901}">
        <xltc2:checksum/>
        <xltc2:hyperlink startIndex="0" length="85" url="https://drive.google.com/file/d/1FA20o_hKf30_JcZqm7jIcHCwee3_HiMh/view?usp=drive_link"/>
      </ext>
    </x18tc:extLst>
  </x18tc:threadedComment>
  <x18tc:threadedComment ref="W162" dT="2025-08-30T02:25:53.00" personId="{4df2d6c4-e43e-4f2e-b623-d90f458472ff}" id="{95f5197a-29b4-4f89-ad0d-b3d13857e43d}" done="0">
    <x18tc:text xml:space="preserve">https://drive.google.com/file/d/19QkkOudEWWKDsEhf7sZKNXkSGMjSqoxT/view?usp=drive_link</x18tc:text>
    <x18tc:extLst>
      <ext uri="{F7C98A9C-CBB3-438F-8F68-D28B6AF4A901}">
        <xltc2:checksum/>
        <xltc2:hyperlink startIndex="0" length="85" url="https://drive.google.com/file/d/19QkkOudEWWKDsEhf7sZKNXkSGMjSqoxT/view?usp=drive_link"/>
      </ext>
    </x18tc:extLst>
  </x18tc:threadedComment>
  <x18tc:threadedComment ref="J663" dT="2026-04-08T19:03:39.00" personId="{d8e4f5ad-b65d-4160-a56f-197530fb7eb1}" id="{b8ba4b31-34c4-414c-9d02-1711a2e35789}" done="0">
    <x18tc:text xml:space="preserve">https://drive.google.com/file/d/1HkBh5LoDsmz95b1isnNseX3t6tIk7laq/view?usp=drive_link</x18tc:text>
    <x18tc:extLst>
      <ext uri="{F7C98A9C-CBB3-438F-8F68-D28B6AF4A901}">
        <xltc2:checksum/>
        <xltc2:hyperlink startIndex="0" length="85" url="https://drive.google.com/file/d/1HkBh5LoDsmz95b1isnNseX3t6tIk7laq/view?usp=drive_link"/>
      </ext>
    </x18tc:extLst>
  </x18tc:threadedComment>
  <x18tc:threadedComment ref="K705" dT="2026-06-22T16:52:50.00" personId="{80195d68-4e9b-4dc7-a031-ca5391c97d0f}" id="{89ad155b-c190-40e3-8dcc-dba577138f92}" done="0">
    <x18tc:text xml:space="preserve">https://drive.google.com/file/d/1FBHbcw7AUVgOIiYKLljD66IKXHjlucAk/view?usp=drive_link
https://drive.google.com/file/d/15dfGpc6kKEmaxW0We0y058O97KjajJyx/view?usp=drive_link</x18tc:text>
    <x18tc:extLst>
      <ext uri="{F7C98A9C-CBB3-438F-8F68-D28B6AF4A901}">
        <xltc2:checksum/>
        <xltc2:hyperlink startIndex="0" length="85" url="https://drive.google.com/file/d/1FBHbcw7AUVgOIiYKLljD66IKXHjlucAk/view?usp=drive_link"/>
        <xltc2:hyperlink startIndex="86" length="85" url="https://drive.google.com/file/d/15dfGpc6kKEmaxW0We0y058O97KjajJyx/view?usp=drive_link"/>
      </ext>
    </x18tc:extLst>
  </x18tc:threadedComment>
  <x18tc:threadedComment ref="J743" dT="2026-05-14T23:15:23.00" personId="{d8e4f5ad-b65d-4160-a56f-197530fb7eb1}" id="{fc428b95-957e-4595-996d-7995cff23212}" done="0">
    <x18tc:text xml:space="preserve">https://drive.google.com/file/d/1JqA2Rw228Ep--8buBlz-yoILNSOepFi_/view?usp=drive_link</x18tc:text>
    <x18tc:extLst>
      <ext uri="{F7C98A9C-CBB3-438F-8F68-D28B6AF4A901}">
        <xltc2:checksum/>
        <xltc2:hyperlink startIndex="0" length="85" url="https://drive.google.com/file/d/1JqA2Rw228Ep--8buBlz-yoILNSOepFi_/view?usp=drive_link"/>
      </ext>
    </x18tc:extLst>
  </x18tc:threadedComment>
  <x18tc:threadedComment ref="J400" dT="2025-12-21T03:55:39.00" personId="{4df2d6c4-e43e-4f2e-b623-d90f458472ff}" id="{0ce5c502-01a8-4bfb-b527-68f1afc9ef92}" done="0">
    <x18tc:text xml:space="preserve">https://drive.google.com/file/d/1d02CpikcqUQ9REeW1vMSL9yFbL2yHzsR/view?usp=drive_link</x18tc:text>
    <x18tc:extLst>
      <ext uri="{F7C98A9C-CBB3-438F-8F68-D28B6AF4A901}">
        <xltc2:checksum/>
        <xltc2:hyperlink startIndex="0" length="85" url="https://drive.google.com/file/d/1d02CpikcqUQ9REeW1vMSL9yFbL2yHzsR/view?usp=drive_link"/>
      </ext>
    </x18tc:extLst>
  </x18tc:threadedComment>
  <x18tc:threadedComment ref="W184" dT="2025-08-30T02:32:13.00" personId="{4df2d6c4-e43e-4f2e-b623-d90f458472ff}" id="{31f93aaf-b3d7-475d-8e66-3e1b70fb7ba0}" done="0">
    <x18tc:text xml:space="preserve">https://drive.google.com/file/d/1xJsqwRcC1ozvc-AlFUK3VlZxNBikp3mk/view?usp=drive_link</x18tc:text>
    <x18tc:extLst>
      <ext uri="{F7C98A9C-CBB3-438F-8F68-D28B6AF4A901}">
        <xltc2:checksum/>
        <xltc2:hyperlink startIndex="0" length="85" url="https://drive.google.com/file/d/1xJsqwRcC1ozvc-AlFUK3VlZxNBikp3mk/view?usp=drive_link"/>
      </ext>
    </x18tc:extLst>
  </x18tc:threadedComment>
  <x18tc:threadedComment ref="AF635" dT="2026-04-07T04:29:30.00" personId="{2ddfa542-8116-4937-a057-08470d7abaab}" id="{4a32659a-a238-49f8-8514-c9d6eb0eb301}" done="1">
    <x18tc:text xml:space="preserve">venta final, excedentes, fixit</x18tc:text>
  </x18tc:threadedComment>
  <x18tc:threadedComment ref="J61" dT="2025-05-21T01:46:48.00" personId="{a5d43f6d-3c72-4414-b012-8f52ef50acc4}" id="{94934663-14c7-4dff-9588-838d3653cbae}" done="0">
    <x18tc:text xml:space="preserve">https://drive.google.com/file/d/18cR6jlNV89KfveSzi0tsPKZ_QqLfPYqH/view?usp=sharing</x18tc:text>
    <x18tc:extLst>
      <ext uri="{F7C98A9C-CBB3-438F-8F68-D28B6AF4A901}">
        <xltc2:checksum/>
        <xltc2:hyperlink startIndex="0" length="82" url="https://drive.google.com/file/d/18cR6jlNV89KfveSzi0tsPKZ_QqLfPYqH/view?usp=sharing"/>
      </ext>
    </x18tc:extLst>
  </x18tc:threadedComment>
  <x18tc:threadedComment ref="K340" dT="2025-12-21T02:51:19.00" personId="{4df2d6c4-e43e-4f2e-b623-d90f458472ff}" id="{26503cef-b3e6-4a72-92b9-60c6e499d012}" done="0">
    <x18tc:text xml:space="preserve">https://drive.google.com/file/d/11h0fhQ4-SnZX3aZbiBb9yguHtCCZaUVn/view?usp=drive_link</x18tc:text>
    <x18tc:extLst>
      <ext uri="{F7C98A9C-CBB3-438F-8F68-D28B6AF4A901}">
        <xltc2:checksum/>
        <xltc2:hyperlink startIndex="0" length="85" url="https://drive.google.com/file/d/11h0fhQ4-SnZX3aZbiBb9yguHtCCZaUVn/view?usp=drive_link"/>
      </ext>
    </x18tc:extLst>
  </x18tc:threadedComment>
  <x18tc:threadedComment ref="AF178" dT="2025-09-01T15:03:19.00" personId="{2ddfa542-8116-4937-a057-08470d7abaab}" id="{f263b31c-42dd-4666-8ffe-2c80c0b8136f}" done="1">
    <x18tc:text xml:space="preserve">FINAL: verfica venta final y fixit</x18tc:text>
  </x18tc:threadedComment>
  <x18tc:threadedComment ref="K384" dT="2025-12-21T03:43:27.00" personId="{4df2d6c4-e43e-4f2e-b623-d90f458472ff}" id="{469944cf-8da8-455a-803b-d92dcfaa9f07}" done="0">
    <x18tc:text xml:space="preserve">https://drive.google.com/file/d/1gvbX0j_c97AjzcBEShcLlVZc2_uYJrx0/view?usp=drive_link</x18tc:text>
    <x18tc:extLst>
      <ext uri="{F7C98A9C-CBB3-438F-8F68-D28B6AF4A901}">
        <xltc2:checksum/>
        <xltc2:hyperlink startIndex="0" length="85" url="https://drive.google.com/file/d/1gvbX0j_c97AjzcBEShcLlVZc2_uYJrx0/view?usp=drive_link"/>
      </ext>
    </x18tc:extLst>
  </x18tc:threadedComment>
  <x18tc:threadedComment ref="W185" dT="2025-08-30T02:14:29.00" personId="{4df2d6c4-e43e-4f2e-b623-d90f458472ff}" id="{bf3efa47-bd89-4d5a-8a45-6042e9cf1dc0}" done="0">
    <x18tc:text xml:space="preserve">https://drive.google.com/file/d/1nfu2DCh3n_o8C_CKwhVNPkhUVyJTKmxz/view?usp=drive_link</x18tc:text>
    <x18tc:extLst>
      <ext uri="{F7C98A9C-CBB3-438F-8F68-D28B6AF4A901}">
        <xltc2:checksum/>
        <xltc2:hyperlink startIndex="0" length="85" url="https://drive.google.com/file/d/1nfu2DCh3n_o8C_CKwhVNPkhUVyJTKmxz/view?usp=drive_link"/>
      </ext>
    </x18tc:extLst>
  </x18tc:threadedComment>
  <x18tc:threadedComment ref="A1" dT="2025-08-20T17:38:14.00" personId="{4df2d6c4-e43e-4f2e-b623-d90f458472ff}" id="{df9d4bdb-9ae0-49f8-a83d-4bbc150494c3}" done="1">
    <x18tc:text xml:space="preserve">mi cliente esperara a que vuelva el stock :D</x18tc:text>
  </x18tc:threadedComment>
  <x18tc:threadedComment ref="K603" dT="2026-04-08T18:57:53.00" personId="{d8e4f5ad-b65d-4160-a56f-197530fb7eb1}" id="{f799683e-f6b9-4260-931e-72193e99d059}" done="0">
    <x18tc:text xml:space="preserve">https://drive.google.com/file/d/1QU51UtPwql-L41qhF4OHMq0riAXj-DVT/view?usp=drive_link</x18tc:text>
    <x18tc:extLst>
      <ext uri="{F7C98A9C-CBB3-438F-8F68-D28B6AF4A901}">
        <xltc2:checksum/>
        <xltc2:hyperlink startIndex="0" length="85" url="https://drive.google.com/file/d/1QU51UtPwql-L41qhF4OHMq0riAXj-DVT/view?usp=drive_link"/>
      </ext>
    </x18tc:extLst>
  </x18tc:threadedComment>
  <x18tc:threadedComment ref="AF630" dT="2026-04-07T04:29:21.00" personId="{2ddfa542-8116-4937-a057-08470d7abaab}" id="{c1896476-7d02-4654-8699-0a6e3bb4e329}" done="1">
    <x18tc:text xml:space="preserve">venta final, excedentes, fixit</x18tc:text>
  </x18tc:threadedComment>
  <x18tc:threadedComment ref="L61" dT="2025-05-21T01:50:19.00" personId="{a5d43f6d-3c72-4414-b012-8f52ef50acc4}" id="{250c7c40-4311-4042-a5b3-1ca648dee4ab}" done="0">
    <x18tc:text xml:space="preserve">https://drive.google.com/file/d/1tKOQuCXwW3FEOe6-cJNiyS2cbveIGLu0/view?usp=drive_link</x18tc:text>
    <x18tc:extLst>
      <ext uri="{F7C98A9C-CBB3-438F-8F68-D28B6AF4A901}">
        <xltc2:checksum/>
        <xltc2:hyperlink startIndex="0" length="85" url="https://drive.google.com/file/d/1tKOQuCXwW3FEOe6-cJNiyS2cbveIGLu0/view?usp=drive_link"/>
      </ext>
    </x18tc:extLst>
  </x18tc:threadedComment>
  <x18tc:threadedComment ref="AF603" dT="2026-04-08T02:02:37.00" personId="{2ddfa542-8116-4937-a057-08470d7abaab}" id="{eb4829f3-cdcc-483f-9c97-e48139cf640e}" done="1">
    <x18tc:text xml:space="preserve">venta final, excedentes, fixit</x18tc:text>
  </x18tc:threadedComment>
  <x18tc:threadedComment ref="K354" dT="2025-12-21T03:23:56.00" personId="{4df2d6c4-e43e-4f2e-b623-d90f458472ff}" id="{cce071e5-288b-4cb4-be2b-869eaa1a1f23}" done="0">
    <x18tc:text xml:space="preserve">https://drive.google.com/file/d/17Modhrn9O3EVKKS-odqTgzaItrLfu3XF/view?usp=drive_link</x18tc:text>
    <x18tc:extLst>
      <ext uri="{F7C98A9C-CBB3-438F-8F68-D28B6AF4A901}">
        <xltc2:checksum/>
        <xltc2:hyperlink startIndex="0" length="85" url="https://drive.google.com/file/d/17Modhrn9O3EVKKS-odqTgzaItrLfu3XF/view?usp=drive_link"/>
      </ext>
    </x18tc:extLst>
  </x18tc:threadedComment>
  <x18tc:threadedComment ref="J399" dT="2025-12-21T03:49:43.00" personId="{4df2d6c4-e43e-4f2e-b623-d90f458472ff}" id="{e492656b-dcdc-4acf-9c4d-9a0cea6a6e93}" done="0">
    <x18tc:text xml:space="preserve">https://drive.google.com/file/d/1mO18warlP4DSuxdG-7PtXOWug593Il1n/view?usp=drive_link</x18tc:text>
    <x18tc:extLst>
      <ext uri="{F7C98A9C-CBB3-438F-8F68-D28B6AF4A901}">
        <xltc2:checksum/>
        <xltc2:hyperlink startIndex="0" length="85" url="https://drive.google.com/file/d/1mO18warlP4DSuxdG-7PtXOWug593Il1n/view?usp=drive_link"/>
      </ext>
    </x18tc:extLst>
  </x18tc:threadedComment>
  <x18tc:threadedComment ref="W165" dT="2025-08-30T02:20:07.00" personId="{4df2d6c4-e43e-4f2e-b623-d90f458472ff}" id="{1f813565-4143-4ca8-934e-756b657619ae}" done="0">
    <x18tc:text xml:space="preserve">https://drive.google.com/file/d/1zHSLgodQVOn-0_i7tnH3NqgSAhmOaNnr/view?usp=drive_link</x18tc:text>
    <x18tc:extLst>
      <ext uri="{F7C98A9C-CBB3-438F-8F68-D28B6AF4A901}">
        <xltc2:checksum/>
        <xltc2:hyperlink startIndex="0" length="85" url="https://drive.google.com/file/d/1zHSLgodQVOn-0_i7tnH3NqgSAhmOaNnr/view?usp=drive_link"/>
      </ext>
    </x18tc:extLst>
  </x18tc:threadedComment>
  <x18tc:threadedComment ref="J580" dT="2026-04-04T16:10:29.00" personId="{4df2d6c4-e43e-4f2e-b623-d90f458472ff}" id="{914a5638-9f14-4034-bbe9-f4af8a0d52db}" done="0">
    <x18tc:text xml:space="preserve">https://drive.google.com/file/d/19VD5AOheKcPGFMnDBMANOSUx1smgawne/view?usp=drive_link</x18tc:text>
    <x18tc:extLst>
      <ext uri="{F7C98A9C-CBB3-438F-8F68-D28B6AF4A901}">
        <xltc2:checksum/>
        <xltc2:hyperlink startIndex="0" length="85" url="https://drive.google.com/file/d/19VD5AOheKcPGFMnDBMANOSUx1smgawne/view?usp=drive_link"/>
      </ext>
    </x18tc:extLst>
  </x18tc:threadedComment>
  <x18tc:threadedComment ref="K497" dT="2026-02-07T17:56:51.00" personId="{d8e4f5ad-b65d-4160-a56f-197530fb7eb1}" id="{ea91b378-a4a8-4319-9e38-6aa516d1f00f}" done="0">
    <x18tc:text xml:space="preserve">https://drive.google.com/file/d/1a994w8f3f85nAspZFe6U5J0uHrKkEHa1/view?usp=drive_link</x18tc:text>
    <x18tc:extLst>
      <ext uri="{F7C98A9C-CBB3-438F-8F68-D28B6AF4A901}">
        <xltc2:checksum/>
        <xltc2:hyperlink startIndex="0" length="85" url="https://drive.google.com/file/d/1a994w8f3f85nAspZFe6U5J0uHrKkEHa1/view?usp=drive_link"/>
      </ext>
    </x18tc:extLst>
  </x18tc:threadedComment>
  <x18tc:threadedComment ref="K502" dT="2026-02-07T20:34:47.00" personId="{d8e4f5ad-b65d-4160-a56f-197530fb7eb1}" id="{1f93a40e-948f-47d3-8250-57a7ffea82b1}" done="0">
    <x18tc:text xml:space="preserve">https://drive.google.com/file/d/1VYI8NFnShkY8N3G_-nIc5QQo-iHNqQz9/view?usp=drive_link</x18tc:text>
    <x18tc:extLst>
      <ext uri="{F7C98A9C-CBB3-438F-8F68-D28B6AF4A901}">
        <xltc2:checksum/>
        <xltc2:hyperlink startIndex="0" length="85" url="https://drive.google.com/file/d/1VYI8NFnShkY8N3G_-nIc5QQo-iHNqQz9/view?usp=drive_link"/>
      </ext>
    </x18tc:extLst>
  </x18tc:threadedComment>
  <x18tc:threadedComment ref="K409" dT="2025-12-21T02:07:34.00" personId="{a5d43f6d-3c72-4414-b012-8f52ef50acc4}" id="{20d586b5-5e2e-4c82-b80d-22b41cb973ee}" done="0">
    <x18tc:text xml:space="preserve">https://drive.google.com/file/d/1pO6b1I9F6pA924-p0k2Bm5MpcMXICbW-/view?usp=drive_link</x18tc:text>
    <x18tc:extLst>
      <ext uri="{F7C98A9C-CBB3-438F-8F68-D28B6AF4A901}">
        <xltc2:checksum/>
        <xltc2:hyperlink startIndex="0" length="85" url="https://drive.google.com/file/d/1pO6b1I9F6pA924-p0k2Bm5MpcMXICbW-/view?usp=drive_link"/>
      </ext>
    </x18tc:extLst>
  </x18tc:threadedComment>
  <x18tc:threadedComment ref="J658" dT="2026-04-14T23:55:40.00" personId="{80195d68-4e9b-4dc7-a031-ca5391c97d0f}" id="{63089917-4f80-4d01-a91e-1db31a2a245c}" done="0">
    <x18tc:text xml:space="preserve">https://drive.google.com/file/d/15S_FrA7zCV8-Z_zs6jZPFdObcmbHEIDt/view?usp=drive_link</x18tc:text>
    <x18tc:extLst>
      <ext uri="{F7C98A9C-CBB3-438F-8F68-D28B6AF4A901}">
        <xltc2:checksum/>
        <xltc2:hyperlink startIndex="0" length="85" url="https://drive.google.com/file/d/15S_FrA7zCV8-Z_zs6jZPFdObcmbHEIDt/view?usp=drive_link"/>
      </ext>
    </x18tc:extLst>
  </x18tc:threadedComment>
  <x18tc:threadedComment ref="J299" dT="2025-11-09T01:06:06.00" personId="{a5d43f6d-3c72-4414-b012-8f52ef50acc4}" id="{9a9b32db-9c70-48a0-95a2-ebe136ac8610}" done="0">
    <x18tc:text xml:space="preserve">https://drive.google.com/file/d/1MI5Whiv2dBBnSiDRend10bTc1e5WCo0d/view?usp=drive_link</x18tc:text>
    <x18tc:extLst>
      <ext uri="{F7C98A9C-CBB3-438F-8F68-D28B6AF4A901}">
        <xltc2:checksum/>
        <xltc2:hyperlink startIndex="0" length="85" url="https://drive.google.com/file/d/1MI5Whiv2dBBnSiDRend10bTc1e5WCo0d/view?usp=drive_link"/>
      </ext>
    </x18tc:extLst>
  </x18tc:threadedComment>
  <x18tc:threadedComment ref="J628" dT="2026-04-04T16:30:04.00" personId="{4df2d6c4-e43e-4f2e-b623-d90f458472ff}" id="{b4309766-c03c-4e17-92c1-c9c4c7968e00}" done="0">
    <x18tc:text xml:space="preserve">https://drive.google.com/file/d/1sAmCc3CK6v54hubPVMqsrv-a2Ywmyo_t/view?usp=drive_link</x18tc:text>
    <x18tc:extLst>
      <ext uri="{F7C98A9C-CBB3-438F-8F68-D28B6AF4A901}">
        <xltc2:checksum/>
        <xltc2:hyperlink startIndex="0" length="85" url="https://drive.google.com/file/d/1sAmCc3CK6v54hubPVMqsrv-a2Ywmyo_t/view?usp=drive_link"/>
      </ext>
    </x18tc:extLst>
  </x18tc:threadedComment>
  <x18tc:threadedComment ref="J628" dT="2026-04-04T16:30:20.00" personId="{4df2d6c4-e43e-4f2e-b623-d90f458472ff}" id="{9d1db96c-f859-4669-9721-7e6b70f34517}" parentId="{b4309766-c03c-4e17-92c1-c9c4c7968e00}">
    <x18tc:text xml:space="preserve">https://drive.google.com/file/d/156zRXK0ReN8k1rJJpWU4sbWA0zSf7p6K/view?usp=drive_link</x18tc:text>
    <x18tc:extLst>
      <ext uri="{F7C98A9C-CBB3-438F-8F68-D28B6AF4A901}">
        <xltc2:checksum/>
        <xltc2:hyperlink startIndex="0" length="85" url="https://drive.google.com/file/d/156zRXK0ReN8k1rJJpWU4sbWA0zSf7p6K/view?usp=drive_link"/>
      </ext>
    </x18tc:extLst>
  </x18tc:threadedComment>
  <x18tc:threadedComment ref="K550" dT="2026-03-07T00:38:34.00" personId="{80195d68-4e9b-4dc7-a031-ca5391c97d0f}" id="{e785000b-68c6-4b5e-9d5f-e3a83c1eb2a0}" done="0">
    <x18tc:text xml:space="preserve">https://drive.google.com/file/d/1epYcHTjZwzHguvOChVBrii0lXgEgMrkz/view?usp=drive_link PAGO 1. 5000
https://drive.google.com/file/d/1bPinLtuSlr8FGm3pu0Cqhd2d6FpkiSZo/view?usp=drive_link PAGO 2. FUE CON LINK DE PAGO+5%</x18tc:text>
    <x18tc:extLst>
      <ext uri="{F7C98A9C-CBB3-438F-8F68-D28B6AF4A901}">
        <xltc2:checksum/>
        <xltc2:hyperlink startIndex="0" length="85" url="https://drive.google.com/file/d/1epYcHTjZwzHguvOChVBrii0lXgEgMrkz/view?usp=drive_link"/>
        <xltc2:hyperlink startIndex="99" length="85" url="https://drive.google.com/file/d/1bPinLtuSlr8FGm3pu0Cqhd2d6FpkiSZo/view?usp=drive_link"/>
      </ext>
    </x18tc:extLst>
  </x18tc:threadedComment>
  <x18tc:threadedComment ref="K586" dT="2026-04-04T16:14:54.00" personId="{4df2d6c4-e43e-4f2e-b623-d90f458472ff}" id="{699d8de0-5a5f-486d-bb1e-5205929b9cce}" done="0">
    <x18tc:text xml:space="preserve">https://drive.google.com/file/d/1E5Cu_Cu9EvU13UHDOgVVBYYgsMSciBGO/view?usp=drive_link</x18tc:text>
    <x18tc:extLst>
      <ext uri="{F7C98A9C-CBB3-438F-8F68-D28B6AF4A901}">
        <xltc2:checksum/>
        <xltc2:hyperlink startIndex="0" length="85" url="https://drive.google.com/file/d/1E5Cu_Cu9EvU13UHDOgVVBYYgsMSciBGO/view?usp=drive_link"/>
      </ext>
    </x18tc:extLst>
  </x18tc:threadedComment>
  <x18tc:threadedComment ref="J525" dT="2026-02-07T17:41:01.00" personId="{68efe3e3-8b68-4e02-81e2-a29fa228b211}" id="{2d42a264-3f34-4ca1-8a26-9a0b1d27bdac}" done="0">
    <x18tc:text xml:space="preserve">https://drive.google.com/file/d/1NMPgCnJvFnHnX_hX6Gp6uB5Q6EJPmuz7/view?usp=drive_link</x18tc:text>
    <x18tc:extLst>
      <ext uri="{F7C98A9C-CBB3-438F-8F68-D28B6AF4A901}">
        <xltc2:checksum/>
        <xltc2:hyperlink startIndex="0" length="85" url="https://drive.google.com/file/d/1NMPgCnJvFnHnX_hX6Gp6uB5Q6EJPmuz7/view?usp=drive_link"/>
      </ext>
    </x18tc:extLst>
  </x18tc:threadedComment>
  <x18tc:threadedComment ref="AF475" dT="2026-02-07T19:50:22.00" personId="{2ddfa542-8116-4937-a057-08470d7abaab}" id="{fd2dbff1-2643-44b9-a1bf-3c0a67dbbbf7}" done="1">
    <x18tc:text xml:space="preserve">excedentes, fixit, venta final</x18tc:text>
  </x18tc:threadedComment>
  <x18tc:threadedComment ref="D299" dT="2025-11-09T01:04:14.00" personId="{a5d43f6d-3c72-4414-b012-8f52ef50acc4}" id="{515a6bf0-c916-49ce-9845-4972f9cf1e1d}" done="0">
    <x18tc:text xml:space="preserve">Arturo Alejandro Zea Manrique
DNI 41220966
arturozeamanrique@gmail.com</x18tc:text>
  </x18tc:threadedComment>
  <x18tc:threadedComment ref="J69" dT="2025-05-23T21:55:57.00" personId="{d8e4f5ad-b65d-4160-a56f-197530fb7eb1}" id="{c7d69bb3-fa90-48c9-a5dd-495c0fd60b51}" done="0">
    <x18tc:text xml:space="preserve">https://drive.google.com/file/d/1GHT7sw7lahmOAwxMOcrRxBNi_vJG2oKf/view?usp=drive_link</x18tc:text>
    <x18tc:extLst>
      <ext uri="{F7C98A9C-CBB3-438F-8F68-D28B6AF4A901}">
        <xltc2:checksum/>
        <xltc2:hyperlink startIndex="0" length="85" url="https://drive.google.com/file/d/1GHT7sw7lahmOAwxMOcrRxBNi_vJG2oKf/view?usp=drive_link"/>
      </ext>
    </x18tc:extLst>
  </x18tc:threadedComment>
  <x18tc:threadedComment ref="J590" dT="2026-03-07T00:34:51.00" personId="{f9b224d0-ee33-4499-ae47-db5bcd2d0435}" id="{b4a5f8d2-12ad-44f4-a883-69354ff94275}" done="0">
    <x18tc:text xml:space="preserve">https://drive.google.com/file/d/1XoBWk8zcYMkEvpIkvOzp27oAW46rYwGb/view?usp=drive_link</x18tc:text>
    <x18tc:extLst>
      <ext uri="{F7C98A9C-CBB3-438F-8F68-D28B6AF4A901}">
        <xltc2:checksum/>
        <xltc2:hyperlink startIndex="0" length="85" url="https://drive.google.com/file/d/1XoBWk8zcYMkEvpIkvOzp27oAW46rYwGb/view?usp=drive_link"/>
      </ext>
    </x18tc:extLst>
  </x18tc:threadedComment>
  <x18tc:threadedComment ref="J651" dT="2026-04-14T23:53:39.00" personId="{80195d68-4e9b-4dc7-a031-ca5391c97d0f}" id="{23e70926-4cf3-4109-987b-61c3e8b5376a}" done="0">
    <x18tc:text xml:space="preserve">https://drive.google.com/file/d/1sENsOo5B5GSzSlP134NJ4RnKH6d4BREM/view?usp=drive_link 500
https://drive.google.com/file/d/18zyd6FuNkOv8nlDdsOe2uWlsmtvspmwT/view?usp=drive_link 500
https://drive.google.com/file/d/12RLzbb6_upQF3-gKohkrxfzgRZov2-lk/view?usp=drive_link 119.80</x18tc:text>
    <x18tc:extLst>
      <ext uri="{F7C98A9C-CBB3-438F-8F68-D28B6AF4A901}">
        <xltc2:checksum/>
        <xltc2:hyperlink startIndex="0" length="85" url="https://drive.google.com/file/d/1sENsOo5B5GSzSlP134NJ4RnKH6d4BREM/view?usp=drive_link"/>
        <xltc2:hyperlink startIndex="90" length="85" url="https://drive.google.com/file/d/18zyd6FuNkOv8nlDdsOe2uWlsmtvspmwT/view?usp=drive_link"/>
        <xltc2:hyperlink startIndex="180" length="85" url="https://drive.google.com/file/d/12RLzbb6_upQF3-gKohkrxfzgRZov2-lk/view?usp=drive_link"/>
      </ext>
    </x18tc:extLst>
  </x18tc:threadedComment>
  <x18tc:threadedComment ref="C299" dT="2025-11-09T01:03:44.00" personId="{a5d43f6d-3c72-4414-b012-8f52ef50acc4}" id="{ac3e74e9-5e57-4e9b-9fe4-374da2d07360}" done="0">
    <x18tc:text xml:space="preserve">https://www.bestbuy.com/product/asus-proart-pz13-13-oled-3k-detachable-laptop-copilot-pc-snapdragon-x-plus-16gb-memory-1tb-ssd-nano-black/JJGGLQ6Z4X</x18tc:text>
    <x18tc:extLst>
      <ext uri="{F7C98A9C-CBB3-438F-8F68-D28B6AF4A901}">
        <xltc2:checksum/>
        <xltc2:hyperlink startIndex="0" length="148" url="https://www.bestbuy.com/product/asus-proart-pz13-13-oled-3k-detachable-laptop-copilot-pc-snapdragon-x-plus-16gb-memory-1tb-ssd-nano-black/JJGGLQ6Z4X"/>
      </ext>
    </x18tc:extLst>
  </x18tc:threadedComment>
  <x18tc:threadedComment ref="L87" dT="2025-06-16T18:33:18.00" personId="{d8e4f5ad-b65d-4160-a56f-197530fb7eb1}" id="{336a781d-001b-435a-a30c-31ee82d6c19e}" done="0">
    <x18tc:text xml:space="preserve">https://drive.google.com/file/d/1Ax4OC6_J1SXEKpKJJf1GSjs3gAwUBYq4/view?usp=drive_link</x18tc:text>
    <x18tc:extLst>
      <ext uri="{F7C98A9C-CBB3-438F-8F68-D28B6AF4A901}">
        <xltc2:checksum/>
        <xltc2:hyperlink startIndex="0" length="85" url="https://drive.google.com/file/d/1Ax4OC6_J1SXEKpKJJf1GSjs3gAwUBYq4/view?usp=drive_link"/>
      </ext>
    </x18tc:extLst>
  </x18tc:threadedComment>
  <x18tc:threadedComment ref="K620" dT="2026-04-04T16:25:09.00" personId="{4df2d6c4-e43e-4f2e-b623-d90f458472ff}" id="{a283b077-e4cf-407e-a96a-060f24d24bf8}" done="0">
    <x18tc:text xml:space="preserve">https://drive.google.com/file/d/1QvEBpsKVvpMMJTKYqVqGr9Vyicno2Ob_/view?usp=drive_link</x18tc:text>
    <x18tc:extLst>
      <ext uri="{F7C98A9C-CBB3-438F-8F68-D28B6AF4A901}">
        <xltc2:checksum/>
        <xltc2:hyperlink startIndex="0" length="85" url="https://drive.google.com/file/d/1QvEBpsKVvpMMJTKYqVqGr9Vyicno2Ob_/view?usp=drive_link"/>
      </ext>
    </x18tc:extLst>
  </x18tc:threadedComment>
  <x18tc:threadedComment ref="K493" dT="2026-02-07T18:07:17.00" personId="{a5d43f6d-3c72-4414-b012-8f52ef50acc4}" id="{bce214cd-1a53-4e3e-b9ca-85c4fe5c0016}" done="0">
    <x18tc:text xml:space="preserve">https://drive.google.com/file/d/1alRrs_wxUeX2MoVlv0TzYfwGVG40mWB_/view?usp=drive_link
https://drive.google.com/file/d/1hWor8FxusDOGEBNyYq7NT9GQywDjIQFi/view?usp=drive_link</x18tc:text>
    <x18tc:extLst>
      <ext uri="{F7C98A9C-CBB3-438F-8F68-D28B6AF4A901}">
        <xltc2:checksum/>
        <xltc2:hyperlink startIndex="0" length="85" url="https://drive.google.com/file/d/1alRrs_wxUeX2MoVlv0TzYfwGVG40mWB_/view?usp=drive_link"/>
        <xltc2:hyperlink startIndex="86" length="85" url="https://drive.google.com/file/d/1hWor8FxusDOGEBNyYq7NT9GQywDjIQFi/view?usp=drive_link"/>
      </ext>
    </x18tc:extLst>
  </x18tc:threadedComment>
  <x18tc:threadedComment ref="C526" dT="2026-02-07T21:13:10.00" personId="{d8e4f5ad-b65d-4160-a56f-197530fb7eb1}" id="{afbafc57-a7cd-4646-a1a4-d4467f1a815a}" done="0">
    <x18tc:text xml:space="preserve">https://www.microcenter.com/product/695522/dell-alienware-18-area-51-aa18250-18-gaming-laptop-computer-liquid-teal#photogroup-4</x18tc:text>
    <x18tc:extLst>
      <ext uri="{F7C98A9C-CBB3-438F-8F68-D28B6AF4A901}">
        <xltc2:checksum/>
        <xltc2:hyperlink startIndex="0" length="127" url="https://www.microcenter.com/product/695522/dell-alienware-18-area-51-aa18250-18-gaming-laptop-computer-liquid-teal#photogroup-4"/>
      </ext>
    </x18tc:extLst>
  </x18tc:threadedComment>
  <x18tc:threadedComment ref="J357" dT="2025-12-21T01:58:38.00" personId="{a5d43f6d-3c72-4414-b012-8f52ef50acc4}" id="{c8082d96-6961-4888-b816-53a8269c50cc}" done="0">
    <x18tc:text xml:space="preserve">https://drive.google.com/file/d/1js0tAfPfQ_d_mFm2qqXGxpRjJ3BzroGz/view?usp=drive_link</x18tc:text>
    <x18tc:extLst>
      <ext uri="{F7C98A9C-CBB3-438F-8F68-D28B6AF4A901}">
        <xltc2:checksum/>
        <xltc2:hyperlink startIndex="0" length="85" url="https://drive.google.com/file/d/1js0tAfPfQ_d_mFm2qqXGxpRjJ3BzroGz/view?usp=drive_link"/>
      </ext>
    </x18tc:extLst>
  </x18tc:threadedComment>
  <x18tc:threadedComment ref="J653" dT="2026-04-14T23:54:46.00" personId="{80195d68-4e9b-4dc7-a031-ca5391c97d0f}" id="{3bf66137-47e4-4a22-96d2-9d213ed89099}" done="0">
    <x18tc:text xml:space="preserve">https://drive.google.com/file/d/1eUbtu4rZPa0iWapJghLatGIbRM0yYuYy/view?usp=drive_link</x18tc:text>
    <x18tc:extLst>
      <ext uri="{F7C98A9C-CBB3-438F-8F68-D28B6AF4A901}">
        <xltc2:checksum/>
        <xltc2:hyperlink startIndex="0" length="85" url="https://drive.google.com/file/d/1eUbtu4rZPa0iWapJghLatGIbRM0yYuYy/view?usp=drive_link"/>
      </ext>
    </x18tc:extLst>
  </x18tc:threadedComment>
  <x18tc:threadedComment ref="L268" dT="2025-11-08T22:48:37.00" personId="{a5d43f6d-3c72-4414-b012-8f52ef50acc4}" id="{9530e4fa-a154-4224-8ac3-de0f6a8a6f85}" done="0">
    <x18tc:text xml:space="preserve">https://drive.google.com/file/d/1tLscaVFmhRUTO_Kz_eqlDqUJeOs5TqDi/view?usp=drive_link
https://drive.google.com/file/d/11stck3OaSZvuzxfCij-DHiLUDuXya0Xz/view?usp=drive_link</x18tc:text>
    <x18tc:extLst>
      <ext uri="{F7C98A9C-CBB3-438F-8F68-D28B6AF4A901}">
        <xltc2:checksum/>
        <xltc2:hyperlink startIndex="0" length="85" url="https://drive.google.com/file/d/1tLscaVFmhRUTO_Kz_eqlDqUJeOs5TqDi/view?usp=drive_link"/>
        <xltc2:hyperlink startIndex="86" length="85" url="https://drive.google.com/file/d/11stck3OaSZvuzxfCij-DHiLUDuXya0Xz/view?usp=drive_link"/>
      </ext>
    </x18tc:extLst>
  </x18tc:threadedComment>
  <x18tc:threadedComment ref="J87" dT="2025-06-16T18:34:04.00" personId="{d8e4f5ad-b65d-4160-a56f-197530fb7eb1}" id="{1c443449-77b5-43dc-8004-c6c8ccbbe724}" done="0">
    <x18tc:text xml:space="preserve">https://drive.google.com/file/d/1sHcf_DOQZaDpI41DRFRzPXekn9RAbuQj/view?usp=drive_link</x18tc:text>
    <x18tc:extLst>
      <ext uri="{F7C98A9C-CBB3-438F-8F68-D28B6AF4A901}">
        <xltc2:checksum/>
        <xltc2:hyperlink startIndex="0" length="85" url="https://drive.google.com/file/d/1sHcf_DOQZaDpI41DRFRzPXekn9RAbuQj/view?usp=drive_link"/>
      </ext>
    </x18tc:extLst>
  </x18tc:threadedComment>
  <x18tc:threadedComment ref="K626" dT="2026-04-04T16:27:54.00" personId="{4df2d6c4-e43e-4f2e-b623-d90f458472ff}" id="{8fbdd673-7faf-484e-99f2-6e5227cd6c8d}" done="0">
    <x18tc:text xml:space="preserve">https://drive.google.com/file/d/1WjKIdd4iKJCDSnFOUMfznqG0CGxVxXjH/view?usp=drive_link</x18tc:text>
    <x18tc:extLst>
      <ext uri="{F7C98A9C-CBB3-438F-8F68-D28B6AF4A901}">
        <xltc2:checksum/>
        <xltc2:hyperlink startIndex="0" length="85" url="https://drive.google.com/file/d/1WjKIdd4iKJCDSnFOUMfznqG0CGxVxXjH/view?usp=drive_link"/>
      </ext>
    </x18tc:extLst>
  </x18tc:threadedComment>
  <x18tc:threadedComment ref="J454" dT="2026-01-01T00:12:11.00" personId="{4df2d6c4-e43e-4f2e-b623-d90f458472ff}" id="{4386f0a2-c0b6-427c-a529-39b57cff0add}" done="0">
    <x18tc:text xml:space="preserve">https://drive.google.com/file/d/18TIzHkB7-FVX-9IhJFPYLGGxAalZtVH0/view?usp=drive_link</x18tc:text>
    <x18tc:extLst>
      <ext uri="{F7C98A9C-CBB3-438F-8F68-D28B6AF4A901}">
        <xltc2:checksum/>
        <xltc2:hyperlink startIndex="0" length="85" url="https://drive.google.com/file/d/18TIzHkB7-FVX-9IhJFPYLGGxAalZtVH0/view?usp=drive_link"/>
      </ext>
    </x18tc:extLst>
  </x18tc:threadedComment>
  <x18tc:threadedComment ref="C590" dT="2026-03-07T00:29:29.00" personId="{f9b224d0-ee33-4499-ae47-db5bcd2d0435}" id="{55b0c8f5-a921-42b4-b324-52f6ad186c9c}"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AF469" dT="2026-02-07T19:47:56.00" personId="{2ddfa542-8116-4937-a057-08470d7abaab}" id="{697151ea-01a4-49c3-9f00-7e25aab58c41}" done="1">
    <x18tc:text xml:space="preserve">excedentes, fixit, venta final</x18tc:text>
  </x18tc:threadedComment>
  <x18tc:threadedComment ref="J589" dT="2026-03-06T21:06:42.00" personId="{f9b224d0-ee33-4499-ae47-db5bcd2d0435}" id="{0f3d3276-d1f6-4812-8243-4721742fd517}" done="0">
    <x18tc:text xml:space="preserve">https://drive.google.com/file/d/19laMsIhxJcxCPo3v_UuhOcLo2SwnjJCt/view?usp=drive_link</x18tc:text>
    <x18tc:extLst>
      <ext uri="{F7C98A9C-CBB3-438F-8F68-D28B6AF4A901}">
        <xltc2:checksum/>
        <xltc2:hyperlink startIndex="0" length="85" url="https://drive.google.com/file/d/19laMsIhxJcxCPo3v_UuhOcLo2SwnjJCt/view?usp=drive_link"/>
      </ext>
    </x18tc:extLst>
  </x18tc:threadedComment>
  <x18tc:threadedComment ref="K614" dT="2026-04-04T16:22:39.00" personId="{4df2d6c4-e43e-4f2e-b623-d90f458472ff}" id="{80101aff-e8f4-4ae3-9498-dc2c1f8bf8ef}" done="0">
    <x18tc:text xml:space="preserve">https://drive.google.com/file/d/160icLm5NQSRSBysqAjRLI9wuLNQkmJb6/view?usp=drive_link</x18tc:text>
    <x18tc:extLst>
      <ext uri="{F7C98A9C-CBB3-438F-8F68-D28B6AF4A901}">
        <xltc2:checksum/>
        <xltc2:hyperlink startIndex="0" length="85" url="https://drive.google.com/file/d/160icLm5NQSRSBysqAjRLI9wuLNQkmJb6/view?usp=drive_link"/>
      </ext>
    </x18tc:extLst>
  </x18tc:threadedComment>
  <x18tc:threadedComment ref="J455" dT="2026-01-01T00:11:17.00" personId="{4df2d6c4-e43e-4f2e-b623-d90f458472ff}" id="{7a6abf65-d8f3-43b4-a78e-8c36689d0557}" done="0">
    <x18tc:text xml:space="preserve">https://drive.google.com/file/d/12Vyq3nCzUB7S9WuqhDz1TsAui8dM_Vw4/view?usp=drive_link</x18tc:text>
    <x18tc:extLst>
      <ext uri="{F7C98A9C-CBB3-438F-8F68-D28B6AF4A901}">
        <xltc2:checksum/>
        <xltc2:hyperlink startIndex="0" length="85" url="https://drive.google.com/file/d/12Vyq3nCzUB7S9WuqhDz1TsAui8dM_Vw4/view?usp=drive_link"/>
      </ext>
    </x18tc:extLst>
  </x18tc:threadedComment>
  <x18tc:threadedComment ref="L175" dT="2025-09-09T02:45:23.00" personId="{4df2d6c4-e43e-4f2e-b623-d90f458472ff}" id="{84d77587-21d1-4efd-ac3f-4c8d8766abb9}" done="0">
    <x18tc:text xml:space="preserve">https://drive.google.com/file/d/15lB5KMMYpHBEOGr1AucwQAGxpwISutlb/view?usp=drive_link</x18tc:text>
    <x18tc:extLst>
      <ext uri="{F7C98A9C-CBB3-438F-8F68-D28B6AF4A901}">
        <xltc2:checksum/>
        <xltc2:hyperlink startIndex="0" length="85" url="https://drive.google.com/file/d/15lB5KMMYpHBEOGr1AucwQAGxpwISutlb/view?usp=drive_link"/>
      </ext>
    </x18tc:extLst>
  </x18tc:threadedComment>
  <x18tc:threadedComment ref="Q588" dT="2026-03-06T20:42:58.00" personId="{80195d68-4e9b-4dc7-a031-ca5391c97d0f}" id="{8364bc19-ff7e-40d7-a1a1-865ec6f04851}" done="0">
    <x18tc:text xml:space="preserve">antivirus+apertura+config inicial</x18tc:text>
  </x18tc:threadedComment>
  <x18tc:threadedComment ref="J620" dT="2026-04-04T16:24:37.00" personId="{4df2d6c4-e43e-4f2e-b623-d90f458472ff}" id="{8f19c748-a837-4b9b-bf9a-39136f720940}" done="1">
    <x18tc:text xml:space="preserve">https://drive.google.com/file/d/160icLm5NQSRSBysqAjRLI9wuLNQkmJb6/view?usp=drive_link</x18tc:text>
    <x18tc:extLst>
      <ext uri="{F7C98A9C-CBB3-438F-8F68-D28B6AF4A901}">
        <xltc2:checksum/>
        <xltc2:hyperlink startIndex="0" length="85" url="https://drive.google.com/file/d/160icLm5NQSRSBysqAjRLI9wuLNQkmJb6/view?usp=drive_link"/>
      </ext>
    </x18tc:extLst>
  </x18tc:threadedComment>
  <x18tc:threadedComment ref="J453" dT="2026-01-01T00:09:15.00" personId="{4df2d6c4-e43e-4f2e-b623-d90f458472ff}" id="{0dd19c94-b686-4230-9621-00c701e65453}" done="0">
    <x18tc:text xml:space="preserve">https://drive.google.com/file/d/1ZDJU8PXoCiJpXBhaYLc_2LaBd3Ew66lP/view?usp=drive_link</x18tc:text>
    <x18tc:extLst>
      <ext uri="{F7C98A9C-CBB3-438F-8F68-D28B6AF4A901}">
        <xltc2:checksum/>
        <xltc2:hyperlink startIndex="0" length="85" url="https://drive.google.com/file/d/1ZDJU8PXoCiJpXBhaYLc_2LaBd3Ew66lP/view?usp=drive_link"/>
      </ext>
    </x18tc:extLst>
  </x18tc:threadedComment>
  <x18tc:threadedComment ref="J315" dT="2025-11-18T18:30:31.00" personId="{a5d43f6d-3c72-4414-b012-8f52ef50acc4}" id="{6a46f720-3036-486a-8ec6-3ddc9c15d222}" done="0">
    <x18tc:text xml:space="preserve">https://drive.google.com/file/d/1Yk5w17BiYsrvgSXV9tDu2prxafPNW-Vs/view?usp=drive_link</x18tc:text>
    <x18tc:extLst>
      <ext uri="{F7C98A9C-CBB3-438F-8F68-D28B6AF4A901}">
        <xltc2:checksum/>
        <xltc2:hyperlink startIndex="0" length="85" url="https://drive.google.com/file/d/1Yk5w17BiYsrvgSXV9tDu2prxafPNW-Vs/view?usp=drive_link"/>
      </ext>
    </x18tc:extLst>
  </x18tc:threadedComment>
  <x18tc:threadedComment ref="AF494" dT="2026-02-07T19:48:27.00" personId="{2ddfa542-8116-4937-a057-08470d7abaab}" id="{6811f773-a15f-4f9d-9a15-45abe635eea9}" done="1">
    <x18tc:text xml:space="preserve">excedentes, fixit, venta final</x18tc:text>
  </x18tc:threadedComment>
  <x18tc:threadedComment ref="K510" dT="2026-02-07T16:55:08.00" personId="{d8e4f5ad-b65d-4160-a56f-197530fb7eb1}" id="{b280ecc8-91d0-41f7-ac7b-03d8b80e4b81}" done="0">
    <x18tc:text xml:space="preserve">https://drive.google.com/file/d/10XRrcf4YJ5896R3f3gBCp3VGu_g8Kd1I/view?usp=drive_link</x18tc:text>
    <x18tc:extLst>
      <ext uri="{F7C98A9C-CBB3-438F-8F68-D28B6AF4A901}">
        <xltc2:checksum/>
        <xltc2:hyperlink startIndex="0" length="85" url="https://drive.google.com/file/d/10XRrcf4YJ5896R3f3gBCp3VGu_g8Kd1I/view?usp=drive_link"/>
      </ext>
    </x18tc:extLst>
  </x18tc:threadedComment>
  <x18tc:threadedComment ref="AF476" dT="2026-02-07T19:48:22.00" personId="{2ddfa542-8116-4937-a057-08470d7abaab}" id="{505181aa-f51b-4f6d-91b2-7a0568b0f766}" done="1">
    <x18tc:text xml:space="preserve">excedentes, fixit</x18tc:text>
  </x18tc:threadedComment>
  <x18tc:threadedComment ref="N299" dT="2025-11-09T01:06:19.00" personId="{a5d43f6d-3c72-4414-b012-8f52ef50acc4}" id="{852a3698-0b3a-4685-bacf-43078a38d4fa}" done="1">
    <x18tc:text xml:space="preserve">S/.830,22881
S/.979,6700</x18tc:text>
  </x18tc:threadedComment>
  <x18tc:threadedComment ref="Q599" dT="2026-04-06T15:13:51.00" personId="{80195d68-4e9b-4dc7-a031-ca5391c97d0f}" id="{446a5a9f-52cb-459f-b95e-bf83bdb830e2}" done="0">
    <x18tc:text xml:space="preserve">office 2024+antivirus+configuracion inicial</x18tc:text>
  </x18tc:threadedComment>
  <x18tc:threadedComment ref="J647" dT="2026-04-04T16:39:12.00" personId="{4df2d6c4-e43e-4f2e-b623-d90f458472ff}" id="{1fbc5499-96dd-4cf1-8eea-f8e29af356ce}" done="0">
    <x18tc:text xml:space="preserve">https://drive.google.com/file/d/1K0xZzX60gFyZwiemD2NUVtOOw2EJIzLY/view?usp=drive_link</x18tc:text>
    <x18tc:extLst>
      <ext uri="{F7C98A9C-CBB3-438F-8F68-D28B6AF4A901}">
        <xltc2:checksum/>
        <xltc2:hyperlink startIndex="0" length="85" url="https://drive.google.com/file/d/1K0xZzX60gFyZwiemD2NUVtOOw2EJIzLY/view?usp=drive_link"/>
      </ext>
    </x18tc:extLst>
  </x18tc:threadedComment>
  <x18tc:threadedComment ref="W450" dT="2026-01-03T15:55:11.00" personId="{d8e4f5ad-b65d-4160-a56f-197530fb7eb1}" id="{bee33b91-e28f-4d83-abfa-5950f73190cd}" done="0">
    <x18tc:text xml:space="preserve">factura</x18tc:text>
  </x18tc:threadedComment>
  <x18tc:threadedComment ref="W450" dT="2026-01-03T15:55:22.00" personId="{d8e4f5ad-b65d-4160-a56f-197530fb7eb1}" id="{e93357ac-0773-4c2b-be38-d370228053ce}" parentId="{bee33b91-e28f-4d83-abfa-5950f73190cd}">
    <x18tc:text xml:space="preserve">Ruc: 20482614770</x18tc:text>
  </x18tc:threadedComment>
  <x18tc:threadedComment ref="W450" dT="2026-01-03T17:54:14.00" personId="{2ddfa542-8116-4937-a057-08470d7abaab}" id="{08c94761-eb8b-419f-a057-359b0cdea03e}" parentId="{bee33b91-e28f-4d83-abfa-5950f73190cd}">
    <x18tc:text xml:space="preserve">https://drive.google.com/file/d/1N755lw0YpGKOSzcKPmbUoISTk0FrkMVi/view?usp=drive_link</x18tc:text>
    <x18tc:extLst>
      <ext uri="{F7C98A9C-CBB3-438F-8F68-D28B6AF4A901}">
        <xltc2:checksum/>
        <xltc2:hyperlink startIndex="0" length="85" url="https://drive.google.com/file/d/1N755lw0YpGKOSzcKPmbUoISTk0FrkMVi/view?usp=drive_link"/>
      </ext>
    </x18tc:extLst>
  </x18tc:threadedComment>
  <x18tc:threadedComment ref="C88" dT="2025-06-06T19:22:46.00" personId="{a5d43f6d-3c72-4414-b012-8f52ef50acc4}" id="{c8b8682a-023b-493c-bf43-f3097be88b33}" done="0">
    <x18tc:text xml:space="preserve">https://www.ebay.com/itm/297282597330?_skw=5070&amp;itmmeta=01JX2Y62KJ80PQX3WTYHHTQ5XA&amp;hash=item45376c71d2:g:MpIAAeSw8PNoJCUU</x18tc:text>
    <x18tc:extLst>
      <ext uri="{F7C98A9C-CBB3-438F-8F68-D28B6AF4A901}">
        <xltc2:checksum/>
        <xltc2:hyperlink startIndex="0" length="121" url="https://www.ebay.com/itm/297282597330?_skw=5070&amp;itmmeta=01JX2Y62KJ80PQX3WTYHHTQ5XA&amp;hash=item45376c71d2:g:MpIAAeSw8PNoJCUU"/>
      </ext>
    </x18tc:extLst>
  </x18tc:threadedComment>
  <x18tc:threadedComment ref="J629" dT="2026-04-04T16:43:13.00" personId="{4df2d6c4-e43e-4f2e-b623-d90f458472ff}" id="{288bcc35-23f1-4215-9572-75ae71b299c8}" done="0">
    <x18tc:text xml:space="preserve">https://drive.google.com/file/d/18_slVCn9KTtHRmPnhJ_joK95GqC60kEK/view?usp=drive_link</x18tc:text>
    <x18tc:extLst>
      <ext uri="{F7C98A9C-CBB3-438F-8F68-D28B6AF4A901}">
        <xltc2:checksum/>
        <xltc2:hyperlink startIndex="0" length="85" url="https://drive.google.com/file/d/18_slVCn9KTtHRmPnhJ_joK95GqC60kEK/view?usp=drive_link"/>
      </ext>
    </x18tc:extLst>
  </x18tc:threadedComment>
  <x18tc:threadedComment ref="J88" dT="2025-06-06T19:24:23.00" personId="{a5d43f6d-3c72-4414-b012-8f52ef50acc4}" id="{06ae9b48-59a1-43fc-9a25-648e2cd40d9c}" done="0">
    <x18tc:text xml:space="preserve">https://drive.google.com/file/d/156d2WxST4tqxiN9vkvLw6dOJxXf1Fij-/view?usp=drive_link</x18tc:text>
    <x18tc:extLst>
      <ext uri="{F7C98A9C-CBB3-438F-8F68-D28B6AF4A901}">
        <xltc2:checksum/>
        <xltc2:hyperlink startIndex="0" length="85" url="https://drive.google.com/file/d/156d2WxST4tqxiN9vkvLw6dOJxXf1Fij-/view?usp=drive_link"/>
      </ext>
    </x18tc:extLst>
  </x18tc:threadedComment>
  <x18tc:threadedComment ref="J687" dT="2026-04-18T00:37:40.00" personId="{d8e4f5ad-b65d-4160-a56f-197530fb7eb1}" id="{a7b3e573-4992-44cc-88bf-c2c5fb79b5c8}" done="0">
    <x18tc:text xml:space="preserve">https://drive.google.com/file/d/1TxyrOxR-z23yUFCMDrwiGA-3Q1j-OEVJ/view?usp=drive_link</x18tc:text>
    <x18tc:extLst>
      <ext uri="{F7C98A9C-CBB3-438F-8F68-D28B6AF4A901}">
        <xltc2:checksum/>
        <xltc2:hyperlink startIndex="0" length="85" url="https://drive.google.com/file/d/1TxyrOxR-z23yUFCMDrwiGA-3Q1j-OEVJ/view?usp=drive_link"/>
      </ext>
    </x18tc:extLst>
  </x18tc:threadedComment>
  <x18tc:threadedComment ref="K627" dT="2026-04-04T16:36:02.00" personId="{4df2d6c4-e43e-4f2e-b623-d90f458472ff}" id="{a8d0ee80-ced7-437e-9caf-a0991f13d540}" done="1">
    <x18tc:text xml:space="preserve">https://drive.google.com/file/d/1qWTouQILpgybd58aayc5e7JNVvZuyTOv/view?usp=drive_link</x18tc:text>
    <x18tc:extLst>
      <ext uri="{F7C98A9C-CBB3-438F-8F68-D28B6AF4A901}">
        <xltc2:checksum/>
        <xltc2:hyperlink startIndex="0" length="85" url="https://drive.google.com/file/d/1qWTouQILpgybd58aayc5e7JNVvZuyTOv/view?usp=drive_link"/>
      </ext>
    </x18tc:extLst>
  </x18tc:threadedComment>
  <x18tc:threadedComment ref="K627" dT="2026-04-04T16:36:55.00" personId="{4df2d6c4-e43e-4f2e-b623-d90f458472ff}" id="{fa923e2c-1d8a-45e8-9b34-c91057f69098}" parentId="{a8d0ee80-ced7-437e-9caf-a0991f13d540}">
    <x18tc:text xml:space="preserve">https://drive.google.com/file/d/1qWTouQILpgybd58aayc5e7JNVvZuyTOv/view?usp=drive_link</x18tc:text>
    <x18tc:extLst>
      <ext uri="{F7C98A9C-CBB3-438F-8F68-D28B6AF4A901}">
        <xltc2:checksum/>
        <xltc2:hyperlink startIndex="0" length="85" url="https://drive.google.com/file/d/1qWTouQILpgybd58aayc5e7JNVvZuyTOv/view?usp=drive_link"/>
      </ext>
    </x18tc:extLst>
  </x18tc:threadedComment>
  <x18tc:threadedComment ref="J684" dT="2026-04-18T00:39:27.00" personId="{d8e4f5ad-b65d-4160-a56f-197530fb7eb1}" id="{310e1ccf-b029-4ae7-8cf0-791e1f28b0cc}" done="0">
    <x18tc:text xml:space="preserve">https://drive.google.com/file/d/1qfXBx7d3fRsVgxP6Lw1vtpgdzHwQCWEW/view?usp=drive_link</x18tc:text>
    <x18tc:extLst>
      <ext uri="{F7C98A9C-CBB3-438F-8F68-D28B6AF4A901}">
        <xltc2:checksum/>
        <xltc2:hyperlink startIndex="0" length="85" url="https://drive.google.com/file/d/1qfXBx7d3fRsVgxP6Lw1vtpgdzHwQCWEW/view?usp=drive_link"/>
      </ext>
    </x18tc:extLst>
  </x18tc:threadedComment>
  <x18tc:threadedComment ref="AF624" dT="2026-04-08T02:03:25.00" personId="{2ddfa542-8116-4937-a057-08470d7abaab}" id="{3e4e6df2-927a-4264-98eb-96b068cd4bd0}" done="1">
    <x18tc:text xml:space="preserve">venta final, excedentes, fixit</x18tc:text>
  </x18tc:threadedComment>
  <x18tc:threadedComment ref="J187" dT="2025-08-23T17:49:39.00" personId="{a5d43f6d-3c72-4414-b012-8f52ef50acc4}" id="{d33b6a60-677b-4ccd-8fde-9a5a470b3066}" done="0">
    <x18tc:text xml:space="preserve">https://drive.google.com/file/d/1F0ZzJ4YoVQ5CDa07_KZeBbINA9AzZwfw/view?usp=drive_link</x18tc:text>
    <x18tc:extLst>
      <ext uri="{F7C98A9C-CBB3-438F-8F68-D28B6AF4A901}">
        <xltc2:checksum/>
        <xltc2:hyperlink startIndex="0" length="85" url="https://drive.google.com/file/d/1F0ZzJ4YoVQ5CDa07_KZeBbINA9AzZwfw/view?usp=drive_link"/>
      </ext>
    </x18tc:extLst>
  </x18tc:threadedComment>
  <x18tc:threadedComment ref="J64" dT="2025-05-23T20:09:58.00" personId="{a5d43f6d-3c72-4414-b012-8f52ef50acc4}" id="{59e6fbb2-6c2d-410a-a223-fc88c7f52cbc}" done="0">
    <x18tc:text xml:space="preserve">https://drive.google.com/file/d/1gnjbCfTpQWmrh8SepA2TRZIMr7pA3EyX/view?usp=drive_link</x18tc:text>
    <x18tc:extLst>
      <ext uri="{F7C98A9C-CBB3-438F-8F68-D28B6AF4A901}">
        <xltc2:checksum/>
        <xltc2:hyperlink startIndex="0" length="85" url="https://drive.google.com/file/d/1gnjbCfTpQWmrh8SepA2TRZIMr7pA3EyX/view?usp=drive_link"/>
      </ext>
    </x18tc:extLst>
  </x18tc:threadedComment>
  <x18tc:threadedComment ref="AF465" dT="2026-02-07T21:25:48.00" personId="{2ddfa542-8116-4937-a057-08470d7abaab}" id="{635cfd28-e666-4c97-a15c-568fea839e20}" done="1">
    <x18tc:text xml:space="preserve">exceden, fixi, venta final</x18tc:text>
  </x18tc:threadedComment>
  <x18tc:threadedComment ref="J627" dT="2026-04-04T16:32:08.00" personId="{4df2d6c4-e43e-4f2e-b623-d90f458472ff}" id="{9bc1b929-dcf3-43c6-93f7-d8983f898232}" done="0">
    <x18tc:text xml:space="preserve">https://drive.google.com/file/d/1rMGS-gVHpy8ZndfiEmtaGdBhSGsA_Pv_/view?usp=drive_link</x18tc:text>
    <x18tc:extLst>
      <ext uri="{F7C98A9C-CBB3-438F-8F68-D28B6AF4A901}">
        <xltc2:checksum/>
        <xltc2:hyperlink startIndex="0" length="85" url="https://drive.google.com/file/d/1rMGS-gVHpy8ZndfiEmtaGdBhSGsA_Pv_/view?usp=drive_link"/>
      </ext>
    </x18tc:extLst>
  </x18tc:threadedComment>
  <x18tc:threadedComment ref="C187" dT="2025-08-23T17:31:52.00" personId="{a5d43f6d-3c72-4414-b012-8f52ef50acc4}" id="{9cc64abb-1d81-486d-a983-05443b989fe6}" done="0">
    <x18tc:text xml:space="preserve">https://www.costco.com/dell-inspiron-16-touchscreen-laptop---intel-core-7-150u-processor---fhd-1920-x-1200---windows-11-home.product.4000358293.html</x18tc:text>
    <x18tc:extLst>
      <ext uri="{F7C98A9C-CBB3-438F-8F68-D28B6AF4A901}">
        <xltc2:checksum/>
        <xltc2:hyperlink startIndex="0" length="148" url="https://www.costco.com/dell-inspiron-16-touchscreen-laptop---intel-core-7-150u-processor---fhd-1920-x-1200---windows-11-home.product.4000358293.html"/>
      </ext>
    </x18tc:extLst>
  </x18tc:threadedComment>
  <x18tc:threadedComment ref="J93" dT="2025-06-16T18:35:37.00" personId="{d8e4f5ad-b65d-4160-a56f-197530fb7eb1}" id="{f143bea8-c3ad-4a10-8844-2aa81b2cdb66}" done="0">
    <x18tc:text xml:space="preserve">https://drive.google.com/file/d/1BTA6GOQNPDdT5rSfSLXNBl5EkxZ3oh7M/view?usp=drive_link</x18tc:text>
    <x18tc:extLst>
      <ext uri="{F7C98A9C-CBB3-438F-8F68-D28B6AF4A901}">
        <xltc2:checksum/>
        <xltc2:hyperlink startIndex="0" length="85" url="https://drive.google.com/file/d/1BTA6GOQNPDdT5rSfSLXNBl5EkxZ3oh7M/view?usp=drive_link"/>
      </ext>
    </x18tc:extLst>
  </x18tc:threadedComment>
  <x18tc:threadedComment ref="J68" dT="2025-05-23T20:30:33.00" personId="{d8e4f5ad-b65d-4160-a56f-197530fb7eb1}" id="{e5cd2e0a-7030-469e-8a14-512544fab596}" done="0">
    <x18tc:text xml:space="preserve">https://drive.google.com/file/d/1gi6CLafHuy_pV6K9N7q2DqPYfW14vHBe/view?usp=drive_link</x18tc:text>
    <x18tc:extLst>
      <ext uri="{F7C98A9C-CBB3-438F-8F68-D28B6AF4A901}">
        <xltc2:checksum/>
        <xltc2:hyperlink startIndex="0" length="85" url="https://drive.google.com/file/d/1gi6CLafHuy_pV6K9N7q2DqPYfW14vHBe/view?usp=drive_link"/>
      </ext>
    </x18tc:extLst>
  </x18tc:threadedComment>
  <x18tc:threadedComment ref="J586" dT="2026-04-04T16:15:40.00" personId="{4df2d6c4-e43e-4f2e-b623-d90f458472ff}" id="{d02feeda-c03e-4575-a863-d346fa8ad223}" done="0">
    <x18tc:text xml:space="preserve">https://drive.google.com/file/d/1Qch9u1F1QimuAn5Mk45bWAajdvDiHlaI/view?usp=drive_link</x18tc:text>
    <x18tc:extLst>
      <ext uri="{F7C98A9C-CBB3-438F-8F68-D28B6AF4A901}">
        <xltc2:checksum/>
        <xltc2:hyperlink startIndex="0" length="85" url="https://drive.google.com/file/d/1Qch9u1F1QimuAn5Mk45bWAajdvDiHlaI/view?usp=drive_link"/>
      </ext>
    </x18tc:extLst>
  </x18tc:threadedComment>
  <x18tc:threadedComment ref="AF639" dT="2026-04-08T02:04:05.00" personId="{2ddfa542-8116-4937-a057-08470d7abaab}" id="{40635a25-ede0-4301-ad50-2f44021a4cd4}" done="1">
    <x18tc:text xml:space="preserve">venta final, excedentes, fixit</x18tc:text>
  </x18tc:threadedComment>
  <x18tc:threadedComment ref="J86" dT="2025-06-16T18:37:29.00" personId="{d8e4f5ad-b65d-4160-a56f-197530fb7eb1}" id="{3f154470-cd50-4a7a-926a-02b4bc56b63e}" done="0">
    <x18tc:text xml:space="preserve">https://drive.google.com/file/d/1Hq2pNdNFqWXW1rFfh8TD0vttCvtewNVW/view?usp=drive_link</x18tc:text>
    <x18tc:extLst>
      <ext uri="{F7C98A9C-CBB3-438F-8F68-D28B6AF4A901}">
        <xltc2:checksum/>
        <xltc2:hyperlink startIndex="0" length="85" url="https://drive.google.com/file/d/1Hq2pNdNFqWXW1rFfh8TD0vttCvtewNVW/view?usp=drive_link"/>
      </ext>
    </x18tc:extLst>
  </x18tc:threadedComment>
  <x18tc:threadedComment ref="AF724" dT="2026-05-25T21:31:19.00" personId="{2ddfa542-8116-4937-a057-08470d7abaab}" id="{d9749f07-fdfd-492d-bd1a-a0b32a68e4fd}" done="0">
    <x18tc:text xml:space="preserve">Pago final, Fixit, excedentes</x18tc:text>
  </x18tc:threadedComment>
  <x18tc:threadedComment ref="J686" dT="2026-04-18T00:37:08.00" personId="{d8e4f5ad-b65d-4160-a56f-197530fb7eb1}" id="{ef1295a4-a11f-4833-9425-51d63d8c33a9}" done="0">
    <x18tc:text xml:space="preserve">https://drive.google.com/file/d/1O-5HQ4qlC4tBU2BDr9fh8rvZaYTVY0Xq/view?usp=drive_link</x18tc:text>
    <x18tc:extLst>
      <ext uri="{F7C98A9C-CBB3-438F-8F68-D28B6AF4A901}">
        <xltc2:checksum/>
        <xltc2:hyperlink startIndex="0" length="85" url="https://drive.google.com/file/d/1O-5HQ4qlC4tBU2BDr9fh8rvZaYTVY0Xq/view?usp=drive_link"/>
      </ext>
    </x18tc:extLst>
  </x18tc:threadedComment>
  <x18tc:threadedComment ref="J626" dT="2026-04-04T16:31:37.00" personId="{4df2d6c4-e43e-4f2e-b623-d90f458472ff}" id="{3246d32d-6961-4f5c-8ccb-b620b6503393}" done="0">
    <x18tc:text xml:space="preserve">https://drive.google.com/file/d/1-HZ9J_pWdLFjbV9kf4k7y8Dq593SAe5m/view?usp=drive_link</x18tc:text>
    <x18tc:extLst>
      <ext uri="{F7C98A9C-CBB3-438F-8F68-D28B6AF4A901}">
        <xltc2:checksum/>
        <xltc2:hyperlink startIndex="0" length="85" url="https://drive.google.com/file/d/1-HZ9J_pWdLFjbV9kf4k7y8Dq593SAe5m/view?usp=drive_link"/>
      </ext>
    </x18tc:extLst>
  </x18tc:threadedComment>
  <x18tc:threadedComment ref="J526" dT="2026-02-07T22:05:15.00" personId="{d8e4f5ad-b65d-4160-a56f-197530fb7eb1}" id="{53bf878f-a5ea-4e66-8fbc-0ae72597576a}" done="0">
    <x18tc:text xml:space="preserve">https://drive.google.com/file/d/1OniFpsOEf8X7M7RmdbCNPt_Hi1hEj2Kf/view?usp=drive_link</x18tc:text>
    <x18tc:extLst>
      <ext uri="{F7C98A9C-CBB3-438F-8F68-D28B6AF4A901}">
        <xltc2:checksum/>
        <xltc2:hyperlink startIndex="0" length="85" url="https://drive.google.com/file/d/1OniFpsOEf8X7M7RmdbCNPt_Hi1hEj2Kf/view?usp=drive_link"/>
      </ext>
    </x18tc:extLst>
  </x18tc:threadedComment>
  <x18tc:threadedComment ref="AF634" dT="2026-04-08T02:03:59.00" personId="{2ddfa542-8116-4937-a057-08470d7abaab}" id="{809ebda5-94bb-4ca5-b3ce-f9253f128904}" done="1">
    <x18tc:text xml:space="preserve">venta final, excedentes, fixit</x18tc:text>
  </x18tc:threadedComment>
  <x18tc:threadedComment ref="J509" dT="2026-01-29T18:20:39.00" personId="{a5d43f6d-3c72-4414-b012-8f52ef50acc4}" id="{79adb9e9-9503-49ea-b455-5add7e3781bf}" done="0">
    <x18tc:text xml:space="preserve">https://drive.google.com/file/d/1LQB9bu-5TKi7T9s5UtMiON8ACwOwBne6/view?usp=drive_link</x18tc:text>
    <x18tc:extLst>
      <ext uri="{F7C98A9C-CBB3-438F-8F68-D28B6AF4A901}">
        <xltc2:checksum/>
        <xltc2:hyperlink startIndex="0" length="85" url="https://drive.google.com/file/d/1LQB9bu-5TKi7T9s5UtMiON8ACwOwBne6/view?usp=drive_link"/>
      </ext>
    </x18tc:extLst>
  </x18tc:threadedComment>
  <x18tc:threadedComment ref="AF463" dT="2026-02-07T21:26:45.00" personId="{2ddfa542-8116-4937-a057-08470d7abaab}" id="{d4b0e7d1-b032-4cda-afa6-ef60a6daf934}" done="0">
    <x18tc:text xml:space="preserve">excdentes, fixit y vental final</x18tc:text>
  </x18tc:threadedComment>
  <x18tc:threadedComment ref="S341" dT="2025-12-11T14:48:56.00" personId="{d8e4f5ad-b65d-4160-a56f-197530fb7eb1}" id="{e353a48a-872f-4188-be33-eea448d69cad}" done="0">
    <x18tc:text xml:space="preserve">https://drive.google.com/file/d/1Y-FW8zSH6aCdA0mbMz-DU4o6FWYAZZ6T/view?usp=drive_link</x18tc:text>
    <x18tc:extLst>
      <ext uri="{F7C98A9C-CBB3-438F-8F68-D28B6AF4A901}">
        <xltc2:checksum/>
        <xltc2:hyperlink startIndex="0" length="85" url="https://drive.google.com/file/d/1Y-FW8zSH6aCdA0mbMz-DU4o6FWYAZZ6T/view?usp=drive_link"/>
      </ext>
    </x18tc:extLst>
  </x18tc:threadedComment>
  <x18tc:threadedComment ref="C702" dT="2026-04-23T20:40:48.00" personId="{4df2d6c4-e43e-4f2e-b623-d90f458472ff}" id="{a0d25d48-d9ed-48b3-ac0a-68800723169f}"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397" dT="2025-12-11T15:03:02.00" personId="{d8e4f5ad-b65d-4160-a56f-197530fb7eb1}" id="{63b0b3d4-ae58-4888-9982-2404559e5e17}" done="0">
    <x18tc:text xml:space="preserve">https://drive.google.com/file/d/1_-ElWzY2SAzG-gyd6Ev2X4gQjBvyxWMD/view?usp=drive_link</x18tc:text>
    <x18tc:extLst>
      <ext uri="{F7C98A9C-CBB3-438F-8F68-D28B6AF4A901}">
        <xltc2:checksum/>
        <xltc2:hyperlink startIndex="0" length="85" url="https://drive.google.com/file/d/1_-ElWzY2SAzG-gyd6Ev2X4gQjBvyxWMD/view?usp=drive_link"/>
      </ext>
    </x18tc:extLst>
  </x18tc:threadedComment>
  <x18tc:threadedComment ref="K773" dT="2026-06-19T15:31:18.00" personId="{f9b224d0-ee33-4499-ae47-db5bcd2d0435}" id="{c6a09dc9-6d32-42f1-8293-afb1f7cc93a0}" done="0">
    <x18tc:text xml:space="preserve">https://drive.google.com/file/d/185yXRX4CuSCsoWEO_KCj9Sc2mJTSerhg/view?usp=drive_link</x18tc:text>
    <x18tc:extLst>
      <ext uri="{F7C98A9C-CBB3-438F-8F68-D28B6AF4A901}">
        <xltc2:checksum/>
        <xltc2:hyperlink startIndex="0" length="85" url="https://drive.google.com/file/d/185yXRX4CuSCsoWEO_KCj9Sc2mJTSerhg/view?usp=drive_link"/>
      </ext>
    </x18tc:extLst>
  </x18tc:threadedComment>
  <x18tc:threadedComment ref="K773" dT="2026-06-19T15:32:50.00" personId="{f9b224d0-ee33-4499-ae47-db5bcd2d0435}" id="{4255fdf4-4f75-4a3f-9ab1-d9fc54be3b8e}" parentId="{c6a09dc9-6d32-42f1-8293-afb1f7cc93a0}">
    <x18tc:text xml:space="preserve">https://drive.google.com/file/d/1Wa42aJ8oigurIcsYZq2H3mPdwlUinYIM/view?usp=drive_link</x18tc:text>
    <x18tc:extLst>
      <ext uri="{F7C98A9C-CBB3-438F-8F68-D28B6AF4A901}">
        <xltc2:checksum/>
        <xltc2:hyperlink startIndex="0" length="85" url="https://drive.google.com/file/d/1Wa42aJ8oigurIcsYZq2H3mPdwlUinYIM/view?usp=drive_link"/>
      </ext>
    </x18tc:extLst>
  </x18tc:threadedComment>
  <x18tc:threadedComment ref="K773" dT="2026-06-19T15:34:19.00" personId="{f9b224d0-ee33-4499-ae47-db5bcd2d0435}" id="{7ff6697a-d561-4647-a06f-5fbb86ba576c}" parentId="{c6a09dc9-6d32-42f1-8293-afb1f7cc93a0}">
    <x18tc:text xml:space="preserve">https://drive.google.com/file/d/174T4k2IXwwkRzrU6_OeXdPXe0gPZo8KH/view?usp=drive_link</x18tc:text>
    <x18tc:extLst>
      <ext uri="{F7C98A9C-CBB3-438F-8F68-D28B6AF4A901}">
        <xltc2:checksum/>
        <xltc2:hyperlink startIndex="0" length="85" url="https://drive.google.com/file/d/174T4k2IXwwkRzrU6_OeXdPXe0gPZo8KH/view?usp=drive_link"/>
      </ext>
    </x18tc:extLst>
  </x18tc:threadedComment>
  <x18tc:threadedComment ref="K773" dT="2026-06-19T15:36:27.00" personId="{f9b224d0-ee33-4499-ae47-db5bcd2d0435}" id="{7d896666-97eb-4b9b-abd5-965f67550eb7}" parentId="{c6a09dc9-6d32-42f1-8293-afb1f7cc93a0}">
    <x18tc:text xml:space="preserve">https://drive.google.com/file/d/1pkGdlTNxDvTeMKCynvX8XqcuU4oMlyGM/view?usp=drive_link</x18tc:text>
    <x18tc:extLst>
      <ext uri="{F7C98A9C-CBB3-438F-8F68-D28B6AF4A901}">
        <xltc2:checksum/>
        <xltc2:hyperlink startIndex="0" length="85" url="https://drive.google.com/file/d/1pkGdlTNxDvTeMKCynvX8XqcuU4oMlyGM/view?usp=drive_link"/>
      </ext>
    </x18tc:extLst>
  </x18tc:threadedComment>
  <x18tc:threadedComment ref="K773" dT="2026-06-19T23:10:14.00" personId="{f9b224d0-ee33-4499-ae47-db5bcd2d0435}" id="{9eaa2edb-3c75-4404-a55d-a2d7e016c6f9}" parentId="{c6a09dc9-6d32-42f1-8293-afb1f7cc93a0}">
    <x18tc:text xml:space="preserve">https://drive.google.com/file/d/1jxnHbhHAaOWd11MgE7rk-45CRjhyvHyp/view?usp=drive_link</x18tc:text>
    <x18tc:extLst>
      <ext uri="{F7C98A9C-CBB3-438F-8F68-D28B6AF4A901}">
        <xltc2:checksum/>
        <xltc2:hyperlink startIndex="0" length="85" url="https://drive.google.com/file/d/1jxnHbhHAaOWd11MgE7rk-45CRjhyvHyp/view?usp=drive_link"/>
      </ext>
    </x18tc:extLst>
  </x18tc:threadedComment>
  <x18tc:threadedComment ref="K773" dT="2026-06-19T23:11:06.00" personId="{f9b224d0-ee33-4499-ae47-db5bcd2d0435}" id="{6538f413-a44a-4b03-87c1-38b7cd357bbf}" parentId="{c6a09dc9-6d32-42f1-8293-afb1f7cc93a0}">
    <x18tc:text xml:space="preserve">https://drive.google.com/file/d/12sQ4BAiy7Q31MleWkQ_ZWpHonuy5Mr3c/view?usp=drive_link</x18tc:text>
    <x18tc:extLst>
      <ext uri="{F7C98A9C-CBB3-438F-8F68-D28B6AF4A901}">
        <xltc2:checksum/>
        <xltc2:hyperlink startIndex="0" length="85" url="https://drive.google.com/file/d/12sQ4BAiy7Q31MleWkQ_ZWpHonuy5Mr3c/view?usp=drive_link"/>
      </ext>
    </x18tc:extLst>
  </x18tc:threadedComment>
  <x18tc:threadedComment ref="K773" dT="2026-06-19T23:12:24.00" personId="{f9b224d0-ee33-4499-ae47-db5bcd2d0435}" id="{04ce7ca0-fd46-45b3-82ac-f1fd26c0d0f4}" parentId="{c6a09dc9-6d32-42f1-8293-afb1f7cc93a0}">
    <x18tc:text xml:space="preserve">https://drive.google.com/file/d/1F__edrKpagh7Zzh2FdlZyKQ8j0iS9I49/view?usp=drive_link</x18tc:text>
    <x18tc:extLst>
      <ext uri="{F7C98A9C-CBB3-438F-8F68-D28B6AF4A901}">
        <xltc2:checksum/>
        <xltc2:hyperlink startIndex="0" length="85" url="https://drive.google.com/file/d/1F__edrKpagh7Zzh2FdlZyKQ8j0iS9I49/view?usp=drive_link"/>
      </ext>
    </x18tc:extLst>
  </x18tc:threadedComment>
  <x18tc:threadedComment ref="K773" dT="2026-06-20T21:38:22.00" personId="{f9b224d0-ee33-4499-ae47-db5bcd2d0435}" id="{6b50a02c-7e6e-4837-bca8-95f9d1ff8f2a}" parentId="{c6a09dc9-6d32-42f1-8293-afb1f7cc93a0}">
    <x18tc:text xml:space="preserve">https://drive.google.com/file/d/1QA2UmDHpCiVO_HoNZ-zEUAQPSA8lZPwg/view?usp=drive_link</x18tc:text>
    <x18tc:extLst>
      <ext uri="{F7C98A9C-CBB3-438F-8F68-D28B6AF4A901}">
        <xltc2:checksum/>
        <xltc2:hyperlink startIndex="0" length="85" url="https://drive.google.com/file/d/1QA2UmDHpCiVO_HoNZ-zEUAQPSA8lZPwg/view?usp=drive_link"/>
      </ext>
    </x18tc:extLst>
  </x18tc:threadedComment>
  <x18tc:threadedComment ref="K773" dT="2026-06-20T21:39:59.00" personId="{f9b224d0-ee33-4499-ae47-db5bcd2d0435}" id="{825a48e3-af4f-4f6d-8679-449b345c07b4}" parentId="{c6a09dc9-6d32-42f1-8293-afb1f7cc93a0}">
    <x18tc:text xml:space="preserve">https://drive.google.com/file/d/179U1G7wliuQXYwXAJ1E88IfOeoz3KxsH/view?usp=drive_link</x18tc:text>
    <x18tc:extLst>
      <ext uri="{F7C98A9C-CBB3-438F-8F68-D28B6AF4A901}">
        <xltc2:checksum/>
        <xltc2:hyperlink startIndex="0" length="85" url="https://drive.google.com/file/d/179U1G7wliuQXYwXAJ1E88IfOeoz3KxsH/view?usp=drive_link"/>
      </ext>
    </x18tc:extLst>
  </x18tc:threadedComment>
  <x18tc:threadedComment ref="K773" dT="2026-06-20T21:41:38.00" personId="{f9b224d0-ee33-4499-ae47-db5bcd2d0435}" id="{8b0ef3e1-fee3-47ae-ac8a-c0cb9b666c49}" parentId="{c6a09dc9-6d32-42f1-8293-afb1f7cc93a0}">
    <x18tc:text xml:space="preserve">https://drive.google.com/file/d/19dLxbaWk9Rp8jtrWvJg-40foC-NnbnRb/view?usp=drive_link</x18tc:text>
    <x18tc:extLst>
      <ext uri="{F7C98A9C-CBB3-438F-8F68-D28B6AF4A901}">
        <xltc2:checksum/>
        <xltc2:hyperlink startIndex="0" length="85" url="https://drive.google.com/file/d/19dLxbaWk9Rp8jtrWvJg-40foC-NnbnRb/view?usp=drive_link"/>
      </ext>
    </x18tc:extLst>
  </x18tc:threadedComment>
  <x18tc:threadedComment ref="K773" dT="2026-06-20T21:43:23.00" personId="{f9b224d0-ee33-4499-ae47-db5bcd2d0435}" id="{647c06cb-0206-43d1-af9b-f93568168c69}" parentId="{c6a09dc9-6d32-42f1-8293-afb1f7cc93a0}">
    <x18tc:text xml:space="preserve">https://drive.google.com/file/d/1WzugQsVMO6bz1GtZM8SuSWF4RbyQd68i/view?usp=drive_link</x18tc:text>
    <x18tc:extLst>
      <ext uri="{F7C98A9C-CBB3-438F-8F68-D28B6AF4A901}">
        <xltc2:checksum/>
        <xltc2:hyperlink startIndex="0" length="85" url="https://drive.google.com/file/d/1WzugQsVMO6bz1GtZM8SuSWF4RbyQd68i/view?usp=drive_link"/>
      </ext>
    </x18tc:extLst>
  </x18tc:threadedComment>
  <x18tc:threadedComment ref="K773" dT="2026-06-20T21:44:33.00" personId="{f9b224d0-ee33-4499-ae47-db5bcd2d0435}" id="{a432d577-2403-4658-a8c7-12f132152f46}" parentId="{c6a09dc9-6d32-42f1-8293-afb1f7cc93a0}">
    <x18tc:text xml:space="preserve">https://drive.google.com/file/d/1vH213pC9QV5_K0HxWyAMf9cYygah-5aK/view?usp=drive_link</x18tc:text>
    <x18tc:extLst>
      <ext uri="{F7C98A9C-CBB3-438F-8F68-D28B6AF4A901}">
        <xltc2:checksum/>
        <xltc2:hyperlink startIndex="0" length="85" url="https://drive.google.com/file/d/1vH213pC9QV5_K0HxWyAMf9cYygah-5aK/view?usp=drive_link"/>
      </ext>
    </x18tc:extLst>
  </x18tc:threadedComment>
  <x18tc:threadedComment ref="C705" dT="2026-04-23T20:24:16.00" personId="{80195d68-4e9b-4dc7-a031-ca5391c97d0f}" id="{2b1f0625-fe46-45d9-a40e-0ef63eaad67d}"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C800" dT="2026-06-23T19:04:13.00" personId="{80195d68-4e9b-4dc7-a031-ca5391c97d0f}" id="{d69b4f80-a00a-4363-8fd7-1056be75c357}" done="0">
    <x18tc:text xml:space="preserve">https://www.amazon.com/-/es/ASUS-Strix-Laptop-juegos-Nebula/dp/B0DW1SVMZZ/ref=sr_1_5?__mk_es_US=%C3%85M%C3%85%C5%BD%C3%95%C3%91&amp;crid=6OHK93SB0IL5&amp;dib=eyJ2IjoiMSJ9.qHZ8gLXJJ14WPrLIMlL3UXbo6vhWCp-JjZx5RePEBK2yB5LhG4oGMZkAl8WeKS4hZNdYWPh8IfSUDD8uQ61qh7909z5K_eZudiLuArzc0CS2q14QuJ-ioQ_bJ1KwMXogdrH02UsN2FUJ18_LMVpmKnkkLNDqxCVv54_7vtZILRZTlwGTmOR9AF_MYC4eWrganPvFelQOR3Dmd5CqF1Thxanzz52qOJQX8NnQqB8jNjY.YEfs_VZlh5GXNI23O4gs70ZfOulVQBvGgNCK8TVxNMI&amp;dib_tag=se&amp;keywords=rog%2Bstrix%2Bg16&amp;qid=1782240273&amp;sprefix=rog%2Bstrix%2Bg16%2Caps%2C299&amp;sr=8-5&amp;th=1</x18tc:text>
    <x18tc:extLst>
      <ext uri="{F7C98A9C-CBB3-438F-8F68-D28B6AF4A901}">
        <xltc2:checksum/>
        <xltc2:hyperlink startIndex="0" length="545" url="https://www.amazon.com/-/es/ASUS-Strix-Laptop-juegos-Nebula/dp/B0DW1SVMZZ/ref=sr_1_5?__mk_es_US=%C3%85M%C3%85%C5%BD%C3%95%C3%91&amp;crid=6OHK93SB0IL5&amp;dib=eyJ2IjoiMSJ9.qHZ8gLXJJ14WPrLIMlL3UXbo6vhWCp-JjZx5RePEBK2yB5LhG4oGMZkAl8WeKS4hZNdYWPh8IfSUDD8uQ61qh7909z5K_eZudiLuArzc0CS2q14QuJ-ioQ_bJ1KwMXogdrH02UsN2FUJ18_LMVpmKnkkLNDqxCVv54_7vtZILRZTlwGTmOR9AF_MYC4eWrganPvFelQOR3Dmd5CqF1Thxanzz52qOJQX8NnQqB8jNjY.YEfs_VZlh5GXNI23O4gs70ZfOulVQBvGgNCK8TVxNMI&amp;dib_tag=se&amp;keywords=rog%2Bstrix%2Bg16&amp;qid=1782240273&amp;sprefix=rog%2Bstrix%2Bg16%2Caps%2C299&amp;sr=8-5&amp;th=1"/>
      </ext>
    </x18tc:extLst>
  </x18tc:threadedComment>
  <x18tc:threadedComment ref="J74" dT="2025-05-28T23:19:03.00" personId="{d8e4f5ad-b65d-4160-a56f-197530fb7eb1}" id="{a425f66f-008c-4a39-b38b-ddd1631fb121}" done="0">
    <x18tc:text xml:space="preserve">https://drive.google.com/file/d/1aVUa2XI5ZuIYOOcLuoL5Nyzs3NZR6jOM/view?usp=drive_link</x18tc:text>
    <x18tc:extLst>
      <ext uri="{F7C98A9C-CBB3-438F-8F68-D28B6AF4A901}">
        <xltc2:checksum/>
        <xltc2:hyperlink startIndex="0" length="85" url="https://drive.google.com/file/d/1aVUa2XI5ZuIYOOcLuoL5Nyzs3NZR6jOM/view?usp=drive_link"/>
      </ext>
    </x18tc:extLst>
  </x18tc:threadedComment>
  <x18tc:threadedComment ref="L217" dT="2025-09-29T18:05:42.00" personId="{a5d43f6d-3c72-4414-b012-8f52ef50acc4}" id="{05efd4f3-96d8-4e28-83cb-f89e057f7efd}" done="0">
    <x18tc:text xml:space="preserve">https://drive.google.com/file/d/10BDsybrpZoWkhCQVwIHT5d_TQ3MNPVJD/view?usp=drive_link</x18tc:text>
    <x18tc:extLst>
      <ext uri="{F7C98A9C-CBB3-438F-8F68-D28B6AF4A901}">
        <xltc2:checksum/>
        <xltc2:hyperlink startIndex="0" length="85" url="https://drive.google.com/file/d/10BDsybrpZoWkhCQVwIHT5d_TQ3MNPVJD/view?usp=drive_link"/>
      </ext>
    </x18tc:extLst>
  </x18tc:threadedComment>
  <x18tc:threadedComment ref="J654" dT="2026-04-01T23:49:46.00" personId="{d8e4f5ad-b65d-4160-a56f-197530fb7eb1}" id="{d21c0cdf-db01-4e38-8433-ec716467ce41}" done="0">
    <x18tc:text xml:space="preserve">https://drive.google.com/file/d/1Kk3L5q13IhFmEP095k-86jr61F1uOwDF/view?usp=drive_link</x18tc:text>
    <x18tc:extLst>
      <ext uri="{F7C98A9C-CBB3-438F-8F68-D28B6AF4A901}">
        <xltc2:checksum/>
        <xltc2:hyperlink startIndex="0" length="85" url="https://drive.google.com/file/d/1Kk3L5q13IhFmEP095k-86jr61F1uOwDF/view?usp=drive_link"/>
      </ext>
    </x18tc:extLst>
  </x18tc:threadedComment>
  <x18tc:threadedComment ref="K600" dT="2026-04-06T23:45:24.00" personId="{f9b224d0-ee33-4499-ae47-db5bcd2d0435}" id="{3a1276f1-11ad-4a7a-969d-f60dd753f95b}" done="0">
    <x18tc:text xml:space="preserve">https://drive.google.com/file/d/1o7cRkTMOjExm_hYkfucbMLtQhMt7EVvW/view?usp=drive_link</x18tc:text>
    <x18tc:extLst>
      <ext uri="{F7C98A9C-CBB3-438F-8F68-D28B6AF4A901}">
        <xltc2:checksum/>
        <xltc2:hyperlink startIndex="0" length="85" url="https://drive.google.com/file/d/1o7cRkTMOjExm_hYkfucbMLtQhMt7EVvW/view?usp=drive_link"/>
      </ext>
    </x18tc:extLst>
  </x18tc:threadedComment>
  <x18tc:threadedComment ref="J250" dT="2025-09-29T18:11:15.00" personId="{d8e4f5ad-b65d-4160-a56f-197530fb7eb1}" id="{dd1141d3-6884-4a79-bf66-19445c93450f}" done="0">
    <x18tc:text xml:space="preserve">https://drive.google.com/file/d/13Ip_jQX9O9QjQRyefDCVtwW6MB1YfCVq/view?usp=drive_link</x18tc:text>
    <x18tc:extLst>
      <ext uri="{F7C98A9C-CBB3-438F-8F68-D28B6AF4A901}">
        <xltc2:checksum/>
        <xltc2:hyperlink startIndex="0" length="85" url="https://drive.google.com/file/d/13Ip_jQX9O9QjQRyefDCVtwW6MB1YfCVq/view?usp=drive_link"/>
      </ext>
    </x18tc:extLst>
  </x18tc:threadedComment>
  <x18tc:threadedComment ref="J690" dT="2026-04-20T22:28:23.00" personId="{a5d43f6d-3c72-4414-b012-8f52ef50acc4}" id="{e3c1e772-2669-4ec2-a0ae-1e0cb434c75e}" done="0">
    <x18tc:text xml:space="preserve">https://drive.google.com/file/d/17lkaCs5SfyAChURRU6_Irl2SyRn1flkr/view?usp=drive_link</x18tc:text>
    <x18tc:extLst>
      <ext uri="{F7C98A9C-CBB3-438F-8F68-D28B6AF4A901}">
        <xltc2:checksum/>
        <xltc2:hyperlink startIndex="0" length="85" url="https://drive.google.com/file/d/17lkaCs5SfyAChURRU6_Irl2SyRn1flkr/view?usp=drive_link"/>
      </ext>
    </x18tc:extLst>
  </x18tc:threadedComment>
  <x18tc:threadedComment ref="C550" dT="2026-02-19T17:09:17.00" personId="{4df2d6c4-e43e-4f2e-b623-d90f458472ff}" id="{70d3baec-3222-497f-bbb3-723b2eb8e716}" done="0">
    <x18tc:text xml:space="preserve">https://www.costco.com/p/-/asus-rog-strix-g18-18-gaming-laptop-intel-core-ultra-9-275hx-25k-nebula-display-geforce-rtx-5070-32gb-ram-1tb-ssd-windows-11/4000370428?langId=-1</x18tc:text>
    <x18tc:extLst>
      <ext uri="{F7C98A9C-CBB3-438F-8F68-D28B6AF4A901}">
        <xltc2:checksum/>
        <xltc2:hyperlink startIndex="0" length="172" url="https://www.costco.com/p/-/asus-rog-strix-g18-18-gaming-laptop-intel-core-ultra-9-275hx-25k-nebula-display-geforce-rtx-5070-32gb-ram-1tb-ssd-windows-11/4000370428?langId=-1"/>
      </ext>
    </x18tc:extLst>
  </x18tc:threadedComment>
  <x18tc:threadedComment ref="C691" dT="2026-04-21T00:30:22.00" personId="{80195d68-4e9b-4dc7-a031-ca5391c97d0f}" id="{3c78b250-822f-4e13-bfe9-8f83ae6f0288}" done="0">
    <x18tc:text xml:space="preserve">https://www.bhphotovideo.com/c/product/1875949-REG/lenovo_83f50052us_16_legion_pro_7.html</x18tc:text>
    <x18tc:extLst>
      <ext uri="{F7C98A9C-CBB3-438F-8F68-D28B6AF4A901}">
        <xltc2:checksum/>
        <xltc2:hyperlink startIndex="0" length="89" url="https://www.bhphotovideo.com/c/product/1875949-REG/lenovo_83f50052us_16_legion_pro_7.html"/>
      </ext>
    </x18tc:extLst>
  </x18tc:threadedComment>
  <x18tc:threadedComment ref="J708" dT="2026-04-24T18:59:59.00" personId="{d8e4f5ad-b65d-4160-a56f-197530fb7eb1}" id="{68b87920-a577-4b2e-918d-4753c26144cb}" done="0">
    <x18tc:text xml:space="preserve">https://drive.google.com/file/d/1C01aQPKa41OUTtiwl5cMa7pK2DvN_oFP/view?usp=drive_link</x18tc:text>
    <x18tc:extLst>
      <ext uri="{F7C98A9C-CBB3-438F-8F68-D28B6AF4A901}">
        <xltc2:checksum/>
        <xltc2:hyperlink startIndex="0" length="85" url="https://drive.google.com/file/d/1C01aQPKa41OUTtiwl5cMa7pK2DvN_oFP/view?usp=drive_link"/>
      </ext>
    </x18tc:extLst>
  </x18tc:threadedComment>
  <x18tc:threadedComment ref="K546" dT="2026-03-25T22:14:43.00" personId="{4df2d6c4-e43e-4f2e-b623-d90f458472ff}" id="{431e4070-a918-429a-bcb5-13e3101836e1}" done="0">
    <x18tc:text xml:space="preserve">https://drive.google.com/file/d/1ccSVEsGEQ5b9_qSZ2glqX17NkS_OJwvL/view?usp=drive_link</x18tc:text>
    <x18tc:extLst>
      <ext uri="{F7C98A9C-CBB3-438F-8F68-D28B6AF4A901}">
        <xltc2:checksum/>
        <xltc2:hyperlink startIndex="0" length="85" url="https://drive.google.com/file/d/1ccSVEsGEQ5b9_qSZ2glqX17NkS_OJwvL/view?usp=drive_link"/>
      </ext>
    </x18tc:extLst>
  </x18tc:threadedComment>
  <x18tc:threadedComment ref="L225" dT="2025-09-29T21:10:23.00" personId="{a5d43f6d-3c72-4414-b012-8f52ef50acc4}" id="{826f8c83-e8da-43ab-ab76-4528fa052a9a}" done="0">
    <x18tc:text xml:space="preserve">https://drive.google.com/file/d/1aAYu1MOY_xMTZbC3uIKg4ERT1_myTmbh/view?usp=drive_link</x18tc:text>
    <x18tc:extLst>
      <ext uri="{F7C98A9C-CBB3-438F-8F68-D28B6AF4A901}">
        <xltc2:checksum/>
        <xltc2:hyperlink startIndex="0" length="85" url="https://drive.google.com/file/d/1aAYu1MOY_xMTZbC3uIKg4ERT1_myTmbh/view?usp=drive_link"/>
      </ext>
    </x18tc:extLst>
  </x18tc:threadedComment>
  <x18tc:threadedComment ref="T218" dT="2025-09-29T18:49:31.00" personId="{a5d43f6d-3c72-4414-b012-8f52ef50acc4}" id="{dc8317d3-79af-4bde-8d16-0957fe2de4d6}" done="0">
    <x18tc:text xml:space="preserve">soporte+ mouse</x18tc:text>
  </x18tc:threadedComment>
  <x18tc:threadedComment ref="C690" dT="2026-04-20T22:26:28.00" personId="{a5d43f6d-3c72-4414-b012-8f52ef50acc4}" id="{7fb199d1-6e50-4165-ae58-57a3ac73e998}"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J798" dT="2026-06-23T23:08:34.00" personId="{d8e4f5ad-b65d-4160-a56f-197530fb7eb1}" id="{b0023b58-7e18-4022-8770-0b99fcc9329b}" done="0">
    <x18tc:text xml:space="preserve">abono en oficina en efectivo</x18tc:text>
  </x18tc:threadedComment>
  <x18tc:threadedComment ref="C760" dT="2026-05-23T16:04:45.00" personId="{80195d68-4e9b-4dc7-a031-ca5391c97d0f}" id="{fc47d166-9415-4c2b-b23c-1431481d1288}" done="0">
    <x18tc:text xml:space="preserve">https://www.amazon.com/-/es/Laptop-gamer-Strix-pulgadas-Nebula/dp/B0DW29H85Z/ref=sr_1_1?__mk_es_US=%C3%85M%C3%85%C5%BD%C3%95%C3%91&amp;crid=32EZ6JKZTD9ZW&amp;dib=eyJ2IjoiMSJ9.p8wIC8g93SILiBs__UVjOQG48U8_7YftU5_51mi2fwO68EuKW6n09T6D9yCafFwTfFwOBx0MUJvOlVxKfybCYzSElxi9NK7sWoOnTNqECadNb1gCkLf2Ru8QV4EaQbHWKc0yWvfHk9J48-TtHIuh5oe-i0j73rw3ZwPYZWBej9S1GZ0TO_PDa-LmreIVAXce91gVLjO-RvW-AVz5ZJGXlGKbp2RSnLD6N5N05iXStp0.yJhNeYjwYSoHgxybj6lMm8nfGf93koiQvD-_gv2TiZc&amp;dib_tag=se&amp;keywords=rog%2Bstrix%2Bscar%2B18&amp;qid=1779471002&amp;sprefix=rog%2Bstrix%2Bscar%2B18%2B%2Caps%2C268&amp;sr=8-1&amp;th=1</x18tc:text>
    <x18tc:extLst>
      <ext uri="{F7C98A9C-CBB3-438F-8F68-D28B6AF4A901}">
        <xltc2:checksum/>
        <xltc2:hyperlink startIndex="0" length="564" url="https://www.amazon.com/-/es/Laptop-gamer-Strix-pulgadas-Nebula/dp/B0DW29H85Z/ref=sr_1_1?__mk_es_US=%C3%85M%C3%85%C5%BD%C3%95%C3%91&amp;crid=32EZ6JKZTD9ZW&amp;dib=eyJ2IjoiMSJ9.p8wIC8g93SILiBs__UVjOQG48U8_7YftU5_51mi2fwO68EuKW6n09T6D9yCafFwTfFwOBx0MUJvOlVxKfybCYzSElxi9NK7sWoOnTNqECadNb1gCkLf2Ru8QV4EaQbHWKc0yWvfHk9J48-TtHIuh5oe-i0j73rw3ZwPYZWBej9S1GZ0TO_PDa-LmreIVAXce91gVLjO-RvW-AVz5ZJGXlGKbp2RSnLD6N5N05iXStp0.yJhNeYjwYSoHgxybj6lMm8nfGf93koiQvD-_gv2TiZc&amp;dib_tag=se&amp;keywords=rog%2Bstrix%2Bscar%2B18&amp;qid=1779471002&amp;sprefix=rog%2Bstrix%2Bscar%2B18%2B%2Caps%2C268&amp;sr=8-1&amp;th=1"/>
      </ext>
    </x18tc:extLst>
  </x18tc:threadedComment>
  <x18tc:threadedComment ref="Q690" dT="2026-04-20T22:27:34.00" personId="{a5d43f6d-3c72-4414-b012-8f52ef50acc4}" id="{cc595d0d-5975-499e-983c-e9f91da43789}" done="0">
    <x18tc:text xml:space="preserve">Configuración inicial con formateo + eset nod + office 2024</x18tc:text>
  </x18tc:threadedComment>
  <x18tc:threadedComment ref="K339" dT="2025-12-11T14:39:55.00" personId="{d8e4f5ad-b65d-4160-a56f-197530fb7eb1}" id="{378d83bd-1009-4196-ba4e-4362c6aef50d}" done="0">
    <x18tc:text xml:space="preserve">https://drive.google.com/file/d/1tgs68oqD1zVpzAcAsdxggdoyS-LQqriP/view?usp=drive_link</x18tc:text>
    <x18tc:extLst>
      <ext uri="{F7C98A9C-CBB3-438F-8F68-D28B6AF4A901}">
        <xltc2:checksum/>
        <xltc2:hyperlink startIndex="0" length="85" url="https://drive.google.com/file/d/1tgs68oqD1zVpzAcAsdxggdoyS-LQqriP/view?usp=drive_link"/>
      </ext>
    </x18tc:extLst>
  </x18tc:threadedComment>
  <x18tc:threadedComment ref="K498" dT="2026-01-24T18:39:39.00" personId="{d8e4f5ad-b65d-4160-a56f-197530fb7eb1}" id="{b773e6ae-f9c6-4697-8c7a-86f3f8c78a66}" done="0">
    <x18tc:text xml:space="preserve">https://drive.google.com/file/d/1heHC_nEwtyph3JLe3uQl5Wwj8D1NTX3w/view?usp=drive_link</x18tc:text>
    <x18tc:extLst>
      <ext uri="{F7C98A9C-CBB3-438F-8F68-D28B6AF4A901}">
        <xltc2:checksum/>
        <xltc2:hyperlink startIndex="0" length="85" url="https://drive.google.com/file/d/1heHC_nEwtyph3JLe3uQl5Wwj8D1NTX3w/view?usp=drive_link"/>
      </ext>
    </x18tc:extLst>
  </x18tc:threadedComment>
  <x18tc:threadedComment ref="K542" dT="2026-03-25T21:08:20.00" personId="{f9b224d0-ee33-4499-ae47-db5bcd2d0435}" id="{52d6fb60-5c6d-4106-88ee-9e7accbd5402}" done="0">
    <x18tc:text xml:space="preserve">https://drive.google.com/file/d/1q6IhLXUpFjqy5m_jP74Slk4eltaOiD28/view?usp=drive_link</x18tc:text>
    <x18tc:extLst>
      <ext uri="{F7C98A9C-CBB3-438F-8F68-D28B6AF4A901}">
        <xltc2:checksum/>
        <xltc2:hyperlink startIndex="0" length="85" url="https://drive.google.com/file/d/1q6IhLXUpFjqy5m_jP74Slk4eltaOiD28/view?usp=drive_link"/>
      </ext>
    </x18tc:extLst>
  </x18tc:threadedComment>
  <x18tc:threadedComment ref="L179" dT="2025-08-22T22:33:08.00" personId="{d8e4f5ad-b65d-4160-a56f-197530fb7eb1}" id="{67857fa0-3ffc-4fdd-9d6d-15542e56c1d7}" done="0">
    <x18tc:text xml:space="preserve">https://drive.google.com/file/d/1HU0OHSI-ZQ7whtWtrKacKp9nXthVPIpM/view?usp=drive_link</x18tc:text>
    <x18tc:extLst>
      <ext uri="{F7C98A9C-CBB3-438F-8F68-D28B6AF4A901}">
        <xltc2:checksum/>
        <xltc2:hyperlink startIndex="0" length="85" url="https://drive.google.com/file/d/1HU0OHSI-ZQ7whtWtrKacKp9nXthVPIpM/view?usp=drive_link"/>
      </ext>
    </x18tc:extLst>
  </x18tc:threadedComment>
  <x18tc:threadedComment ref="J638" dT="2026-03-25T21:13:34.00" personId="{f9b224d0-ee33-4499-ae47-db5bcd2d0435}" id="{d01be118-9772-4341-aa3d-183cf6b068e5}" done="0">
    <x18tc:text xml:space="preserve">https://drive.google.com/file/d/1b0UKoeWhp1f7fyowM2wGIT_dWBYek0ag/view?usp=drive_link</x18tc:text>
    <x18tc:extLst>
      <ext uri="{F7C98A9C-CBB3-438F-8F68-D28B6AF4A901}">
        <xltc2:checksum/>
        <xltc2:hyperlink startIndex="0" length="85" url="https://drive.google.com/file/d/1b0UKoeWhp1f7fyowM2wGIT_dWBYek0ag/view?usp=drive_link"/>
      </ext>
    </x18tc:extLst>
  </x18tc:threadedComment>
  <x18tc:threadedComment ref="L184" dT="2025-08-22T22:36:22.00" personId="{4df2d6c4-e43e-4f2e-b623-d90f458472ff}" id="{8fa563cd-c95e-4263-897e-827b0b8df99c}" done="0">
    <x18tc:text xml:space="preserve">https://drive.google.com/file/d/1zr90ZJeagZ1x5axM7Yjhyk5_ZPrmFsoa/view?usp=drive_link</x18tc:text>
    <x18tc:extLst>
      <ext uri="{F7C98A9C-CBB3-438F-8F68-D28B6AF4A901}">
        <xltc2:checksum/>
        <xltc2:hyperlink startIndex="0" length="85" url="https://drive.google.com/file/d/1zr90ZJeagZ1x5axM7Yjhyk5_ZPrmFsoa/view?usp=drive_link"/>
      </ext>
    </x18tc:extLst>
  </x18tc:threadedComment>
  <x18tc:threadedComment ref="J768" dT="2026-05-29T21:36:51.00" personId="{d8e4f5ad-b65d-4160-a56f-197530fb7eb1}" id="{7f3b50fa-cad0-45c1-b655-c75263c9b64c}" done="0">
    <x18tc:text xml:space="preserve">https://drive.google.com/file/d/1Y7FclxY-GTqi5M72SK1keiAMsMZDFs0N/view?usp=drive_link</x18tc:text>
    <x18tc:extLst>
      <ext uri="{F7C98A9C-CBB3-438F-8F68-D28B6AF4A901}">
        <xltc2:checksum/>
        <xltc2:hyperlink startIndex="0" length="85" url="https://drive.google.com/file/d/1Y7FclxY-GTqi5M72SK1keiAMsMZDFs0N/view?usp=drive_link"/>
      </ext>
    </x18tc:extLst>
  </x18tc:threadedComment>
  <x18tc:threadedComment ref="C638" dT="2026-03-25T21:17:23.00" personId="{f9b224d0-ee33-4499-ae47-db5bcd2d0435}" id="{d1c03a77-5ef7-4b13-9920-5dcbd44b87f7}" done="0">
    <x18tc:text xml:space="preserve">https://www.excaliberpc.com/823565/lenovo-legion-5i-gen-10.html</x18tc:text>
    <x18tc:extLst>
      <ext uri="{F7C98A9C-CBB3-438F-8F68-D28B6AF4A901}">
        <xltc2:checksum/>
        <xltc2:hyperlink startIndex="0" length="63" url="https://www.excaliberpc.com/823565/lenovo-legion-5i-gen-10.html"/>
      </ext>
    </x18tc:extLst>
  </x18tc:threadedComment>
  <x18tc:threadedComment ref="L47" dT="2025-06-30T23:40:47.00" personId="{a5d43f6d-3c72-4414-b012-8f52ef50acc4}" id="{fddaf68c-e25a-4cf4-a0ad-3883efc6f749}" done="0">
    <x18tc:text xml:space="preserve">https://drive.google.com/file/d/1HwzxtRxYZLd3YxTfKtG0XiB2wy84LjwT/view?usp=drive_link</x18tc:text>
    <x18tc:extLst>
      <ext uri="{F7C98A9C-CBB3-438F-8F68-D28B6AF4A901}">
        <xltc2:checksum/>
        <xltc2:hyperlink startIndex="0" length="85" url="https://drive.google.com/file/d/1HwzxtRxYZLd3YxTfKtG0XiB2wy84LjwT/view?usp=drive_link"/>
      </ext>
    </x18tc:extLst>
  </x18tc:threadedComment>
  <x18tc:threadedComment ref="J9" dT="2025-05-13T23:42:40.00" personId="{a5d43f6d-3c72-4414-b012-8f52ef50acc4}" id="{76852347-b70a-43bf-b262-f2871241eef1}" done="0">
    <x18tc:text xml:space="preserve">https://drive.google.com/file/d/1nA1TVg46_GxQncKjwjQgBJg620Y7uE5E/view?usp=drive_link
https://drive.google.com/file/d/1J64qDzPg_OqcvyO9658DvJoDeIulAeTn/view?usp=drive_link</x18tc:text>
    <x18tc:extLst>
      <ext uri="{F7C98A9C-CBB3-438F-8F68-D28B6AF4A901}">
        <xltc2:checksum/>
        <xltc2:hyperlink startIndex="0" length="85" url="https://drive.google.com/file/d/1nA1TVg46_GxQncKjwjQgBJg620Y7uE5E/view?usp=drive_link"/>
        <xltc2:hyperlink startIndex="86" length="85" url="https://drive.google.com/file/d/1J64qDzPg_OqcvyO9658DvJoDeIulAeTn/view?usp=drive_link"/>
      </ext>
    </x18tc:extLst>
  </x18tc:threadedComment>
  <x18tc:threadedComment ref="C675" dT="2026-04-10T22:55:25.00" personId="{a5d43f6d-3c72-4414-b012-8f52ef50acc4}" id="{86c96591-8f7e-43d7-b7e0-54684b368c63}" done="0">
    <x18tc:text xml:space="preserve">https://www.bhphotovideo.com/c/product/1889853-REG/dell_u2725qe_ultrasharp_27_4k_uhd.html?gad_campaignid=21973659102&amp;gad_source=1&amp;gbraid=0AAAAAD7yMh0_gnZWRRH6PWCjv7QBfXVo-&amp;gclid=EAIaIQobChMIpJaY3YvkkwMVnGpIAB2EcCiBEAQYBCABEgJppPD_BwE</x18tc:text>
    <x18tc:extLst>
      <ext uri="{F7C98A9C-CBB3-438F-8F68-D28B6AF4A901}">
        <xltc2:checksum/>
        <xltc2:hyperlink startIndex="0" length="233" url="https://www.bhphotovideo.com/c/product/1889853-REG/dell_u2725qe_ultrasharp_27_4k_uhd.html?gad_campaignid=21973659102&amp;gad_source=1&amp;gbraid=0AAAAAD7yMh0_gnZWRRH6PWCjv7QBfXVo-&amp;gclid=EAIaIQobChMIpJaY3YvkkwMVnGpIAB2EcCiBEAQYBCABEgJppPD_BwE"/>
      </ext>
    </x18tc:extLst>
  </x18tc:threadedComment>
  <x18tc:threadedComment ref="W393" dT="2026-01-24T18:54:17.00" personId="{2ddfa542-8116-4937-a057-08470d7abaab}" id="{8309c7e4-5be2-43c2-8253-7dc3d6cf115c}" done="0">
    <x18tc:text xml:space="preserve">https://drive.google.com/open?id=1Pcf7Rlkb-fySlcRo2y5xapQxHq5FQ5-l&amp;usp=drive_copy</x18tc:text>
    <x18tc:extLst>
      <ext uri="{F7C98A9C-CBB3-438F-8F68-D28B6AF4A901}">
        <xltc2:checksum/>
        <xltc2:hyperlink startIndex="0" length="81" url="https://drive.google.com/open?id=1Pcf7Rlkb-fySlcRo2y5xapQxHq5FQ5-l&amp;usp=drive_copy"/>
      </ext>
    </x18tc:extLst>
  </x18tc:threadedComment>
  <x18tc:threadedComment ref="F405" dT="2025-12-15T00:16:23.00" personId="{6afbe8df-a68a-4403-9951-ca8c0d21ef43}" id="{657dbcfa-3406-4411-a328-b25dbbf9604d}" done="0">
    <x18tc:text xml:space="preserve">procesando la orden, mañana se tiene que revisar</x18tc:text>
  </x18tc:threadedComment>
  <x18tc:threadedComment ref="F405" dT="2025-12-15T15:58:43.00" personId="{2ddfa542-8116-4937-a057-08470d7abaab}" id="{cfbf50c4-0fc7-4018-9af6-212b53a6efda}" parentId="{657dbcfa-3406-4411-a328-b25dbbf9604d}">
    <x18tc:text xml:space="preserve">Sigue procesando la orden</x18tc:text>
  </x18tc:threadedComment>
  <x18tc:threadedComment ref="M9" dT="2025-05-13T23:46:23.00" personId="{a5d43f6d-3c72-4414-b012-8f52ef50acc4}" id="{6763338d-f111-4818-8972-84dd0d373ffc}" done="0">
    <x18tc:text xml:space="preserve">hay 2 memorias ram que no sé dónde agregar, pero se descuenta de aquí</x18tc:text>
  </x18tc:threadedComment>
  <x18tc:threadedComment ref="W397" dT="2026-01-24T18:58:19.00" personId="{2ddfa542-8116-4937-a057-08470d7abaab}" id="{8a53e27a-f11f-49a1-a20e-2951dd4a7089}" done="0">
    <x18tc:text xml:space="preserve">https://drive.google.com/open?id=1ErUn32IDQu9nrxooa9F5Q6l2XKr-WVzV&amp;usp=drive_copy</x18tc:text>
    <x18tc:extLst>
      <ext uri="{F7C98A9C-CBB3-438F-8F68-D28B6AF4A901}">
        <xltc2:checksum/>
        <xltc2:hyperlink startIndex="0" length="81" url="https://drive.google.com/open?id=1ErUn32IDQu9nrxooa9F5Q6l2XKr-WVzV&amp;usp=drive_copy"/>
      </ext>
    </x18tc:extLst>
  </x18tc:threadedComment>
  <x18tc:threadedComment ref="L9" dT="2025-05-13T23:43:05.00" personId="{a5d43f6d-3c72-4414-b012-8f52ef50acc4}" id="{6dce218d-4013-40ae-a685-b5548a78e75f}" done="0">
    <x18tc:text xml:space="preserve">https://drive.google.com/file/d/16vl6BVFZFxllAZ6HgZ8Jpk1ko2o0PyMV/view?usp=drive_link</x18tc:text>
    <x18tc:extLst>
      <ext uri="{F7C98A9C-CBB3-438F-8F68-D28B6AF4A901}">
        <xltc2:checksum/>
        <xltc2:hyperlink startIndex="0" length="85" url="https://drive.google.com/file/d/16vl6BVFZFxllAZ6HgZ8Jpk1ko2o0PyMV/view?usp=drive_link"/>
      </ext>
    </x18tc:extLst>
  </x18tc:threadedComment>
  <x18tc:threadedComment ref="J674" dT="2026-04-10T22:57:33.00" personId="{d8e4f5ad-b65d-4160-a56f-197530fb7eb1}" id="{df638695-793c-4f25-89f5-29f3d04886fc}" done="0">
    <x18tc:text xml:space="preserve">https://drive.google.com/file/d/1JpIed6RE6J8583RdSJiTJRRFGzmh73lq/view?usp=drive_link</x18tc:text>
    <x18tc:extLst>
      <ext uri="{F7C98A9C-CBB3-438F-8F68-D28B6AF4A901}">
        <xltc2:checksum/>
        <xltc2:hyperlink startIndex="0" length="85" url="https://drive.google.com/file/d/1JpIed6RE6J8583RdSJiTJRRFGzmh73lq/view?usp=drive_link"/>
      </ext>
    </x18tc:extLst>
  </x18tc:threadedComment>
  <x18tc:threadedComment ref="J674" dT="2026-04-10T22:57:57.00" personId="{d8e4f5ad-b65d-4160-a56f-197530fb7eb1}" id="{f9a02622-ac9a-436b-a3d3-7e82454df61e}" parentId="{df638695-793c-4f25-89f5-29f3d04886fc}">
    <x18tc:text xml:space="preserve">https://drive.google.com/file/d/1RI7Q8XXP3L9EIXe8R2YKaGNobJKrF8oI/view?usp=drive_link</x18tc:text>
    <x18tc:extLst>
      <ext uri="{F7C98A9C-CBB3-438F-8F68-D28B6AF4A901}">
        <xltc2:checksum/>
        <xltc2:hyperlink startIndex="0" length="85" url="https://drive.google.com/file/d/1RI7Q8XXP3L9EIXe8R2YKaGNobJKrF8oI/view?usp=drive_link"/>
      </ext>
    </x18tc:extLst>
  </x18tc:threadedComment>
  <x18tc:threadedComment ref="J674" dT="2026-04-10T22:58:15.00" personId="{d8e4f5ad-b65d-4160-a56f-197530fb7eb1}" id="{9c1f61a0-0143-410f-b172-63a6bfbff1a0}" parentId="{df638695-793c-4f25-89f5-29f3d04886fc}">
    <x18tc:text xml:space="preserve">PAGO DE MAS 1001 YA SE REALIZO DEVOLUCION</x18tc:text>
  </x18tc:threadedComment>
  <x18tc:threadedComment ref="W412" dT="2026-01-24T19:04:50.00" personId="{2ddfa542-8116-4937-a057-08470d7abaab}" id="{dae6eec6-83a5-44d3-98c4-b414b354295a}" done="0">
    <x18tc:text xml:space="preserve">https://drive.google.com/open?id=1cENyvHpKtYTCoNJLWN6z4CeUVMLWNs1h&amp;usp=drive_copy</x18tc:text>
    <x18tc:extLst>
      <ext uri="{F7C98A9C-CBB3-438F-8F68-D28B6AF4A901}">
        <xltc2:checksum/>
        <xltc2:hyperlink startIndex="0" length="81" url="https://drive.google.com/open?id=1cENyvHpKtYTCoNJLWN6z4CeUVMLWNs1h&amp;usp=drive_copy"/>
      </ext>
    </x18tc:extLst>
  </x18tc:threadedComment>
  <x18tc:threadedComment ref="K518" dT="2026-03-25T22:16:04.00" personId="{4df2d6c4-e43e-4f2e-b623-d90f458472ff}" id="{af0df5dc-41bb-4656-947d-391b8e51c001}" done="0">
    <x18tc:text xml:space="preserve">https://drive.google.com/file/d/1bejD-WPFBzD0F5chL1dj_Yg-peIGcAR-/view?usp=drive_link</x18tc:text>
    <x18tc:extLst>
      <ext uri="{F7C98A9C-CBB3-438F-8F68-D28B6AF4A901}">
        <xltc2:checksum/>
        <xltc2:hyperlink startIndex="0" length="85" url="https://drive.google.com/file/d/1bejD-WPFBzD0F5chL1dj_Yg-peIGcAR-/view?usp=drive_link"/>
      </ext>
    </x18tc:extLst>
  </x18tc:threadedComment>
  <x18tc:threadedComment ref="K518" dT="2026-03-25T22:18:19.00" personId="{4df2d6c4-e43e-4f2e-b623-d90f458472ff}" id="{d5e3be17-a05c-4426-a716-1c20bbc7b626}" parentId="{af0df5dc-41bb-4656-947d-391b8e51c001}">
    <x18tc:text xml:space="preserve">https://drive.google.com/file/d/1z1gEAYkTv_pZ3AKszBoijl9ahAQUTy5E/view?usp=drive_link</x18tc:text>
    <x18tc:extLst>
      <ext uri="{F7C98A9C-CBB3-438F-8F68-D28B6AF4A901}">
        <xltc2:checksum/>
        <xltc2:hyperlink startIndex="0" length="85" url="https://drive.google.com/file/d/1z1gEAYkTv_pZ3AKszBoijl9ahAQUTy5E/view?usp=drive_link"/>
      </ext>
    </x18tc:extLst>
  </x18tc:threadedComment>
  <x18tc:threadedComment ref="W341" dT="2025-12-11T16:22:06.00" personId="{2ddfa542-8116-4937-a057-08470d7abaab}" id="{25a73a77-eb9a-45f2-bcf7-e0035930b065}" done="0">
    <x18tc:text xml:space="preserve">https://drive.google.com/file/d/1Y7ox12aFrkyGdxryZtXrejTPnS-M588C/view?usp=drive_link</x18tc:text>
    <x18tc:extLst>
      <ext uri="{F7C98A9C-CBB3-438F-8F68-D28B6AF4A901}">
        <xltc2:checksum/>
        <xltc2:hyperlink startIndex="0" length="85" url="https://drive.google.com/file/d/1Y7ox12aFrkyGdxryZtXrejTPnS-M588C/view?usp=drive_link"/>
      </ext>
    </x18tc:extLst>
  </x18tc:threadedComment>
  <x18tc:threadedComment ref="C757" dT="2026-06-11T03:20:27.00" personId="{d8e4f5ad-b65d-4160-a56f-197530fb7eb1}" id="{0e8f88a2-8192-427e-98ee-ca97d3627e66}" done="0">
    <x18tc:text xml:space="preserve">https://www.costco.com/p/-/acer-predator-helios-neo-16-ai-gaming-laptop-intel-core-ultra-9-275hx-processor-16-2560-x-1600-240hz-display-nvidia-rtx-5070-ti-12gb-1-tb-ssd-windows-11-home/4000398640?langId=-1</x18tc:text>
    <x18tc:extLst>
      <ext uri="{F7C98A9C-CBB3-438F-8F68-D28B6AF4A901}">
        <xltc2:checksum/>
        <xltc2:hyperlink startIndex="0" length="205" url="https://www.costco.com/p/-/acer-predator-helios-neo-16-ai-gaming-laptop-intel-core-ultra-9-275hx-processor-16-2560-x-1600-240hz-display-nvidia-rtx-5070-ti-12gb-1-tb-ssd-windows-11-home/4000398640?langId=-1"/>
      </ext>
    </x18tc:extLst>
  </x18tc:threadedComment>
  <x18tc:threadedComment ref="C138" dT="2025-07-22T01:48:46.00" personId="{4df2d6c4-e43e-4f2e-b623-d90f458472ff}" id="{822f30c5-e697-43c7-a1b2-00fc0a2c391a}" done="0">
    <x18tc:text xml:space="preserve">https://www.costco.com/msi-crosshair-18-hx-ai-18-gaming-laptop---intel-core-ultra-9-275hx----nvidia-rtx-5070---2560x1600---32gb-ram---1tb-ssd---windows-11-home.product.4000374413.html</x18tc:text>
    <x18tc:extLst>
      <ext uri="{F7C98A9C-CBB3-438F-8F68-D28B6AF4A901}">
        <xltc2:checksum/>
        <xltc2:hyperlink startIndex="0" length="183" url="https://www.costco.com/msi-crosshair-18-hx-ai-18-gaming-laptop---intel-core-ultra-9-275hx----nvidia-rtx-5070---2560x1600---32gb-ram---1tb-ssd---windows-11-home.product.4000374413.html"/>
      </ext>
    </x18tc:extLst>
  </x18tc:threadedComment>
  <x18tc:threadedComment ref="K561" dT="2026-03-25T22:19:47.00" personId="{4df2d6c4-e43e-4f2e-b623-d90f458472ff}" id="{32ba1ec7-8b30-4e30-a8a3-58a3485a0725}" done="0">
    <x18tc:text xml:space="preserve">https://drive.google.com/file/d/1vdI15oRmfcgtJu57a2jIL_8wLK5N_XvI/view?usp=drive_link</x18tc:text>
    <x18tc:extLst>
      <ext uri="{F7C98A9C-CBB3-438F-8F68-D28B6AF4A901}">
        <xltc2:checksum/>
        <xltc2:hyperlink startIndex="0" length="85" url="https://drive.google.com/file/d/1vdI15oRmfcgtJu57a2jIL_8wLK5N_XvI/view?usp=drive_link"/>
      </ext>
    </x18tc:extLst>
  </x18tc:threadedComment>
  <x18tc:threadedComment ref="K561" dT="2026-03-25T22:20:11.00" personId="{4df2d6c4-e43e-4f2e-b623-d90f458472ff}" id="{f4c1204b-b1ef-4305-9b2c-b64b8610e6db}" parentId="{32ba1ec7-8b30-4e30-a8a3-58a3485a0725}">
    <x18tc:text xml:space="preserve">https://drive.google.com/file/d/17O14n7gCtrHdzPhCS2gl0lZ6ZCVdIT-Z/view?usp=drive_link</x18tc:text>
    <x18tc:extLst>
      <ext uri="{F7C98A9C-CBB3-438F-8F68-D28B6AF4A901}">
        <xltc2:checksum/>
        <xltc2:hyperlink startIndex="0" length="85" url="https://drive.google.com/file/d/17O14n7gCtrHdzPhCS2gl0lZ6ZCVdIT-Z/view?usp=drive_link"/>
      </ext>
    </x18tc:extLst>
  </x18tc:threadedComment>
  <x18tc:threadedComment ref="K561" dT="2026-03-25T22:23:41.00" personId="{4df2d6c4-e43e-4f2e-b623-d90f458472ff}" id="{413d214d-7244-422e-ad40-66c1b3a70a1d}" parentId="{32ba1ec7-8b30-4e30-a8a3-58a3485a0725}">
    <x18tc:text xml:space="preserve">https://drive.google.com/file/d/14qNHJD0Pjl91NpIG6LGFNqjdZROHWFty/view?usp=drive_link</x18tc:text>
    <x18tc:extLst>
      <ext uri="{F7C98A9C-CBB3-438F-8F68-D28B6AF4A901}">
        <xltc2:checksum/>
        <xltc2:hyperlink startIndex="0" length="85" url="https://drive.google.com/file/d/14qNHJD0Pjl91NpIG6LGFNqjdZROHWFty/view?usp=drive_link"/>
      </ext>
    </x18tc:extLst>
  </x18tc:threadedComment>
  <x18tc:threadedComment ref="C93" dT="2025-06-09T23:23:18.00" personId="{d8e4f5ad-b65d-4160-a56f-197530fb7eb1}" id="{547a2696-4668-4c35-9d36-289ea176ed70}" done="0">
    <x18tc:text xml:space="preserve">https://www.ebay.com/itm/326616889952</x18tc:text>
    <x18tc:extLst>
      <ext uri="{F7C98A9C-CBB3-438F-8F68-D28B6AF4A901}">
        <xltc2:checksum/>
        <xltc2:hyperlink startIndex="0" length="37" url="https://www.ebay.com/itm/326616889952"/>
      </ext>
    </x18tc:extLst>
  </x18tc:threadedComment>
  <x18tc:threadedComment ref="J675" dT="2026-04-10T22:58:32.00" personId="{a5d43f6d-3c72-4414-b012-8f52ef50acc4}" id="{d48153a7-fbe5-465c-bf65-a220b005d753}" done="0">
    <x18tc:text xml:space="preserve">https://drive.google.com/file/d/1BE3fMLYvHcWSpKJt59ssBEWaZH65Qs16/view?usp=drive_link</x18tc:text>
    <x18tc:extLst>
      <ext uri="{F7C98A9C-CBB3-438F-8F68-D28B6AF4A901}">
        <xltc2:checksum/>
        <xltc2:hyperlink startIndex="0" length="85" url="https://drive.google.com/file/d/1BE3fMLYvHcWSpKJt59ssBEWaZH65Qs16/view?usp=drive_link"/>
      </ext>
    </x18tc:extLst>
  </x18tc:threadedComment>
  <x18tc:threadedComment ref="C550" dT="2026-02-18T16:46:39.00" personId="{80195d68-4e9b-4dc7-a031-ca5391c97d0f}" id="{64f9829d-db4e-40c9-8b01-3dc009ce2105}" done="1">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K687" dT="2026-05-27T00:49:10.00" personId="{d8e4f5ad-b65d-4160-a56f-197530fb7eb1}" id="{1cdf9fe5-d941-4448-8ca5-7e36d5c32220}" done="0">
    <x18tc:text xml:space="preserve">https://drive.google.com/file/d/1EZdMvj2jn9XQnELWnhiYdhxH6dG-C4K2/view?usp=drive_link</x18tc:text>
    <x18tc:extLst>
      <ext uri="{F7C98A9C-CBB3-438F-8F68-D28B6AF4A901}">
        <xltc2:checksum/>
        <xltc2:hyperlink startIndex="0" length="85" url="https://drive.google.com/file/d/1EZdMvj2jn9XQnELWnhiYdhxH6dG-C4K2/view?usp=drive_link"/>
      </ext>
    </x18tc:extLst>
  </x18tc:threadedComment>
  <x18tc:threadedComment ref="K687" dT="2026-05-27T00:49:37.00" personId="{d8e4f5ad-b65d-4160-a56f-197530fb7eb1}" id="{d0a42b28-0bb4-40c0-95cd-0bd52b99e4a2}" parentId="{1cdf9fe5-d941-4448-8ca5-7e36d5c32220}">
    <x18tc:text xml:space="preserve">https://drive.google.com/file/d/1nl6smh41_pFsgjRHA7gNJioNp3zh2Sf4/view?usp=drive_link</x18tc:text>
    <x18tc:extLst>
      <ext uri="{F7C98A9C-CBB3-438F-8F68-D28B6AF4A901}">
        <xltc2:checksum/>
        <xltc2:hyperlink startIndex="0" length="85" url="https://drive.google.com/file/d/1nl6smh41_pFsgjRHA7gNJioNp3zh2Sf4/view?usp=drive_link"/>
      </ext>
    </x18tc:extLst>
  </x18tc:threadedComment>
  <x18tc:threadedComment ref="C654" dT="2026-04-01T23:27:33.00" personId="{d8e4f5ad-b65d-4160-a56f-197530fb7eb1}" id="{4afe8f3e-86d9-46f8-8f68-b799002e75b8}"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L190" dT="2025-08-26T15:54:05.00" personId="{4df2d6c4-e43e-4f2e-b623-d90f458472ff}" id="{a90e354e-8a12-4837-9f50-a38b8a206602}" done="0">
    <x18tc:text xml:space="preserve">https://drive.google.com/file/d/1OzAtRy0CdfP8OXgSuLexKwo0-UQsi5FH/view?usp=drive_link</x18tc:text>
    <x18tc:extLst>
      <ext uri="{F7C98A9C-CBB3-438F-8F68-D28B6AF4A901}">
        <xltc2:checksum/>
        <xltc2:hyperlink startIndex="0" length="85" url="https://drive.google.com/file/d/1OzAtRy0CdfP8OXgSuLexKwo0-UQsi5FH/view?usp=drive_link"/>
      </ext>
    </x18tc:extLst>
  </x18tc:threadedComment>
  <x18tc:threadedComment ref="L82" dT="2025-06-30T23:49:25.00" personId="{a5d43f6d-3c72-4414-b012-8f52ef50acc4}" id="{29126fdf-87d9-48fc-a8b7-c518603c9916}" done="0">
    <x18tc:text xml:space="preserve">https://drive.google.com/file/d/1dypYBgm02MNQAnhgpTEjCZvcKt_A-1fH/view?usp=drive_link</x18tc:text>
    <x18tc:extLst>
      <ext uri="{F7C98A9C-CBB3-438F-8F68-D28B6AF4A901}">
        <xltc2:checksum/>
        <xltc2:hyperlink startIndex="0" length="85" url="https://drive.google.com/file/d/1dypYBgm02MNQAnhgpTEjCZvcKt_A-1fH/view?usp=drive_link"/>
      </ext>
    </x18tc:extLst>
  </x18tc:threadedComment>
  <x18tc:threadedComment ref="K431" dT="2026-01-24T20:52:55.00" personId="{d8e4f5ad-b65d-4160-a56f-197530fb7eb1}" id="{75f0a4c9-907c-419b-8e00-974d7da5de18}" done="0">
    <x18tc:text xml:space="preserve">https://drive.google.com/file/d/15478r2rdDWW_rOKudnT15dBQq2N-Lyj1/view?usp=drive_link</x18tc:text>
    <x18tc:extLst>
      <ext uri="{F7C98A9C-CBB3-438F-8F68-D28B6AF4A901}">
        <xltc2:checksum/>
        <xltc2:hyperlink startIndex="0" length="85" url="https://drive.google.com/file/d/15478r2rdDWW_rOKudnT15dBQq2N-Lyj1/view?usp=drive_link"/>
      </ext>
    </x18tc:extLst>
  </x18tc:threadedComment>
  <x18tc:threadedComment ref="K431" dT="2026-01-24T20:53:12.00" personId="{d8e4f5ad-b65d-4160-a56f-197530fb7eb1}" id="{46ef588f-7408-4e88-9a37-02e5c1c33203}" parentId="{75f0a4c9-907c-419b-8e00-974d7da5de18}">
    <x18tc:text xml:space="preserve">https://drive.google.com/file/d/130N85cOgHGrEkr9pVo9d5M40CEcdt8_d/view?usp=drive_link</x18tc:text>
    <x18tc:extLst>
      <ext uri="{F7C98A9C-CBB3-438F-8F68-D28B6AF4A901}">
        <xltc2:checksum/>
        <xltc2:hyperlink startIndex="0" length="85" url="https://drive.google.com/file/d/130N85cOgHGrEkr9pVo9d5M40CEcdt8_d/view?usp=drive_link"/>
      </ext>
    </x18tc:extLst>
  </x18tc:threadedComment>
  <x18tc:threadedComment ref="K431" dT="2026-01-24T20:53:27.00" personId="{d8e4f5ad-b65d-4160-a56f-197530fb7eb1}" id="{4472935d-12d4-438a-b059-42cf97c29f71}" parentId="{75f0a4c9-907c-419b-8e00-974d7da5de18}">
    <x18tc:text xml:space="preserve">https://drive.google.com/file/d/1wV_FNRVa2yP9X7GsMKoWpeZwPIA-Pjjw/view?usp=drive_link</x18tc:text>
    <x18tc:extLst>
      <ext uri="{F7C98A9C-CBB3-438F-8F68-D28B6AF4A901}">
        <xltc2:checksum/>
        <xltc2:hyperlink startIndex="0" length="85" url="https://drive.google.com/file/d/1wV_FNRVa2yP9X7GsMKoWpeZwPIA-Pjjw/view?usp=drive_link"/>
      </ext>
    </x18tc:extLst>
  </x18tc:threadedComment>
  <x18tc:threadedComment ref="K431" dT="2026-01-24T20:53:39.00" personId="{d8e4f5ad-b65d-4160-a56f-197530fb7eb1}" id="{e71fbb4f-b113-403d-927b-c4cb1be940d6}" parentId="{75f0a4c9-907c-419b-8e00-974d7da5de18}">
    <x18tc:text xml:space="preserve">https://drive.google.com/file/d/1sM73Iy8lLgdjsoTHGoPe_CzFmV6d4oAW/view?usp=drive_link</x18tc:text>
    <x18tc:extLst>
      <ext uri="{F7C98A9C-CBB3-438F-8F68-D28B6AF4A901}">
        <xltc2:checksum/>
        <xltc2:hyperlink startIndex="0" length="85" url="https://drive.google.com/file/d/1sM73Iy8lLgdjsoTHGoPe_CzFmV6d4oAW/view?usp=drive_link"/>
      </ext>
    </x18tc:extLst>
  </x18tc:threadedComment>
  <x18tc:threadedComment ref="J652" dT="2026-04-01T22:56:58.00" personId="{d8e4f5ad-b65d-4160-a56f-197530fb7eb1}" id="{d429d17a-9e8d-4ed2-a676-c5b60cefe39c}" done="0">
    <x18tc:text xml:space="preserve">https://drive.google.com/file/d/1gqwMwOpjJHPrRX1RqktW7GXcDmqsB60p/view?usp=drive_link</x18tc:text>
    <x18tc:extLst>
      <ext uri="{F7C98A9C-CBB3-438F-8F68-D28B6AF4A901}">
        <xltc2:checksum/>
        <xltc2:hyperlink startIndex="0" length="85" url="https://drive.google.com/file/d/1gqwMwOpjJHPrRX1RqktW7GXcDmqsB60p/view?usp=drive_link"/>
      </ext>
    </x18tc:extLst>
  </x18tc:threadedComment>
  <x18tc:threadedComment ref="K611" dT="2026-04-01T17:27:38.00" personId="{f9b224d0-ee33-4499-ae47-db5bcd2d0435}" id="{729112e1-94df-4af3-bcb2-191c89e47774}" done="0">
    <x18tc:text xml:space="preserve">https://drive.google.com/file/d/1gr8V4yGvAi_TZp89HGo3rgwpBp6co7SF/view?usp=drive_link</x18tc:text>
    <x18tc:extLst>
      <ext uri="{F7C98A9C-CBB3-438F-8F68-D28B6AF4A901}">
        <xltc2:checksum/>
        <xltc2:hyperlink startIndex="0" length="85" url="https://drive.google.com/file/d/1gr8V4yGvAi_TZp89HGo3rgwpBp6co7SF/view?usp=drive_link"/>
      </ext>
    </x18tc:extLst>
  </x18tc:threadedComment>
  <x18tc:threadedComment ref="K619" dT="2026-04-01T22:56:24.00" personId="{d8e4f5ad-b65d-4160-a56f-197530fb7eb1}" id="{3f2420a5-ca81-46df-9efb-555774094f5e}" done="0">
    <x18tc:text xml:space="preserve">https://drive.google.com/file/d/1JjCQKe61b6_uSwo8YVfYRHjy5CDV__j3/view?usp=drive_link</x18tc:text>
    <x18tc:extLst>
      <ext uri="{F7C98A9C-CBB3-438F-8F68-D28B6AF4A901}">
        <xltc2:checksum/>
        <xltc2:hyperlink startIndex="0" length="85" url="https://drive.google.com/file/d/1JjCQKe61b6_uSwo8YVfYRHjy5CDV__j3/view?usp=drive_link"/>
      </ext>
    </x18tc:extLst>
  </x18tc:threadedComment>
  <x18tc:threadedComment ref="L88" dT="2025-06-30T23:48:56.00" personId="{a5d43f6d-3c72-4414-b012-8f52ef50acc4}" id="{54a44072-5a2a-43af-aad9-2e7a2fba1d9b}" done="0">
    <x18tc:text xml:space="preserve">https://drive.google.com/file/d/1NmMQwuUy9c2pQNFqD4b5ZCkiFod2j8zn/view?usp=drive_link</x18tc:text>
    <x18tc:extLst>
      <ext uri="{F7C98A9C-CBB3-438F-8F68-D28B6AF4A901}">
        <xltc2:checksum/>
        <xltc2:hyperlink startIndex="0" length="85" url="https://drive.google.com/file/d/1NmMQwuUy9c2pQNFqD4b5ZCkiFod2j8zn/view?usp=drive_link"/>
      </ext>
    </x18tc:extLst>
  </x18tc:threadedComment>
  <x18tc:threadedComment ref="L82" dT="2025-06-30T23:45:07.00" personId="{a5d43f6d-3c72-4414-b012-8f52ef50acc4}" id="{7fc4ed17-b89f-41b1-93f6-04c9201606fd}" done="1">
    <x18tc:text xml:space="preserve">https://drive.google.com/file/d/1NmMQwuUy9c2pQNFqD4b5ZCkiFod2j8zn/view?usp=drive_link</x18tc:text>
    <x18tc:extLst>
      <ext uri="{F7C98A9C-CBB3-438F-8F68-D28B6AF4A901}">
        <xltc2:checksum/>
        <xltc2:hyperlink startIndex="0" length="85" url="https://drive.google.com/file/d/1NmMQwuUy9c2pQNFqD4b5ZCkiFod2j8zn/view?usp=drive_link"/>
      </ext>
    </x18tc:extLst>
  </x18tc:threadedComment>
  <x18tc:threadedComment ref="J106" dT="2025-07-01T21:44:26.00" personId="{a5d43f6d-3c72-4414-b012-8f52ef50acc4}" id="{a14bb377-add8-42f5-bee2-0e2b4d1add68}" done="0">
    <x18tc:text xml:space="preserve">https://drive.google.com/file/d/1LRegcD_XoV4IBgWg56xO_ZVl-0z1yy9q/view?usp=drive_link</x18tc:text>
    <x18tc:extLst>
      <ext uri="{F7C98A9C-CBB3-438F-8F68-D28B6AF4A901}">
        <xltc2:checksum/>
        <xltc2:hyperlink startIndex="0" length="85" url="https://drive.google.com/file/d/1LRegcD_XoV4IBgWg56xO_ZVl-0z1yy9q/view?usp=drive_link"/>
      </ext>
    </x18tc:extLst>
  </x18tc:threadedComment>
  <x18tc:threadedComment ref="C511" dT="2026-01-30T19:47:38.00" personId="{a5d43f6d-3c72-4414-b012-8f52ef50acc4}" id="{c300ec72-65f5-4562-9a20-353f25244b41}" done="0">
    <x18tc:text xml:space="preserve">https://www.microcenter.com/product/692120/msi-raider-18-hx-ai-a2xwig-418us-18-gaming-laptop-computer-core-black</x18tc:text>
    <x18tc:extLst>
      <ext uri="{F7C98A9C-CBB3-438F-8F68-D28B6AF4A901}">
        <xltc2:checksum/>
        <xltc2:hyperlink startIndex="0" length="112" url="https://www.microcenter.com/product/692120/msi-raider-18-hx-ai-a2xwig-418us-18-gaming-laptop-computer-core-black"/>
      </ext>
    </x18tc:extLst>
  </x18tc:threadedComment>
  <x18tc:threadedComment ref="W425" dT="2026-01-24T19:09:11.00" personId="{2ddfa542-8116-4937-a057-08470d7abaab}" id="{6078d042-a579-4d4d-9b2b-d07b95ecba75}" done="0">
    <x18tc:text xml:space="preserve">https://drive.google.com/open?id=1zYAhsdsaY3kBMeK3iWxMOm9wBLdtxns_&amp;usp=drive_copy</x18tc:text>
    <x18tc:extLst>
      <ext uri="{F7C98A9C-CBB3-438F-8F68-D28B6AF4A901}">
        <xltc2:checksum/>
        <xltc2:hyperlink startIndex="0" length="81" url="https://drive.google.com/open?id=1zYAhsdsaY3kBMeK3iWxMOm9wBLdtxns_&amp;usp=drive_copy"/>
      </ext>
    </x18tc:extLst>
  </x18tc:threadedComment>
  <x18tc:threadedComment ref="L77" dT="2025-06-30T23:43:36.00" personId="{a5d43f6d-3c72-4414-b012-8f52ef50acc4}" id="{4125fb95-a7d7-477c-8fc6-bcf022b8bd73}" done="0">
    <x18tc:text xml:space="preserve">https://drive.google.com/file/d/10pHZaPClic6dzYqlW8y7qxCOjR6sXQuL/view?usp=drive_link</x18tc:text>
    <x18tc:extLst>
      <ext uri="{F7C98A9C-CBB3-438F-8F68-D28B6AF4A901}">
        <xltc2:checksum/>
        <xltc2:hyperlink startIndex="0" length="85" url="https://drive.google.com/file/d/10pHZaPClic6dzYqlW8y7qxCOjR6sXQuL/view?usp=drive_link"/>
      </ext>
    </x18tc:extLst>
  </x18tc:threadedComment>
  <x18tc:threadedComment ref="J511" dT="2026-01-30T19:48:49.00" personId="{a5d43f6d-3c72-4414-b012-8f52ef50acc4}" id="{ae96d854-399c-4c3d-9fef-4d3e5c13415e}" done="0">
    <x18tc:text xml:space="preserve">https://drive.google.com/file/d/1nArZri8mPPbgY1eq_cBNGNf6iJPHAl6s/view?usp=drive_link</x18tc:text>
    <x18tc:extLst>
      <ext uri="{F7C98A9C-CBB3-438F-8F68-D28B6AF4A901}">
        <xltc2:checksum/>
        <xltc2:hyperlink startIndex="0" length="85" url="https://drive.google.com/file/d/1nArZri8mPPbgY1eq_cBNGNf6iJPHAl6s/view?usp=drive_link"/>
      </ext>
    </x18tc:extLst>
  </x18tc:threadedComment>
  <x18tc:threadedComment ref="K432" dT="2026-01-24T19:23:01.00" personId="{a5d43f6d-3c72-4414-b012-8f52ef50acc4}" id="{19501cc6-530c-417a-953e-a7b80a8dbaae}" done="0">
    <x18tc:text xml:space="preserve">https://drive.google.com/file/d/1k09UKhVzylKFFKzBSTFra7lkMOulqRUy/view?usp=drive_link</x18tc:text>
    <x18tc:extLst>
      <ext uri="{F7C98A9C-CBB3-438F-8F68-D28B6AF4A901}">
        <xltc2:checksum/>
        <xltc2:hyperlink startIndex="0" length="85" url="https://drive.google.com/file/d/1k09UKhVzylKFFKzBSTFra7lkMOulqRUy/view?usp=drive_link"/>
      </ext>
    </x18tc:extLst>
  </x18tc:threadedComment>
  <x18tc:threadedComment ref="C480" dT="2026-01-12T20:09:33.00" personId="{d8e4f5ad-b65d-4160-a56f-197530fb7eb1}" id="{aac53d22-18a1-4e8f-ada7-de246d6c70d1}" done="0">
    <x18tc:text xml:space="preserve">https://www.ebay.com/itm/326796273689?_skw=zephyrus+g16&amp;itmmeta=01KEA6P75CNEHBK944E9JNB5VB&amp;hash=item4c16936819:g:~t8AAeSwWZRpVqs~&amp;itmprp=enc%3AAQAKAAAA0FkggFvd1GGDu0w3yXCmi1ez3dMaVaO44gw8AwVoKqmk4qiFUfRnixNmN%2FgKVo%2FNNEGCZXX8H3pfoqs0m%2B2QJm4E6hLVROM%2F8Cw04oLW7UBj2LulL%2Fc31sAGoLmj%2Fq0Vhm6JjruXeQImP9PqXgf%2BBfp6%2FCqfBdlEruvtlsbvIfsmDpYUBY5VFKgmMTS83p62hlf4ZR5FlCI5FIJrTx4Mlo0%2Boi784F2cK%2Fm1G%2BzNwBj%2FbZP4i3j2F%2B62nUZWqj1%2BmfrBQl8CkmqZXpxq3%2BvFqG4%3D%7Ctkp%3ABk9SR-7y2MbyZg</x18tc:text>
    <x18tc:extLst>
      <ext uri="{F7C98A9C-CBB3-438F-8F68-D28B6AF4A901}">
        <xltc2:checksum/>
        <xltc2:hyperlink startIndex="0" length="486" url="https://www.ebay.com/itm/326796273689?_skw=zephyrus+g16&amp;itmmeta=01KEA6P75CNEHBK944E9JNB5VB&amp;hash=item4c16936819:g:~t8AAeSwWZRpVqs~&amp;itmprp=enc%3AAQAKAAAA0FkggFvd1GGDu0w3yXCmi1ez3dMaVaO44gw8AwVoKqmk4qiFUfRnixNmN%2FgKVo%2FNNEGCZXX8H3pfoqs0m%2B2QJm4E6hLVROM%2F8Cw04oLW7UBj2LulL%2Fc31sAGoLmj%2Fq0Vhm6JjruXeQImP9PqXgf%2BBfp6%2FCqfBdlEruvtlsbvIfsmDpYUBY5VFKgmMTS83p62hlf4ZR5FlCI5FIJrTx4Mlo0%2Boi784F2cK%2Fm1G%2BzNwBj%2FbZP4i3j2F%2B62nUZWqj1%2BmfrBQl8CkmqZXpxq3%2BvFqG4%3D%7Ctkp%3ABk9SR-7y2MbyZg"/>
      </ext>
    </x18tc:extLst>
  </x18tc:threadedComment>
  <x18tc:threadedComment ref="L269" dT="2025-10-25T19:14:12.00" personId="{a5d43f6d-3c72-4414-b012-8f52ef50acc4}" id="{665804af-4a1c-4632-9a40-12eb42286c0c}" done="0">
    <x18tc:text xml:space="preserve">https://drive.google.com/file/d/1cxRjjJWZ_RS_zZX06YchMgWLOAhrnI3Q/view?usp=drive_link</x18tc:text>
    <x18tc:extLst>
      <ext uri="{F7C98A9C-CBB3-438F-8F68-D28B6AF4A901}">
        <xltc2:checksum/>
        <xltc2:hyperlink startIndex="0" length="85" url="https://drive.google.com/file/d/1cxRjjJWZ_RS_zZX06YchMgWLOAhrnI3Q/view?usp=drive_link"/>
      </ext>
    </x18tc:extLst>
  </x18tc:threadedComment>
  <x18tc:threadedComment ref="L54" dT="2025-06-30T23:40:58.00" personId="{a5d43f6d-3c72-4414-b012-8f52ef50acc4}" id="{08866c2c-697f-46bd-ac9e-5c4ee7fc7bef}" done="0">
    <x18tc:text xml:space="preserve">https://drive.google.com/file/d/1HwzxtRxYZLd3YxTfKtG0XiB2wy84LjwT/view?usp=drive_link</x18tc:text>
    <x18tc:extLst>
      <ext uri="{F7C98A9C-CBB3-438F-8F68-D28B6AF4A901}">
        <xltc2:checksum/>
        <xltc2:hyperlink startIndex="0" length="85" url="https://drive.google.com/file/d/1HwzxtRxYZLd3YxTfKtG0XiB2wy84LjwT/view?usp=drive_link"/>
      </ext>
    </x18tc:extLst>
  </x18tc:threadedComment>
  <x18tc:threadedComment ref="J396" dT="2025-12-11T15:04:51.00" personId="{d8e4f5ad-b65d-4160-a56f-197530fb7eb1}" id="{f454f6d2-2d4a-4c9d-bd9c-c7a1881e96f9}" done="0">
    <x18tc:text xml:space="preserve">https://drive.google.com/file/d/1kvh_u_kQqWAEknZrM5rF9QZ0FeOQ3Ysi/view?usp=drive_link</x18tc:text>
    <x18tc:extLst>
      <ext uri="{F7C98A9C-CBB3-438F-8F68-D28B6AF4A901}">
        <xltc2:checksum/>
        <xltc2:hyperlink startIndex="0" length="85" url="https://drive.google.com/file/d/1kvh_u_kQqWAEknZrM5rF9QZ0FeOQ3Ysi/view?usp=drive_link"/>
      </ext>
    </x18tc:extLst>
  </x18tc:threadedComment>
  <x18tc:threadedComment ref="J396" dT="2025-12-11T15:05:20.00" personId="{d8e4f5ad-b65d-4160-a56f-197530fb7eb1}" id="{0a38eab8-255b-4bb5-a384-f7d40bf8ea65}" parentId="{f454f6d2-2d4a-4c9d-bd9c-c7a1881e96f9}">
    <x18tc:text xml:space="preserve">https://drive.google.com/file/d/1c94TOtIt37aDmvVRjHAet4qhVGvUSBpu/view?usp=drive_link</x18tc:text>
    <x18tc:extLst>
      <ext uri="{F7C98A9C-CBB3-438F-8F68-D28B6AF4A901}">
        <xltc2:checksum/>
        <xltc2:hyperlink startIndex="0" length="85" url="https://drive.google.com/file/d/1c94TOtIt37aDmvVRjHAet4qhVGvUSBpu/view?usp=drive_link"/>
      </ext>
    </x18tc:extLst>
  </x18tc:threadedComment>
  <x18tc:threadedComment ref="J396" dT="2025-12-11T15:05:35.00" personId="{d8e4f5ad-b65d-4160-a56f-197530fb7eb1}" id="{1e4c4720-613b-4edb-a8db-723451c2eab7}" parentId="{f454f6d2-2d4a-4c9d-bd9c-c7a1881e96f9}">
    <x18tc:text xml:space="preserve">https://drive.google.com/file/d/1SDenXHFLKpOs-a6BOVfjQKoVSUbzdZEX/view?usp=drive_link</x18tc:text>
    <x18tc:extLst>
      <ext uri="{F7C98A9C-CBB3-438F-8F68-D28B6AF4A901}">
        <xltc2:checksum/>
        <xltc2:hyperlink startIndex="0" length="85" url="https://drive.google.com/file/d/1SDenXHFLKpOs-a6BOVfjQKoVSUbzdZEX/view?usp=drive_link"/>
      </ext>
    </x18tc:extLst>
  </x18tc:threadedComment>
  <x18tc:threadedComment ref="J764" dT="2026-05-27T00:50:38.00" personId="{d8e4f5ad-b65d-4160-a56f-197530fb7eb1}" id="{2242e6a7-122e-4450-8f0d-52cd2f9160cc}" done="0">
    <x18tc:text xml:space="preserve">https://drive.google.com/file/d/1CgpB5iHYcA2n3FxbNcc8w5rk1LU4MhZX/view?usp=drive_link</x18tc:text>
    <x18tc:extLst>
      <ext uri="{F7C98A9C-CBB3-438F-8F68-D28B6AF4A901}">
        <xltc2:checksum/>
        <xltc2:hyperlink startIndex="0" length="85" url="https://drive.google.com/file/d/1CgpB5iHYcA2n3FxbNcc8w5rk1LU4MhZX/view?usp=drive_link"/>
      </ext>
    </x18tc:extLst>
  </x18tc:threadedComment>
  <x18tc:threadedComment ref="F496" dT="2026-01-24T17:32:51.00" personId="{2ddfa542-8116-4937-a057-08470d7abaab}" id="{b041f355-7865-4bcd-b1d4-8b387df3f810}" done="0">
    <x18tc:text xml:space="preserve">Procesando</x18tc:text>
  </x18tc:threadedComment>
  <x18tc:threadedComment ref="Q511" dT="2026-01-30T19:49:35.00" personId="{a5d43f6d-3c72-4414-b012-8f52ef50acc4}" id="{29ed7936-9894-49b1-9c29-b2b0a954a7bb}" done="1">
    <x18tc:text xml:space="preserve">apertura + configuración inicial con formateo + eset nod 32 + windows 11 pro + office profesional plus 2024</x18tc:text>
  </x18tc:threadedComment>
  <x18tc:threadedComment ref="K446" dT="2026-01-24T19:30:39.00" personId="{a5d43f6d-3c72-4414-b012-8f52ef50acc4}" id="{f88fe7b2-28f8-411d-aadc-db83b9b74481}" done="0">
    <x18tc:text xml:space="preserve">https://drive.google.com/file/d/1_8GyXedcj4opY7X8n_sCztZXti2GuGho/view?usp=drive_link</x18tc:text>
    <x18tc:extLst>
      <ext uri="{F7C98A9C-CBB3-438F-8F68-D28B6AF4A901}">
        <xltc2:checksum/>
        <xltc2:hyperlink startIndex="0" length="85" url="https://drive.google.com/file/d/1_8GyXedcj4opY7X8n_sCztZXti2GuGho/view?usp=drive_link"/>
      </ext>
    </x18tc:extLst>
  </x18tc:threadedComment>
  <x18tc:threadedComment ref="J532" dT="2026-02-11T21:34:45.00" personId="{d8e4f5ad-b65d-4160-a56f-197530fb7eb1}" id="{40af3151-2708-463c-8dd4-35714b259fee}" done="0">
    <x18tc:text xml:space="preserve">https://drive.google.com/file/d/10wP3qAfAJsh4l5NreLKhvFkfvluGhgn4/view?usp=drive_link</x18tc:text>
    <x18tc:extLst>
      <ext uri="{F7C98A9C-CBB3-438F-8F68-D28B6AF4A901}">
        <xltc2:checksum/>
        <xltc2:hyperlink startIndex="0" length="85" url="https://drive.google.com/file/d/10wP3qAfAJsh4l5NreLKhvFkfvluGhgn4/view?usp=drive_link"/>
      </ext>
    </x18tc:extLst>
  </x18tc:threadedComment>
  <x18tc:threadedComment ref="C126" dT="2025-07-17T21:16:23.00" personId="{4df2d6c4-e43e-4f2e-b623-d90f458472ff}" id="{bd37c8fb-9e0a-45de-bdd7-1f77f2949fbd}"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S250" dT="2025-10-04T00:43:14.00" personId="{d8e4f5ad-b65d-4160-a56f-197530fb7eb1}" id="{05643eba-2382-45b5-b66d-c14cdf19443f}" done="0">
    <x18tc:text xml:space="preserve">https://drive.google.com/file/d/17g6aXCB3J1ETvXCXQqoVfavZknVGhRqE/view?usp=drive_link</x18tc:text>
    <x18tc:extLst>
      <ext uri="{F7C98A9C-CBB3-438F-8F68-D28B6AF4A901}">
        <xltc2:checksum/>
        <xltc2:hyperlink startIndex="0" length="85" url="https://drive.google.com/file/d/17g6aXCB3J1ETvXCXQqoVfavZknVGhRqE/view?usp=drive_link"/>
      </ext>
    </x18tc:extLst>
  </x18tc:threadedComment>
  <x18tc:threadedComment ref="K506" dT="2026-02-11T21:33:47.00" personId="{d8e4f5ad-b65d-4160-a56f-197530fb7eb1}" id="{7133b734-4b04-47ee-8285-f96507257356}" done="0">
    <x18tc:text xml:space="preserve">https://drive.google.com/file/d/1uYZDC-pmss3OQeAoIZMmpM4in0HrbKro/view?usp=drive_link</x18tc:text>
    <x18tc:extLst>
      <ext uri="{F7C98A9C-CBB3-438F-8F68-D28B6AF4A901}">
        <xltc2:checksum/>
        <xltc2:hyperlink startIndex="0" length="85" url="https://drive.google.com/file/d/1uYZDC-pmss3OQeAoIZMmpM4in0HrbKro/view?usp=drive_link"/>
      </ext>
    </x18tc:extLst>
  </x18tc:threadedComment>
  <x18tc:threadedComment ref="W250" dT="2025-10-04T00:41:26.00" personId="{d8e4f5ad-b65d-4160-a56f-197530fb7eb1}" id="{16f9e7e1-4ff4-474c-ad16-c5132775312c}" done="0">
    <x18tc:text xml:space="preserve">https://drive.google.com/file/d/1UfZd_W7doxqdrTkIzh0nuioqNTI_d-IX/view?usp=drive_link</x18tc:text>
    <x18tc:extLst>
      <ext uri="{F7C98A9C-CBB3-438F-8F68-D28B6AF4A901}">
        <xltc2:checksum/>
        <xltc2:hyperlink startIndex="0" length="85" url="https://drive.google.com/file/d/1UfZd_W7doxqdrTkIzh0nuioqNTI_d-IX/view?usp=drive_link"/>
      </ext>
    </x18tc:extLst>
  </x18tc:threadedComment>
  <x18tc:threadedComment ref="C113" dT="2025-07-10T01:46:30.00" personId="{a5d43f6d-3c72-4414-b012-8f52ef50acc4}" id="{141a7b42-e410-4977-b674-b943a6bba89b}" done="0">
    <x18tc:text xml:space="preserve">https://www.ebay.com/itm/326642860310?_skw=rtx&amp;itmmeta=01JZMVNVYNRP2YKVBJK91MAC20&amp;hash=item4c0d6e8116:g:DMkAAeSw6JpoUEky</x18tc:text>
    <x18tc:extLst>
      <ext uri="{F7C98A9C-CBB3-438F-8F68-D28B6AF4A901}">
        <xltc2:checksum/>
        <xltc2:hyperlink startIndex="0" length="120" url="https://www.ebay.com/itm/326642860310?_skw=rtx&amp;itmmeta=01JZMVNVYNRP2YKVBJK91MAC20&amp;hash=item4c0d6e8116:g:DMkAAeSw6JpoUEky"/>
      </ext>
    </x18tc:extLst>
  </x18tc:threadedComment>
  <x18tc:threadedComment ref="J530" dT="2026-02-11T21:47:58.00" personId="{d8e4f5ad-b65d-4160-a56f-197530fb7eb1}" id="{b8606b6f-4c14-4b86-869c-c2d8829924b0}" done="0">
    <x18tc:text xml:space="preserve">https://drive.google.com/file/d/1b349vqi3Ov2O7jCNBlgINcjX4SByg3ly/view?usp=drive_link</x18tc:text>
    <x18tc:extLst>
      <ext uri="{F7C98A9C-CBB3-438F-8F68-D28B6AF4A901}">
        <xltc2:checksum/>
        <xltc2:hyperlink startIndex="0" length="85" url="https://drive.google.com/file/d/1b349vqi3Ov2O7jCNBlgINcjX4SByg3ly/view?usp=drive_link"/>
      </ext>
    </x18tc:extLst>
  </x18tc:threadedComment>
  <x18tc:threadedComment ref="K607" dT="2026-04-06T21:56:12.00" personId="{4df2d6c4-e43e-4f2e-b623-d90f458472ff}" id="{01b2ea57-7f49-4b4f-86c7-89dd29d043b6}" done="0">
    <x18tc:text xml:space="preserve">https://drive.google.com/file/d/1v03RpQRcWVTafqvHdx9HBCgWkWBiGNC9/view?usp=drive_link</x18tc:text>
    <x18tc:extLst>
      <ext uri="{F7C98A9C-CBB3-438F-8F68-D28B6AF4A901}">
        <xltc2:checksum/>
        <xltc2:hyperlink startIndex="0" length="85" url="https://drive.google.com/file/d/1v03RpQRcWVTafqvHdx9HBCgWkWBiGNC9/view?usp=drive_link"/>
      </ext>
    </x18tc:extLst>
  </x18tc:threadedComment>
  <x18tc:threadedComment ref="J113" dT="2025-07-10T01:53:09.00" personId="{a5d43f6d-3c72-4414-b012-8f52ef50acc4}" id="{749d50f9-43b0-4739-87d8-19dbefcec296}" done="0">
    <x18tc:text xml:space="preserve">https://drive.google.com/file/d/1ebc0Mt6rFp6vcuKx1Ek93DS7jBAZh7Ku/view?usp=drive_link</x18tc:text>
    <x18tc:extLst>
      <ext uri="{F7C98A9C-CBB3-438F-8F68-D28B6AF4A901}">
        <xltc2:checksum/>
        <xltc2:hyperlink startIndex="0" length="85" url="https://drive.google.com/file/d/1ebc0Mt6rFp6vcuKx1Ek93DS7jBAZh7Ku/view?usp=drive_link"/>
      </ext>
    </x18tc:extLst>
  </x18tc:threadedComment>
  <x18tc:threadedComment ref="L23" dT="2025-05-23T17:13:24.00" personId="{d8e4f5ad-b65d-4160-a56f-197530fb7eb1}" id="{1f33418e-2734-4ae8-a82a-2228e8355376}" done="0">
    <x18tc:text xml:space="preserve">https://drive.google.com/file/d/134JEwTNvOXkloaaG2sQ8rgXz86P5ck-A/view?usp=drive_link</x18tc:text>
    <x18tc:extLst>
      <ext uri="{F7C98A9C-CBB3-438F-8F68-D28B6AF4A901}">
        <xltc2:checksum/>
        <xltc2:hyperlink startIndex="0" length="85" url="https://drive.google.com/file/d/134JEwTNvOXkloaaG2sQ8rgXz86P5ck-A/view?usp=drive_link"/>
      </ext>
    </x18tc:extLst>
  </x18tc:threadedComment>
  <x18tc:threadedComment ref="J531" dT="2026-02-11T21:34:58.00" personId="{d8e4f5ad-b65d-4160-a56f-197530fb7eb1}" id="{00501d2a-807c-4a66-a6dc-beac67a0c2be}" done="0">
    <x18tc:text xml:space="preserve">https://drive.google.com/file/d/1TgvgmoMXHIxORsB5edxxUF2miIVQridI/view?usp=drive_link</x18tc:text>
    <x18tc:extLst>
      <ext uri="{F7C98A9C-CBB3-438F-8F68-D28B6AF4A901}">
        <xltc2:checksum/>
        <xltc2:hyperlink startIndex="0" length="85" url="https://drive.google.com/file/d/1TgvgmoMXHIxORsB5edxxUF2miIVQridI/view?usp=drive_link"/>
      </ext>
    </x18tc:extLst>
  </x18tc:threadedComment>
  <x18tc:threadedComment ref="N210" dT="2025-09-29T17:53:24.00" personId="{a5d43f6d-3c72-4414-b012-8f52ef50acc4}" id="{065da73f-3bcb-4752-b8f0-3370f02e7c77}" done="0">
    <x18tc:text xml:space="preserve">+15 de envío</x18tc:text>
  </x18tc:threadedComment>
  <x18tc:threadedComment ref="L186" dT="2025-09-12T01:38:16.00" personId="{4df2d6c4-e43e-4f2e-b623-d90f458472ff}" id="{c9e25bcc-45d8-4856-96aa-7fdf1265d26e}" done="0">
    <x18tc:text xml:space="preserve">https://drive.google.com/file/d/133h88mBpZOgzfU-3kuaIkZjK7n4KooUM/view?usp=drive_link</x18tc:text>
    <x18tc:extLst>
      <ext uri="{F7C98A9C-CBB3-438F-8F68-D28B6AF4A901}">
        <xltc2:checksum/>
        <xltc2:hyperlink startIndex="0" length="85" url="https://drive.google.com/file/d/133h88mBpZOgzfU-3kuaIkZjK7n4KooUM/view?usp=drive_link"/>
      </ext>
    </x18tc:extLst>
  </x18tc:threadedComment>
  <x18tc:threadedComment ref="K485" dT="2026-02-11T21:33:10.00" personId="{d8e4f5ad-b65d-4160-a56f-197530fb7eb1}" id="{de405b9e-65e7-4b80-859e-ad00a4a2c718}" done="0">
    <x18tc:text xml:space="preserve">https://drive.google.com/file/d/1-TEI1Uwb-H4SJjCdT4b2t2dBC1q61uU4/view?usp=drive_link</x18tc:text>
    <x18tc:extLst>
      <ext uri="{F7C98A9C-CBB3-438F-8F68-D28B6AF4A901}">
        <xltc2:checksum/>
        <xltc2:hyperlink startIndex="0" length="85" url="https://drive.google.com/file/d/1-TEI1Uwb-H4SJjCdT4b2t2dBC1q61uU4/view?usp=drive_link"/>
      </ext>
    </x18tc:extLst>
  </x18tc:threadedComment>
  <x18tc:threadedComment ref="J112" dT="2025-07-10T01:53:25.00" personId="{a5d43f6d-3c72-4414-b012-8f52ef50acc4}" id="{45125419-827e-4ce1-b4e2-9232d70dafbc}" done="0">
    <x18tc:text xml:space="preserve">https://drive.google.com/file/d/1BC5sbUh07AezzaMxGKp5ok-FqCSoAAyV/view?usp=drive_link</x18tc:text>
    <x18tc:extLst>
      <ext uri="{F7C98A9C-CBB3-438F-8F68-D28B6AF4A901}">
        <xltc2:checksum/>
        <xltc2:hyperlink startIndex="0" length="85" url="https://drive.google.com/file/d/1BC5sbUh07AezzaMxGKp5ok-FqCSoAAyV/view?usp=drive_link"/>
      </ext>
    </x18tc:extLst>
  </x18tc:threadedComment>
  <x18tc:threadedComment ref="T411" dT="2025-12-18T16:20:15.00" personId="{a5d43f6d-3c72-4414-b012-8f52ef50acc4}" id="{e70cabbf-2ba5-4448-bb6c-f516b50963e0}" done="0">
    <x18tc:text xml:space="preserve">kit de regalo</x18tc:text>
  </x18tc:threadedComment>
  <x18tc:threadedComment ref="K622" dT="2026-04-11T00:00:43.00" personId="{d8e4f5ad-b65d-4160-a56f-197530fb7eb1}" id="{251f09ba-e7c7-4458-a425-0fdbcac6304a}" done="0">
    <x18tc:text xml:space="preserve">https://drive.google.com/file/d/1-fWTjhniosX1iycvAhr2zertBHDBUvdz/view?usp=drive_link</x18tc:text>
    <x18tc:extLst>
      <ext uri="{F7C98A9C-CBB3-438F-8F68-D28B6AF4A901}">
        <xltc2:checksum/>
        <xltc2:hyperlink startIndex="0" length="85" url="https://drive.google.com/file/d/1-fWTjhniosX1iycvAhr2zertBHDBUvdz/view?usp=drive_link"/>
      </ext>
    </x18tc:extLst>
  </x18tc:threadedComment>
  <x18tc:threadedComment ref="J607" dT="2026-04-06T21:55:49.00" personId="{4df2d6c4-e43e-4f2e-b623-d90f458472ff}" id="{d9cb5006-5a15-421e-9e1f-5c87efe4c6fd}" done="0">
    <x18tc:text xml:space="preserve">https://drive.google.com/file/d/1oj7yZ9p4U3xQa4tKms4G3ALExWw0ZPIN/view?usp=drive_link</x18tc:text>
    <x18tc:extLst>
      <ext uri="{F7C98A9C-CBB3-438F-8F68-D28B6AF4A901}">
        <xltc2:checksum/>
        <xltc2:hyperlink startIndex="0" length="85" url="https://drive.google.com/file/d/1oj7yZ9p4U3xQa4tKms4G3ALExWw0ZPIN/view?usp=drive_link"/>
      </ext>
    </x18tc:extLst>
  </x18tc:threadedComment>
  <x18tc:threadedComment ref="K490" dT="2026-03-02T04:48:46.00" personId="{a5d43f6d-3c72-4414-b012-8f52ef50acc4}" id="{15364bf9-5f10-48ee-ba74-babea6151087}" done="0">
    <x18tc:text xml:space="preserve">lo terminó de pagar junto a la laptop arriba</x18tc:text>
  </x18tc:threadedComment>
  <x18tc:threadedComment ref="L229" dT="2025-09-12T01:12:24.00" personId="{4df2d6c4-e43e-4f2e-b623-d90f458472ff}" id="{735033a0-c952-4d3b-9e67-ef84f7fe0e87}" done="0">
    <x18tc:text xml:space="preserve">https://drive.google.com/file/d/1rNObWhC3CiG4jn45kRuaIvebOcRcbPXn/view?usp=drive_link</x18tc:text>
    <x18tc:extLst>
      <ext uri="{F7C98A9C-CBB3-438F-8F68-D28B6AF4A901}">
        <xltc2:checksum/>
        <xltc2:hyperlink startIndex="0" length="85" url="https://drive.google.com/file/d/1rNObWhC3CiG4jn45kRuaIvebOcRcbPXn/view?usp=drive_link"/>
      </ext>
    </x18tc:extLst>
  </x18tc:threadedComment>
  <x18tc:threadedComment ref="K608" dT="2026-04-06T22:55:03.00" personId="{d8e4f5ad-b65d-4160-a56f-197530fb7eb1}" id="{dcb8ed74-2ba9-40ac-b7ec-00832babfa2d}" done="0">
    <x18tc:text xml:space="preserve">https://drive.google.com/file/d/17YrRCJ9wQp41H8k3nbJiCzerxmsYUVUf/view?usp=drive_link</x18tc:text>
    <x18tc:extLst>
      <ext uri="{F7C98A9C-CBB3-438F-8F68-D28B6AF4A901}">
        <xltc2:checksum/>
        <xltc2:hyperlink startIndex="0" length="85" url="https://drive.google.com/file/d/17YrRCJ9wQp41H8k3nbJiCzerxmsYUVUf/view?usp=drive_link"/>
      </ext>
    </x18tc:extLst>
  </x18tc:threadedComment>
  <x18tc:threadedComment ref="K608" dT="2026-04-06T22:55:21.00" personId="{d8e4f5ad-b65d-4160-a56f-197530fb7eb1}" id="{6a071f6a-28cc-449f-ad83-75c361341255}" parentId="{dcb8ed74-2ba9-40ac-b7ec-00832babfa2d}">
    <x18tc:text xml:space="preserve">https://drive.google.com/file/d/1YTPoYYtGHFXkcD19DMVhFWasHEpxOzNY/view?usp=drive_link</x18tc:text>
    <x18tc:extLst>
      <ext uri="{F7C98A9C-CBB3-438F-8F68-D28B6AF4A901}">
        <xltc2:checksum/>
        <xltc2:hyperlink startIndex="0" length="85" url="https://drive.google.com/file/d/1YTPoYYtGHFXkcD19DMVhFWasHEpxOzNY/view?usp=drive_link"/>
      </ext>
    </x18tc:extLst>
  </x18tc:threadedComment>
  <x18tc:threadedComment ref="L212" dT="2025-09-12T01:28:23.00" personId="{4df2d6c4-e43e-4f2e-b623-d90f458472ff}" id="{69949b73-6d21-4add-a7ef-e45554b27db8}" done="0">
    <x18tc:text xml:space="preserve">https://drive.google.com/file/d/1TQQC2HG71uARy5TOsYp2fDQdo70Mzndq/view?usp=drive_link</x18tc:text>
    <x18tc:extLst>
      <ext uri="{F7C98A9C-CBB3-438F-8F68-D28B6AF4A901}">
        <xltc2:checksum/>
        <xltc2:hyperlink startIndex="0" length="85" url="https://drive.google.com/file/d/1TQQC2HG71uARy5TOsYp2fDQdo70Mzndq/view?usp=drive_link"/>
      </ext>
    </x18tc:extLst>
  </x18tc:threadedComment>
  <x18tc:threadedComment ref="K725" dT="2026-05-28T17:22:17.00" personId="{f9b224d0-ee33-4499-ae47-db5bcd2d0435}" id="{1324e4bc-5469-4b34-9bca-fb5141f91602}" done="0">
    <x18tc:text xml:space="preserve">https://drive.google.com/file/d/148ZH3rmpmCHC9_e_qsrR0fQuUBqMAVsU/view?usp=drive_link</x18tc:text>
    <x18tc:extLst>
      <ext uri="{F7C98A9C-CBB3-438F-8F68-D28B6AF4A901}">
        <xltc2:checksum/>
        <xltc2:hyperlink startIndex="0" length="85" url="https://drive.google.com/file/d/148ZH3rmpmCHC9_e_qsrR0fQuUBqMAVsU/view?usp=drive_link"/>
      </ext>
    </x18tc:extLst>
  </x18tc:threadedComment>
  <x18tc:threadedComment ref="F765" dT="2026-05-28T04:41:05.00" personId="{2ddfa542-8116-4937-a057-08470d7abaab}" id="{fae7d26e-1e57-45d7-bb72-e3059e81f7d1}" done="0">
    <x18tc:text xml:space="preserve">Procesando compra</x18tc:text>
  </x18tc:threadedComment>
  <x18tc:threadedComment ref="C244" dT="2025-09-25T23:59:47.00" personId="{a5d43f6d-3c72-4414-b012-8f52ef50acc4}" id="{36be7ba2-4b0a-4e8c-92bd-952752eac3f5}" done="0">
    <x18tc:text xml:space="preserve">https://www.microcenter.com/product/691907/asus-rog-strix-scar-16-g635lw-xs97-16-gaming-laptop-computer-off-black</x18tc:text>
    <x18tc:extLst>
      <ext uri="{F7C98A9C-CBB3-438F-8F68-D28B6AF4A901}">
        <xltc2:checksum/>
        <xltc2:hyperlink startIndex="0" length="113" url="https://www.microcenter.com/product/691907/asus-rog-strix-scar-16-g635lw-xs97-16-gaming-laptop-computer-off-black"/>
      </ext>
    </x18tc:extLst>
  </x18tc:threadedComment>
  <x18tc:threadedComment ref="W186" dT="2025-09-12T01:43:51.00" personId="{4df2d6c4-e43e-4f2e-b623-d90f458472ff}" id="{d529a9e7-e44d-4008-8a33-4c2ebba15918}" done="0">
    <x18tc:text xml:space="preserve">https://drive.google.com/file/d/1fhLRCLoLZPrV_ns4OqkQXHZ2kJeBLad1/view?usp=drive_link</x18tc:text>
    <x18tc:extLst>
      <ext uri="{F7C98A9C-CBB3-438F-8F68-D28B6AF4A901}">
        <xltc2:checksum/>
        <xltc2:hyperlink startIndex="0" length="85" url="https://drive.google.com/file/d/1fhLRCLoLZPrV_ns4OqkQXHZ2kJeBLad1/view?usp=drive_link"/>
      </ext>
    </x18tc:extLst>
  </x18tc:threadedComment>
  <x18tc:threadedComment ref="L19" dT="2025-05-23T17:06:20.00" personId="{d8e4f5ad-b65d-4160-a56f-197530fb7eb1}" id="{8720f449-d9a5-4cc4-93d8-59ad103816de}" done="0">
    <x18tc:text xml:space="preserve">https://drive.google.com/file/d/1RsbOYdglfM02_xV9HSq6tGk5usIMPKg2/view?usp=drive_link</x18tc:text>
    <x18tc:extLst>
      <ext uri="{F7C98A9C-CBB3-438F-8F68-D28B6AF4A901}">
        <xltc2:checksum/>
        <xltc2:hyperlink startIndex="0" length="85" url="https://drive.google.com/file/d/1RsbOYdglfM02_xV9HSq6tGk5usIMPKg2/view?usp=drive_link"/>
      </ext>
    </x18tc:extLst>
  </x18tc:threadedComment>
  <x18tc:threadedComment ref="C40" dT="2025-05-08T20:13:46.00" personId="{4df2d6c4-e43e-4f2e-b623-d90f458472ff}" id="{884d94fc-1a33-48a6-bc0e-c9e06f185270}" done="0">
    <x18tc:text xml:space="preserve">https://www.ebay.com/itm/335724029818?_skw=acer+nitro+5+i+9+4060&amp;epid=21066792121&amp;itmmeta=01JTRQD1YR4R5WX59CXCWTSFTZ&amp;hash=item4e2ab6277a:g:TbAAAOSwFc5nWbbz&amp;itmprp=enc%3AAQAKAAAA0FkggFvd1GGDu0w3yXCmi1erceZlaf5ks%2FkUT2qXLXuNnFGsNf7sC%2BX83w1LojE%2FtTzzeO4avaE7FK519ma02nUOhpW0kDvh5fQTSRndWpanghqGxu7aPBxwGC71Gl80HoNlnpvXGFDQik6ZeiqTK5kT68A7MujeirDef2xHRz1XODyBTiU2GO7M964ttSdEHt71eM3MHzwt%2F%2Bkz8oBCHMemRKEGK3r6rb3NCEzLKTzltbgeSa7YvgdoCV9QYhiFxPg2N0eG%2BhTGh1K0hAy0dtk%3D%7Ctkp%3ABk9SR86ftJfWZQ</x18tc:text>
    <x18tc:extLst>
      <ext uri="{F7C98A9C-CBB3-438F-8F68-D28B6AF4A901}">
        <xltc2:checksum/>
        <xltc2:hyperlink startIndex="0" length="494" url="https://www.ebay.com/itm/335724029818?_skw=acer+nitro+5+i+9+4060&amp;epid=21066792121&amp;itmmeta=01JTRQD1YR4R5WX59CXCWTSFTZ&amp;hash=item4e2ab6277a:g:TbAAAOSwFc5nWbbz&amp;itmprp=enc%3AAQAKAAAA0FkggFvd1GGDu0w3yXCmi1erceZlaf5ks%2FkUT2qXLXuNnFGsNf7sC%2BX83w1LojE%2FtTzzeO4avaE7FK519ma02nUOhpW0kDvh5fQTSRndWpanghqGxu7aPBxwGC71Gl80HoNlnpvXGFDQik6ZeiqTK5kT68A7MujeirDef2xHRz1XODyBTiU2GO7M964ttSdEHt71eM3MHzwt%2F%2Bkz8oBCHMemRKEGK3r6rb3NCEzLKTzltbgeSa7YvgdoCV9QYhiFxPg2N0eG%2BhTGh1K0hAy0dtk%3D%7Ctkp%3ABk9SR86ftJfWZQ"/>
      </ext>
    </x18tc:extLst>
  </x18tc:threadedComment>
  <x18tc:threadedComment ref="D244" dT="2025-09-26T00:00:05.00" personId="{a5d43f6d-3c72-4414-b012-8f52ef50acc4}" id="{b0fee260-2b52-4fc8-940f-f6ff6973743b}" done="0">
    <x18tc:text xml:space="preserve">Alex Yefry Yepez Huaquisto 
72843033
979681174 
topris1000@outlook.com</x18tc:text>
  </x18tc:threadedComment>
  <x18tc:threadedComment ref="J235" dT="2025-09-15T18:07:19.00" personId="{4df2d6c4-e43e-4f2e-b623-d90f458472ff}" id="{7bfe6dcb-4ed0-49c9-ac3e-4f13a915f96c}" done="0">
    <x18tc:text xml:space="preserve">https://drive.google.com/file/d/1GIvpxTYlAhCZKZrdlYthx8itNwDeoj6E/view?usp=drive_link</x18tc:text>
    <x18tc:extLst>
      <ext uri="{F7C98A9C-CBB3-438F-8F68-D28B6AF4A901}">
        <xltc2:checksum/>
        <xltc2:hyperlink startIndex="0" length="85" url="https://drive.google.com/file/d/1GIvpxTYlAhCZKZrdlYthx8itNwDeoj6E/view?usp=drive_link"/>
      </ext>
    </x18tc:extLst>
  </x18tc:threadedComment>
  <x18tc:threadedComment ref="J18" dT="2025-05-23T17:04:41.00" personId="{d8e4f5ad-b65d-4160-a56f-197530fb7eb1}" id="{4f440256-9d5e-4505-b491-0e3f6f7bd4ff}" done="0">
    <x18tc:text xml:space="preserve">https://drive.google.com/file/d/1Rjt-L17F5FVcgP5TWpAPAKPBKJC2hT31/view?usp=drive_link</x18tc:text>
    <x18tc:extLst>
      <ext uri="{F7C98A9C-CBB3-438F-8F68-D28B6AF4A901}">
        <xltc2:checksum/>
        <xltc2:hyperlink startIndex="0" length="85" url="https://drive.google.com/file/d/1Rjt-L17F5FVcgP5TWpAPAKPBKJC2hT31/view?usp=drive_link"/>
      </ext>
    </x18tc:extLst>
  </x18tc:threadedComment>
  <x18tc:threadedComment ref="J306" dT="2025-11-14T01:46:17.00" personId="{a5d43f6d-3c72-4414-b012-8f52ef50acc4}" id="{6549029f-59b8-480f-a4ee-bbf4a49cc5b3}" done="0">
    <x18tc:text xml:space="preserve">https://drive.google.com/file/d/1W6ziQlhZD0wzt_tBGz_2AEv1x-cgyqyQ/view?usp=drive_link</x18tc:text>
    <x18tc:extLst>
      <ext uri="{F7C98A9C-CBB3-438F-8F68-D28B6AF4A901}">
        <xltc2:checksum/>
        <xltc2:hyperlink startIndex="0" length="85" url="https://drive.google.com/file/d/1W6ziQlhZD0wzt_tBGz_2AEv1x-cgyqyQ/view?usp=drive_link"/>
      </ext>
    </x18tc:extLst>
  </x18tc:threadedComment>
  <x18tc:threadedComment ref="J33" dT="2025-05-31T01:44:34.00" personId="{a5d43f6d-3c72-4414-b012-8f52ef50acc4}" id="{8b390adf-e483-46c5-94b3-cfeb50d5c153}" done="0">
    <x18tc:text xml:space="preserve">https://drive.google.com/file/d/10xVs_MGnUkffAGh0STbpMbs2liNlV5uu/view?usp=drive_link</x18tc:text>
    <x18tc:extLst>
      <ext uri="{F7C98A9C-CBB3-438F-8F68-D28B6AF4A901}">
        <xltc2:checksum/>
        <xltc2:hyperlink startIndex="0" length="85" url="https://drive.google.com/file/d/10xVs_MGnUkffAGh0STbpMbs2liNlV5uu/view?usp=drive_link"/>
      </ext>
    </x18tc:extLst>
  </x18tc:threadedComment>
  <x18tc:threadedComment ref="W212" dT="2025-09-12T01:34:43.00" personId="{4df2d6c4-e43e-4f2e-b623-d90f458472ff}" id="{a64bdc32-86fc-4326-86e7-bdad5288053e}" done="0">
    <x18tc:text xml:space="preserve">https://drive.google.com/file/d/1o_ybjV0X9q2D6vDais9prmdEjFNPJnXX/view?usp=drive_link</x18tc:text>
    <x18tc:extLst>
      <ext uri="{F7C98A9C-CBB3-438F-8F68-D28B6AF4A901}">
        <xltc2:checksum/>
        <xltc2:hyperlink startIndex="0" length="85" url="https://drive.google.com/file/d/1o_ybjV0X9q2D6vDais9prmdEjFNPJnXX/view?usp=drive_link"/>
      </ext>
    </x18tc:extLst>
  </x18tc:threadedComment>
  <x18tc:threadedComment ref="D235" dT="2025-09-15T18:07:54.00" personId="{4df2d6c4-e43e-4f2e-b623-d90f458472ff}" id="{ff4418bb-6b12-4b63-bd39-e6d015db9677}" done="1">
    <x18tc:text xml:space="preserve">https://www.bestbuy.com/product/asus-zenbook-duo-dual-14-3k-oled-touch-laptop-evo-intel-core-ultra-9-285h-with-32gb-ram-intel-arc-graphics-1tb-ssd-inkwell-gray/JJGGLQWVQV</x18tc:text>
    <x18tc:extLst>
      <ext uri="{F7C98A9C-CBB3-438F-8F68-D28B6AF4A901}">
        <xltc2:checksum/>
        <xltc2:hyperlink startIndex="0" length="170" url="https://www.bestbuy.com/product/asus-zenbook-duo-dual-14-3k-oled-touch-laptop-evo-intel-core-ultra-9-285h-with-32gb-ram-intel-arc-graphics-1tb-ssd-inkwell-gray/JJGGLQWVQV"/>
      </ext>
    </x18tc:extLst>
  </x18tc:threadedComment>
  <x18tc:threadedComment ref="F395" dT="2025-12-07T19:12:23.00" personId="{6afbe8df-a68a-4403-9951-ca8c0d21ef43}" id="{e3f1b7e1-02b6-4611-9507-4daaeea9675b}" done="1">
    <x18tc:text xml:space="preserve">@yolinette152@gmail.com falta agregar boleta
Asignada a yolinette152@gmail.com</x18tc:text>
    <x18tc:mentions>
      <x18tc:mention mentionpersonId="{175ceed9-6dd2-4dd9-a576-ccc719bb1072}" mentionId="{f87f7c08-10b7-4fd8-a141-ab6bd9d59869}" startIndex="0" length="23"/>
    </x18tc:mentions>
  </x18tc:threadedComment>
  <x18tc:threadedComment ref="C235" dT="2025-09-15T18:08:02.00" personId="{4df2d6c4-e43e-4f2e-b623-d90f458472ff}" id="{7e63a152-8b18-40e7-b8d0-c8e645340e75}" done="0">
    <x18tc:text xml:space="preserve">https://www.bestbuy.com/product/asus-zenbook-duo-dual-14-3k-oled-touch-laptop-evo-intel-core-ultra-9-285h-with-32gb-ram-intel-arc-graphics-1tb-ssd-inkwell-gray/JJGGLQWVQV</x18tc:text>
    <x18tc:extLst>
      <ext uri="{F7C98A9C-CBB3-438F-8F68-D28B6AF4A901}">
        <xltc2:checksum/>
        <xltc2:hyperlink startIndex="0" length="170" url="https://www.bestbuy.com/product/asus-zenbook-duo-dual-14-3k-oled-touch-laptop-evo-intel-core-ultra-9-285h-with-32gb-ram-intel-arc-graphics-1tb-ssd-inkwell-gray/JJGGLQWVQV"/>
      </ext>
    </x18tc:extLst>
  </x18tc:threadedComment>
  <x18tc:threadedComment ref="M306" dT="2025-11-14T01:45:41.00" personId="{a5d43f6d-3c72-4414-b012-8f52ef50acc4}" id="{420fc89e-8ee8-4482-b9df-23eb99009b58}" done="1">
    <x18tc:text xml:space="preserve">incluye garantía</x18tc:text>
  </x18tc:threadedComment>
  <x18tc:threadedComment ref="AI725" dT="2026-05-28T17:56:16.00" personId="{7d9bea4b-cfe7-4c29-b483-8e83a1c4f52a}" id="{efeb751b-cff1-42f7-8e2c-b2e5fb2ac9a8}" done="0">
    <x18tc:text xml:space="preserve">https://drive.google.com/file/d/1Vau0KFEyFlsQrLeYzmA4KgPZABkLt-x9/view?usp=drive_link</x18tc:text>
    <x18tc:extLst>
      <ext uri="{F7C98A9C-CBB3-438F-8F68-D28B6AF4A901}">
        <xltc2:checksum/>
        <xltc2:hyperlink startIndex="0" length="85" url="https://drive.google.com/file/d/1Vau0KFEyFlsQrLeYzmA4KgPZABkLt-x9/view?usp=drive_link"/>
      </ext>
    </x18tc:extLst>
  </x18tc:threadedComment>
  <x18tc:threadedComment ref="AF622" dT="2026-04-09T17:11:04.00" personId="{2ddfa542-8116-4937-a057-08470d7abaab}" id="{341eb804-8973-4b97-b331-4fbe7e68b5df}" done="1">
    <x18tc:text xml:space="preserve">Venta final, excedentes, fixit</x18tc:text>
  </x18tc:threadedComment>
  <x18tc:threadedComment ref="AF632" dT="2026-04-09T17:12:11.00" personId="{2ddfa542-8116-4937-a057-08470d7abaab}" id="{01c5c110-17d7-479d-939a-628cf9c72341}" done="1">
    <x18tc:text xml:space="preserve">Venta final, excedentes, fixit</x18tc:text>
  </x18tc:threadedComment>
  <x18tc:threadedComment ref="J114" dT="2025-07-10T02:29:56.00" personId="{d8e4f5ad-b65d-4160-a56f-197530fb7eb1}" id="{2790c40d-070b-438f-8cfd-f4b0ee963bd0}" done="0">
    <x18tc:text xml:space="preserve">https://drive.google.com/file/d/1LqkVfaRlXE5CQhwS4TP2FHh0EtASzdbn/view?usp=drive_link</x18tc:text>
    <x18tc:extLst>
      <ext uri="{F7C98A9C-CBB3-438F-8F68-D28B6AF4A901}">
        <xltc2:checksum/>
        <xltc2:hyperlink startIndex="0" length="85" url="https://drive.google.com/file/d/1LqkVfaRlXE5CQhwS4TP2FHh0EtASzdbn/view?usp=drive_link"/>
      </ext>
    </x18tc:extLst>
  </x18tc:threadedComment>
  <x18tc:threadedComment ref="C114" dT="2025-07-10T02:32:04.00" personId="{d8e4f5ad-b65d-4160-a56f-197530fb7eb1}" id="{9446a0fb-e5e7-41ca-9bf4-ac4726569e87}" done="0">
    <x18tc:text xml:space="preserve">https://www.newegg.com/aorus-16x-series-16-geforce-rtx-4060-laptop-gpu-intel-core-i7-13650hx-wqxga-16gb-memory-1-tb-pcie-ssd/p/N82E16834725226</x18tc:text>
    <x18tc:extLst>
      <ext uri="{F7C98A9C-CBB3-438F-8F68-D28B6AF4A901}">
        <xltc2:checksum/>
        <xltc2:hyperlink startIndex="0" length="142" url="https://www.newegg.com/aorus-16x-series-16-geforce-rtx-4060-laptop-gpu-intel-core-i7-13650hx-wqxga-16gb-memory-1-tb-pcie-ssd/p/N82E16834725226"/>
      </ext>
    </x18tc:extLst>
  </x18tc:threadedComment>
  <x18tc:threadedComment ref="M36" dT="2025-05-30T23:32:11.00" personId="{a5d43f6d-3c72-4414-b012-8f52ef50acc4}" id="{4ad53434-b1de-4d85-9f6b-62963522f671}" done="0">
    <x18tc:text xml:space="preserve">https://drive.google.com/file/d/1V7Ly4K7QB82bjgbYWvnPpzRCc3DQ4s5H/view?usp=drive_link</x18tc:text>
    <x18tc:extLst>
      <ext uri="{F7C98A9C-CBB3-438F-8F68-D28B6AF4A901}">
        <xltc2:checksum/>
        <xltc2:hyperlink startIndex="0" length="85" url="https://drive.google.com/file/d/1V7Ly4K7QB82bjgbYWvnPpzRCc3DQ4s5H/view?usp=drive_link"/>
      </ext>
    </x18tc:extLst>
  </x18tc:threadedComment>
  <x18tc:threadedComment ref="J244" dT="2025-09-26T00:02:19.00" personId="{a5d43f6d-3c72-4414-b012-8f52ef50acc4}" id="{0e281113-ca17-4c85-b2db-f48965c7822b}" done="0">
    <x18tc:text xml:space="preserve">https://drive.google.com/file/d/1cbNMgZ6nkJZvAj-1WhSAY6LsJyo-bQz3/view?usp=drive_link</x18tc:text>
    <x18tc:extLst>
      <ext uri="{F7C98A9C-CBB3-438F-8F68-D28B6AF4A901}">
        <xltc2:checksum/>
        <xltc2:hyperlink startIndex="0" length="85" url="https://drive.google.com/file/d/1cbNMgZ6nkJZvAj-1WhSAY6LsJyo-bQz3/view?usp=drive_link"/>
      </ext>
    </x18tc:extLst>
  </x18tc:threadedComment>
  <x18tc:threadedComment ref="L41" dT="2025-05-30T22:07:52.00" personId="{d8e4f5ad-b65d-4160-a56f-197530fb7eb1}" id="{6775b43d-2dff-414e-8939-06d6216a9383}" done="0">
    <x18tc:text xml:space="preserve">https://drive.google.com/file/d/1E8w6THKzYcvwVd8g-hPKjqbzYCSNijO-/view?usp=drive_link</x18tc:text>
    <x18tc:extLst>
      <ext uri="{F7C98A9C-CBB3-438F-8F68-D28B6AF4A901}">
        <xltc2:checksum/>
        <xltc2:hyperlink startIndex="0" length="85" url="https://drive.google.com/file/d/1E8w6THKzYcvwVd8g-hPKjqbzYCSNijO-/view?usp=drive_link"/>
      </ext>
    </x18tc:extLst>
  </x18tc:threadedComment>
  <x18tc:threadedComment ref="K618" dT="2026-03-25T18:29:05.00" personId="{d8e4f5ad-b65d-4160-a56f-197530fb7eb1}" id="{60273c66-6358-44c0-a67b-86bb320bc80c}" done="0">
    <x18tc:text xml:space="preserve">https://drive.google.com/file/d/162Hkmo-jmYsyZALeV8eqsUgWzA6Vip1G/view?usp=drive_link</x18tc:text>
    <x18tc:extLst>
      <ext uri="{F7C98A9C-CBB3-438F-8F68-D28B6AF4A901}">
        <xltc2:checksum/>
        <xltc2:hyperlink startIndex="0" length="85" url="https://drive.google.com/file/d/162Hkmo-jmYsyZALeV8eqsUgWzA6Vip1G/view?usp=drive_link"/>
      </ext>
    </x18tc:extLst>
  </x18tc:threadedComment>
  <x18tc:threadedComment ref="K618" dT="2026-03-25T18:29:17.00" personId="{d8e4f5ad-b65d-4160-a56f-197530fb7eb1}" id="{bb313d0b-6d74-4eef-8646-d9d8ae47db2b}" parentId="{60273c66-6358-44c0-a67b-86bb320bc80c}">
    <x18tc:text xml:space="preserve">https://drive.google.com/file/d/1HIJT2xBWC0myVRfJpT_fsfTpCo_Dypn-/view?usp=drive_link</x18tc:text>
    <x18tc:extLst>
      <ext uri="{F7C98A9C-CBB3-438F-8F68-D28B6AF4A901}">
        <xltc2:checksum/>
        <xltc2:hyperlink startIndex="0" length="85" url="https://drive.google.com/file/d/1HIJT2xBWC0myVRfJpT_fsfTpCo_Dypn-/view?usp=drive_link"/>
      </ext>
    </x18tc:extLst>
  </x18tc:threadedComment>
  <x18tc:threadedComment ref="K618" dT="2026-03-25T18:29:26.00" personId="{d8e4f5ad-b65d-4160-a56f-197530fb7eb1}" id="{f2d4f73a-8332-486d-9488-7df5689b7050}" parentId="{60273c66-6358-44c0-a67b-86bb320bc80c}">
    <x18tc:text xml:space="preserve">https://drive.google.com/file/d/1OUiB1G_aYKHbAOnWONcTdgS3aL0h2M2j/view?usp=drive_link</x18tc:text>
    <x18tc:extLst>
      <ext uri="{F7C98A9C-CBB3-438F-8F68-D28B6AF4A901}">
        <xltc2:checksum/>
        <xltc2:hyperlink startIndex="0" length="85" url="https://drive.google.com/file/d/1OUiB1G_aYKHbAOnWONcTdgS3aL0h2M2j/view?usp=drive_link"/>
      </ext>
    </x18tc:extLst>
  </x18tc:threadedComment>
  <x18tc:threadedComment ref="J151" dT="2025-07-30T17:51:30.00" personId="{a5d43f6d-3c72-4414-b012-8f52ef50acc4}" id="{a6abc103-467b-4d40-b60c-a7988deea353}" done="0">
    <x18tc:text xml:space="preserve">https://drive.google.com/file/d/1D-UXmEOEJ92OmCWkex3PlFYacZUedpKI/view?usp=drive_link</x18tc:text>
    <x18tc:extLst>
      <ext uri="{F7C98A9C-CBB3-438F-8F68-D28B6AF4A901}">
        <xltc2:checksum/>
        <xltc2:hyperlink startIndex="0" length="85" url="https://drive.google.com/file/d/1D-UXmEOEJ92OmCWkex3PlFYacZUedpKI/view?usp=drive_link"/>
      </ext>
    </x18tc:extLst>
  </x18tc:threadedComment>
  <x18tc:threadedComment ref="J279" dT="2025-10-23T22:50:49.00" personId="{a5d43f6d-3c72-4414-b012-8f52ef50acc4}" id="{e5afbade-35a7-4f16-a010-77319d01123a}" done="0">
    <x18tc:text xml:space="preserve">https://drive.google.com/file/d/1Kc2XJ_3rgtCRQpI8vL5-bMdHOqnUlxfn/view?usp=drive_link</x18tc:text>
    <x18tc:extLst>
      <ext uri="{F7C98A9C-CBB3-438F-8F68-D28B6AF4A901}">
        <xltc2:checksum/>
        <xltc2:hyperlink startIndex="0" length="85" url="https://drive.google.com/file/d/1Kc2XJ_3rgtCRQpI8vL5-bMdHOqnUlxfn/view?usp=drive_link"/>
      </ext>
    </x18tc:extLst>
  </x18tc:threadedComment>
  <x18tc:threadedComment ref="S253" dT="2025-09-30T22:15:03.00" personId="{a5d43f6d-3c72-4414-b012-8f52ef50acc4}" id="{35ef30e5-80e6-4b95-88df-bfad6129fe87}" done="0">
    <x18tc:text xml:space="preserve">https://drive.google.com/file/d/1hJJ0aZ_TrwsOCa9T-0M4zFdBNYGay4K3/view?usp=drive_link</x18tc:text>
    <x18tc:extLst>
      <ext uri="{F7C98A9C-CBB3-438F-8F68-D28B6AF4A901}">
        <xltc2:checksum/>
        <xltc2:hyperlink startIndex="0" length="85" url="https://drive.google.com/file/d/1hJJ0aZ_TrwsOCa9T-0M4zFdBNYGay4K3/view?usp=drive_link"/>
      </ext>
    </x18tc:extLst>
  </x18tc:threadedComment>
  <x18tc:threadedComment ref="M253" dT="2025-09-30T22:15:20.00" personId="{a5d43f6d-3c72-4414-b012-8f52ef50acc4}" id="{7daf1b36-a8db-4e76-a37a-6763d2b596a4}" done="0">
    <x18tc:text xml:space="preserve">https://drive.google.com/file/d/1OT-3nyBsqphdt37QtIyPrjvGPgX83XPQ/view?usp=drive_link</x18tc:text>
    <x18tc:extLst>
      <ext uri="{F7C98A9C-CBB3-438F-8F68-D28B6AF4A901}">
        <xltc2:checksum/>
        <xltc2:hyperlink startIndex="0" length="85" url="https://drive.google.com/file/d/1OT-3nyBsqphdt37QtIyPrjvGPgX83XPQ/view?usp=drive_link"/>
      </ext>
    </x18tc:extLst>
  </x18tc:threadedComment>
  <x18tc:threadedComment ref="J466" dT="2026-01-05T19:47:46.00" personId="{a5d43f6d-3c72-4414-b012-8f52ef50acc4}" id="{31d0ff9c-934d-42a8-8d77-8292ef7c58f2}" done="0">
    <x18tc:text xml:space="preserve">https://drive.google.com/file/d/1w5oy60oBS-_xseJcVuyOVgh27lmGq4fA/view?usp=drive_link</x18tc:text>
    <x18tc:extLst>
      <ext uri="{F7C98A9C-CBB3-438F-8F68-D28B6AF4A901}">
        <xltc2:checksum/>
        <xltc2:hyperlink startIndex="0" length="85" url="https://drive.google.com/file/d/1w5oy60oBS-_xseJcVuyOVgh27lmGq4fA/view?usp=drive_link"/>
      </ext>
    </x18tc:extLst>
  </x18tc:threadedComment>
  <x18tc:threadedComment ref="L42" dT="2025-05-31T01:34:24.00" personId="{a5d43f6d-3c72-4414-b012-8f52ef50acc4}" id="{aacfb061-ba20-4e0b-8bd2-fee88aa7962f}" done="0">
    <x18tc:text xml:space="preserve">https://drive.google.com/file/d/1_n5wWUBpnPxOgGkAsJc82aeKYAs7Nfhy/view?usp=drive_link
https://drive.google.com/file/d/1UfJH3TYcOZ8NnlLQLtlG6la43IajqpkS/view?usp=drive_link</x18tc:text>
    <x18tc:extLst>
      <ext uri="{F7C98A9C-CBB3-438F-8F68-D28B6AF4A901}">
        <xltc2:checksum/>
        <xltc2:hyperlink startIndex="0" length="85" url="https://drive.google.com/file/d/1_n5wWUBpnPxOgGkAsJc82aeKYAs7Nfhy/view?usp=drive_link"/>
        <xltc2:hyperlink startIndex="86" length="85" url="https://drive.google.com/file/d/1UfJH3TYcOZ8NnlLQLtlG6la43IajqpkS/view?usp=drive_link"/>
      </ext>
    </x18tc:extLst>
  </x18tc:threadedComment>
  <x18tc:threadedComment ref="W114" dT="2025-09-01T17:59:26.00" personId="{d8e4f5ad-b65d-4160-a56f-197530fb7eb1}" id="{9a709d95-e746-47a9-893b-83583a122e6c}" done="0">
    <x18tc:text xml:space="preserve">https://drive.google.com/file/d/1AKksSzZK54vzNGCINgco7oGN_pGgZALc/view?usp=drive_link</x18tc:text>
    <x18tc:extLst>
      <ext uri="{F7C98A9C-CBB3-438F-8F68-D28B6AF4A901}">
        <xltc2:checksum/>
        <xltc2:hyperlink startIndex="0" length="85" url="https://drive.google.com/file/d/1AKksSzZK54vzNGCINgco7oGN_pGgZALc/view?usp=drive_link"/>
      </ext>
    </x18tc:extLst>
  </x18tc:threadedComment>
  <x18tc:threadedComment ref="L64" dT="2025-05-31T01:25:52.00" personId="{a5d43f6d-3c72-4414-b012-8f52ef50acc4}" id="{91b8b02e-53c3-45e3-8f8c-31f255cf5f58}" done="0">
    <x18tc:text xml:space="preserve">https://drive.google.com/file/d/14Syj_CtVnFNqmOOFgPKwm_Mwn5c6qqXu/view?usp=drive_link</x18tc:text>
    <x18tc:extLst>
      <ext uri="{F7C98A9C-CBB3-438F-8F68-D28B6AF4A901}">
        <xltc2:checksum/>
        <xltc2:hyperlink startIndex="0" length="85" url="https://drive.google.com/file/d/14Syj_CtVnFNqmOOFgPKwm_Mwn5c6qqXu/view?usp=drive_link"/>
      </ext>
    </x18tc:extLst>
  </x18tc:threadedComment>
  <x18tc:threadedComment ref="N256" dT="2025-09-30T20:38:27.00" personId="{a5d43f6d-3c72-4414-b012-8f52ef50acc4}" id="{78185e68-9b08-424f-b3e2-8276fa39f843}" done="1">
    <x18tc:text xml:space="preserve">S/.1.474,32203
S/.1.739,7000</x18tc:text>
  </x18tc:threadedComment>
  <x18tc:threadedComment ref="K672" dT="2026-05-22T20:07:22.00" personId="{80195d68-4e9b-4dc7-a031-ca5391c97d0f}" id="{7ba49713-f1e2-4432-92ec-1b38b38afc2b}" done="0">
    <x18tc:text xml:space="preserve">https://drive.google.com/file/d/1wK5H7y8uQa8NW0H-iK4gmmSdXattog2K/view?usp=drive_link se le dio desceunto 350 soles por equivocación</x18tc:text>
    <x18tc:extLst>
      <ext uri="{F7C98A9C-CBB3-438F-8F68-D28B6AF4A901}">
        <xltc2:checksum/>
        <xltc2:hyperlink startIndex="0" length="85" url="https://drive.google.com/file/d/1wK5H7y8uQa8NW0H-iK4gmmSdXattog2K/view?usp=drive_link"/>
      </ext>
    </x18tc:extLst>
  </x18tc:threadedComment>
  <x18tc:threadedComment ref="J800" dT="2026-06-25T18:35:24.00" personId="{80195d68-4e9b-4dc7-a031-ca5391c97d0f}" id="{ad06708e-fc0a-46a9-94ec-09c3af1c821e}" done="0">
    <x18tc:text xml:space="preserve">https://drive.google.com/file/d/1VfnLmWJwIu0Go4Bq079ivaAOEUd0QT_f/view?usp=drive_link</x18tc:text>
    <x18tc:extLst>
      <ext uri="{F7C98A9C-CBB3-438F-8F68-D28B6AF4A901}">
        <xltc2:checksum/>
        <xltc2:hyperlink startIndex="0" length="85" url="https://drive.google.com/file/d/1VfnLmWJwIu0Go4Bq079ivaAOEUd0QT_f/view?usp=drive_link"/>
      </ext>
    </x18tc:extLst>
  </x18tc:threadedComment>
  <x18tc:threadedComment ref="W273" dT="2025-11-01T15:53:53.00" personId="{4df2d6c4-e43e-4f2e-b623-d90f458472ff}" id="{b9dd2583-9b72-42fd-bc25-67662c25dcd2}" done="0">
    <x18tc:text xml:space="preserve">https://drive.google.com/file/d/18tyNATS0BVoX6GsnjAlCNzJcQEcIUT6N/view?usp=drive_link</x18tc:text>
    <x18tc:extLst>
      <ext uri="{F7C98A9C-CBB3-438F-8F68-D28B6AF4A901}">
        <xltc2:checksum/>
        <xltc2:hyperlink startIndex="0" length="85" url="https://drive.google.com/file/d/18tyNATS0BVoX6GsnjAlCNzJcQEcIUT6N/view?usp=drive_link"/>
      </ext>
    </x18tc:extLst>
  </x18tc:threadedComment>
  <x18tc:threadedComment ref="C751" dT="2026-05-21T23:07:38.00" personId="{80195d68-4e9b-4dc7-a031-ca5391c97d0f}" id="{bb39439e-23d3-48c2-9d37-bfb8142feb3a}" done="0">
    <x18tc:text xml:space="preserve">https://www.costco.com/p/-/acer-predator-helios-neo-16-ai-gaming-laptop-intel-core-ultra-9-275hx-processor-16-2560-x-1600-240hz-display-nvidia-rtx-5070-ti-12gb-1-tb-ssd-windows-11-home/4000398640?langId=-1</x18tc:text>
    <x18tc:extLst>
      <ext uri="{F7C98A9C-CBB3-438F-8F68-D28B6AF4A901}">
        <xltc2:checksum/>
        <xltc2:hyperlink startIndex="0" length="205" url="https://www.costco.com/p/-/acer-predator-helios-neo-16-ai-gaming-laptop-intel-core-ultra-9-275hx-processor-16-2560-x-1600-240hz-display-nvidia-rtx-5070-ti-12gb-1-tb-ssd-windows-11-home/4000398640?langId=-1"/>
      </ext>
    </x18tc:extLst>
  </x18tc:threadedComment>
  <x18tc:threadedComment ref="A1" dT="2025-11-01T15:53:42.00" personId="{4df2d6c4-e43e-4f2e-b623-d90f458472ff}" id="{00907ece-1adc-46e4-9c4f-216a4ab490a3}" done="0">
    <x18tc:text xml:space="preserve">https://drive.google.com/file/d/18tyNATS0BVoX6GsnjAlCNzJcQEcIUT6N/view?usp=drive_link</x18tc:text>
    <x18tc:extLst>
      <ext uri="{F7C98A9C-CBB3-438F-8F68-D28B6AF4A901}">
        <xltc2:checksum/>
        <xltc2:hyperlink startIndex="0" length="85" url="https://drive.google.com/file/d/18tyNATS0BVoX6GsnjAlCNzJcQEcIUT6N/view?usp=drive_link"/>
      </ext>
    </x18tc:extLst>
  </x18tc:threadedComment>
  <x18tc:threadedComment ref="C706" dT="2026-04-23T22:33:23.00" personId="{4df2d6c4-e43e-4f2e-b623-d90f458472ff}" id="{5af54355-9385-48d5-bfe1-f1b4d26e6183}" done="0">
    <x18tc:text xml:space="preserve">https://www.ebay.com/itm/197794126007</x18tc:text>
    <x18tc:extLst>
      <ext uri="{F7C98A9C-CBB3-438F-8F68-D28B6AF4A901}">
        <xltc2:checksum/>
        <xltc2:hyperlink startIndex="0" length="37" url="https://www.ebay.com/itm/197794126007"/>
      </ext>
    </x18tc:extLst>
  </x18tc:threadedComment>
  <x18tc:threadedComment ref="C756" dT="2026-05-21T22:39:59.00" personId="{80195d68-4e9b-4dc7-a031-ca5391c97d0f}" id="{ad420263-a1c5-465d-b243-03b114a6a5a7}" done="0">
    <x18tc:text xml:space="preserve">https://www.ebay.com/itm/127874306903?_skw=rog+strix+g18+ryzen+9+8940hx&amp;itmmeta=01KS6AX8A2RN33TV4RFJDXN16E&amp;hash=item1dc5e71357:g:noIAAeSw~U1qDTMz&amp;itmprp=enc%3AAQALAAABAGfYFPkwiKCW4ZNSs2u11xBor%2FPWuC9cxYvaDGv%2FFHEbnlKCkBxKZW2kCdORthMeAEMe4atJShBHf%2BG5WKJ6%2B5%2BHHGhOxVIL06mW%2BenS91xkV0yTn2Dsg0EhZ1OC7YPR652nv38kR0sm2eG2rZh%2FagUrQ31gBbCl6cliUJ%2Fb7rfk6S3oQ35eGuUwIa8Ek%2F0oi0JVq66BjnP8HG8qCaUU5a2aB3R20H73tQVPCd0z2EFMXi5vuK%2FGmWlrcHYhXonCo%2BnB4Q0%2Fg9lbbCt8ZyWcC9v6TyOsMcS5zLEL%2BLcLdIKOZ8tNHUVzosak5pe8CnsVkNHnJ4PXn4m8CZryTPDKVGU%3D%7Ctkp%3ABk9SR5yF9crJZw</x18tc:text>
    <x18tc:extLst>
      <ext uri="{F7C98A9C-CBB3-438F-8F68-D28B6AF4A901}">
        <xltc2:checksum/>
        <xltc2:hyperlink startIndex="0" length="562" url="https://www.ebay.com/itm/127874306903?_skw=rog+strix+g18+ryzen+9+8940hx&amp;itmmeta=01KS6AX8A2RN33TV4RFJDXN16E&amp;hash=item1dc5e71357:g:noIAAeSw~U1qDTMz&amp;itmprp=enc%3AAQALAAABAGfYFPkwiKCW4ZNSs2u11xBor%2FPWuC9cxYvaDGv%2FFHEbnlKCkBxKZW2kCdORthMeAEMe4atJShBHf%2BG5WKJ6%2B5%2BHHGhOxVIL06mW%2BenS91xkV0yTn2Dsg0EhZ1OC7YPR652nv38kR0sm2eG2rZh%2FagUrQ31gBbCl6cliUJ%2Fb7rfk6S3oQ35eGuUwIa8Ek%2F0oi0JVq66BjnP8HG8qCaUU5a2aB3R20H73tQVPCd0z2EFMXi5vuK%2FGmWlrcHYhXonCo%2BnB4Q0%2Fg9lbbCt8ZyWcC9v6TyOsMcS5zLEL%2BLcLdIKOZ8tNHUVzosak5pe8CnsVkNHnJ4PXn4m8CZryTPDKVGU%3D%7Ctkp%3ABk9SR5yF9crJZw"/>
      </ext>
    </x18tc:extLst>
  </x18tc:threadedComment>
  <x18tc:threadedComment ref="J278" dT="2025-10-16T20:46:20.00" personId="{d8e4f5ad-b65d-4160-a56f-197530fb7eb1}" id="{acd68ef6-8ba7-4c98-a04e-0403eb03fd98}" done="0">
    <x18tc:text xml:space="preserve">https://drive.google.com/file/d/1h2k6JihR9AfnCLHi4fCrXCKcF2pZKslc/view?usp=drive_link</x18tc:text>
    <x18tc:extLst>
      <ext uri="{F7C98A9C-CBB3-438F-8F68-D28B6AF4A901}">
        <xltc2:checksum/>
        <xltc2:hyperlink startIndex="0" length="85" url="https://drive.google.com/file/d/1h2k6JihR9AfnCLHi4fCrXCKcF2pZKslc/view?usp=drive_link"/>
      </ext>
    </x18tc:extLst>
  </x18tc:threadedComment>
  <x18tc:threadedComment ref="J278" dT="2025-10-30T18:50:56.00" personId="{d8e4f5ad-b65d-4160-a56f-197530fb7eb1}" id="{5b0d9ff2-589f-455e-b437-4be732f77971}" parentId="{acd68ef6-8ba7-4c98-a04e-0403eb03fd98}">
    <x18tc:text xml:space="preserve">https://drive.google.com/file/d/154VAQsnWfKoGrNPkcKWrXaTmfckJuCIf/view?usp=drive_link</x18tc:text>
    <x18tc:extLst>
      <ext uri="{F7C98A9C-CBB3-438F-8F68-D28B6AF4A901}">
        <xltc2:checksum/>
        <xltc2:hyperlink startIndex="0" length="85" url="https://drive.google.com/file/d/154VAQsnWfKoGrNPkcKWrXaTmfckJuCIf/view?usp=drive_link"/>
      </ext>
    </x18tc:extLst>
  </x18tc:threadedComment>
  <x18tc:threadedComment ref="J367" dT="2025-11-29T21:16:02.00" personId="{a5d43f6d-3c72-4414-b012-8f52ef50acc4}" id="{81cca9c5-6433-455f-8415-d614f177d966}" done="0">
    <x18tc:text xml:space="preserve">https://drive.google.com/file/d/1RY8zba5QFOjZwMK7NXGMQq7HmfQf506b/view?usp=drive_link</x18tc:text>
    <x18tc:extLst>
      <ext uri="{F7C98A9C-CBB3-438F-8F68-D28B6AF4A901}">
        <xltc2:checksum/>
        <xltc2:hyperlink startIndex="0" length="85" url="https://drive.google.com/file/d/1RY8zba5QFOjZwMK7NXGMQq7HmfQf506b/view?usp=drive_link"/>
      </ext>
    </x18tc:extLst>
  </x18tc:threadedComment>
  <x18tc:threadedComment ref="C453" dT="2025-12-31T19:54:57.00" personId="{4df2d6c4-e43e-4f2e-b623-d90f458472ff}" id="{075bd36a-92c1-445f-beb0-e9ac93425584}"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C801" dT="2026-06-23T21:29:54.00" personId="{d8e4f5ad-b65d-4160-a56f-197530fb7eb1}" id="{f8538548-8191-4580-b3b2-82a148933127}" done="0">
    <x18tc:text xml:space="preserve">https://www.amazon.com/ASUS-Gaming-Laptop-Nebula-Display/dp/B0F1C665XL/?th=1</x18tc:text>
    <x18tc:extLst>
      <ext uri="{F7C98A9C-CBB3-438F-8F68-D28B6AF4A901}">
        <xltc2:checksum/>
        <xltc2:hyperlink startIndex="0" length="76" url="https://www.amazon.com/ASUS-Gaming-Laptop-Nebula-Display/dp/B0F1C665XL/?th=1"/>
      </ext>
    </x18tc:extLst>
  </x18tc:threadedComment>
  <x18tc:threadedComment ref="W427" dT="2025-12-31T19:09:25.00" personId="{2ddfa542-8116-4937-a057-08470d7abaab}" id="{8783e866-2268-40c2-9e12-f03adf256862}" done="0">
    <x18tc:text xml:space="preserve">https://drive.google.com/file/d/1ym4PisEYQkEQhfP-1C0MUM3BGq5601S-/view?usp=drive_link</x18tc:text>
    <x18tc:extLst>
      <ext uri="{F7C98A9C-CBB3-438F-8F68-D28B6AF4A901}">
        <xltc2:checksum/>
        <xltc2:hyperlink startIndex="0" length="85" url="https://drive.google.com/file/d/1ym4PisEYQkEQhfP-1C0MUM3BGq5601S-/view?usp=drive_link"/>
      </ext>
    </x18tc:extLst>
  </x18tc:threadedComment>
  <x18tc:threadedComment ref="L188" dT="2025-08-29T21:51:11.00" personId="{d8e4f5ad-b65d-4160-a56f-197530fb7eb1}" id="{ba398707-40a8-489f-b90f-729020caec2c}" done="0">
    <x18tc:text xml:space="preserve">https://drive.google.com/file/d/1CTYqnztgDwKvED1-oLyWhLb5RWjhlXJU/view?usp=drive_link</x18tc:text>
    <x18tc:extLst>
      <ext uri="{F7C98A9C-CBB3-438F-8F68-D28B6AF4A901}">
        <xltc2:checksum/>
        <xltc2:hyperlink startIndex="0" length="85" url="https://drive.google.com/file/d/1CTYqnztgDwKvED1-oLyWhLb5RWjhlXJU/view?usp=drive_link"/>
      </ext>
    </x18tc:extLst>
  </x18tc:threadedComment>
  <x18tc:threadedComment ref="L188" dT="2025-08-29T21:51:24.00" personId="{d8e4f5ad-b65d-4160-a56f-197530fb7eb1}" id="{8bcd3c8d-c6b9-4fbf-9e2e-25bce80f9f57}" parentId="{ba398707-40a8-489f-b90f-729020caec2c}">
    <x18tc:text xml:space="preserve">https://drive.google.com/file/d/1M3LxbANt8g_bYDIiEaPwAmZq2s3SvxAd/view?usp=drive_link</x18tc:text>
    <x18tc:extLst>
      <ext uri="{F7C98A9C-CBB3-438F-8F68-D28B6AF4A901}">
        <xltc2:checksum/>
        <xltc2:hyperlink startIndex="0" length="85" url="https://drive.google.com/file/d/1M3LxbANt8g_bYDIiEaPwAmZq2s3SvxAd/view?usp=drive_link"/>
      </ext>
    </x18tc:extLst>
  </x18tc:threadedComment>
  <x18tc:threadedComment ref="J202" dT="2025-08-29T21:21:49.00" personId="{d8e4f5ad-b65d-4160-a56f-197530fb7eb1}" id="{4dc76392-7aa3-4a82-a75b-16a71dcea0ce}" done="0">
    <x18tc:text xml:space="preserve">https://drive.google.com/file/d/15O0qrR-At2jXfNITluhqMxOQcMojD7qz/view?usp=drive_link</x18tc:text>
    <x18tc:extLst>
      <ext uri="{F7C98A9C-CBB3-438F-8F68-D28B6AF4A901}">
        <xltc2:checksum/>
        <xltc2:hyperlink startIndex="0" length="85" url="https://drive.google.com/file/d/15O0qrR-At2jXfNITluhqMxOQcMojD7qz/view?usp=drive_link"/>
      </ext>
    </x18tc:extLst>
  </x18tc:threadedComment>
  <x18tc:threadedComment ref="L201" dT="2025-09-29T15:55:07.00" personId="{a5d43f6d-3c72-4414-b012-8f52ef50acc4}" id="{361b3085-0a5b-463c-becc-7128ae907de0}" done="0">
    <x18tc:text xml:space="preserve">https://drive.google.com/file/d/1ERFEnC0u173jb56l26F1FBjc9TtZytj5/view?usp=drive_link</x18tc:text>
    <x18tc:extLst>
      <ext uri="{F7C98A9C-CBB3-438F-8F68-D28B6AF4A901}">
        <xltc2:checksum/>
        <xltc2:hyperlink startIndex="0" length="85" url="https://drive.google.com/file/d/1ERFEnC0u173jb56l26F1FBjc9TtZytj5/view?usp=drive_link"/>
      </ext>
    </x18tc:extLst>
  </x18tc:threadedComment>
  <x18tc:threadedComment ref="W410" dT="2025-12-31T19:00:26.00" personId="{2ddfa542-8116-4937-a057-08470d7abaab}" id="{f3d4cdff-8481-4481-ad9f-75f856040168}" done="0">
    <x18tc:text xml:space="preserve">https://drive.google.com/file/d/1yuLZVULgVhgY9Q1FP4N8L50S5XgzcLXT/view?usp=drive_link</x18tc:text>
    <x18tc:extLst>
      <ext uri="{F7C98A9C-CBB3-438F-8F68-D28B6AF4A901}">
        <xltc2:checksum/>
        <xltc2:hyperlink startIndex="0" length="85" url="https://drive.google.com/file/d/1yuLZVULgVhgY9Q1FP4N8L50S5XgzcLXT/view?usp=drive_link"/>
      </ext>
    </x18tc:extLst>
  </x18tc:threadedComment>
  <x18tc:threadedComment ref="L165" dT="2025-08-25T23:55:28.00" personId="{4df2d6c4-e43e-4f2e-b623-d90f458472ff}" id="{f6dbe440-6715-4c85-b081-d7ee95188533}" done="0">
    <x18tc:text xml:space="preserve">https://drive.google.com/file/d/11t_I4xQzvfGl_rP6bzEvmmcOIKclBsft/view?usp=drive_link</x18tc:text>
    <x18tc:extLst>
      <ext uri="{F7C98A9C-CBB3-438F-8F68-D28B6AF4A901}">
        <xltc2:checksum/>
        <xltc2:hyperlink startIndex="0" length="85" url="https://drive.google.com/file/d/11t_I4xQzvfGl_rP6bzEvmmcOIKclBsft/view?usp=drive_link"/>
      </ext>
    </x18tc:extLst>
  </x18tc:threadedComment>
  <x18tc:threadedComment ref="W280" dT="2025-11-02T06:38:45.00" personId="{a5d43f6d-3c72-4414-b012-8f52ef50acc4}" id="{27047619-a954-4f4d-a973-e1082829253a}" done="0">
    <x18tc:text xml:space="preserve">https://drive.google.com/file/d/1Q38awA60bYaK_w_tJigP9EdSPefaFaGT/view?usp=drive_link</x18tc:text>
    <x18tc:extLst>
      <ext uri="{F7C98A9C-CBB3-438F-8F68-D28B6AF4A901}">
        <xltc2:checksum/>
        <xltc2:hyperlink startIndex="0" length="85" url="https://drive.google.com/file/d/1Q38awA60bYaK_w_tJigP9EdSPefaFaGT/view?usp=drive_link"/>
      </ext>
    </x18tc:extLst>
  </x18tc:threadedComment>
  <x18tc:threadedComment ref="W392" dT="2025-12-31T18:53:12.00" personId="{2ddfa542-8116-4937-a057-08470d7abaab}" id="{1bc7e5dc-49e8-487e-b336-1c904b6c5c15}" done="0">
    <x18tc:text xml:space="preserve">https://drive.google.com/file/d/1CwAs4Pv0cyBKbGTIPsrg_-brfjPgwZdw/view?usp=drive_link</x18tc:text>
    <x18tc:extLst>
      <ext uri="{F7C98A9C-CBB3-438F-8F68-D28B6AF4A901}">
        <xltc2:checksum/>
        <xltc2:hyperlink startIndex="0" length="85" url="https://drive.google.com/file/d/1CwAs4Pv0cyBKbGTIPsrg_-brfjPgwZdw/view?usp=drive_link"/>
      </ext>
    </x18tc:extLst>
  </x18tc:threadedComment>
  <x18tc:threadedComment ref="L162" dT="2025-08-25T23:59:49.00" personId="{4df2d6c4-e43e-4f2e-b623-d90f458472ff}" id="{3fb5fa31-9aa1-4456-9e68-b747aa25ad54}" done="0">
    <x18tc:text xml:space="preserve">https://drive.google.com/file/d/1TYCi-fcOpdF4f3muTIS5MdAuOd2e9lRz/view?usp=drive_link</x18tc:text>
    <x18tc:extLst>
      <ext uri="{F7C98A9C-CBB3-438F-8F68-D28B6AF4A901}">
        <xltc2:checksum/>
        <xltc2:hyperlink startIndex="0" length="85" url="https://drive.google.com/file/d/1TYCi-fcOpdF4f3muTIS5MdAuOd2e9lRz/view?usp=drive_link"/>
      </ext>
    </x18tc:extLst>
  </x18tc:threadedComment>
  <x18tc:threadedComment ref="L266" dT="2025-11-02T06:44:36.00" personId="{a5d43f6d-3c72-4414-b012-8f52ef50acc4}" id="{cb2abc90-7e35-4af2-9b77-bd1f56ede0a4}" done="0">
    <x18tc:text xml:space="preserve">https://drive.google.com/file/d/1DwLEEeMrAhh7_jC7630J-rQDlHiZ_j3h/view?usp=drive_link
https://drive.google.com/file/d/1bNh1Kvf4rwLaIC_T6SrGvRDK93HxJpKR/view?usp=drive_link</x18tc:text>
    <x18tc:extLst>
      <ext uri="{F7C98A9C-CBB3-438F-8F68-D28B6AF4A901}">
        <xltc2:checksum/>
        <xltc2:hyperlink startIndex="0" length="85" url="https://drive.google.com/file/d/1DwLEEeMrAhh7_jC7630J-rQDlHiZ_j3h/view?usp=drive_link"/>
        <xltc2:hyperlink startIndex="86" length="85" url="https://drive.google.com/file/d/1bNh1Kvf4rwLaIC_T6SrGvRDK93HxJpKR/view?usp=drive_link"/>
      </ext>
    </x18tc:extLst>
  </x18tc:threadedComment>
  <x18tc:threadedComment ref="W223" dT="2025-09-13T00:51:07.00" personId="{4df2d6c4-e43e-4f2e-b623-d90f458472ff}" id="{487671d7-1aa9-4c95-a3bc-1e47f24adde1}" done="0">
    <x18tc:text xml:space="preserve">https://drive.google.com/file/d/1JSxjYeHehGdBwH2iQeUOrz1CfyQsoqbk/view?usp=drive_link</x18tc:text>
    <x18tc:extLst>
      <ext uri="{F7C98A9C-CBB3-438F-8F68-D28B6AF4A901}">
        <xltc2:checksum/>
        <xltc2:hyperlink startIndex="0" length="85" url="https://drive.google.com/file/d/1JSxjYeHehGdBwH2iQeUOrz1CfyQsoqbk/view?usp=drive_link"/>
      </ext>
    </x18tc:extLst>
  </x18tc:threadedComment>
  <x18tc:threadedComment ref="J777" dT="2026-06-06T23:02:28.00" personId="{d8e4f5ad-b65d-4160-a56f-197530fb7eb1}" id="{223404f8-dbb7-454c-a00a-9b896abd53ad}" done="0">
    <x18tc:text xml:space="preserve">https://drive.google.com/file/d/1TmjT2sQwNJByO84MLx2Yj_8dRWmBPmfb/view?usp=drive_link</x18tc:text>
    <x18tc:extLst>
      <ext uri="{F7C98A9C-CBB3-438F-8F68-D28B6AF4A901}">
        <xltc2:checksum/>
        <xltc2:hyperlink startIndex="0" length="85" url="https://drive.google.com/file/d/1TmjT2sQwNJByO84MLx2Yj_8dRWmBPmfb/view?usp=drive_link"/>
      </ext>
    </x18tc:extLst>
  </x18tc:threadedComment>
  <x18tc:threadedComment ref="J777" dT="2026-06-06T23:02:48.00" personId="{d8e4f5ad-b65d-4160-a56f-197530fb7eb1}" id="{1be0685c-6d0e-4d82-b817-64ad57e3be03}" parentId="{223404f8-dbb7-454c-a00a-9b896abd53ad}">
    <x18tc:text xml:space="preserve">https://drive.google.com/file/d/1RM7G39KRM1Yc2K9_ffzqzfz5k-wRGk8D/view?usp=drive_link</x18tc:text>
    <x18tc:extLst>
      <ext uri="{F7C98A9C-CBB3-438F-8F68-D28B6AF4A901}">
        <xltc2:checksum/>
        <xltc2:hyperlink startIndex="0" length="85" url="https://drive.google.com/file/d/1RM7G39KRM1Yc2K9_ffzqzfz5k-wRGk8D/view?usp=drive_link"/>
      </ext>
    </x18tc:extLst>
  </x18tc:threadedComment>
  <x18tc:threadedComment ref="W442" dT="2025-12-31T18:45:33.00" personId="{2ddfa542-8116-4937-a057-08470d7abaab}" id="{2b5e0f8b-cf78-47a4-8700-933dcfd57eab}" done="0">
    <x18tc:text xml:space="preserve">https://drive.google.com/file/d/1685GRdMaTVIreXsL3zTX6P_RFyt84k4O/view?usp=drive_link</x18tc:text>
    <x18tc:extLst>
      <ext uri="{F7C98A9C-CBB3-438F-8F68-D28B6AF4A901}">
        <xltc2:checksum/>
        <xltc2:hyperlink startIndex="0" length="85" url="https://drive.google.com/file/d/1685GRdMaTVIreXsL3zTX6P_RFyt84k4O/view?usp=drive_link"/>
      </ext>
    </x18tc:extLst>
  </x18tc:threadedComment>
  <x18tc:threadedComment ref="W142" dT="2025-09-01T18:05:57.00" personId="{d8e4f5ad-b65d-4160-a56f-197530fb7eb1}" id="{70549dad-d229-4944-be01-874949f9830f}" done="0">
    <x18tc:text xml:space="preserve">https://drive.google.com/file/d/1wlzAiIofsFBHLm0YGCobB-jsZ5DOsIVz/view?usp=drive_link</x18tc:text>
    <x18tc:extLst>
      <ext uri="{F7C98A9C-CBB3-438F-8F68-D28B6AF4A901}">
        <xltc2:checksum/>
        <xltc2:hyperlink startIndex="0" length="85" url="https://drive.google.com/file/d/1wlzAiIofsFBHLm0YGCobB-jsZ5DOsIVz/view?usp=drive_link"/>
      </ext>
    </x18tc:extLst>
  </x18tc:threadedComment>
  <x18tc:threadedComment ref="L172" dT="2025-08-26T00:01:28.00" personId="{4df2d6c4-e43e-4f2e-b623-d90f458472ff}" id="{56ffb119-fe44-4252-a537-0fe48752d25c}" done="0">
    <x18tc:text xml:space="preserve">https://drive.google.com/file/d/1Q96Ma-0Tq5PUkG7fMkj8QY2bojzxijBa/view?usp=drive_link</x18tc:text>
    <x18tc:extLst>
      <ext uri="{F7C98A9C-CBB3-438F-8F68-D28B6AF4A901}">
        <xltc2:checksum/>
        <xltc2:hyperlink startIndex="0" length="85" url="https://drive.google.com/file/d/1Q96Ma-0Tq5PUkG7fMkj8QY2bojzxijBa/view?usp=drive_link"/>
      </ext>
    </x18tc:extLst>
  </x18tc:threadedComment>
  <x18tc:threadedComment ref="J205" dT="2025-09-02T20:26:35.00" personId="{a5d43f6d-3c72-4414-b012-8f52ef50acc4}" id="{42790fe8-fba8-484a-9d1c-0629e43a2fb4}" done="0">
    <x18tc:text xml:space="preserve">https://drive.google.com/file/d/1ZMZwWcDLC8KYr_fwkHxvN5IG3VpeAdV9/view?usp=drive_link</x18tc:text>
    <x18tc:extLst>
      <ext uri="{F7C98A9C-CBB3-438F-8F68-D28B6AF4A901}">
        <xltc2:checksum/>
        <xltc2:hyperlink startIndex="0" length="85" url="https://drive.google.com/file/d/1ZMZwWcDLC8KYr_fwkHxvN5IG3VpeAdV9/view?usp=drive_link"/>
      </ext>
    </x18tc:extLst>
  </x18tc:threadedComment>
  <x18tc:threadedComment ref="L169" dT="2025-08-25T23:25:05.00" personId="{d8e4f5ad-b65d-4160-a56f-197530fb7eb1}" id="{c918806e-f9d4-4000-b114-70ef47efc4bb}" done="0">
    <x18tc:text xml:space="preserve">https://drive.google.com/file/d/1Q4C0GQV_DmG-Nc8gudqxnqPgJxpvNA6K/view?usp=drive_link</x18tc:text>
    <x18tc:extLst>
      <ext uri="{F7C98A9C-CBB3-438F-8F68-D28B6AF4A901}">
        <xltc2:checksum/>
        <xltc2:hyperlink startIndex="0" length="85" url="https://drive.google.com/file/d/1Q4C0GQV_DmG-Nc8gudqxnqPgJxpvNA6K/view?usp=drive_link"/>
      </ext>
    </x18tc:extLst>
  </x18tc:threadedComment>
  <x18tc:threadedComment ref="L169" dT="2025-08-25T23:25:20.00" personId="{d8e4f5ad-b65d-4160-a56f-197530fb7eb1}" id="{c11ada34-71ea-4df4-97da-736d19d5681c}" parentId="{c918806e-f9d4-4000-b114-70ef47efc4bb}">
    <x18tc:text xml:space="preserve">https://drive.google.com/file/d/100QT4Vk2SmbSCaH40-R4e2i1qYc5_NsX/view?usp=drive_link</x18tc:text>
    <x18tc:extLst>
      <ext uri="{F7C98A9C-CBB3-438F-8F68-D28B6AF4A901}">
        <xltc2:checksum/>
        <xltc2:hyperlink startIndex="0" length="85" url="https://drive.google.com/file/d/100QT4Vk2SmbSCaH40-R4e2i1qYc5_NsX/view?usp=drive_link"/>
      </ext>
    </x18tc:extLst>
  </x18tc:threadedComment>
  <x18tc:threadedComment ref="W420" dT="2025-12-31T19:04:07.00" personId="{2ddfa542-8116-4937-a057-08470d7abaab}" id="{cf2fcd8b-e0db-428d-a2b9-3b0cac7f2bc0}" done="0">
    <x18tc:text xml:space="preserve">https://drive.google.com/file/d/1dCYzZGWQc3CjeTAt1hVWX20jd_RI69A7/view?usp=drive_link</x18tc:text>
    <x18tc:extLst>
      <ext uri="{F7C98A9C-CBB3-438F-8F68-D28B6AF4A901}">
        <xltc2:checksum/>
        <xltc2:hyperlink startIndex="0" length="85" url="https://drive.google.com/file/d/1dCYzZGWQc3CjeTAt1hVWX20jd_RI69A7/view?usp=drive_link"/>
      </ext>
    </x18tc:extLst>
  </x18tc:threadedComment>
  <x18tc:threadedComment ref="W420" dT="2025-12-31T19:06:22.00" personId="{2ddfa542-8116-4937-a057-08470d7abaab}" id="{628a4455-bc95-4582-8274-99723e0eecda}" parentId="{cf2fcd8b-e0db-428d-a2b9-3b0cac7f2bc0}">
    <x18tc:text xml:space="preserve">https://drive.google.com/file/d/17zkIZq4Vt2Irg0YBaSE4obN5aDBF5IF2/view?usp=drive_link</x18tc:text>
    <x18tc:extLst>
      <ext uri="{F7C98A9C-CBB3-438F-8F68-D28B6AF4A901}">
        <xltc2:checksum/>
        <xltc2:hyperlink startIndex="0" length="85" url="https://drive.google.com/file/d/17zkIZq4Vt2Irg0YBaSE4obN5aDBF5IF2/view?usp=drive_link"/>
      </ext>
    </x18tc:extLst>
  </x18tc:threadedComment>
  <x18tc:threadedComment ref="C285" dT="2025-10-30T01:42:47.00" personId="{a5d43f6d-3c72-4414-b012-8f52ef50acc4}" id="{59f37267-2c58-4613-ae49-8e228e5f2a75}" done="0">
    <x18tc:text xml:space="preserve">https://www.ebay.com/itm/297474804193?_skw=5070&amp;itmmeta=01K8S3THM92SQKSQFQ3QQVBDCX&amp;hash=item4542e149e1:g:W8UAAeSwbB9opkR-</x18tc:text>
    <x18tc:extLst>
      <ext uri="{F7C98A9C-CBB3-438F-8F68-D28B6AF4A901}">
        <xltc2:checksum/>
        <xltc2:hyperlink startIndex="0" length="121" url="https://www.ebay.com/itm/297474804193?_skw=5070&amp;itmmeta=01K8S3THM92SQKSQFQ3QQVBDCX&amp;hash=item4542e149e1:g:W8UAAeSwbB9opkR-"/>
      </ext>
    </x18tc:extLst>
  </x18tc:threadedComment>
  <x18tc:threadedComment ref="J727" dT="2026-05-15T21:58:55.00" personId="{80195d68-4e9b-4dc7-a031-ca5391c97d0f}" id="{f5018dae-f0cd-4f3d-a86a-8156095d56e1}" done="0">
    <x18tc:text xml:space="preserve">https://drive.google.com/file/d/12oellZS3XcqKHjQE35CJ9EH8iBZCC1OY/view?usp=drive_link</x18tc:text>
    <x18tc:extLst>
      <ext uri="{F7C98A9C-CBB3-438F-8F68-D28B6AF4A901}">
        <xltc2:checksum/>
        <xltc2:hyperlink startIndex="0" length="85" url="https://drive.google.com/file/d/12oellZS3XcqKHjQE35CJ9EH8iBZCC1OY/view?usp=drive_link"/>
      </ext>
    </x18tc:extLst>
  </x18tc:threadedComment>
  <x18tc:threadedComment ref="D285" dT="2025-10-30T01:44:11.00" personId="{a5d43f6d-3c72-4414-b012-8f52ef50acc4}" id="{01a02726-06bf-4233-95c0-e164e38302cf}" done="0">
    <x18tc:text xml:space="preserve">DNI 46291358
960722007
mauarq30490@gmail.com</x18tc:text>
  </x18tc:threadedComment>
  <x18tc:threadedComment ref="W267" dT="2025-10-06T20:24:26.00" personId="{d8e4f5ad-b65d-4160-a56f-197530fb7eb1}" id="{411a9136-09db-4b24-89cc-d6e9b7dfcded}" done="0">
    <x18tc:text xml:space="preserve">https://drive.google.com/file/d/1dSDDrFYbyKmjQxSIeFgSsbm5CqTd0UoX/view?usp=drive_link</x18tc:text>
    <x18tc:extLst>
      <ext uri="{F7C98A9C-CBB3-438F-8F68-D28B6AF4A901}">
        <xltc2:checksum/>
        <xltc2:hyperlink startIndex="0" length="85" url="https://drive.google.com/file/d/1dSDDrFYbyKmjQxSIeFgSsbm5CqTd0UoX/view?usp=drive_link"/>
      </ext>
    </x18tc:extLst>
  </x18tc:threadedComment>
  <x18tc:threadedComment ref="J792" dT="2026-06-16T01:00:11.00" personId="{f9b224d0-ee33-4499-ae47-db5bcd2d0435}" id="{5b6bd7c8-72df-473b-9d7e-0da1fac4fdbb}" done="0">
    <x18tc:text xml:space="preserve">https://drive.google.com/file/d/1HriwgVgoT-B4mswRUz4-eE43qVCuU_UN/view?usp=drive_link</x18tc:text>
    <x18tc:extLst>
      <ext uri="{F7C98A9C-CBB3-438F-8F68-D28B6AF4A901}">
        <xltc2:checksum/>
        <xltc2:hyperlink startIndex="0" length="85" url="https://drive.google.com/file/d/1HriwgVgoT-B4mswRUz4-eE43qVCuU_UN/view?usp=drive_link"/>
      </ext>
    </x18tc:extLst>
  </x18tc:threadedComment>
  <x18tc:threadedComment ref="K665" dT="2026-05-15T22:00:58.00" personId="{80195d68-4e9b-4dc7-a031-ca5391c97d0f}" id="{aa3831d9-444a-4afa-af8b-8ca5ed2929a7}" done="0">
    <x18tc:text xml:space="preserve">https://drive.google.com/file/d/1ZWWB8I5yd9yD74hAC2qDCeoyq2kz1gum/view?usp=drive_link</x18tc:text>
    <x18tc:extLst>
      <ext uri="{F7C98A9C-CBB3-438F-8F68-D28B6AF4A901}">
        <xltc2:checksum/>
        <xltc2:hyperlink startIndex="0" length="85" url="https://drive.google.com/file/d/1ZWWB8I5yd9yD74hAC2qDCeoyq2kz1gum/view?usp=drive_link"/>
      </ext>
    </x18tc:extLst>
  </x18tc:threadedComment>
  <x18tc:threadedComment ref="C221" dT="2025-09-07T01:33:12.00" personId="{4df2d6c4-e43e-4f2e-b623-d90f458472ff}" id="{a0bf0d37-5b9b-4eee-9f3b-63e05bd8fcf1}" done="0">
    <x18tc:text xml:space="preserve">https://www.amazon.com/dp/B0FBHXJG7K/ref=sspa_dk_detail_1?pf_rd_p=f2f1cf8f-cab4-44dc-82ba-0ca811fb90cc&amp;pf_rd_r=W40EG9QK46M6HZ26K4S1&amp;pd_rd_wg=S6NYg&amp;pd_rd_w=BlJxa&amp;content-id=amzn1.sym.f2f1cf8f-cab4-44dc-82ba-0ca811fb90cc&amp;pd_rd_r=3ffd88eb-c997-4865-bccc-d0f07a850fab&amp;s=electronics&amp;sp_csd=d2lkZ2V0TmFtZT1zcF9kZXRhaWxfdGhlbWF0aWM&amp;th=1</x18tc:text>
    <x18tc:extLst>
      <ext uri="{F7C98A9C-CBB3-438F-8F68-D28B6AF4A901}">
        <xltc2:checksum/>
        <xltc2:hyperlink startIndex="0" length="329" url="https://www.amazon.com/dp/B0FBHXJG7K/ref=sspa_dk_detail_1?pf_rd_p=f2f1cf8f-cab4-44dc-82ba-0ca811fb90cc&amp;pf_rd_r=W40EG9QK46M6HZ26K4S1&amp;pd_rd_wg=S6NYg&amp;pd_rd_w=BlJxa&amp;content-id=amzn1.sym.f2f1cf8f-cab4-44dc-82ba-0ca811fb90cc&amp;pd_rd_r=3ffd88eb-c997-4865-bccc-d0f07a850fab&amp;s=electronics&amp;sp_csd=d2lkZ2V0TmFtZT1zcF9kZXRhaWxfdGhlbWF0aWM&amp;th=1"/>
      </ext>
    </x18tc:extLst>
  </x18tc:threadedComment>
  <x18tc:threadedComment ref="J734" dT="2026-05-15T21:54:42.00" personId="{80195d68-4e9b-4dc7-a031-ca5391c97d0f}" id="{5679d136-806f-44bc-b0fb-4eb0d4044e14}" done="0">
    <x18tc:text xml:space="preserve">https://drive.google.com/file/d/1rHaFOetvf75ICNWv3avoBbc57FtLC8aV/view?usp=drive_link</x18tc:text>
    <x18tc:extLst>
      <ext uri="{F7C98A9C-CBB3-438F-8F68-D28B6AF4A901}">
        <xltc2:checksum/>
        <xltc2:hyperlink startIndex="0" length="85" url="https://drive.google.com/file/d/1rHaFOetvf75ICNWv3avoBbc57FtLC8aV/view?usp=drive_link"/>
      </ext>
    </x18tc:extLst>
  </x18tc:threadedComment>
  <x18tc:threadedComment ref="J221" dT="2025-09-07T01:35:26.00" personId="{4df2d6c4-e43e-4f2e-b623-d90f458472ff}" id="{0bd9cf9e-9c9b-46b3-b1ca-6dbced461efc}" done="0">
    <x18tc:text xml:space="preserve">https://drive.google.com/file/d/1kNXR5mAtM1I73unfwGGFCuqvvyBLUprR/view?usp=drive_link</x18tc:text>
    <x18tc:extLst>
      <ext uri="{F7C98A9C-CBB3-438F-8F68-D28B6AF4A901}">
        <xltc2:checksum/>
        <xltc2:hyperlink startIndex="0" length="85" url="https://drive.google.com/file/d/1kNXR5mAtM1I73unfwGGFCuqvvyBLUprR/view?usp=drive_link"/>
      </ext>
    </x18tc:extLst>
  </x18tc:threadedComment>
  <x18tc:threadedComment ref="J728" dT="2026-05-15T21:57:13.00" personId="{80195d68-4e9b-4dc7-a031-ca5391c97d0f}" id="{411b6fbc-657c-4ee2-8dd0-fa230693d08b}" done="0">
    <x18tc:text xml:space="preserve">https://drive.google.com/file/d/1ck-4z0hD_Q99DGAm-XeKKpClnwGdOZpU/view?usp=drive_link</x18tc:text>
    <x18tc:extLst>
      <ext uri="{F7C98A9C-CBB3-438F-8F68-D28B6AF4A901}">
        <xltc2:checksum/>
        <xltc2:hyperlink startIndex="0" length="85" url="https://drive.google.com/file/d/1ck-4z0hD_Q99DGAm-XeKKpClnwGdOZpU/view?usp=drive_link"/>
      </ext>
    </x18tc:extLst>
  </x18tc:threadedComment>
  <x18tc:threadedComment ref="L197" dT="2025-09-29T15:20:19.00" personId="{a5d43f6d-3c72-4414-b012-8f52ef50acc4}" id="{9ab6abd0-96af-4b9f-bf62-59c6ff1dc83e}" done="0">
    <x18tc:text xml:space="preserve">https://drive.google.com/file/d/1I43WGuZsCLIh1XQU8tMYZyK0o0BcOVhw/view?usp=drive_link</x18tc:text>
    <x18tc:extLst>
      <ext uri="{F7C98A9C-CBB3-438F-8F68-D28B6AF4A901}">
        <xltc2:checksum/>
        <xltc2:hyperlink startIndex="0" length="85" url="https://drive.google.com/file/d/1I43WGuZsCLIh1XQU8tMYZyK0o0BcOVhw/view?usp=drive_link"/>
      </ext>
    </x18tc:extLst>
  </x18tc:threadedComment>
  <x18tc:threadedComment ref="J216" dT="2025-09-07T01:47:06.00" personId="{4df2d6c4-e43e-4f2e-b623-d90f458472ff}" id="{3ade2f82-1266-46c5-b58f-0e458bc0d383}" done="0">
    <x18tc:text xml:space="preserve">https://drive.google.com/file/d/1NLTXGZxPPFAlqeC7TDW03V7nU8qoSTTg/view?usp=drive_link</x18tc:text>
    <x18tc:extLst>
      <ext uri="{F7C98A9C-CBB3-438F-8F68-D28B6AF4A901}">
        <xltc2:checksum/>
        <xltc2:hyperlink startIndex="0" length="85" url="https://drive.google.com/file/d/1NLTXGZxPPFAlqeC7TDW03V7nU8qoSTTg/view?usp=drive_link"/>
      </ext>
    </x18tc:extLst>
  </x18tc:threadedComment>
  <x18tc:threadedComment ref="L126" dT="2025-08-05T20:10:58.00" personId="{4df2d6c4-e43e-4f2e-b623-d90f458472ff}" id="{4256c1e5-6e15-4716-8101-48d936c2917c}" done="0">
    <x18tc:text xml:space="preserve">https://drive.google.com/file/d/10lv0i8AcINsJLZjbGL-JJ33nHmz_8PZ0/view?usp=drive_link</x18tc:text>
    <x18tc:extLst>
      <ext uri="{F7C98A9C-CBB3-438F-8F68-D28B6AF4A901}">
        <xltc2:checksum/>
        <xltc2:hyperlink startIndex="0" length="85" url="https://drive.google.com/file/d/10lv0i8AcINsJLZjbGL-JJ33nHmz_8PZ0/view?usp=drive_link"/>
      </ext>
    </x18tc:extLst>
  </x18tc:threadedComment>
  <x18tc:threadedComment ref="L126" dT="2025-08-05T20:11:16.00" personId="{4df2d6c4-e43e-4f2e-b623-d90f458472ff}" id="{338bc97e-8feb-40cd-a234-bf6df4a6a5e0}" parentId="{4256c1e5-6e15-4716-8101-48d936c2917c}">
    <x18tc:text xml:space="preserve">https://drive.google.com/file/d/1ZihBOJ2ywAdzG2Liv-p4RAAYfXeISsIG/view?usp=drive_link</x18tc:text>
    <x18tc:extLst>
      <ext uri="{F7C98A9C-CBB3-438F-8F68-D28B6AF4A901}">
        <xltc2:checksum/>
        <xltc2:hyperlink startIndex="0" length="85" url="https://drive.google.com/file/d/1ZihBOJ2ywAdzG2Liv-p4RAAYfXeISsIG/view?usp=drive_link"/>
      </ext>
    </x18tc:extLst>
  </x18tc:threadedComment>
  <x18tc:threadedComment ref="D501" dT="2026-01-24T22:59:44.00" personId="{a5d43f6d-3c72-4414-b012-8f52ef50acc4}" id="{7084729a-42c9-4692-8554-95bd9a5e4eee}" done="0">
    <x18tc:text xml:space="preserve">✅NOMBRES COMPLETOS O RAZÓN SOCIAL: LAOS WENSESLAO VASQUEZ LIMAYLLA 
✅DNI O RUC: 10739503588
✅NÚMERO DE CELULAR: 914697252 
✅CORREO ELECTRÓNICO: laosvasquezlimaylla@gmail.com
BOLETA</x18tc:text>
  </x18tc:threadedComment>
  <x18tc:threadedComment ref="W269" dT="2025-11-02T06:56:53.00" personId="{a5d43f6d-3c72-4414-b012-8f52ef50acc4}" id="{a2a70abd-bdb2-4603-a808-f8229f0dfbb4}" done="0">
    <x18tc:text xml:space="preserve">https://drive.google.com/file/d/1d8puYxUn9A1uiarOYeZ5YXKG8KknMIT8/view?usp=drive_link</x18tc:text>
    <x18tc:extLst>
      <ext uri="{F7C98A9C-CBB3-438F-8F68-D28B6AF4A901}">
        <xltc2:checksum/>
        <xltc2:hyperlink startIndex="0" length="85" url="https://drive.google.com/file/d/1d8puYxUn9A1uiarOYeZ5YXKG8KknMIT8/view?usp=drive_link"/>
      </ext>
    </x18tc:extLst>
  </x18tc:threadedComment>
  <x18tc:threadedComment ref="W262" dT="2025-10-22T00:11:02.00" personId="{d8e4f5ad-b65d-4160-a56f-197530fb7eb1}" id="{ab9277fd-cf41-4df5-a443-d23a90a369ca}" done="0">
    <x18tc:text xml:space="preserve">https://drive.google.com/file/d/1GTXe25yYu9avx7pCklR85M2JuJspV64m/view?usp=drive_link</x18tc:text>
    <x18tc:extLst>
      <ext uri="{F7C98A9C-CBB3-438F-8F68-D28B6AF4A901}">
        <xltc2:checksum/>
        <xltc2:hyperlink startIndex="0" length="85" url="https://drive.google.com/file/d/1GTXe25yYu9avx7pCklR85M2JuJspV64m/view?usp=drive_link"/>
      </ext>
    </x18tc:extLst>
  </x18tc:threadedComment>
  <x18tc:threadedComment ref="J285" dT="2025-10-30T01:38:58.00" personId="{a5d43f6d-3c72-4414-b012-8f52ef50acc4}" id="{963f886e-4dcb-4615-86f9-bcc1061b115e}" done="0">
    <x18tc:text xml:space="preserve">https://drive.google.com/file/d/1crtI_qeKsPdUnuplInybAxevmq7t0d-F/view?usp=drive_link</x18tc:text>
    <x18tc:extLst>
      <ext uri="{F7C98A9C-CBB3-438F-8F68-D28B6AF4A901}">
        <xltc2:checksum/>
        <xltc2:hyperlink startIndex="0" length="85" url="https://drive.google.com/file/d/1crtI_qeKsPdUnuplInybAxevmq7t0d-F/view?usp=drive_link"/>
      </ext>
    </x18tc:extLst>
  </x18tc:threadedComment>
  <x18tc:threadedComment ref="K624" dT="2026-04-08T20:24:38.00" personId="{d8e4f5ad-b65d-4160-a56f-197530fb7eb1}" id="{88aa4d7f-fc7d-42a4-a3e4-2bb49d7e0c1a}" done="0">
    <x18tc:text xml:space="preserve">https://drive.google.com/file/d/1BG-KJrs27pJXhSfzXYoaEULYI7GiSON0/view?usp=drive_link</x18tc:text>
    <x18tc:extLst>
      <ext uri="{F7C98A9C-CBB3-438F-8F68-D28B6AF4A901}">
        <xltc2:checksum/>
        <xltc2:hyperlink startIndex="0" length="85" url="https://drive.google.com/file/d/1BG-KJrs27pJXhSfzXYoaEULYI7GiSON0/view?usp=drive_link"/>
      </ext>
    </x18tc:extLst>
  </x18tc:threadedComment>
  <x18tc:threadedComment ref="K624" dT="2026-04-08T20:25:11.00" personId="{d8e4f5ad-b65d-4160-a56f-197530fb7eb1}" id="{57d67ad1-ed6a-40cb-95da-6bd56e468720}" parentId="{88aa4d7f-fc7d-42a4-a3e4-2bb49d7e0c1a}">
    <x18tc:text xml:space="preserve">https://drive.google.com/file/d/1eX7nU4j671PlqGhn1JSDM6H2PGdD7sDR/view?usp=drive_link</x18tc:text>
    <x18tc:extLst>
      <ext uri="{F7C98A9C-CBB3-438F-8F68-D28B6AF4A901}">
        <xltc2:checksum/>
        <xltc2:hyperlink startIndex="0" length="85" url="https://drive.google.com/file/d/1eX7nU4j671PlqGhn1JSDM6H2PGdD7sDR/view?usp=drive_link"/>
      </ext>
    </x18tc:extLst>
  </x18tc:threadedComment>
  <x18tc:threadedComment ref="K489" dT="2026-02-06T00:07:24.00" personId="{a5d43f6d-3c72-4414-b012-8f52ef50acc4}" id="{1ea0fa58-83d9-4d6c-acfa-00973fe05b32}" done="0">
    <x18tc:text xml:space="preserve">lo terminó de pagar junto a la laptop arriba</x18tc:text>
  </x18tc:threadedComment>
  <x18tc:threadedComment ref="K666" dT="2026-05-15T22:06:07.00" personId="{80195d68-4e9b-4dc7-a031-ca5391c97d0f}" id="{1595fa3b-912b-444f-8c86-a477955863b8}" done="0">
    <x18tc:text xml:space="preserve">https://drive.google.com/file/d/1008wDIctMTrP8fLHRR5lI4mMo5pPxoYW/view?usp=drive_link</x18tc:text>
    <x18tc:extLst>
      <ext uri="{F7C98A9C-CBB3-438F-8F68-D28B6AF4A901}">
        <xltc2:checksum/>
        <xltc2:hyperlink startIndex="0" length="85" url="https://drive.google.com/file/d/1008wDIctMTrP8fLHRR5lI4mMo5pPxoYW/view?usp=drive_link"/>
      </ext>
    </x18tc:extLst>
  </x18tc:threadedComment>
  <x18tc:threadedComment ref="W266" dT="2025-11-02T06:49:17.00" personId="{a5d43f6d-3c72-4414-b012-8f52ef50acc4}" id="{fed57fa6-30e6-4be3-a659-30305e939c69}" done="0">
    <x18tc:text xml:space="preserve">https://drive.google.com/file/d/1zuLeXbBFWqnssIfdZdTVj44yQ0AIaH3h/view?usp=drive_link</x18tc:text>
    <x18tc:extLst>
      <ext uri="{F7C98A9C-CBB3-438F-8F68-D28B6AF4A901}">
        <xltc2:checksum/>
        <xltc2:hyperlink startIndex="0" length="85" url="https://drive.google.com/file/d/1zuLeXbBFWqnssIfdZdTVj44yQ0AIaH3h/view?usp=drive_link"/>
      </ext>
    </x18tc:extLst>
  </x18tc:threadedComment>
  <x18tc:threadedComment ref="C743" dT="2026-05-14T17:01:02.00" personId="{d8e4f5ad-b65d-4160-a56f-197530fb7eb1}" id="{a587311a-f911-4b9b-921d-c52aa2ec3f8e}" done="0">
    <x18tc:text xml:space="preserve">https://www.ebay.com/itm/205579362723?_skw=zephyrus+g16&amp;itmmeta=01KRKJKKXSRD4BFAYKDF7G40E8&amp;hash=item2fdd7c21a3:g:GbIAAeSwdJBqACwv&amp;itmprp=enc%3AAQALAAAA8GfYFPkwiKCW4ZNSs2u11xDV81vS7EET4XJL36ksUBGZeo1Dc1gW4P4jK0cjA3pC30Fjb04TSh3Y4Ww7WvuFsKNLL%2FIkr1q%2BCvuAnOfkGJph2nTcNClL1dUkjrQoBe2hiBv%2Fqf2n05Gm5YKb00H7Ln%2F2BQiUZqzGIwnAZ5n19Q0kvELW0W8tiPezUaLiu73WQuzMxlUn303gq628fIyH9IKdkdHkS833E9D7ssHd2Y9S%2FCdeURtTM2WIJLsU7b2wxtVqB2UXdMBNTsnNcpyKp7EXEa5JSUgIfpUyHiLdIodhDHANc61gVspZm1H3p%2B0ISw%3D%3D%7Ctkp%3ABk9SR4q_zvLEZw</x18tc:text>
    <x18tc:extLst>
      <ext uri="{F7C98A9C-CBB3-438F-8F68-D28B6AF4A901}">
        <xltc2:checksum/>
        <xltc2:hyperlink startIndex="0" length="514" url="https://www.ebay.com/itm/205579362723?_skw=zephyrus+g16&amp;itmmeta=01KRKJKKXSRD4BFAYKDF7G40E8&amp;hash=item2fdd7c21a3:g:GbIAAeSwdJBqACwv&amp;itmprp=enc%3AAQALAAAA8GfYFPkwiKCW4ZNSs2u11xDV81vS7EET4XJL36ksUBGZeo1Dc1gW4P4jK0cjA3pC30Fjb04TSh3Y4Ww7WvuFsKNLL%2FIkr1q%2BCvuAnOfkGJph2nTcNClL1dUkjrQoBe2hiBv%2Fqf2n05Gm5YKb00H7Ln%2F2BQiUZqzGIwnAZ5n19Q0kvELW0W8tiPezUaLiu73WQuzMxlUn303gq628fIyH9IKdkdHkS833E9D7ssHd2Y9S%2FCdeURtTM2WIJLsU7b2wxtVqB2UXdMBNTsnNcpyKp7EXEa5JSUgIfpUyHiLdIodhDHANc61gVspZm1H3p%2B0ISw%3D%3D%7Ctkp%3ABk9SR4q_zvLEZw"/>
      </ext>
    </x18tc:extLst>
  </x18tc:threadedComment>
  <x18tc:threadedComment ref="M285" dT="2025-10-30T01:41:08.00" personId="{a5d43f6d-3c72-4414-b012-8f52ef50acc4}" id="{cae1e8a2-ca83-455d-9833-0aecdef61593}" done="0">
    <x18tc:text xml:space="preserve">el cliente pagará adicionalmente 100 dólares por el servicio express</x18tc:text>
  </x18tc:threadedComment>
  <x18tc:threadedComment ref="K658" dT="2026-05-15T22:07:58.00" personId="{80195d68-4e9b-4dc7-a031-ca5391c97d0f}" id="{c8575e22-4dd2-4494-a5dc-d68900241511}" done="0">
    <x18tc:text xml:space="preserve">https://drive.google.com/file/d/1w_reM_3iEk0x5JQg1_3TrK5EFT0kkCAo/view?usp=drive_link</x18tc:text>
    <x18tc:extLst>
      <ext uri="{F7C98A9C-CBB3-438F-8F68-D28B6AF4A901}">
        <xltc2:checksum/>
        <xltc2:hyperlink startIndex="0" length="85" url="https://drive.google.com/file/d/1w_reM_3iEk0x5JQg1_3TrK5EFT0kkCAo/view?usp=drive_link"/>
      </ext>
    </x18tc:extLst>
  </x18tc:threadedComment>
  <x18tc:threadedComment ref="T483" dT="2026-02-05T22:35:09.00" personId="{2ddfa542-8116-4937-a057-08470d7abaab}" id="{e85f11f4-e35b-4895-9368-3897ba05bc56}" done="0">
    <x18tc:text xml:space="preserve">Viene de las licencias de la fila 499</x18tc:text>
  </x18tc:threadedComment>
  <x18tc:threadedComment ref="L271" dT="2025-10-21T17:38:42.00" personId="{d8e4f5ad-b65d-4160-a56f-197530fb7eb1}" id="{d5807c64-8dde-4985-b452-61df75983378}" done="0">
    <x18tc:text xml:space="preserve">https://drive.google.com/file/d/1EUDCvexKUXfto8zZrgkuW9zIByEqIZVR/view?usp=drive_link</x18tc:text>
    <x18tc:extLst>
      <ext uri="{F7C98A9C-CBB3-438F-8F68-D28B6AF4A901}">
        <xltc2:checksum/>
        <xltc2:hyperlink startIndex="0" length="85" url="https://drive.google.com/file/d/1EUDCvexKUXfto8zZrgkuW9zIByEqIZVR/view?usp=drive_link"/>
      </ext>
    </x18tc:extLst>
  </x18tc:threadedComment>
  <x18tc:threadedComment ref="Q514" dT="2026-03-04T16:41:31.00" personId="{80195d68-4e9b-4dc7-a031-ca5391c97d0f}" id="{36128bed-4013-4620-8cfc-a5f5acb517d3}" done="0">
    <x18tc:text xml:space="preserve">apertura+config inicial</x18tc:text>
  </x18tc:threadedComment>
  <x18tc:threadedComment ref="K417" dT="2026-01-24T22:51:50.00" personId="{4df2d6c4-e43e-4f2e-b623-d90f458472ff}" id="{8bd57421-9bfa-4d91-a90b-5b314815a3f2}" done="0">
    <x18tc:text xml:space="preserve">https://drive.google.com/file/d/1q9rT0f2Umxv3-cvCJxngWA6rSGL9InoJ/view?usp=drive_link</x18tc:text>
    <x18tc:extLst>
      <ext uri="{F7C98A9C-CBB3-438F-8F68-D28B6AF4A901}">
        <xltc2:checksum/>
        <xltc2:hyperlink startIndex="0" length="85" url="https://drive.google.com/file/d/1q9rT0f2Umxv3-cvCJxngWA6rSGL9InoJ/view?usp=drive_link"/>
      </ext>
    </x18tc:extLst>
  </x18tc:threadedComment>
  <x18tc:threadedComment ref="C519" dT="2026-02-05T23:35:12.00" personId="{4df2d6c4-e43e-4f2e-b623-d90f458472ff}" id="{da86bbf5-f640-444c-aadb-8471941fdd5f}" done="0">
    <x18tc:text xml:space="preserve">https://www.antonline.com/Lenovo/Computers/Computer_Systems/Notebooks/1519137</x18tc:text>
    <x18tc:extLst>
      <ext uri="{F7C98A9C-CBB3-438F-8F68-D28B6AF4A901}">
        <xltc2:checksum/>
        <xltc2:hyperlink startIndex="0" length="77" url="https://www.antonline.com/Lenovo/Computers/Computer_Systems/Notebooks/1519137"/>
      </ext>
    </x18tc:extLst>
  </x18tc:threadedComment>
  <x18tc:threadedComment ref="C39" dT="2025-05-07T02:08:16.00" personId="{4df2d6c4-e43e-4f2e-b623-d90f458472ff}" id="{fc0d49c0-9d39-4919-ae14-9fe2d6148804}" done="0">
    <x18tc:text xml:space="preserve">https://www.ebay.com/itm/335764064606?_skw=4060&amp;itmmeta=01JTJD8Y7A3T9FK3Q0BABBVJB0&amp;hash=item4e2d19095e%3Ag%3Ak7MAAOSwLbVngCc3&amp;itmprp=enc%3AAQAKAAAAwFkggFvd1GGDu0w3yXCmi1eIV70S47BoiMKFIbCcyCAUSvNfjKTdqaeK0TrRewUSVaqjW9EHDyHb0x66D2piduKLQDhOup7tKLZyUB5d5Qf6Oe5AFo1OyUlkU2K5%2Bush%2FGGYIEvs3Yu83z07w6J5M3Pv89RT8hakCLXZXe0EDserrrDM10KyCcjyei7q%2FgJN4d%2BCprXbZNSu%2BNG31T7AgR9Ej7snRXIsU5W1Lf0DIyorNd6PBhYsoiK96nq54zCnbw%3D%3D%7Ctkp%3ABk9SR4bko83UZQ&amp;LH_ItemCondition=1000</x18tc:text>
    <x18tc:extLst>
      <ext uri="{F7C98A9C-CBB3-438F-8F68-D28B6AF4A901}">
        <xltc2:checksum/>
        <xltc2:hyperlink startIndex="0" length="466" url="https://www.ebay.com/itm/335764064606?_skw=4060&amp;itmmeta=01JTJD8Y7A3T9FK3Q0BABBVJB0&amp;hash=item4e2d19095e%3Ag%3Ak7MAAOSwLbVngCc3&amp;itmprp=enc%3AAQAKAAAAwFkggFvd1GGDu0w3yXCmi1eIV70S47BoiMKFIbCcyCAUSvNfjKTdqaeK0TrRewUSVaqjW9EHDyHb0x66D2piduKLQDhOup7tKLZyUB5d5Qf6Oe5AFo1OyUlkU2K5%2Bush%2FGGYIEvs3Yu83z07w6J5M3Pv89RT8hakCLXZXe0EDserrrDM10KyCcjyei7q%2FgJN4d%2BCprXbZNSu%2BNG31T7AgR9Ej7snRXIsU5W1Lf0DIyorNd6PBhYsoiK96nq54zCnbw%3D%3D%7Ctkp%3ABk9SR4bko83UZQ&amp;LH_ItemCondition=1000"/>
      </ext>
    </x18tc:extLst>
  </x18tc:threadedComment>
  <x18tc:threadedComment ref="C186" dT="2025-08-22T17:48:09.00" personId="{4df2d6c4-e43e-4f2e-b623-d90f458472ff}" id="{25ba22eb-8229-4166-9b0b-95fd5c2dac98}" done="0">
    <x18tc:text xml:space="preserve">https://www.ebay.com/itm/197444303642?_skw=zephyrus+g14&amp;itmmeta=01K39E5EH9013Q0FG1KJYADWK3&amp;hash=item2df898fb1a:g:5rwAAeSwQbtooaJs&amp;itmprp=enc%3AAQAKAAAA8FkggFvd1GGDu0w3yXCmi1doto8riVyORr3nQFJNF8hxTnj6OhowlDzqvK2zy49Meh7T%2BhmCK%2Biit8VULDwbyGrwB7owJjApcpkfp92JsVw4JB1Al6CcTFljwpvYc0V5%2FoyYSD1w3f1oy2vfVLZEiamZ0IPx%2BZrbQ4ksoQqIZrUiJJ8cCmzkmmhYEhZMaoZshDQTvDOVUC7EK7ep6Bgw2AWX4dGkmCGbRI0VgzliuGIhk35e1K%2Ba3VlTRKCqdckOEmJuuiODABWeiSvKfMxZZfsparNVWHG4rtEVR%2F9INZQ3E5hJoYeCvZNa0dDs5YggfA%3D%3D%7Ctkp%3ABk9SR-Lola6aZg</x18tc:text>
    <x18tc:extLst>
      <ext uri="{F7C98A9C-CBB3-438F-8F68-D28B6AF4A901}">
        <xltc2:checksum/>
        <xltc2:hyperlink startIndex="0" length="514" url="https://www.ebay.com/itm/197444303642?_skw=zephyrus+g14&amp;itmmeta=01K39E5EH9013Q0FG1KJYADWK3&amp;hash=item2df898fb1a:g:5rwAAeSwQbtooaJs&amp;itmprp=enc%3AAQAKAAAA8FkggFvd1GGDu0w3yXCmi1doto8riVyORr3nQFJNF8hxTnj6OhowlDzqvK2zy49Meh7T%2BhmCK%2Biit8VULDwbyGrwB7owJjApcpkfp92JsVw4JB1Al6CcTFljwpvYc0V5%2FoyYSD1w3f1oy2vfVLZEiamZ0IPx%2BZrbQ4ksoQqIZrUiJJ8cCmzkmmhYEhZMaoZshDQTvDOVUC7EK7ep6Bgw2AWX4dGkmCGbRI0VgzliuGIhk35e1K%2Ba3VlTRKCqdckOEmJuuiODABWeiSvKfMxZZfsparNVWHG4rtEVR%2F9INZQ3E5hJoYeCvZNa0dDs5YggfA%3D%3D%7Ctkp%3ABk9SR-Lola6aZg"/>
      </ext>
    </x18tc:extLst>
  </x18tc:threadedComment>
  <x18tc:threadedComment ref="L204" dT="2025-09-29T17:08:16.00" personId="{a5d43f6d-3c72-4414-b012-8f52ef50acc4}" id="{e8d56712-c938-4670-984b-cbef8cf72773}" done="0">
    <x18tc:text xml:space="preserve">https://drive.google.com/file/d/1aDvC3Lt9907Lm9M6xc9LI03Weeny0H2U/view?usp=drive_link
hubo devolución de dinero por error en el sheet, la laptop que iba a pagar no estaba</x18tc:text>
    <x18tc:extLst>
      <ext uri="{F7C98A9C-CBB3-438F-8F68-D28B6AF4A901}">
        <xltc2:checksum/>
        <xltc2:hyperlink startIndex="0" length="85" url="https://drive.google.com/file/d/1aDvC3Lt9907Lm9M6xc9LI03Weeny0H2U/view?usp=drive_link"/>
      </ext>
    </x18tc:extLst>
  </x18tc:threadedComment>
  <x18tc:threadedComment ref="C802" dT="2026-06-23T21:43:33.00" personId="{f9b224d0-ee33-4499-ae47-db5bcd2d0435}" id="{355d0c18-86f5-425c-9311-9326b77a619a}" done="0">
    <x18tc:text xml:space="preserve">https://www.costco.com/p/-/asus-rog-strix-g18-18-gaming-laptop-intel-core-ultra-9-processor-275hx-geforce-rtx-5070ti-25k-240hz3ms-nebula-display-32gb-ram-2tb-ssd-windows-11-home/4000369199?sp=grs&amp;langId=-1</x18tc:text>
    <x18tc:extLst>
      <ext uri="{F7C98A9C-CBB3-438F-8F68-D28B6AF4A901}">
        <xltc2:checksum/>
        <xltc2:hyperlink startIndex="0" length="205" url="https://www.costco.com/p/-/asus-rog-strix-g18-18-gaming-laptop-intel-core-ultra-9-processor-275hx-geforce-rtx-5070ti-25k-240hz3ms-nebula-display-32gb-ram-2tb-ssd-windows-11-home/4000369199?sp=grs&amp;langId=-1"/>
      </ext>
    </x18tc:extLst>
  </x18tc:threadedComment>
  <x18tc:threadedComment ref="L246" dT="2025-10-21T17:14:20.00" personId="{a5d43f6d-3c72-4414-b012-8f52ef50acc4}" id="{ab2b11fc-1b32-48f9-a3af-542363ce6a47}" done="0">
    <x18tc:text xml:space="preserve">https://drive.google.com/file/d/1A4y1z9MGbk4LnQXkXsODwu3VkroLUGi3/view?usp=drive_link</x18tc:text>
    <x18tc:extLst>
      <ext uri="{F7C98A9C-CBB3-438F-8F68-D28B6AF4A901}">
        <xltc2:checksum/>
        <xltc2:hyperlink startIndex="0" length="85" url="https://drive.google.com/file/d/1A4y1z9MGbk4LnQXkXsODwu3VkroLUGi3/view?usp=drive_link"/>
      </ext>
    </x18tc:extLst>
  </x18tc:threadedComment>
  <x18tc:threadedComment ref="L246" dT="2025-10-21T17:15:57.00" personId="{a5d43f6d-3c72-4414-b012-8f52ef50acc4}" id="{c1e9bc56-2cfc-40e1-9693-b7a5ed420025}" parentId="{ab2b11fc-1b32-48f9-a3af-542363ce6a47}">
    <x18tc:text xml:space="preserve">https://drive.google.com/file/d/1PBfDu6fgsopLSPQwK5XkJR-cVz0GhSSn/view?usp=drive_link</x18tc:text>
    <x18tc:extLst>
      <ext uri="{F7C98A9C-CBB3-438F-8F68-D28B6AF4A901}">
        <xltc2:checksum/>
        <xltc2:hyperlink startIndex="0" length="85" url="https://drive.google.com/file/d/1PBfDu6fgsopLSPQwK5XkJR-cVz0GhSSn/view?usp=drive_link"/>
      </ext>
    </x18tc:extLst>
  </x18tc:threadedComment>
  <x18tc:threadedComment ref="K488" dT="2026-02-05T23:12:27.00" personId="{a5d43f6d-3c72-4414-b012-8f52ef50acc4}" id="{4e132b34-9506-451f-99fe-2954dd7f5377}" done="0">
    <x18tc:text xml:space="preserve">https://drive.google.com/file/d/1Sko6XSB0A-xrI5OCV2at9aIO98CrKODB/view?usp=drive_link</x18tc:text>
    <x18tc:extLst>
      <ext uri="{F7C98A9C-CBB3-438F-8F68-D28B6AF4A901}">
        <xltc2:checksum/>
        <xltc2:hyperlink startIndex="0" length="85" url="https://drive.google.com/file/d/1Sko6XSB0A-xrI5OCV2at9aIO98CrKODB/view?usp=drive_link"/>
      </ext>
    </x18tc:extLst>
  </x18tc:threadedComment>
  <x18tc:threadedComment ref="J739" dT="2026-05-15T21:53:37.00" personId="{80195d68-4e9b-4dc7-a031-ca5391c97d0f}" id="{7f489e94-bd0c-4573-90aa-21265142ce20}" done="0">
    <x18tc:text xml:space="preserve">https://drive.google.com/file/d/1BYYaBfytuO9UDmjwXNs0Aa9BIUNxeUye/view?usp=drive_link</x18tc:text>
    <x18tc:extLst>
      <ext uri="{F7C98A9C-CBB3-438F-8F68-D28B6AF4A901}">
        <xltc2:checksum/>
        <xltc2:hyperlink startIndex="0" length="85" url="https://drive.google.com/file/d/1BYYaBfytuO9UDmjwXNs0Aa9BIUNxeUye/view?usp=drive_link"/>
      </ext>
    </x18tc:extLst>
  </x18tc:threadedComment>
  <x18tc:threadedComment ref="C792" dT="2026-06-16T00:27:32.00" personId="{f9b224d0-ee33-4499-ae47-db5bcd2d0435}" id="{1af5ef80-e016-4b75-8489-52d490b5c424}" done="0">
    <x18tc:text xml:space="preserve">https://www.ebay.com/itm/358642298122?_skw=asus+rog+strix+G16+Ryzen+9&amp;itmmeta=01KV6RQGVEZASFS8TEYQMNNA9D&amp;hash=item5380bf2d0a:g:RiUAAeSwMq5qIwNl&amp;itmprp=enc%3AAQALAAAA4GfYFPkwiKCW4ZNSs2u11xCLUN96aJtDCbbGl%2BFs16%2Bq2byOdJh5%2FcdyPwnEa%2FSSEUGkBOpBe4sqHFXCqEF6utyf5bGPhHWtAS3Xr7wrc2tk6VjEccP63XrZs9XP6VkIWh1gur5Du0r7ufTMgkaqKJn83A%2Fog1P2sk8OoPHJ2fnn7ZrNxlklK92Y1Xw7BGBLi0mH4kAW5UYusa3rG6TuGSE09Pv3%2FI5RR%2BH1UgnvhRUosOZvddtx%2BkEiAMbLz98gQ0Kw71svbUe3I%2FB1%2ByJPAxPE%2FP9fXw%2FvEQs2THdAUOtn%7Ctkp%3ABk9SR_KN3tjZZw</x18tc:text>
    <x18tc:extLst>
      <ext uri="{F7C98A9C-CBB3-438F-8F68-D28B6AF4A901}">
        <xltc2:checksum/>
        <xltc2:hyperlink startIndex="0" length="512" url="https://www.ebay.com/itm/358642298122?_skw=asus+rog+strix+G16+Ryzen+9&amp;itmmeta=01KV6RQGVEZASFS8TEYQMNNA9D&amp;hash=item5380bf2d0a:g:RiUAAeSwMq5qIwNl&amp;itmprp=enc%3AAQALAAAA4GfYFPkwiKCW4ZNSs2u11xCLUN96aJtDCbbGl%2BFs16%2Bq2byOdJh5%2FcdyPwnEa%2FSSEUGkBOpBe4sqHFXCqEF6utyf5bGPhHWtAS3Xr7wrc2tk6VjEccP63XrZs9XP6VkIWh1gur5Du0r7ufTMgkaqKJn83A%2Fog1P2sk8OoPHJ2fnn7ZrNxlklK92Y1Xw7BGBLi0mH4kAW5UYusa3rG6TuGSE09Pv3%2FI5RR%2BH1UgnvhRUosOZvddtx%2BkEiAMbLz98gQ0Kw71svbUe3I%2FB1%2ByJPAxPE%2FP9fXw%2FvEQs2THdAUOtn%7Ctkp%3ABk9SR_KN3tjZZw"/>
      </ext>
    </x18tc:extLst>
  </x18tc:threadedComment>
  <x18tc:threadedComment ref="F35" dT="2025-05-07T02:48:40.00" personId="{d28ef52a-149c-458c-84f2-6b54860887d5}" id="{6602f0b1-1c59-4595-b57f-f381448a2302}" done="0">
    <x18tc:text xml:space="preserve">LE DI LA BOLETA A JOSSY</x18tc:text>
  </x18tc:threadedComment>
  <x18tc:threadedComment ref="J742" dT="2026-05-15T21:51:58.00" personId="{80195d68-4e9b-4dc7-a031-ca5391c97d0f}" id="{6b73c36d-03fa-47e5-a33c-eff93d73f5ce}" done="0">
    <x18tc:text xml:space="preserve">https://drive.google.com/file/d/17FBccitowUEc4dD96PMG8V333sYHE9Y7/view?usp=drive_link</x18tc:text>
    <x18tc:extLst>
      <ext uri="{F7C98A9C-CBB3-438F-8F68-D28B6AF4A901}">
        <xltc2:checksum/>
        <xltc2:hyperlink startIndex="0" length="85" url="https://drive.google.com/file/d/17FBccitowUEc4dD96PMG8V333sYHE9Y7/view?usp=drive_link"/>
      </ext>
    </x18tc:extLst>
  </x18tc:threadedComment>
  <x18tc:threadedComment ref="K428" dT="2026-01-24T22:57:53.00" personId="{4df2d6c4-e43e-4f2e-b623-d90f458472ff}" id="{f40fcf21-5944-4c3b-af69-02bedbd57503}" done="0">
    <x18tc:text xml:space="preserve">https://drive.google.com/file/d/1usm-rc_5cdo6SQZVMnjVHJ817UK79yKO/view?usp=drive_link</x18tc:text>
    <x18tc:extLst>
      <ext uri="{F7C98A9C-CBB3-438F-8F68-D28B6AF4A901}">
        <xltc2:checksum/>
        <xltc2:hyperlink startIndex="0" length="85" url="https://drive.google.com/file/d/1usm-rc_5cdo6SQZVMnjVHJ817UK79yKO/view?usp=drive_link"/>
      </ext>
    </x18tc:extLst>
  </x18tc:threadedComment>
  <x18tc:threadedComment ref="K476" dT="2026-02-05T20:53:18.00" personId="{4df2d6c4-e43e-4f2e-b623-d90f458472ff}" id="{51885dcc-61ee-4703-81d3-28840af8ff79}" done="0">
    <x18tc:text xml:space="preserve">https://drive.google.com/file/d/1barlrUkWjuuRSGBnCZvoXych6PrltYIo/view?usp=drive_link</x18tc:text>
    <x18tc:extLst>
      <ext uri="{F7C98A9C-CBB3-438F-8F68-D28B6AF4A901}">
        <xltc2:checksum/>
        <xltc2:hyperlink startIndex="0" length="85" url="https://drive.google.com/file/d/1barlrUkWjuuRSGBnCZvoXych6PrltYIo/view?usp=drive_link"/>
      </ext>
    </x18tc:extLst>
  </x18tc:threadedComment>
  <x18tc:threadedComment ref="C186" dT="2025-08-22T17:42:29.00" personId="{4df2d6c4-e43e-4f2e-b623-d90f458472ff}" id="{f14f3c11-91b4-44b8-9075-07a75633334b}" done="1">
    <x18tc:text xml:space="preserve">https://www.bestbuy.com/product/asus-rog-zephyrus-g14-14-oled-3k-120hz-gaming-laptop-amd-ryzen-9-270-16gb-lpddr5x-geforce-rtx-5060-1tb-ssd-platinum-white/JJGGLH72GT</x18tc:text>
    <x18tc:extLst>
      <ext uri="{F7C98A9C-CBB3-438F-8F68-D28B6AF4A901}">
        <xltc2:checksum/>
        <xltc2:hyperlink startIndex="0" length="164" url="https://www.bestbuy.com/product/asus-rog-zephyrus-g14-14-oled-3k-120hz-gaming-laptop-amd-ryzen-9-270-16gb-lpddr5x-geforce-rtx-5060-1tb-ssd-platinum-white/JJGGLH72GT"/>
      </ext>
    </x18tc:extLst>
  </x18tc:threadedComment>
  <x18tc:threadedComment ref="L146" dT="2025-08-22T18:52:48.00" personId="{d8e4f5ad-b65d-4160-a56f-197530fb7eb1}" id="{feb86826-4115-4d70-aa32-9a9e1bd6fbe5}" done="0">
    <x18tc:text xml:space="preserve">https://drive.google.com/file/d/1XZP0tudXY7GJJNj3pSHk9pt5zU1dfFku/view?usp=drive_link</x18tc:text>
    <x18tc:extLst>
      <ext uri="{F7C98A9C-CBB3-438F-8F68-D28B6AF4A901}">
        <xltc2:checksum/>
        <xltc2:hyperlink startIndex="0" length="85" url="https://drive.google.com/file/d/1XZP0tudXY7GJJNj3pSHk9pt5zU1dfFku/view?usp=drive_link"/>
      </ext>
    </x18tc:extLst>
  </x18tc:threadedComment>
  <x18tc:threadedComment ref="J740" dT="2026-05-15T21:53:00.00" personId="{80195d68-4e9b-4dc7-a031-ca5391c97d0f}" id="{5fa7fb58-196e-4863-a7c3-3aed3dd0c169}" done="0">
    <x18tc:text xml:space="preserve">https://drive.google.com/file/d/1LPigtZW7HbU6T9sFz8IeZs-f_kqWvd5D/view?usp=drive_link</x18tc:text>
    <x18tc:extLst>
      <ext uri="{F7C98A9C-CBB3-438F-8F68-D28B6AF4A901}">
        <xltc2:checksum/>
        <xltc2:hyperlink startIndex="0" length="85" url="https://drive.google.com/file/d/1LPigtZW7HbU6T9sFz8IeZs-f_kqWvd5D/view?usp=drive_link"/>
      </ext>
    </x18tc:extLst>
  </x18tc:threadedComment>
  <x18tc:threadedComment ref="C501" dT="2026-01-24T22:59:12.00" personId="{a5d43f6d-3c72-4414-b012-8f52ef50acc4}" id="{6483150e-f479-460d-8664-47f12d3e4467}"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Q556" dT="2026-03-04T16:54:57.00" personId="{80195d68-4e9b-4dc7-a031-ca5391c97d0f}" id="{c51b228c-b0d3-4f7e-8948-428557beb32d}" done="0">
    <x18tc:text xml:space="preserve">apertura+config inicial+eset nod</x18tc:text>
  </x18tc:threadedComment>
  <x18tc:threadedComment ref="T738" dT="2026-05-29T18:37:13.00" personId="{4df2d6c4-e43e-4f2e-b623-d90f458472ff}" id="{e2db47a6-1d80-4848-80c8-f4847d13b54e}" done="1">
    <x18tc:text xml:space="preserve">para el cliente de proveedores fila</x18tc:text>
  </x18tc:threadedComment>
  <x18tc:threadedComment ref="C605" dT="2026-03-14T23:04:29.00" personId="{d8e4f5ad-b65d-4160-a56f-197530fb7eb1}" id="{dd5f0e94-0905-4f0a-90ea-2923aea85b48}" done="0">
    <x18tc:text xml:space="preserve">https://www.ebay.com/itm/297282597330?_skw=laptop+gaming&amp;itmmeta=01KGGK41R2TSCDJH29KB4H2A00&amp;hash=item45376c71d2:g:MpIAAeSw8PNoJCUU</x18tc:text>
    <x18tc:extLst>
      <ext uri="{F7C98A9C-CBB3-438F-8F68-D28B6AF4A901}">
        <xltc2:checksum/>
        <xltc2:hyperlink startIndex="0" length="130" url="https://www.ebay.com/itm/297282597330?_skw=laptop+gaming&amp;itmmeta=01KGGK41R2TSCDJH29KB4H2A00&amp;hash=item45376c71d2:g:MpIAAeSw8PNoJCUU"/>
      </ext>
    </x18tc:extLst>
  </x18tc:threadedComment>
  <x18tc:threadedComment ref="K486" dT="2026-02-05T21:18:19.00" personId="{d8e4f5ad-b65d-4160-a56f-197530fb7eb1}" id="{4411f209-614a-427a-a5ff-c5cad5a5deb3}" done="0">
    <x18tc:text xml:space="preserve">https://drive.google.com/file/d/1mxtwV3eMIidljcZJ263jWOHI9n4Gj7OM/view?usp=drive_link</x18tc:text>
    <x18tc:extLst>
      <ext uri="{F7C98A9C-CBB3-438F-8F68-D28B6AF4A901}">
        <xltc2:checksum/>
        <xltc2:hyperlink startIndex="0" length="85" url="https://drive.google.com/file/d/1mxtwV3eMIidljcZJ263jWOHI9n4Gj7OM/view?usp=drive_link"/>
      </ext>
    </x18tc:extLst>
  </x18tc:threadedComment>
  <x18tc:threadedComment ref="K486" dT="2026-02-05T21:18:39.00" personId="{d8e4f5ad-b65d-4160-a56f-197530fb7eb1}" id="{2e430938-14b3-481f-bcc7-0a2276a305bd}" parentId="{4411f209-614a-427a-a5ff-c5cad5a5deb3}">
    <x18tc:text xml:space="preserve">https://drive.google.com/file/d/14eyjhd6-N2nWhELJr4ykNOE_cmzx19Qv/view?usp=drive_link</x18tc:text>
    <x18tc:extLst>
      <ext uri="{F7C98A9C-CBB3-438F-8F68-D28B6AF4A901}">
        <xltc2:checksum/>
        <xltc2:hyperlink startIndex="0" length="85" url="https://drive.google.com/file/d/14eyjhd6-N2nWhELJr4ykNOE_cmzx19Qv/view?usp=drive_link"/>
      </ext>
    </x18tc:extLst>
  </x18tc:threadedComment>
  <x18tc:threadedComment ref="AF241" dT="2025-10-02T22:31:48.00" personId="{2ddfa542-8116-4937-a057-08470d7abaab}" id="{df24c4a1-3695-4af0-affe-cd31ea5bb09e}" done="0">
    <x18tc:text xml:space="preserve">fixit</x18tc:text>
  </x18tc:threadedComment>
  <x18tc:threadedComment ref="J582" dT="2026-03-04T16:49:47.00" personId="{80195d68-4e9b-4dc7-a031-ca5391c97d0f}" id="{83da3526-51dc-4883-b08a-dadabd5f5b1d}" done="0">
    <x18tc:text xml:space="preserve">https://drive.google.com/file/d/1sLlFKKPc4nvYcB--gwNxaVlwcAr5zxGm/view?usp=drive_link reserva</x18tc:text>
    <x18tc:extLst>
      <ext uri="{F7C98A9C-CBB3-438F-8F68-D28B6AF4A901}">
        <xltc2:checksum/>
        <xltc2:hyperlink startIndex="0" length="85" url="https://drive.google.com/file/d/1sLlFKKPc4nvYcB--gwNxaVlwcAr5zxGm/view?usp=drive_link"/>
      </ext>
    </x18tc:extLst>
  </x18tc:threadedComment>
  <x18tc:threadedComment ref="Q512" dT="2026-03-04T16:56:21.00" personId="{80195d68-4e9b-4dc7-a031-ca5391c97d0f}" id="{d856570a-1feb-447f-92dd-35f6d09a481b}" done="0">
    <x18tc:text xml:space="preserve">apertura</x18tc:text>
  </x18tc:threadedComment>
  <x18tc:threadedComment ref="Q582" dT="2026-03-04T16:56:05.00" personId="{80195d68-4e9b-4dc7-a031-ca5391c97d0f}" id="{8e3beb32-159a-4bc5-903a-db805f2481d4}" done="0">
    <x18tc:text xml:space="preserve">apertura+configuracion inicial</x18tc:text>
  </x18tc:threadedComment>
  <x18tc:threadedComment ref="L155" dT="2025-08-22T22:29:27.00" personId="{d8e4f5ad-b65d-4160-a56f-197530fb7eb1}" id="{8a7fe06c-8ef2-4bc3-a9b8-6c021d56fbd7}" done="0">
    <x18tc:text xml:space="preserve">https://drive.google.com/file/d/18-_1OFy4R4zsex8oH03XabGJ8RSsqHuh/view?usp=drive_link</x18tc:text>
    <x18tc:extLst>
      <ext uri="{F7C98A9C-CBB3-438F-8F68-D28B6AF4A901}">
        <xltc2:checksum/>
        <xltc2:hyperlink startIndex="0" length="85" url="https://drive.google.com/file/d/18-_1OFy4R4zsex8oH03XabGJ8RSsqHuh/view?usp=drive_link"/>
      </ext>
    </x18tc:extLst>
  </x18tc:threadedComment>
  <x18tc:threadedComment ref="T738" dT="2026-05-29T18:37:30.00" personId="{4df2d6c4-e43e-4f2e-b623-d90f458472ff}" id="{c77a2578-866c-4eff-929e-1f0e5b7672a3}" done="0">
    <x18tc:text xml:space="preserve">para el cliente de provedores fila 38</x18tc:text>
  </x18tc:threadedComment>
  <x18tc:threadedComment ref="L160" dT="2025-08-05T19:59:18.00" personId="{d8e4f5ad-b65d-4160-a56f-197530fb7eb1}" id="{de61fa66-f9e2-4153-a431-76a58b3c6850}" done="0">
    <x18tc:text xml:space="preserve">https://drive.google.com/file/d/1bugA2xbP8CVixP0zBnubQ9lF6BKLPqBn/view?usp=drive_link</x18tc:text>
    <x18tc:extLst>
      <ext uri="{F7C98A9C-CBB3-438F-8F68-D28B6AF4A901}">
        <xltc2:checksum/>
        <xltc2:hyperlink startIndex="0" length="85" url="https://drive.google.com/file/d/1bugA2xbP8CVixP0zBnubQ9lF6BKLPqBn/view?usp=drive_link"/>
      </ext>
    </x18tc:extLst>
  </x18tc:threadedComment>
  <x18tc:threadedComment ref="W271" dT="2025-10-22T00:05:57.00" personId="{d8e4f5ad-b65d-4160-a56f-197530fb7eb1}" id="{329bafd4-62eb-46be-bd90-f09bb515ee63}" done="0">
    <x18tc:text xml:space="preserve">https://drive.google.com/file/d/1oG-9o0wUELVo-L-dUVPdbrHxrnYx7ZCW/view?usp=drive_link</x18tc:text>
    <x18tc:extLst>
      <ext uri="{F7C98A9C-CBB3-438F-8F68-D28B6AF4A901}">
        <xltc2:checksum/>
        <xltc2:hyperlink startIndex="0" length="85" url="https://drive.google.com/file/d/1oG-9o0wUELVo-L-dUVPdbrHxrnYx7ZCW/view?usp=drive_link"/>
      </ext>
    </x18tc:extLst>
  </x18tc:threadedComment>
  <x18tc:threadedComment ref="K632" dT="2026-05-15T22:10:00.00" personId="{80195d68-4e9b-4dc7-a031-ca5391c97d0f}" id="{93ca352f-3fbc-4761-b5c6-67b19296b473}" done="0">
    <x18tc:text xml:space="preserve">https://drive.google.com/file/d/17UnsFknSa4oOWhpNz8bDk68SS_LLCvs4/view?usp=drive_link</x18tc:text>
    <x18tc:extLst>
      <ext uri="{F7C98A9C-CBB3-438F-8F68-D28B6AF4A901}">
        <xltc2:checksum/>
        <xltc2:hyperlink startIndex="0" length="85" url="https://drive.google.com/file/d/17UnsFknSa4oOWhpNz8bDk68SS_LLCvs4/view?usp=drive_link"/>
      </ext>
    </x18tc:extLst>
  </x18tc:threadedComment>
  <x18tc:threadedComment ref="L141" dT="2025-08-22T16:57:07.00" personId="{d8e4f5ad-b65d-4160-a56f-197530fb7eb1}" id="{5a7da7c6-56a6-44f3-9e44-0eea0e96af52}" done="0">
    <x18tc:text xml:space="preserve">https://drive.google.com/file/d/18s_pWJglQ0lDX_RHB3ytR02tQBlRPdgV/view?usp=drive_link</x18tc:text>
    <x18tc:extLst>
      <ext uri="{F7C98A9C-CBB3-438F-8F68-D28B6AF4A901}">
        <xltc2:checksum/>
        <xltc2:hyperlink startIndex="0" length="85" url="https://drive.google.com/file/d/18s_pWJglQ0lDX_RHB3ytR02tQBlRPdgV/view?usp=drive_link"/>
      </ext>
    </x18tc:extLst>
  </x18tc:threadedComment>
  <x18tc:threadedComment ref="L141" dT="2025-08-22T16:57:24.00" personId="{d8e4f5ad-b65d-4160-a56f-197530fb7eb1}" id="{fff2087e-3980-4fc4-b3a2-23163497ebe0}" parentId="{5a7da7c6-56a6-44f3-9e44-0eea0e96af52}">
    <x18tc:text xml:space="preserve">https://drive.google.com/file/d/1jif73r6fK8ZZnlm33TPbNEai2YexRZAH/view?usp=drive_link</x18tc:text>
    <x18tc:extLst>
      <ext uri="{F7C98A9C-CBB3-438F-8F68-D28B6AF4A901}">
        <xltc2:checksum/>
        <xltc2:hyperlink startIndex="0" length="85" url="https://drive.google.com/file/d/1jif73r6fK8ZZnlm33TPbNEai2YexRZAH/view?usp=drive_link"/>
      </ext>
    </x18tc:extLst>
  </x18tc:threadedComment>
  <x18tc:threadedComment ref="A1" dT="2026-01-24T23:05:16.00" personId="{4df2d6c4-e43e-4f2e-b623-d90f458472ff}" id="{3d0ae6ca-beb5-4302-a0b2-5fadda4488d1}" done="0">
    <x18tc:text xml:space="preserve">PRECIO DE LAPTOP: 11219
SERVICO EXPRES 100 DOLARES / 330 SOLES</x18tc:text>
  </x18tc:threadedComment>
  <x18tc:threadedComment ref="K406" dT="2026-01-24T22:29:46.00" personId="{4df2d6c4-e43e-4f2e-b623-d90f458472ff}" id="{9a19bf3f-d0fe-4aeb-acbd-6916d67db16e}" done="0">
    <x18tc:text xml:space="preserve">https://drive.google.com/file/d/1ljv1-0IRlbCDysK9bt6yG-nkBdKIBqdz/view?usp=drive_link</x18tc:text>
    <x18tc:extLst>
      <ext uri="{F7C98A9C-CBB3-438F-8F68-D28B6AF4A901}">
        <xltc2:checksum/>
        <xltc2:hyperlink startIndex="0" length="85" url="https://drive.google.com/file/d/1ljv1-0IRlbCDysK9bt6yG-nkBdKIBqdz/view?usp=drive_link"/>
      </ext>
    </x18tc:extLst>
  </x18tc:threadedComment>
  <x18tc:threadedComment ref="T428" dT="2026-01-24T23:12:13.00" personId="{4df2d6c4-e43e-4f2e-b623-d90f458472ff}" id="{37f8fc4d-8faf-48fd-8156-2194d4774ccf}" done="0">
    <x18tc:text xml:space="preserve">100 dolares de servicio express</x18tc:text>
  </x18tc:threadedComment>
  <x18tc:threadedComment ref="J729" dT="2026-05-03T01:12:11.00" personId="{f9b224d0-ee33-4499-ae47-db5bcd2d0435}" id="{b690d3f5-c1e3-4ee4-99f1-21300dc1dfc2}" done="0">
    <x18tc:text xml:space="preserve">https://drive.google.com/file/d/1oLe2gWw4OLcrflEPYPB533Q277ZdB7Pj/view?usp=drive_link</x18tc:text>
    <x18tc:extLst>
      <ext uri="{F7C98A9C-CBB3-438F-8F68-D28B6AF4A901}">
        <xltc2:checksum/>
        <xltc2:hyperlink startIndex="0" length="85" url="https://drive.google.com/file/d/1oLe2gWw4OLcrflEPYPB533Q277ZdB7Pj/view?usp=drive_link"/>
      </ext>
    </x18tc:extLst>
  </x18tc:threadedComment>
  <x18tc:threadedComment ref="J501" dT="2026-01-24T23:01:03.00" personId="{a5d43f6d-3c72-4414-b012-8f52ef50acc4}" id="{b51e19f0-851f-4bce-b45a-55b640123a69}" done="0">
    <x18tc:text xml:space="preserve">https://drive.google.com/file/d/1IWAMeAFvtssEYq-e66KrhFP8zzJyBPas/view?usp=drive_link</x18tc:text>
    <x18tc:extLst>
      <ext uri="{F7C98A9C-CBB3-438F-8F68-D28B6AF4A901}">
        <xltc2:checksum/>
        <xltc2:hyperlink startIndex="0" length="85" url="https://drive.google.com/file/d/1IWAMeAFvtssEYq-e66KrhFP8zzJyBPas/view?usp=drive_link"/>
      </ext>
    </x18tc:extLst>
  </x18tc:threadedComment>
  <x18tc:threadedComment ref="F500" dT="2026-02-25T19:29:07.00" personId="{a5d43f6d-3c72-4414-b012-8f52ef50acc4}" id="{434ed068-fb43-4ec8-bd92-c45de89623d5}" done="0">
    <x18tc:text xml:space="preserve">se cambio de laptop debido a que el anterior modelo tuvo un incidente en el almacén en Miami</x18tc:text>
  </x18tc:threadedComment>
  <x18tc:threadedComment ref="AF243" dT="2025-10-02T22:44:08.00" personId="{2ddfa542-8116-4937-a057-08470d7abaab}" id="{4e598b45-8617-41f6-8532-bf53dfabff1a}" done="1">
    <x18tc:text xml:space="preserve">Venta final, fixit, boleta</x18tc:text>
  </x18tc:threadedComment>
  <x18tc:threadedComment ref="Q501" dT="2026-01-24T23:01:50.00" personId="{a5d43f6d-3c72-4414-b012-8f52ef50acc4}" id="{2e35eb3b-f235-4078-a1d6-837b3bee6bf1}" done="0">
    <x18tc:text xml:space="preserve">apertura + configuración inicial con formateo + eset nod 32 + windows 11 pro + office profesional plus 2024</x18tc:text>
  </x18tc:threadedComment>
  <x18tc:threadedComment ref="L252" dT="2025-10-21T17:56:51.00" personId="{a5d43f6d-3c72-4414-b012-8f52ef50acc4}" id="{838d8e0b-0f2f-42c6-ab88-178d6cc2f2c7}" done="0">
    <x18tc:text xml:space="preserve">https://drive.google.com/file/d/18HjnbyAvDU5tMHvBOGYrWR4bIWoxvzOM/view?usp=drive_link</x18tc:text>
    <x18tc:extLst>
      <ext uri="{F7C98A9C-CBB3-438F-8F68-D28B6AF4A901}">
        <xltc2:checksum/>
        <xltc2:hyperlink startIndex="0" length="85" url="https://drive.google.com/file/d/18HjnbyAvDU5tMHvBOGYrWR4bIWoxvzOM/view?usp=drive_link"/>
      </ext>
    </x18tc:extLst>
  </x18tc:threadedComment>
  <x18tc:threadedComment ref="C729" dT="2026-05-03T01:09:56.00" personId="{f9b224d0-ee33-4499-ae47-db5bcd2d0435}" id="{9b413be4-508b-4da1-8b86-bccc789a9c1b}" done="0">
    <x18tc:text xml:space="preserve">https://www.costco.com/p/-/lenovo-legion-5i-16-gaming-laptop-intel-core-ultra-9-275hx-geforce-rtx-5060-wqxga-2560x1600-windows-11-home-32gb-ram-1tb-ssd/4000380973?langId=-1</x18tc:text>
    <x18tc:extLst>
      <ext uri="{F7C98A9C-CBB3-438F-8F68-D28B6AF4A901}">
        <xltc2:checksum/>
        <xltc2:hyperlink startIndex="0" length="172" url="https://www.costco.com/p/-/lenovo-legion-5i-16-gaming-laptop-intel-core-ultra-9-275hx-geforce-rtx-5060-wqxga-2560x1600-windows-11-home-32gb-ram-1tb-ssd/4000380973?langId=-1"/>
      </ext>
    </x18tc:extLst>
  </x18tc:threadedComment>
  <x18tc:threadedComment ref="AF239" dT="2025-10-02T22:30:01.00" personId="{2ddfa542-8116-4937-a057-08470d7abaab}" id="{ef711f1d-5fc3-413d-b230-a6ab186bde27}" done="1">
    <x18tc:text xml:space="preserve">fixit</x18tc:text>
  </x18tc:threadedComment>
  <x18tc:threadedComment ref="C730" dT="2026-05-03T01:11:46.00" personId="{4df2d6c4-e43e-4f2e-b623-d90f458472ff}" id="{4652292b-73d3-4bdd-8d5b-721c60f28082}" done="0">
    <x18tc:text xml:space="preserve">https://www.ebay.com/itm/326655425561</x18tc:text>
    <x18tc:extLst>
      <ext uri="{F7C98A9C-CBB3-438F-8F68-D28B6AF4A901}">
        <xltc2:checksum/>
        <xltc2:hyperlink startIndex="0" length="37" url="https://www.ebay.com/itm/326655425561"/>
      </ext>
    </x18tc:extLst>
  </x18tc:threadedComment>
  <x18tc:threadedComment ref="J802" dT="2026-06-23T21:53:45.00" personId="{f9b224d0-ee33-4499-ae47-db5bcd2d0435}" id="{2d73bc91-5ea7-42d2-8d3c-b8d6f163a3f2}" done="0">
    <x18tc:text xml:space="preserve">https://drive.google.com/file/d/1G5kzcIvcLxA4Pz-Rh-Ydpc7DGe5u4ksB/view?usp=drive_link</x18tc:text>
    <x18tc:extLst>
      <ext uri="{F7C98A9C-CBB3-438F-8F68-D28B6AF4A901}">
        <xltc2:checksum/>
        <xltc2:hyperlink startIndex="0" length="85" url="https://drive.google.com/file/d/1G5kzcIvcLxA4Pz-Rh-Ydpc7DGe5u4ksB/view?usp=drive_link"/>
      </ext>
    </x18tc:extLst>
  </x18tc:threadedComment>
  <x18tc:threadedComment ref="J802" dT="2026-06-23T21:54:25.00" personId="{f9b224d0-ee33-4499-ae47-db5bcd2d0435}" id="{75d74f7c-fcb3-4153-86f9-938770e10813}" parentId="{2d73bc91-5ea7-42d2-8d3c-b8d6f163a3f2}">
    <x18tc:text xml:space="preserve">https://drive.google.com/file/d/1W9oIv4C9i0USQi2_T2kb_pMeWFGvZGJv/view?usp=drive_link</x18tc:text>
    <x18tc:extLst>
      <ext uri="{F7C98A9C-CBB3-438F-8F68-D28B6AF4A901}">
        <xltc2:checksum/>
        <xltc2:hyperlink startIndex="0" length="85" url="https://drive.google.com/file/d/1W9oIv4C9i0USQi2_T2kb_pMeWFGvZGJv/view?usp=drive_link"/>
      </ext>
    </x18tc:extLst>
  </x18tc:threadedComment>
  <x18tc:threadedComment ref="J606" dT="2026-03-15T00:32:19.00" personId="{d8e4f5ad-b65d-4160-a56f-197530fb7eb1}" id="{096c574d-024d-4996-9bdd-99570848fec0}" done="0">
    <x18tc:text xml:space="preserve">https://drive.google.com/file/d/1NyOO-lX-aDS86hKTE6ddto9VuZPvNLtD/view?usp=drive_link</x18tc:text>
    <x18tc:extLst>
      <ext uri="{F7C98A9C-CBB3-438F-8F68-D28B6AF4A901}">
        <xltc2:checksum/>
        <xltc2:hyperlink startIndex="0" length="85" url="https://drive.google.com/file/d/1NyOO-lX-aDS86hKTE6ddto9VuZPvNLtD/view?usp=drive_link"/>
      </ext>
    </x18tc:extLst>
  </x18tc:threadedComment>
  <x18tc:threadedComment ref="K414" dT="2026-01-24T22:45:57.00" personId="{4df2d6c4-e43e-4f2e-b623-d90f458472ff}" id="{09eefacc-e888-4a21-ab2e-b354224cf6a3}" done="0">
    <x18tc:text xml:space="preserve">https://drive.google.com/file/d/10t46kpSCapGj24GvUSMgQH6PZ2w9EUGn/view?usp=drive_link</x18tc:text>
    <x18tc:extLst>
      <ext uri="{F7C98A9C-CBB3-438F-8F68-D28B6AF4A901}">
        <xltc2:checksum/>
        <xltc2:hyperlink startIndex="0" length="85" url="https://drive.google.com/file/d/10t46kpSCapGj24GvUSMgQH6PZ2w9EUGn/view?usp=drive_link"/>
      </ext>
    </x18tc:extLst>
  </x18tc:threadedComment>
  <x18tc:threadedComment ref="K414" dT="2026-01-24T22:48:58.00" personId="{4df2d6c4-e43e-4f2e-b623-d90f458472ff}" id="{32ce109b-d0ae-4e5a-b9a7-954ece74e1cc}" parentId="{09eefacc-e888-4a21-ab2e-b354224cf6a3}">
    <x18tc:text xml:space="preserve">https://drive.google.com/file/d/1wBv721K31PdRngN1MK9NfgeUN9j_T81g/view?usp=drive_link</x18tc:text>
    <x18tc:extLst>
      <ext uri="{F7C98A9C-CBB3-438F-8F68-D28B6AF4A901}">
        <xltc2:checksum/>
        <xltc2:hyperlink startIndex="0" length="85" url="https://drive.google.com/file/d/1wBv721K31PdRngN1MK9NfgeUN9j_T81g/view?usp=drive_link"/>
      </ext>
    </x18tc:extLst>
  </x18tc:threadedComment>
  <x18tc:threadedComment ref="K433" dT="2026-01-24T23:41:32.00" personId="{4df2d6c4-e43e-4f2e-b623-d90f458472ff}" id="{9d4fb5ce-adb9-4f73-971f-8b8bb17f15b5}" done="0">
    <x18tc:text xml:space="preserve">https://drive.google.com/file/d/1yTqyIcI1QiDrmiGyXRBMqN6BPxf8gSr9/view?usp=drive_link</x18tc:text>
    <x18tc:extLst>
      <ext uri="{F7C98A9C-CBB3-438F-8F68-D28B6AF4A901}">
        <xltc2:checksum/>
        <xltc2:hyperlink startIndex="0" length="85" url="https://drive.google.com/file/d/1yTqyIcI1QiDrmiGyXRBMqN6BPxf8gSr9/view?usp=drive_link"/>
      </ext>
    </x18tc:extLst>
  </x18tc:threadedComment>
  <x18tc:threadedComment ref="C728" dT="2026-05-03T00:53:01.00" personId="{80195d68-4e9b-4dc7-a031-ca5391c97d0f}" id="{b396d47c-6e86-4e06-80c8-fa524834e9ad}"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J522" dT="2026-02-05T21:09:39.00" personId="{d8e4f5ad-b65d-4160-a56f-197530fb7eb1}" id="{3e5a507a-f8df-4375-ab69-c0b6d8173223}" done="0">
    <x18tc:text xml:space="preserve">https://drive.google.com/file/d/1OBcq_tamQVLxtNIzdo6ajL2sMGqIBLti/view?usp=drive_link</x18tc:text>
    <x18tc:extLst>
      <ext uri="{F7C98A9C-CBB3-438F-8F68-D28B6AF4A901}">
        <xltc2:checksum/>
        <xltc2:hyperlink startIndex="0" length="85" url="https://drive.google.com/file/d/1OBcq_tamQVLxtNIzdo6ajL2sMGqIBLti/view?usp=drive_link"/>
      </ext>
    </x18tc:extLst>
  </x18tc:threadedComment>
  <x18tc:threadedComment ref="J707" dT="2026-04-24T17:31:48.00" personId="{d8e4f5ad-b65d-4160-a56f-197530fb7eb1}" id="{81ad428f-bc06-486e-bab7-84ba86cb5376}" done="0">
    <x18tc:text xml:space="preserve">https://drive.google.com/file/d/1DF41xYwQuMwuES6pfnlR9zrPQvuoHprZ/view?usp=drive_link</x18tc:text>
    <x18tc:extLst>
      <ext uri="{F7C98A9C-CBB3-438F-8F68-D28B6AF4A901}">
        <xltc2:checksum/>
        <xltc2:hyperlink startIndex="0" length="85" url="https://drive.google.com/file/d/1DF41xYwQuMwuES6pfnlR9zrPQvuoHprZ/view?usp=drive_link"/>
      </ext>
    </x18tc:extLst>
  </x18tc:threadedComment>
  <x18tc:threadedComment ref="J605" dT="2026-03-14T23:35:00.00" personId="{d8e4f5ad-b65d-4160-a56f-197530fb7eb1}" id="{14f6ae67-ad53-4989-a3ab-cc4c0d9cf21c}" done="0">
    <x18tc:text xml:space="preserve">https://drive.google.com/file/d/1_slL1-Qyg2MblcauvehZwyavJoFDon5x/view?usp=drive_link</x18tc:text>
    <x18tc:extLst>
      <ext uri="{F7C98A9C-CBB3-438F-8F68-D28B6AF4A901}">
        <xltc2:checksum/>
        <xltc2:hyperlink startIndex="0" length="85" url="https://drive.google.com/file/d/1_slL1-Qyg2MblcauvehZwyavJoFDon5x/view?usp=drive_link"/>
      </ext>
    </x18tc:extLst>
  </x18tc:threadedComment>
  <x18tc:threadedComment ref="A1" dT="2026-01-25T00:03:56.00" personId="{4df2d6c4-e43e-4f2e-b623-d90f458472ff}" id="{d1dfed7f-cc4a-4489-86b7-20621d044426}" done="0">
    <x18tc:text xml:space="preserve">https://drive.google.com/file/d/1eO-sYKpBg11UNNG3LLVU8Qixke7MExlH/view?usp=drive_link</x18tc:text>
    <x18tc:extLst>
      <ext uri="{F7C98A9C-CBB3-438F-8F68-D28B6AF4A901}">
        <xltc2:checksum/>
        <xltc2:hyperlink startIndex="0" length="85" url="https://drive.google.com/file/d/1eO-sYKpBg11UNNG3LLVU8Qixke7MExlH/view?usp=drive_link"/>
      </ext>
    </x18tc:extLst>
  </x18tc:threadedComment>
  <x18tc:threadedComment ref="J521" dT="2026-02-05T21:09:24.00" personId="{d8e4f5ad-b65d-4160-a56f-197530fb7eb1}" id="{d9faf660-ab19-4d4d-8e8a-170e1344e1b3}" done="0">
    <x18tc:text xml:space="preserve">https://drive.google.com/file/d/1p1ChlK4xoUhcrxpLJFuKYyEHzpp5Eu2D/view?usp=drive_link</x18tc:text>
    <x18tc:extLst>
      <ext uri="{F7C98A9C-CBB3-438F-8F68-D28B6AF4A901}">
        <xltc2:checksum/>
        <xltc2:hyperlink startIndex="0" length="85" url="https://drive.google.com/file/d/1p1ChlK4xoUhcrxpLJFuKYyEHzpp5Eu2D/view?usp=drive_link"/>
      </ext>
    </x18tc:extLst>
  </x18tc:threadedComment>
  <x18tc:threadedComment ref="J624" dT="2026-03-20T21:04:12.00" personId="{d8e4f5ad-b65d-4160-a56f-197530fb7eb1}" id="{3ab0a445-bc84-4bb2-bbd4-977e1f100a74}" done="0">
    <x18tc:text xml:space="preserve">https://drive.google.com/file/d/1_jWB37C2PZenmeTorwZl6iQqMCbg9-G9/view?usp=drive_link</x18tc:text>
    <x18tc:extLst>
      <ext uri="{F7C98A9C-CBB3-438F-8F68-D28B6AF4A901}">
        <xltc2:checksum/>
        <xltc2:hyperlink startIndex="0" length="85" url="https://drive.google.com/file/d/1_jWB37C2PZenmeTorwZl6iQqMCbg9-G9/view?usp=drive_link"/>
      </ext>
    </x18tc:extLst>
  </x18tc:threadedComment>
  <x18tc:threadedComment ref="K663" dT="2026-05-03T00:22:35.00" personId="{d8e4f5ad-b65d-4160-a56f-197530fb7eb1}" id="{022d6e46-8946-4fd0-b96e-66097451f81f}" done="0">
    <x18tc:text xml:space="preserve">https://drive.google.com/file/d/1keGY0X7p_n0wsdotZYgPfFBj2ej4Nv4_/view?usp=drive_link</x18tc:text>
    <x18tc:extLst>
      <ext uri="{F7C98A9C-CBB3-438F-8F68-D28B6AF4A901}">
        <xltc2:checksum/>
        <xltc2:hyperlink startIndex="0" length="85" url="https://drive.google.com/file/d/1keGY0X7p_n0wsdotZYgPfFBj2ej4Nv4_/view?usp=drive_link"/>
      </ext>
    </x18tc:extLst>
  </x18tc:threadedComment>
  <x18tc:threadedComment ref="K663" dT="2026-05-03T00:22:52.00" personId="{d8e4f5ad-b65d-4160-a56f-197530fb7eb1}" id="{3d3e7742-650d-4d2d-ac11-0dc9a9b46512}" parentId="{022d6e46-8946-4fd0-b96e-66097451f81f}">
    <x18tc:text xml:space="preserve">https://drive.google.com/file/d/1z-JFhuDAClTaON6JeUjWpGpn4zm47XLm/view?usp=drive_link</x18tc:text>
    <x18tc:extLst>
      <ext uri="{F7C98A9C-CBB3-438F-8F68-D28B6AF4A901}">
        <xltc2:checksum/>
        <xltc2:hyperlink startIndex="0" length="85" url="https://drive.google.com/file/d/1z-JFhuDAClTaON6JeUjWpGpn4zm47XLm/view?usp=drive_link"/>
      </ext>
    </x18tc:extLst>
  </x18tc:threadedComment>
  <x18tc:threadedComment ref="J464" dT="2026-01-25T00:44:23.00" personId="{4df2d6c4-e43e-4f2e-b623-d90f458472ff}" id="{a4de63c9-7a9b-4154-a18a-40f799cf7c43}" done="0">
    <x18tc:text xml:space="preserve">https://drive.google.com/file/d/1CqEFdlGl8ZKiQQReiPGulmW3_Ggjfo75/view?usp=drive_link</x18tc:text>
    <x18tc:extLst>
      <ext uri="{F7C98A9C-CBB3-438F-8F68-D28B6AF4A901}">
        <xltc2:checksum/>
        <xltc2:hyperlink startIndex="0" length="85" url="https://drive.google.com/file/d/1CqEFdlGl8ZKiQQReiPGulmW3_Ggjfo75/view?usp=drive_link"/>
      </ext>
    </x18tc:extLst>
  </x18tc:threadedComment>
  <x18tc:threadedComment ref="AF377" dT="2025-12-03T16:32:18.00" personId="{2ddfa542-8116-4937-a057-08470d7abaab}" id="{d120f02e-5d3d-43ba-a9de-19db1de5c858}" done="0">
    <x18tc:text xml:space="preserve">FIXIT</x18tc:text>
  </x18tc:threadedComment>
  <x18tc:threadedComment ref="AF377" dT="2025-12-03T16:37:42.00" personId="{2ddfa542-8116-4937-a057-08470d7abaab}" id="{d1582062-d83b-4a9d-a7f7-11a51208583e}" parentId="{d120f02e-5d3d-43ba-a9de-19db1de5c858}">
    <x18tc:text xml:space="preserve">Marcado como resuelto</x18tc:text>
  </x18tc:threadedComment>
  <x18tc:threadedComment ref="AF377" dT="2025-12-27T19:09:55.00" personId="{2ddfa542-8116-4937-a057-08470d7abaab}" id="{554fe0df-e085-4b96-8e06-d85c11a0b1d4}" parentId="{d120f02e-5d3d-43ba-a9de-19db1de5c858}">
    <x18tc:text xml:space="preserve">Reabierto</x18tc:text>
  </x18tc:threadedComment>
  <x18tc:threadedComment ref="W278" dT="2025-11-01T01:31:37.00" personId="{d8e4f5ad-b65d-4160-a56f-197530fb7eb1}" id="{ae504d4c-6cee-4dcb-a852-a7bcf16e9caa}" done="0">
    <x18tc:text xml:space="preserve">https://drive.google.com/file/d/1f8zmLcTKA53_BPZxtqsmaPzYYkCg-laW/view?usp=drive_link</x18tc:text>
    <x18tc:extLst>
      <ext uri="{F7C98A9C-CBB3-438F-8F68-D28B6AF4A901}">
        <xltc2:checksum/>
        <xltc2:hyperlink startIndex="0" length="85" url="https://drive.google.com/file/d/1f8zmLcTKA53_BPZxtqsmaPzYYkCg-laW/view?usp=drive_link"/>
      </ext>
    </x18tc:extLst>
  </x18tc:threadedComment>
  <x18tc:threadedComment ref="C12" dT="2025-04-27T17:48:21.00" personId="{6afbe8df-a68a-4403-9951-ca8c0d21ef43}" id="{4929c1d0-626c-45ca-9681-bfedc5e4a672}" done="0">
    <x18tc:text xml:space="preserve">Se cambió por una ASUS G17 de $1,529.00
https://www.bhphotovideo.com/c/product/1881482-REG/asus_g713pi_xb96_17_3_rog_strix_g17.html/reviews</x18tc:text>
    <x18tc:extLst>
      <ext uri="{F7C98A9C-CBB3-438F-8F68-D28B6AF4A901}">
        <xltc2:checksum/>
        <xltc2:hyperlink startIndex="40" length="99" url="https://www.bhphotovideo.com/c/product/1881482-REG/asus_g713pi_xb96_17_3_rog_strix_g17.html/reviews"/>
      </ext>
    </x18tc:extLst>
  </x18tc:threadedComment>
  <x18tc:threadedComment ref="C12" dT="2025-04-30T01:30:43.00" personId="{d8e4f5ad-b65d-4160-a56f-197530fb7eb1}" id="{3fc034d4-ddf2-4125-a742-569f071866c9}" parentId="{4929c1d0-626c-45ca-9681-bfedc5e4a672}">
    <x18tc:text xml:space="preserve">https://www.bhphotovideo.com/c/product/1881482-REG/asus_g713pi_xb96_17_3_rog_strix_g17.html/reviews</x18tc:text>
    <x18tc:extLst>
      <ext uri="{F7C98A9C-CBB3-438F-8F68-D28B6AF4A901}">
        <xltc2:checksum/>
        <xltc2:hyperlink startIndex="0" length="99" url="https://www.bhphotovideo.com/c/product/1881482-REG/asus_g713pi_xb96_17_3_rog_strix_g17.html/reviews"/>
      </ext>
    </x18tc:extLst>
  </x18tc:threadedComment>
  <x18tc:threadedComment ref="AF559" dT="2026-03-05T20:14:00.00" personId="{2ddfa542-8116-4937-a057-08470d7abaab}" id="{5de1160d-8b68-493b-9695-a48b1988f8bb}" done="1">
    <x18tc:text xml:space="preserve">fixit, excedentes, vental final</x18tc:text>
  </x18tc:threadedComment>
  <x18tc:threadedComment ref="K547" dT="2026-03-14T20:53:47.00" personId="{80195d68-4e9b-4dc7-a031-ca5391c97d0f}" id="{a761ac0b-605f-40dc-bfcb-7903803d1504}" done="0">
    <x18tc:text xml:space="preserve">https://drive.google.com/file/d/1U21VuDgkCAxeiMh4m5Dy9TtFl3ygWjbo/view?usp=drive_link pago 1
https://drive.google.com/file/d/1z1anbz3we4yA1RMVIcRcsY5Vuc6tIfdS/view?usp=drive_link pago 2</x18tc:text>
    <x18tc:extLst>
      <ext uri="{F7C98A9C-CBB3-438F-8F68-D28B6AF4A901}">
        <xltc2:checksum/>
        <xltc2:hyperlink startIndex="0" length="85" url="https://drive.google.com/file/d/1U21VuDgkCAxeiMh4m5Dy9TtFl3ygWjbo/view?usp=drive_link"/>
        <xltc2:hyperlink startIndex="93" length="85" url="https://drive.google.com/file/d/1z1anbz3we4yA1RMVIcRcsY5Vuc6tIfdS/view?usp=drive_link"/>
      </ext>
    </x18tc:extLst>
  </x18tc:threadedComment>
  <x18tc:threadedComment ref="L251" dT="2025-11-01T01:53:34.00" personId="{4df2d6c4-e43e-4f2e-b623-d90f458472ff}" id="{683470cb-de94-40a5-b996-426ccc018e63}" done="0">
    <x18tc:text xml:space="preserve">https://drive.google.com/file/d/1MJ2CjFirae8NcbosybVfmCj1JVAyWQc5/view?usp=drive_link</x18tc:text>
    <x18tc:extLst>
      <ext uri="{F7C98A9C-CBB3-438F-8F68-D28B6AF4A901}">
        <xltc2:checksum/>
        <xltc2:hyperlink startIndex="0" length="85" url="https://drive.google.com/file/d/1MJ2CjFirae8NcbosybVfmCj1JVAyWQc5/view?usp=drive_link"/>
      </ext>
    </x18tc:extLst>
  </x18tc:threadedComment>
  <x18tc:threadedComment ref="L251" dT="2025-11-01T01:53:50.00" personId="{4df2d6c4-e43e-4f2e-b623-d90f458472ff}" id="{38dba2a5-cdbe-4ca2-a924-f6529b3ab20d}" parentId="{683470cb-de94-40a5-b996-426ccc018e63}">
    <x18tc:text xml:space="preserve">https://drive.google.com/file/d/1IqpA8GPLtrH7KWMbq7rzU0O5_dYw2hjS/view?usp=drive_link</x18tc:text>
    <x18tc:extLst>
      <ext uri="{F7C98A9C-CBB3-438F-8F68-D28B6AF4A901}">
        <xltc2:checksum/>
        <xltc2:hyperlink startIndex="0" length="85" url="https://drive.google.com/file/d/1IqpA8GPLtrH7KWMbq7rzU0O5_dYw2hjS/view?usp=drive_link"/>
      </ext>
    </x18tc:extLst>
  </x18tc:threadedComment>
  <x18tc:threadedComment ref="K464" dT="2026-01-25T00:45:19.00" personId="{4df2d6c4-e43e-4f2e-b623-d90f458472ff}" id="{358ea9de-1141-427e-afbf-706dd21ef7ea}" done="0">
    <x18tc:text xml:space="preserve">https://drive.google.com/file/d/1OE_EGiq052Mi6keuH_y6bfuKXSH3KXha/view?usp=drive_link</x18tc:text>
    <x18tc:extLst>
      <ext uri="{F7C98A9C-CBB3-438F-8F68-D28B6AF4A901}">
        <xltc2:checksum/>
        <xltc2:hyperlink startIndex="0" length="85" url="https://drive.google.com/file/d/1OE_EGiq052Mi6keuH_y6bfuKXSH3KXha/view?usp=drive_link"/>
      </ext>
    </x18tc:extLst>
  </x18tc:threadedComment>
  <x18tc:threadedComment ref="K464" dT="2026-01-25T00:45:57.00" personId="{4df2d6c4-e43e-4f2e-b623-d90f458472ff}" id="{1de0f73f-e5ed-40b2-af3c-6ee345736220}" parentId="{358ea9de-1141-427e-afbf-706dd21ef7ea}">
    <x18tc:text xml:space="preserve">https://drive.google.com/file/d/1NSzmm9WCyJbcjQeBE1SweG-RlE4kmlzD/view?usp=drive_link</x18tc:text>
    <x18tc:extLst>
      <ext uri="{F7C98A9C-CBB3-438F-8F68-D28B6AF4A901}">
        <xltc2:checksum/>
        <xltc2:hyperlink startIndex="0" length="85" url="https://drive.google.com/file/d/1NSzmm9WCyJbcjQeBE1SweG-RlE4kmlzD/view?usp=drive_link"/>
      </ext>
    </x18tc:extLst>
  </x18tc:threadedComment>
  <x18tc:threadedComment ref="C412" dT="2025-12-17T20:00:43.00" personId="{d8e4f5ad-b65d-4160-a56f-197530fb7eb1}" id="{2dda7b2f-ca0e-4a26-bf54-23706ec560ca}" done="0">
    <x18tc:text xml:space="preserve">https://www.ebay.com/itm/197489937322?_skw=laptop+gaming&amp;itmmeta=01KCJDZ0EWFM7N9M765PFY50Q6&amp;hash=item2dfb514baa:g:FBcAAeSwRfJpNxMD</x18tc:text>
    <x18tc:extLst>
      <ext uri="{F7C98A9C-CBB3-438F-8F68-D28B6AF4A901}">
        <xltc2:checksum/>
        <xltc2:hyperlink startIndex="0" length="130" url="https://www.ebay.com/itm/197489937322?_skw=laptop+gaming&amp;itmmeta=01KCJDZ0EWFM7N9M765PFY50Q6&amp;hash=item2dfb514baa:g:FBcAAeSwRfJpNxMD"/>
      </ext>
    </x18tc:extLst>
  </x18tc:threadedComment>
  <x18tc:threadedComment ref="L235" dT="2025-11-01T01:31:23.00" personId="{4df2d6c4-e43e-4f2e-b623-d90f458472ff}" id="{5af84e53-3ac5-4af1-9abe-3ce70afa02d5}" done="0">
    <x18tc:text xml:space="preserve">https://drive.google.com/file/d/1F4TT20UwZQia2-YNpXCWiUMiaw4VjgWU/view?usp=drive_link</x18tc:text>
    <x18tc:extLst>
      <ext uri="{F7C98A9C-CBB3-438F-8F68-D28B6AF4A901}">
        <xltc2:checksum/>
        <xltc2:hyperlink startIndex="0" length="85" url="https://drive.google.com/file/d/1F4TT20UwZQia2-YNpXCWiUMiaw4VjgWU/view?usp=drive_link"/>
      </ext>
    </x18tc:extLst>
  </x18tc:threadedComment>
  <x18tc:threadedComment ref="U577" dT="2026-03-14T17:25:14.00" personId="{d8e4f5ad-b65d-4160-a56f-197530fb7eb1}" id="{e038adb3-9956-441e-8b4b-bf7598f88926}" done="0">
    <x18tc:text xml:space="preserve">vouches re pago de 5 *7.50=37.50</x18tc:text>
  </x18tc:threadedComment>
  <x18tc:threadedComment ref="F570" dT="2026-02-27T13:43:26.00" personId="{6afbe8df-a68a-4403-9951-ca8c0d21ef43}" id="{e7c09e0e-6956-4ed1-9e01-8eee5fa732a2}" done="0">
    <x18tc:text xml:space="preserve">@katiuskarodriempresa@gmail.com usar una de las solicitadas</x18tc:text>
    <x18tc:mentions>
      <x18tc:mention mentionpersonId="{35da361e-a7bc-4cb9-aa92-04fb9a954f9b}" mentionId="{ac1cd482-b64b-415e-9bc7-2c1027f2e317}" startIndex="0" length="31"/>
    </x18tc:mentions>
  </x18tc:threadedComment>
  <x18tc:threadedComment ref="C27" dT="2025-04-24T19:36:47.00" personId="{a5d43f6d-3c72-4414-b012-8f52ef50acc4}" id="{4cb7d367-f666-4c34-a3f7-c0a1315640b1}" done="0">
    <x18tc:text xml:space="preserve">https://www.microcenter.com/product/687888/asus-rog-strix-g16-g614jir-ms96-16-gaming-laptop-computer-eclipse-gray</x18tc:text>
    <x18tc:extLst>
      <ext uri="{F7C98A9C-CBB3-438F-8F68-D28B6AF4A901}">
        <xltc2:checksum/>
        <xltc2:hyperlink startIndex="0" length="113" url="https://www.microcenter.com/product/687888/asus-rog-strix-g16-g614jir-ms96-16-gaming-laptop-computer-eclipse-gray"/>
      </ext>
    </x18tc:extLst>
  </x18tc:threadedComment>
  <x18tc:threadedComment ref="M727" dT="2026-05-02T22:39:16.00" personId="{80195d68-4e9b-4dc7-a031-ca5391c97d0f}" id="{37061a0f-7029-464c-9e44-9b6b0d8c1697}" done="0">
    <x18tc:text xml:space="preserve">ya esta +20 dolares</x18tc:text>
  </x18tc:threadedComment>
  <x18tc:threadedComment ref="AF374" dT="2025-12-03T16:28:59.00" personId="{2ddfa542-8116-4937-a057-08470d7abaab}" id="{79baf5dd-e559-49ba-bbd4-ae28777b86de}" done="0">
    <x18tc:text xml:space="preserve">Solo verificar para donde va el excedente</x18tc:text>
  </x18tc:threadedComment>
  <x18tc:threadedComment ref="AF374" dT="2025-12-03T16:37:39.00" personId="{2ddfa542-8116-4937-a057-08470d7abaab}" id="{73d2b6d2-8a83-484b-8b2c-532ce98b7c91}" parentId="{79baf5dd-e559-49ba-bbd4-ae28777b86de}">
    <x18tc:text xml:space="preserve">Marcado como resuelto</x18tc:text>
  </x18tc:threadedComment>
  <x18tc:threadedComment ref="AF374" dT="2025-12-27T19:10:00.00" personId="{2ddfa542-8116-4937-a057-08470d7abaab}" id="{efa2340c-f8a7-4bc5-b19b-9197ae49e2ac}" parentId="{79baf5dd-e559-49ba-bbd4-ae28777b86de}">
    <x18tc:text xml:space="preserve">Reabierto</x18tc:text>
  </x18tc:threadedComment>
  <x18tc:threadedComment ref="J779" dT="2026-06-08T17:33:23.00" personId="{f9b224d0-ee33-4499-ae47-db5bcd2d0435}" id="{b069a6fe-8a39-4ce8-adb8-aed8277701b7}" done="0">
    <x18tc:text xml:space="preserve">https://drive.google.com/file/d/1TeRDcIVP1BjOAblNr99qTlNIQtHCfBKI/view?usp=drive_link</x18tc:text>
    <x18tc:extLst>
      <ext uri="{F7C98A9C-CBB3-438F-8F68-D28B6AF4A901}">
        <xltc2:checksum/>
        <xltc2:hyperlink startIndex="0" length="85" url="https://drive.google.com/file/d/1TeRDcIVP1BjOAblNr99qTlNIQtHCfBKI/view?usp=drive_link"/>
      </ext>
    </x18tc:extLst>
  </x18tc:threadedComment>
  <x18tc:threadedComment ref="AF552" dT="2026-03-05T20:13:31.00" personId="{2ddfa542-8116-4937-a057-08470d7abaab}" id="{d9b34530-fd06-43ef-ad04-a9beba6524fa}" done="1">
    <x18tc:text xml:space="preserve">fixit, excedentes, vental final</x18tc:text>
  </x18tc:threadedComment>
  <x18tc:threadedComment ref="J625" dT="2026-03-20T23:28:20.00" personId="{d8e4f5ad-b65d-4160-a56f-197530fb7eb1}" id="{ae7215b4-7490-4c61-9b7b-fc802a6bc28f}" done="0">
    <x18tc:text xml:space="preserve">https://drive.google.com/file/d/1Oqfslz8fUUyy1S4K-WIlkcx-Gxi56vi-/view?usp=drive_link</x18tc:text>
    <x18tc:extLst>
      <ext uri="{F7C98A9C-CBB3-438F-8F68-D28B6AF4A901}">
        <xltc2:checksum/>
        <xltc2:hyperlink startIndex="0" length="85" url="https://drive.google.com/file/d/1Oqfslz8fUUyy1S4K-WIlkcx-Gxi56vi-/view?usp=drive_link"/>
      </ext>
    </x18tc:extLst>
  </x18tc:threadedComment>
  <x18tc:threadedComment ref="J604" dT="2026-03-14T17:21:33.00" personId="{80195d68-4e9b-4dc7-a031-ca5391c97d0f}" id="{6ca9661c-a0e8-4c62-829a-651236523585}" done="0">
    <x18tc:text xml:space="preserve">https://drive.google.com/file/d/1Ac236c9RcMqapsKeTnLL01s1_N9i1ood/view?usp=drive_link PAGO1 5000
https://drive.google.com/file/d/1bninvG2zq2PF5Pp-BFwA--Yeqej4A8BD/view?usp=drive_link PAGO 2 1299</x18tc:text>
    <x18tc:extLst>
      <ext uri="{F7C98A9C-CBB3-438F-8F68-D28B6AF4A901}">
        <xltc2:checksum/>
        <xltc2:hyperlink startIndex="0" length="85" url="https://drive.google.com/file/d/1Ac236c9RcMqapsKeTnLL01s1_N9i1ood/view?usp=drive_link"/>
        <xltc2:hyperlink startIndex="97" length="85" url="https://drive.google.com/file/d/1bninvG2zq2PF5Pp-BFwA--Yeqej4A8BD/view?usp=drive_link"/>
      </ext>
    </x18tc:extLst>
  </x18tc:threadedComment>
  <x18tc:threadedComment ref="L27" dT="2025-04-24T19:40:01.00" personId="{a5d43f6d-3c72-4414-b012-8f52ef50acc4}" id="{74d0fefe-b6c6-4798-83a8-40c7c84c6fad}" done="0">
    <x18tc:text xml:space="preserve">333.89 aumenté, 100 es porque pagará con tarjeta 2000</x18tc:text>
  </x18tc:threadedComment>
  <x18tc:threadedComment ref="J726" dT="2026-05-02T23:38:24.00" personId="{d8e4f5ad-b65d-4160-a56f-197530fb7eb1}" id="{3d8e45ed-f66a-4348-be80-ec0aacd283e8}" done="0">
    <x18tc:text xml:space="preserve">https://drive.google.com/file/d/1YrQSMUlVFVnDdwCvzQ5Qa50yRyrz-dRb/view?usp=drive_link</x18tc:text>
    <x18tc:extLst>
      <ext uri="{F7C98A9C-CBB3-438F-8F68-D28B6AF4A901}">
        <xltc2:checksum/>
        <xltc2:hyperlink startIndex="0" length="85" url="https://drive.google.com/file/d/1YrQSMUlVFVnDdwCvzQ5Qa50yRyrz-dRb/view?usp=drive_link"/>
      </ext>
    </x18tc:extLst>
  </x18tc:threadedComment>
  <x18tc:threadedComment ref="AF376" dT="2025-12-03T16:29:03.00" personId="{2ddfa542-8116-4937-a057-08470d7abaab}" id="{e39449d8-64c6-4ec6-87c1-8ea56dc2d325}" done="0">
    <x18tc:text xml:space="preserve">Solo verificar para donde va el excedente</x18tc:text>
  </x18tc:threadedComment>
  <x18tc:threadedComment ref="AF376" dT="2025-12-03T16:37:41.00" personId="{2ddfa542-8116-4937-a057-08470d7abaab}" id="{82be141f-40be-4472-9901-e9d5e1765e4b}" parentId="{e39449d8-64c6-4ec6-87c1-8ea56dc2d325}">
    <x18tc:text xml:space="preserve">Marcado como resuelto</x18tc:text>
  </x18tc:threadedComment>
  <x18tc:threadedComment ref="AF376" dT="2025-12-27T19:09:58.00" personId="{2ddfa542-8116-4937-a057-08470d7abaab}" id="{258e3849-be0e-431c-a404-f51a8d614b66}" parentId="{e39449d8-64c6-4ec6-87c1-8ea56dc2d325}">
    <x18tc:text xml:space="preserve">Reabierto</x18tc:text>
  </x18tc:threadedComment>
  <x18tc:threadedComment ref="AF558" dT="2026-03-05T20:13:45.00" personId="{2ddfa542-8116-4937-a057-08470d7abaab}" id="{06db9079-ebdc-4912-aca0-9272e633ac6e}" done="1">
    <x18tc:text xml:space="preserve">fixit, excedentes, vental final</x18tc:text>
  </x18tc:threadedComment>
  <x18tc:threadedComment ref="AF523" dT="2026-03-05T16:07:36.00" personId="{2ddfa542-8116-4937-a057-08470d7abaab}" id="{e0799091-b140-429e-af50-ac8a27baece4}" done="1">
    <x18tc:text xml:space="preserve">Fixit, venta final, excedentes</x18tc:text>
  </x18tc:threadedComment>
  <x18tc:threadedComment ref="J601" dT="2026-03-14T17:20:45.00" personId="{d8e4f5ad-b65d-4160-a56f-197530fb7eb1}" id="{b99a3f4f-748f-4607-84f8-2f0716bf6ace}" done="0">
    <x18tc:text xml:space="preserve">https://drive.google.com/file/d/1PNMmhi_LpFug3Zij6Uw2xahMVidRNXUb/view?usp=drive_link</x18tc:text>
    <x18tc:extLst>
      <ext uri="{F7C98A9C-CBB3-438F-8F68-D28B6AF4A901}">
        <xltc2:checksum/>
        <xltc2:hyperlink startIndex="0" length="85" url="https://drive.google.com/file/d/1PNMmhi_LpFug3Zij6Uw2xahMVidRNXUb/view?usp=drive_link"/>
      </ext>
    </x18tc:extLst>
  </x18tc:threadedComment>
  <x18tc:threadedComment ref="C573" dT="2026-02-27T21:48:57.00" personId="{68efe3e3-8b68-4e02-81e2-a29fa228b211}" id="{054c3c55-dd4a-4a43-a2ae-4368463c967b}" done="0">
    <x18tc:text xml:space="preserve">https://www.ebay.com/itm/326655425561?_skw=laptop+gaming&amp;itmmeta=01KJ7E3GBT8730A38PT6JSANEZ&amp;hash=item4c0e2e3c19:g:ibQAAeSwPwFpmr4u</x18tc:text>
    <x18tc:extLst>
      <ext uri="{F7C98A9C-CBB3-438F-8F68-D28B6AF4A901}">
        <xltc2:checksum/>
        <xltc2:hyperlink startIndex="0" length="130" url="https://www.ebay.com/itm/326655425561?_skw=laptop+gaming&amp;itmmeta=01KJ7E3GBT8730A38PT6JSANEZ&amp;hash=item4c0e2e3c19:g:ibQAAeSwPwFpmr4u"/>
      </ext>
    </x18tc:extLst>
  </x18tc:threadedComment>
  <x18tc:threadedComment ref="K287" dT="2025-12-17T16:27:59.00" personId="{d8e4f5ad-b65d-4160-a56f-197530fb7eb1}" id="{0ea41fba-11ed-49e1-a58d-3fe7fdaff94d}" done="0">
    <x18tc:text xml:space="preserve">https://drive.google.com/file/d/1NkcZ9rBGbyH4tA5QoLV4dcArT4zYe6n0/view?usp=drive_link</x18tc:text>
    <x18tc:extLst>
      <ext uri="{F7C98A9C-CBB3-438F-8F68-D28B6AF4A901}">
        <xltc2:checksum/>
        <xltc2:hyperlink startIndex="0" length="85" url="https://drive.google.com/file/d/1NkcZ9rBGbyH4tA5QoLV4dcArT4zYe6n0/view?usp=drive_link"/>
      </ext>
    </x18tc:extLst>
  </x18tc:threadedComment>
  <x18tc:threadedComment ref="K287" dT="2025-12-17T21:43:34.00" personId="{d8e4f5ad-b65d-4160-a56f-197530fb7eb1}" id="{b5053e8f-cef8-478a-8af7-b0f9083f873f}" parentId="{0ea41fba-11ed-49e1-a58d-3fe7fdaff94d}">
    <x18tc:text xml:space="preserve">https://drive.google.com/file/d/1AJiVW3E5hr3XD2YEyFfNEU-XAPakQzJg/view?usp=drive_link</x18tc:text>
    <x18tc:extLst>
      <ext uri="{F7C98A9C-CBB3-438F-8F68-D28B6AF4A901}">
        <xltc2:checksum/>
        <xltc2:hyperlink startIndex="0" length="85" url="https://drive.google.com/file/d/1AJiVW3E5hr3XD2YEyFfNEU-XAPakQzJg/view?usp=drive_link"/>
      </ext>
    </x18tc:extLst>
  </x18tc:threadedComment>
  <x18tc:threadedComment ref="C759" dT="2026-06-16T22:35:26.00" personId="{80195d68-4e9b-4dc7-a031-ca5391c97d0f}" id="{2273c901-5ab8-4086-8f5d-1d9d692e1ae0}" done="0">
    <x18tc:text xml:space="preserve">https://shop.asus.com/us/30939-us-cnf-auto.html?config=90NR0KJ1-M00020</x18tc:text>
    <x18tc:extLst>
      <ext uri="{F7C98A9C-CBB3-438F-8F68-D28B6AF4A901}">
        <xltc2:checksum/>
        <xltc2:hyperlink startIndex="0" length="70" url="https://shop.asus.com/us/30939-us-cnf-auto.html?config=90NR0KJ1-M00020"/>
      </ext>
    </x18tc:extLst>
  </x18tc:threadedComment>
  <x18tc:threadedComment ref="AF547" dT="2026-03-05T20:13:22.00" personId="{2ddfa542-8116-4937-a057-08470d7abaab}" id="{10f63909-58ad-414a-b42d-501153068612}" done="0">
    <x18tc:text xml:space="preserve">fixit, excedentes, vental final</x18tc:text>
  </x18tc:threadedComment>
  <x18tc:threadedComment ref="L276" dT="2025-11-01T02:08:58.00" personId="{4df2d6c4-e43e-4f2e-b623-d90f458472ff}" id="{10b5b789-7bc6-4e51-8629-8d3fcb289a6a}" done="0">
    <x18tc:text xml:space="preserve">https://drive.google.com/file/d/1mDPlRtmYF8UXx4GTf0yo0LCHYeU0BOHG/view?usp=drive_link</x18tc:text>
    <x18tc:extLst>
      <ext uri="{F7C98A9C-CBB3-438F-8F68-D28B6AF4A901}">
        <xltc2:checksum/>
        <xltc2:hyperlink startIndex="0" length="85" url="https://drive.google.com/file/d/1mDPlRtmYF8UXx4GTf0yo0LCHYeU0BOHG/view?usp=drive_link"/>
      </ext>
    </x18tc:extLst>
  </x18tc:threadedComment>
  <x18tc:threadedComment ref="L276" dT="2025-11-01T02:09:50.00" personId="{4df2d6c4-e43e-4f2e-b623-d90f458472ff}" id="{65b9f597-0265-48c6-a9b7-27c045535499}" parentId="{10b5b789-7bc6-4e51-8629-8d3fcb289a6a}">
    <x18tc:text xml:space="preserve">https://drive.google.com/file/d/1q4MUEEoVqfGSsr1oppVhVQFC16SokSLz/view?usp=drive_link</x18tc:text>
    <x18tc:extLst>
      <ext uri="{F7C98A9C-CBB3-438F-8F68-D28B6AF4A901}">
        <xltc2:checksum/>
        <xltc2:hyperlink startIndex="0" length="85" url="https://drive.google.com/file/d/1q4MUEEoVqfGSsr1oppVhVQFC16SokSLz/view?usp=drive_link"/>
      </ext>
    </x18tc:extLst>
  </x18tc:threadedComment>
  <x18tc:threadedComment ref="L276" dT="2025-11-01T02:10:27.00" personId="{4df2d6c4-e43e-4f2e-b623-d90f458472ff}" id="{03cc7073-5ad2-4edd-8573-6e3ae1aa9b61}" parentId="{10b5b789-7bc6-4e51-8629-8d3fcb289a6a}">
    <x18tc:text xml:space="preserve">https://drive.google.com/file/d/11Bs9BnjVIB5_CUuUZg0mrFqkXt_m7Aie/view?usp=drive_link</x18tc:text>
    <x18tc:extLst>
      <ext uri="{F7C98A9C-CBB3-438F-8F68-D28B6AF4A901}">
        <xltc2:checksum/>
        <xltc2:hyperlink startIndex="0" length="85" url="https://drive.google.com/file/d/11Bs9BnjVIB5_CUuUZg0mrFqkXt_m7Aie/view?usp=drive_link"/>
      </ext>
    </x18tc:extLst>
  </x18tc:threadedComment>
  <x18tc:threadedComment ref="L276" dT="2025-11-07T00:52:55.00" personId="{4df2d6c4-e43e-4f2e-b623-d90f458472ff}" id="{55506d2a-c76f-4bf3-aa34-8fd6767d19ec}" parentId="{10b5b789-7bc6-4e51-8629-8d3fcb289a6a}">
    <x18tc:text xml:space="preserve">https://drive.google.com/file/d/1aE4j5qQ_y_9pDZEUVPO60lpsClWwZccS/view?usp=drive_link</x18tc:text>
    <x18tc:extLst>
      <ext uri="{F7C98A9C-CBB3-438F-8F68-D28B6AF4A901}">
        <xltc2:checksum/>
        <xltc2:hyperlink startIndex="0" length="85" url="https://drive.google.com/file/d/1aE4j5qQ_y_9pDZEUVPO60lpsClWwZccS/view?usp=drive_link"/>
      </ext>
    </x18tc:extLst>
  </x18tc:threadedComment>
  <x18tc:threadedComment ref="K572" dT="2026-03-31T21:22:19.00" personId="{d8e4f5ad-b65d-4160-a56f-197530fb7eb1}" id="{0a8597b0-e0f5-4ade-8467-c9e7e261340f}" done="0">
    <x18tc:text xml:space="preserve">https://drive.google.com/file/d/1Kkj57-k-JulIjD3tAUF2xGPTq7a9-wpk/view?usp=drive_link</x18tc:text>
    <x18tc:extLst>
      <ext uri="{F7C98A9C-CBB3-438F-8F68-D28B6AF4A901}">
        <xltc2:checksum/>
        <xltc2:hyperlink startIndex="0" length="85" url="https://drive.google.com/file/d/1Kkj57-k-JulIjD3tAUF2xGPTq7a9-wpk/view?usp=drive_link"/>
      </ext>
    </x18tc:extLst>
  </x18tc:threadedComment>
  <x18tc:threadedComment ref="J602" dT="2026-03-14T17:20:18.00" personId="{d8e4f5ad-b65d-4160-a56f-197530fb7eb1}" id="{d08d2930-9982-4023-872e-411d6205b4dc}" done="0">
    <x18tc:text xml:space="preserve">https://drive.google.com/file/d/1UfEAUntV88nsKxBhNlfbbD030ZO_V64s/view?usp=drive_link</x18tc:text>
    <x18tc:extLst>
      <ext uri="{F7C98A9C-CBB3-438F-8F68-D28B6AF4A901}">
        <xltc2:checksum/>
        <xltc2:hyperlink startIndex="0" length="85" url="https://drive.google.com/file/d/1UfEAUntV88nsKxBhNlfbbD030ZO_V64s/view?usp=drive_link"/>
      </ext>
    </x18tc:extLst>
  </x18tc:threadedComment>
  <x18tc:threadedComment ref="C26" dT="2025-04-24T18:55:05.00" personId="{4df2d6c4-e43e-4f2e-b623-d90f458472ff}" id="{f8f51684-2aa7-44d1-a258-2c18afc035f9}" done="0">
    <x18tc:text xml:space="preserve">https://shop.asus.com/us/rog/90nr0lf1-m00720-rog-strix-scar-18-2025.html</x18tc:text>
    <x18tc:extLst>
      <ext uri="{F7C98A9C-CBB3-438F-8F68-D28B6AF4A901}">
        <xltc2:checksum/>
        <xltc2:hyperlink startIndex="0" length="72" url="https://shop.asus.com/us/rog/90nr0lf1-m00720-rog-strix-scar-18-2025.html"/>
      </ext>
    </x18tc:extLst>
  </x18tc:threadedComment>
  <x18tc:threadedComment ref="C727" dT="2026-05-02T22:38:27.00" personId="{80195d68-4e9b-4dc7-a031-ca5391c97d0f}" id="{1a427e78-1461-4fcd-b752-112e71f811a7}"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AF550" dT="2026-03-05T20:13:26.00" personId="{2ddfa542-8116-4937-a057-08470d7abaab}" id="{b3a1ef29-65dc-404e-b937-5f7b90ee1ab6}" done="1">
    <x18tc:text xml:space="preserve">fixit, excedentes, vental final</x18tc:text>
  </x18tc:threadedComment>
  <x18tc:threadedComment ref="C270" dT="2025-10-15T23:59:40.00" personId="{a5d43f6d-3c72-4414-b012-8f52ef50acc4}" id="{6309c8bd-f972-40b4-a932-026195e5b345}" done="0">
    <x18tc:text xml:space="preserve">https://www.microcenter.com/product/692163/msi-vector-16-hx-ai-a2xwig-050us-16-gaming-laptop-computer-cosmo-gray</x18tc:text>
    <x18tc:extLst>
      <ext uri="{F7C98A9C-CBB3-438F-8F68-D28B6AF4A901}">
        <xltc2:checksum/>
        <xltc2:hyperlink startIndex="0" length="112" url="https://www.microcenter.com/product/692163/msi-vector-16-hx-ai-a2xwig-050us-16-gaming-laptop-computer-cosmo-gray"/>
      </ext>
    </x18tc:extLst>
  </x18tc:threadedComment>
  <x18tc:threadedComment ref="J603" dT="2026-03-14T17:20:00.00" personId="{d8e4f5ad-b65d-4160-a56f-197530fb7eb1}" id="{c4c7308f-04bb-4154-bfd7-06496000395b}" done="0">
    <x18tc:text xml:space="preserve">https://drive.google.com/file/d/18gUZ5tlD_e_lLBThlIY70VsdVkx2c6we/view?usp=drive_link</x18tc:text>
    <x18tc:extLst>
      <ext uri="{F7C98A9C-CBB3-438F-8F68-D28B6AF4A901}">
        <xltc2:checksum/>
        <xltc2:hyperlink startIndex="0" length="85" url="https://drive.google.com/file/d/18gUZ5tlD_e_lLBThlIY70VsdVkx2c6we/view?usp=drive_link"/>
      </ext>
    </x18tc:extLst>
  </x18tc:threadedComment>
  <x18tc:threadedComment ref="J573" dT="2026-02-27T21:51:07.00" personId="{68efe3e3-8b68-4e02-81e2-a29fa228b211}" id="{dde71b2f-7478-46dd-bc08-d908c3e61d2b}" done="0">
    <x18tc:text xml:space="preserve">https://drive.google.com/file/d/12sCgYdVIBKwRgYtksDyi50-U_1PZ769b/view?usp=drive_link</x18tc:text>
    <x18tc:extLst>
      <ext uri="{F7C98A9C-CBB3-438F-8F68-D28B6AF4A901}">
        <xltc2:checksum/>
        <xltc2:hyperlink startIndex="0" length="85" url="https://drive.google.com/file/d/12sCgYdVIBKwRgYtksDyi50-U_1PZ769b/view?usp=drive_link"/>
      </ext>
    </x18tc:extLst>
  </x18tc:threadedComment>
  <x18tc:threadedComment ref="C106" dT="2025-07-01T21:09:18.00" personId="{a5d43f6d-3c72-4414-b012-8f52ef50acc4}" id="{f51a0114-983f-4557-8bf8-fa775ca7d7f9}" done="0">
    <x18tc:text xml:space="preserve">https://www.dell.com/en-us/shop/dell-laptops/alienware-18-area-51-gaming-laptop/spd/alienware-area-51-aa18250-gaming-laptop/useaa18250hbtshpxs</x18tc:text>
    <x18tc:extLst>
      <ext uri="{F7C98A9C-CBB3-438F-8F68-D28B6AF4A901}">
        <xltc2:checksum/>
        <xltc2:hyperlink startIndex="0" length="142" url="https://www.dell.com/en-us/shop/dell-laptops/alienware-18-area-51-gaming-laptop/spd/alienware-area-51-aa18250-gaming-laptop/useaa18250hbtshpxs"/>
      </ext>
    </x18tc:extLst>
  </x18tc:threadedComment>
  <x18tc:threadedComment ref="C650" dT="2026-03-31T23:15:51.00" personId="{4df2d6c4-e43e-4f2e-b623-d90f458472ff}" id="{fa4e0a98-16fa-4b4e-9e34-3af7b7577340}" done="0">
    <x18tc:text xml:space="preserve">https://www.ebay.com/itm/197468116655</x18tc:text>
    <x18tc:extLst>
      <ext uri="{F7C98A9C-CBB3-438F-8F68-D28B6AF4A901}">
        <xltc2:checksum/>
        <xltc2:hyperlink startIndex="0" length="37" url="https://www.ebay.com/itm/197468116655"/>
      </ext>
    </x18tc:extLst>
  </x18tc:threadedComment>
  <x18tc:threadedComment ref="C648" dT="2026-03-31T16:35:51.00" personId="{80195d68-4e9b-4dc7-a031-ca5391c97d0f}" id="{a3ce0a5c-3f9a-47e0-8a9f-3fd3a2765adf}" done="0">
    <x18tc:text xml:space="preserve">https://www.ebay.com/itm/206083578517?_skw=Legion+Go+2+-+8.8%22+144Hz+2K+OLED+Gaming+Handheld+-+AMD+Ryzen+Z2+Extreme+-+32GB+-+1TB+-+Windows&amp;itmmeta=01KNDH9CJS45GBYMVSM0Y6H5FF&amp;hash=item2ffb89da95:g:epIAAeSwz3ZpmP~W&amp;itmprp=enc%3AAQALAAABQGfYFPkwiKCW4ZNSs2u11xBjmmczrSGnpgtmqp%2FTfGXs4qXDYD2JJGUwCI1zLweLyYlOw98G%2FvIY4eLy%2BQ0vQGIMnsbcm03RR2yTu%2BGMPNyYa2Dc30vPI8oo7sFz7sgOSSZ9WnvTA5YMBEnsHD%2FoqALTrH%2BVAAnoZbB3u2wzi%2BjrAlgCPUt1cc02fyluXaezWxH0dz3V4QmPwEwGPE06aGW10Am3%2FwY8oAal1bspXdELzWr5LRjRK%2FCDgIq3PVD0JzV07NgCGemSZu3zN0RpoJYyknU0AF%2Bxr3EXs7ZP3NS3Lna9Ibc%2FsinF3CwANq8qMFBzYiQhX%2F0Q0nnBVlRQ87ID1RSd%2Btg8bvLS%2FC2eguMTySVtX1LkNMZsTiAoLBGynyV7OHeEVE%2BBuF9aU3kejItrqCzseuQt05mjOuG0HeEo%7Ctkp%3ABk9SR8bJpbGrZw</x18tc:text>
    <x18tc:extLst>
      <ext uri="{F7C98A9C-CBB3-438F-8F68-D28B6AF4A901}">
        <xltc2:checksum/>
        <xltc2:hyperlink startIndex="0" length="716" url="https://www.ebay.com/itm/206083578517?_skw=Legion+Go+2+-+8.8%22+144Hz+2K+OLED+Gaming+Handheld+-+AMD+Ryzen+Z2+Extreme+-+32GB+-+1TB+-+Windows&amp;itmmeta=01KNDH9CJS45GBYMVSM0Y6H5FF&amp;hash=item2ffb89da95:g:epIAAeSwz3ZpmP~W&amp;itmprp=enc%3AAQALAAABQGfYFPkwiKCW4ZNSs2u11xBjmmczrSGnpgtmqp%2FTfGXs4qXDYD2JJGUwCI1zLweLyYlOw98G%2FvIY4eLy%2BQ0vQGIMnsbcm03RR2yTu%2BGMPNyYa2Dc30vPI8oo7sFz7sgOSSZ9WnvTA5YMBEnsHD%2FoqALTrH%2BVAAnoZbB3u2wzi%2BjrAlgCPUt1cc02fyluXaezWxH0dz3V4QmPwEwGPE06aGW10Am3%2FwY8oAal1bspXdELzWr5LRjRK%2FCDgIq3PVD0JzV07NgCGemSZu3zN0RpoJYyknU0AF%2Bxr3EXs7ZP3NS3Lna9Ibc%2FsinF3CwANq8qMFBzYiQhX%2F0Q0nnBVlRQ87ID1RSd%2Btg8bvLS%2FC2eguMTySVtX1LkNMZsTiAoLBGynyV7OHeEVE%2BBuF9aU3kejItrqCzseuQt05mjOuG0HeEo%7Ctkp%3ABk9SR8bJpbGrZw"/>
      </ext>
    </x18tc:extLst>
  </x18tc:threadedComment>
  <x18tc:threadedComment ref="K393" dT="2026-01-15T17:45:51.00" personId="{d8e4f5ad-b65d-4160-a56f-197530fb7eb1}" id="{545babb1-b1be-4f1f-b937-1bbc40ab0413}" done="0">
    <x18tc:text xml:space="preserve">https://drive.google.com/file/d/1rYOsDBYE0-8_VmgGOrzKBNNX65ccsu27/view?usp=drive_link</x18tc:text>
    <x18tc:extLst>
      <ext uri="{F7C98A9C-CBB3-438F-8F68-D28B6AF4A901}">
        <xltc2:checksum/>
        <xltc2:hyperlink startIndex="0" length="85" url="https://drive.google.com/file/d/1rYOsDBYE0-8_VmgGOrzKBNNX65ccsu27/view?usp=drive_link"/>
      </ext>
    </x18tc:extLst>
  </x18tc:threadedComment>
  <x18tc:threadedComment ref="W351" dT="2025-12-23T18:38:54.00" personId="{2ddfa542-8116-4937-a057-08470d7abaab}" id="{e7dd2291-dcf3-41df-8ec8-d681d38aedf5}" done="0">
    <x18tc:text xml:space="preserve">https://drive.google.com/file/d/1AlEnbZQH6VuALH-HOEAfF-ikZfXfz7y9/view?usp=drive_link</x18tc:text>
    <x18tc:extLst>
      <ext uri="{F7C98A9C-CBB3-438F-8F68-D28B6AF4A901}">
        <xltc2:checksum/>
        <xltc2:hyperlink startIndex="0" length="85" url="https://drive.google.com/file/d/1AlEnbZQH6VuALH-HOEAfF-ikZfXfz7y9/view?usp=drive_link"/>
      </ext>
    </x18tc:extLst>
  </x18tc:threadedComment>
  <x18tc:threadedComment ref="K385" dT="2025-12-19T17:53:46.00" personId="{d8e4f5ad-b65d-4160-a56f-197530fb7eb1}" id="{9e581ba1-8e69-44ed-a72a-5b7144cb1016}" done="0">
    <x18tc:text xml:space="preserve">https://drive.google.com/file/d/1NbRWAuLnCexvdRtcUQyUXVACi76XZok-/view?usp=drive_link</x18tc:text>
    <x18tc:extLst>
      <ext uri="{F7C98A9C-CBB3-438F-8F68-D28B6AF4A901}">
        <xltc2:checksum/>
        <xltc2:hyperlink startIndex="0" length="85" url="https://drive.google.com/file/d/1NbRWAuLnCexvdRtcUQyUXVACi76XZok-/view?usp=drive_link"/>
      </ext>
    </x18tc:extLst>
  </x18tc:threadedComment>
  <x18tc:threadedComment ref="J407" dT="2025-12-15T20:31:53.00" personId="{d8e4f5ad-b65d-4160-a56f-197530fb7eb1}" id="{fcb24218-7cfc-4657-8e7d-2834c3279086}" done="0">
    <x18tc:text xml:space="preserve">https://drive.google.com/file/d/1ddc6BrO_Y7eeS3ue5zFEal3y4-LNrimT/view?usp=drive_link</x18tc:text>
    <x18tc:extLst>
      <ext uri="{F7C98A9C-CBB3-438F-8F68-D28B6AF4A901}">
        <xltc2:checksum/>
        <xltc2:hyperlink startIndex="0" length="85" url="https://drive.google.com/file/d/1ddc6BrO_Y7eeS3ue5zFEal3y4-LNrimT/view?usp=drive_link"/>
      </ext>
    </x18tc:extLst>
  </x18tc:threadedComment>
  <x18tc:threadedComment ref="Z287" dT="2025-12-17T16:29:17.00" personId="{d8e4f5ad-b65d-4160-a56f-197530fb7eb1}" id="{586ae4bb-57db-44f0-99a3-14af03c45d68}" done="0">
    <x18tc:text xml:space="preserve">CIBA CONTRATISTAS GENERALES SRL. RUC. 20452341698</x18tc:text>
  </x18tc:threadedComment>
  <x18tc:threadedComment ref="Z287" dT="2025-12-17T16:38:09.00" personId="{2ddfa542-8116-4937-a057-08470d7abaab}" id="{0a0a40ea-edc1-4a35-8b6e-55f4cb84a312}" parentId="{586ae4bb-57db-44f0-99a3-14af03c45d68}">
    <x18tc:text xml:space="preserve">FACTURA POR PRODUCTO, no servicio</x18tc:text>
  </x18tc:threadedComment>
  <x18tc:threadedComment ref="K482" dT="2026-01-14T17:04:04.00" personId="{d8e4f5ad-b65d-4160-a56f-197530fb7eb1}" id="{71ef309b-ef5f-4608-af34-f01f9818dbd9}" done="0">
    <x18tc:text xml:space="preserve">https://drive.google.com/file/d/1ULo08uhxJePbxQGiQzylFN_ULHVrJ1q3/view?usp=drive_link</x18tc:text>
    <x18tc:extLst>
      <ext uri="{F7C98A9C-CBB3-438F-8F68-D28B6AF4A901}">
        <xltc2:checksum/>
        <xltc2:hyperlink startIndex="0" length="85" url="https://drive.google.com/file/d/1ULo08uhxJePbxQGiQzylFN_ULHVrJ1q3/view?usp=drive_link"/>
      </ext>
    </x18tc:extLst>
  </x18tc:threadedComment>
  <x18tc:threadedComment ref="K345" dT="2025-12-22T21:59:42.00" personId="{a5d43f6d-3c72-4414-b012-8f52ef50acc4}" id="{59f97e81-e9ed-4852-abe0-01bc6f7bec19}" done="0">
    <x18tc:text xml:space="preserve">https://drive.google.com/file/d/1EgTTodylTMm0zeGCQpCJMzImu-tMus-4/view?usp=drive_link</x18tc:text>
    <x18tc:extLst>
      <ext uri="{F7C98A9C-CBB3-438F-8F68-D28B6AF4A901}">
        <xltc2:checksum/>
        <xltc2:hyperlink startIndex="0" length="85" url="https://drive.google.com/file/d/1EgTTodylTMm0zeGCQpCJMzImu-tMus-4/view?usp=drive_link"/>
      </ext>
    </x18tc:extLst>
  </x18tc:threadedComment>
  <x18tc:threadedComment ref="D663" dT="2026-04-09T16:22:26.00" personId="{d8e4f5ad-b65d-4160-a56f-197530fb7eb1}" id="{f889371e-048e-4859-81e4-5ee6e23024b0}" done="0">
    <x18tc:text xml:space="preserve">usuario -Jack Harvey Izquierdo Rebaza</x18tc:text>
  </x18tc:threadedComment>
  <x18tc:threadedComment ref="AF573" dT="2026-03-05T16:08:37.00" personId="{2ddfa542-8116-4937-a057-08470d7abaab}" id="{fdbb6697-0121-4cb2-8f49-d4d90e6d0d04}" done="1">
    <x18tc:text xml:space="preserve">Fixit, excedentes</x18tc:text>
  </x18tc:threadedComment>
  <x18tc:threadedComment ref="D668" dT="2026-04-09T16:22:04.00" personId="{d8e4f5ad-b65d-4160-a56f-197530fb7eb1}" id="{4b38ae35-2b19-43df-995b-c3e5310762d5}" done="0">
    <x18tc:text xml:space="preserve">usuario briley García upiachihua</x18tc:text>
  </x18tc:threadedComment>
  <x18tc:threadedComment ref="W323" dT="2025-12-22T21:50:03.00" personId="{2ddfa542-8116-4937-a057-08470d7abaab}" id="{8c8d9b1f-0eeb-41a3-9a74-988feb9648e9}" done="0">
    <x18tc:text xml:space="preserve">https://drive.google.com/file/d/1TT8pOAS9qbgBvr5unjFlvg2vLPqcZdPV/view?usp=drive_link</x18tc:text>
    <x18tc:extLst>
      <ext uri="{F7C98A9C-CBB3-438F-8F68-D28B6AF4A901}">
        <xltc2:checksum/>
        <xltc2:hyperlink startIndex="0" length="85" url="https://drive.google.com/file/d/1TT8pOAS9qbgBvr5unjFlvg2vLPqcZdPV/view?usp=drive_link"/>
      </ext>
    </x18tc:extLst>
  </x18tc:threadedComment>
  <x18tc:threadedComment ref="J210" dT="2025-09-04T17:28:49.00" personId="{a5d43f6d-3c72-4414-b012-8f52ef50acc4}" id="{a9d970da-6b7c-454f-96c1-463574bd3051}" done="0">
    <x18tc:text xml:space="preserve">https://drive.google.com/file/d/1Xbm2wCcFUbHUJjsziOBfPCwHzg6Q3O-F/view?usp=drive_link</x18tc:text>
    <x18tc:extLst>
      <ext uri="{F7C98A9C-CBB3-438F-8F68-D28B6AF4A901}">
        <xltc2:checksum/>
        <xltc2:hyperlink startIndex="0" length="85" url="https://drive.google.com/file/d/1Xbm2wCcFUbHUJjsziOBfPCwHzg6Q3O-F/view?usp=drive_link"/>
      </ext>
    </x18tc:extLst>
  </x18tc:threadedComment>
  <x18tc:threadedComment ref="AF570" dT="2026-03-05T16:26:18.00" personId="{2ddfa542-8116-4937-a057-08470d7abaab}" id="{05ef9b93-8bf9-48d5-bdc0-79a3b1781569}" done="1">
    <x18tc:text xml:space="preserve">solo forms</x18tc:text>
  </x18tc:threadedComment>
  <x18tc:threadedComment ref="W309" dT="2025-12-22T21:43:59.00" personId="{2ddfa542-8116-4937-a057-08470d7abaab}" id="{490c4736-ead5-4a09-af74-b9ce2af4f145}" done="0">
    <x18tc:text xml:space="preserve">https://drive.google.com/file/d/1UMxfEDdC2lu7Mko6K7oLA6plsnAOQbIU/view?usp=drive_link</x18tc:text>
    <x18tc:extLst>
      <ext uri="{F7C98A9C-CBB3-438F-8F68-D28B6AF4A901}">
        <xltc2:checksum/>
        <xltc2:hyperlink startIndex="0" length="85" url="https://drive.google.com/file/d/1UMxfEDdC2lu7Mko6K7oLA6plsnAOQbIU/view?usp=drive_link"/>
      </ext>
    </x18tc:extLst>
  </x18tc:threadedComment>
  <x18tc:threadedComment ref="K418" dT="2025-12-19T17:53:16.00" personId="{d8e4f5ad-b65d-4160-a56f-197530fb7eb1}" id="{108fc323-6b62-4ad8-bfc5-957eeec5fd1f}" done="0">
    <x18tc:text xml:space="preserve">https://drive.google.com/file/d/1V5auLoIx5HRUT5tE_DxKzLu2M1DvBkZN/view?usp=drive_link</x18tc:text>
    <x18tc:extLst>
      <ext uri="{F7C98A9C-CBB3-438F-8F68-D28B6AF4A901}">
        <xltc2:checksum/>
        <xltc2:hyperlink startIndex="0" length="85" url="https://drive.google.com/file/d/1V5auLoIx5HRUT5tE_DxKzLu2M1DvBkZN/view?usp=drive_link"/>
      </ext>
    </x18tc:extLst>
  </x18tc:threadedComment>
  <x18tc:threadedComment ref="C780" dT="2026-06-08T17:45:04.00" personId="{80195d68-4e9b-4dc7-a031-ca5391c97d0f}" id="{7efe4080-2889-46c0-a58e-4028067232ff}" done="0">
    <x18tc:text xml:space="preserve">https://www.ebay.com/itm/205567890047</x18tc:text>
    <x18tc:extLst>
      <ext uri="{F7C98A9C-CBB3-438F-8F68-D28B6AF4A901}">
        <xltc2:checksum/>
        <xltc2:hyperlink startIndex="0" length="37" url="https://www.ebay.com/itm/205567890047"/>
      </ext>
    </x18tc:extLst>
  </x18tc:threadedComment>
  <x18tc:threadedComment ref="AF551" dT="2026-03-05T16:28:29.00" personId="{2ddfa542-8116-4937-a057-08470d7abaab}" id="{5ea90065-c5e2-442e-8ec9-bcd8190d9789}" done="1">
    <x18tc:text xml:space="preserve">forms, venta final, fixit, excedentes</x18tc:text>
  </x18tc:threadedComment>
  <x18tc:threadedComment ref="W308" dT="2025-12-22T21:38:31.00" personId="{2ddfa542-8116-4937-a057-08470d7abaab}" id="{6585a731-b350-4961-978e-960145ab20a9}" done="0">
    <x18tc:text xml:space="preserve">https://drive.google.com/file/d/14PH1uCbS7GWEJywOmdwszcQzP6kFw46V/view?usp=drive_link</x18tc:text>
    <x18tc:extLst>
      <ext uri="{F7C98A9C-CBB3-438F-8F68-D28B6AF4A901}">
        <xltc2:checksum/>
        <xltc2:hyperlink startIndex="0" length="85" url="https://drive.google.com/file/d/14PH1uCbS7GWEJywOmdwszcQzP6kFw46V/view?usp=drive_link"/>
      </ext>
    </x18tc:extLst>
  </x18tc:threadedComment>
  <x18tc:threadedComment ref="AF541" dT="2026-03-05T17:27:45.00" personId="{2ddfa542-8116-4937-a057-08470d7abaab}" id="{26061338-1043-4dc6-acc3-ae171517808e}" done="1">
    <x18tc:text xml:space="preserve">vental final, fixit, excedentes</x18tc:text>
  </x18tc:threadedComment>
  <x18tc:threadedComment ref="AF543" dT="2026-03-05T17:39:05.00" personId="{2ddfa542-8116-4937-a057-08470d7abaab}" id="{114e16c3-1759-46a6-bf39-1a74a329ee70}" done="1">
    <x18tc:text xml:space="preserve">fixit, venta final, excedentes</x18tc:text>
  </x18tc:threadedComment>
  <x18tc:threadedComment ref="J338" dT="2025-11-23T03:17:12.00" personId="{a5d43f6d-3c72-4414-b012-8f52ef50acc4}" id="{03e1777d-a43f-4386-887a-956cd9688f82}" done="0">
    <x18tc:text xml:space="preserve">https://drive.google.com/file/d/1BluHHDiTiQHmQNmh7F0Ry_JKWubqU_Jl/view?usp=drive_link</x18tc:text>
    <x18tc:extLst>
      <ext uri="{F7C98A9C-CBB3-438F-8F68-D28B6AF4A901}">
        <xltc2:checksum/>
        <xltc2:hyperlink startIndex="0" length="85" url="https://drive.google.com/file/d/1BluHHDiTiQHmQNmh7F0Ry_JKWubqU_Jl/view?usp=drive_link"/>
      </ext>
    </x18tc:extLst>
  </x18tc:threadedComment>
  <x18tc:threadedComment ref="C34" dT="2025-05-03T20:27:17.00" personId="{d8e4f5ad-b65d-4160-a56f-197530fb7eb1}" id="{10ac8dc8-e0e4-4cff-bcfb-7d605b4ac67d}" done="0">
    <x18tc:text xml:space="preserve">https://www.amazon.com/-/es/Procesador-i7-13620H-port%C3%A1til-Pantalla-pulgadas/dp/B0CMRGBXM9/ref=sr_1_3?crid=25G4E87LEN1E7&amp;dib=eyJ2IjoiMSJ9.cSZ4LLeuGMv8N9bhKAlPIqo01-Rynen49YssTr2fGAPWjop1UhmOd5sPBxhPjmpWrLUzpoXVHjW4_0lhhByeZJT5E_B2AXCBnfgBaOMPg9QjkZigixEpXGgttuLmpiYhMc5mPcfjG0hVaeoVDVLzbMkJO9oipTzEPa-y4KEDlrcIC3yP_YbHy-Bibcyrm86-NkQBw9Wu2l4rrZo3DEHvKyNdCGXRpEj-tb37RAJXcfw.Wg2TXCHwoZ5LfuMi4n3Gyf27MaUg63ht4AKvDlU47C4&amp;dib_tag=se&amp;keywords=acer%2Bnitro%2Bv&amp;qid=1746303283&amp;sprefix=acer%2Bnitro%2B%2Caps%2C181&amp;sr=8-3&amp;th=1</x18tc:text>
    <x18tc:extLst>
      <ext uri="{F7C98A9C-CBB3-438F-8F68-D28B6AF4A901}">
        <xltc2:checksum/>
        <xltc2:hyperlink startIndex="0" length="521" url="https://www.amazon.com/-/es/Procesador-i7-13620H-port%C3%A1til-Pantalla-pulgadas/dp/B0CMRGBXM9/ref=sr_1_3?crid=25G4E87LEN1E7&amp;dib=eyJ2IjoiMSJ9.cSZ4LLeuGMv8N9bhKAlPIqo01-Rynen49YssTr2fGAPWjop1UhmOd5sPBxhPjmpWrLUzpoXVHjW4_0lhhByeZJT5E_B2AXCBnfgBaOMPg9QjkZigixEpXGgttuLmpiYhMc5mPcfjG0hVaeoVDVLzbMkJO9oipTzEPa-y4KEDlrcIC3yP_YbHy-Bibcyrm86-NkQBw9Wu2l4rrZo3DEHvKyNdCGXRpEj-tb37RAJXcfw.Wg2TXCHwoZ5LfuMi4n3Gyf27MaUg63ht4AKvDlU47C4&amp;dib_tag=se&amp;keywords=acer%2Bnitro%2Bv&amp;qid=1746303283&amp;sprefix=acer%2Bnitro%2B%2Caps%2C181&amp;sr=8-3&amp;th=1"/>
      </ext>
    </x18tc:extLst>
  </x18tc:threadedComment>
  <x18tc:threadedComment ref="K642" dT="2026-05-02T20:57:46.00" personId="{f9b224d0-ee33-4499-ae47-db5bcd2d0435}" id="{2de3ed32-68d7-4c2f-8fcb-57566fa67206}" done="0">
    <x18tc:text xml:space="preserve">https://drive.google.com/file/d/1vfeMi-yMqYNvNBYq3VS5HKIlfI3ouED4/view?usp=drive_link</x18tc:text>
    <x18tc:extLst>
      <ext uri="{F7C98A9C-CBB3-438F-8F68-D28B6AF4A901}">
        <xltc2:checksum/>
        <xltc2:hyperlink startIndex="0" length="85" url="https://drive.google.com/file/d/1vfeMi-yMqYNvNBYq3VS5HKIlfI3ouED4/view?usp=drive_link"/>
      </ext>
    </x18tc:extLst>
  </x18tc:threadedComment>
  <x18tc:threadedComment ref="K642" dT="2026-05-02T20:58:17.00" personId="{f9b224d0-ee33-4499-ae47-db5bcd2d0435}" id="{fd0870e8-7c21-412e-8aee-0cbad90939bf}" parentId="{2de3ed32-68d7-4c2f-8fcb-57566fa67206}">
    <x18tc:text xml:space="preserve">https://drive.google.com/file/d/1KTtzDIB5aBNhHVvevcsLqAVOBNVtBJSt/view?usp=drive_link</x18tc:text>
    <x18tc:extLst>
      <ext uri="{F7C98A9C-CBB3-438F-8F68-D28B6AF4A901}">
        <xltc2:checksum/>
        <xltc2:hyperlink startIndex="0" length="85" url="https://drive.google.com/file/d/1KTtzDIB5aBNhHVvevcsLqAVOBNVtBJSt/view?usp=drive_link"/>
      </ext>
    </x18tc:extLst>
  </x18tc:threadedComment>
  <x18tc:threadedComment ref="K726" dT="2026-05-30T17:49:45.00" personId="{d8e4f5ad-b65d-4160-a56f-197530fb7eb1}" id="{0017b120-4cad-43e6-b763-27f4b2aac5b4}" done="0">
    <x18tc:text xml:space="preserve">https://drive.google.com/file/d/1RPD8C1G7Kqs5UPYtECroiYWjjxki2GiH/view?usp=drive_link</x18tc:text>
    <x18tc:extLst>
      <ext uri="{F7C98A9C-CBB3-438F-8F68-D28B6AF4A901}">
        <xltc2:checksum/>
        <xltc2:hyperlink startIndex="0" length="85" url="https://drive.google.com/file/d/1RPD8C1G7Kqs5UPYtECroiYWjjxki2GiH/view?usp=drive_link"/>
      </ext>
    </x18tc:extLst>
  </x18tc:threadedComment>
  <x18tc:threadedComment ref="K726" dT="2026-05-30T21:32:46.00" personId="{d8e4f5ad-b65d-4160-a56f-197530fb7eb1}" id="{2667b816-77f8-41eb-8cc3-da1d71f47470}" parentId="{0017b120-4cad-43e6-b763-27f4b2aac5b4}">
    <x18tc:text xml:space="preserve">https://drive.google.com/file/d/1eUKH_nnKLYPDM00jFYaIzbJnd1KWFC_L/view?usp=drive_link</x18tc:text>
    <x18tc:extLst>
      <ext uri="{F7C98A9C-CBB3-438F-8F68-D28B6AF4A901}">
        <xltc2:checksum/>
        <xltc2:hyperlink startIndex="0" length="85" url="https://drive.google.com/file/d/1eUKH_nnKLYPDM00jFYaIzbJnd1KWFC_L/view?usp=drive_link"/>
      </ext>
    </x18tc:extLst>
  </x18tc:threadedComment>
  <x18tc:threadedComment ref="K726" dT="2026-05-30T21:33:00.00" personId="{d8e4f5ad-b65d-4160-a56f-197530fb7eb1}" id="{834cb19d-95d8-4035-873e-eb4b88d52646}" parentId="{0017b120-4cad-43e6-b763-27f4b2aac5b4}">
    <x18tc:text xml:space="preserve">https://drive.google.com/file/d/1oEW1jdcFWRHIypOPm_pSSCCFy1jRADL8/view?usp=drive_link</x18tc:text>
    <x18tc:extLst>
      <ext uri="{F7C98A9C-CBB3-438F-8F68-D28B6AF4A901}">
        <xltc2:checksum/>
        <xltc2:hyperlink startIndex="0" length="85" url="https://drive.google.com/file/d/1oEW1jdcFWRHIypOPm_pSSCCFy1jRADL8/view?usp=drive_link"/>
      </ext>
    </x18tc:extLst>
  </x18tc:threadedComment>
  <x18tc:threadedComment ref="J34" dT="2025-05-03T20:26:51.00" personId="{d8e4f5ad-b65d-4160-a56f-197530fb7eb1}" id="{9c2a303d-5744-41d0-9739-3be54ea73774}" done="0">
    <x18tc:text xml:space="preserve">https://drive.google.com/file/d/1pNDsn4_7c_AYU-F0-lhZM6RFEirP2V4k/view?usp=drive_link</x18tc:text>
    <x18tc:extLst>
      <ext uri="{F7C98A9C-CBB3-438F-8F68-D28B6AF4A901}">
        <xltc2:checksum/>
        <xltc2:hyperlink startIndex="0" length="85" url="https://drive.google.com/file/d/1pNDsn4_7c_AYU-F0-lhZM6RFEirP2V4k/view?usp=drive_link"/>
      </ext>
    </x18tc:extLst>
  </x18tc:threadedComment>
  <x18tc:threadedComment ref="AF536" dT="2026-03-05T17:27:30.00" personId="{2ddfa542-8116-4937-a057-08470d7abaab}" id="{67fbbf64-0c8f-4dd9-b7a4-4cb8cde577fd}" done="1">
    <x18tc:text xml:space="preserve">vental final, fixit, excedentes</x18tc:text>
  </x18tc:threadedComment>
  <x18tc:threadedComment ref="Z429" dT="2025-12-23T22:17:11.00" personId="{a5d43f6d-3c72-4414-b012-8f52ef50acc4}" id="{4a034aeb-1d8e-4065-b255-ba3072a08e59}" done="0">
    <x18tc:text xml:space="preserve">-GRUPO ESPECIALIZADO EN CONSTRUCCION INGENIERIA Y LOGISTICA
-RUC: 20613553747
-981990064
-darkwal21@gmail.com</x18tc:text>
  </x18tc:threadedComment>
  <x18tc:threadedComment ref="C338" dT="2025-11-23T03:16:01.00" personId="{a5d43f6d-3c72-4414-b012-8f52ef50acc4}" id="{0b744d32-7f02-44f6-9a93-3191cf46e056}" done="0">
    <x18tc:text xml:space="preserve">https://www.ebay.com/itm/326677329816?_skw=hp+5060&amp;itmmeta=01KAQAC57W28WG55H98WD50BNX&amp;hash=item4c0f7c7798:g:kV8AAeSwlyJpINwL</x18tc:text>
    <x18tc:extLst>
      <ext uri="{F7C98A9C-CBB3-438F-8F68-D28B6AF4A901}">
        <xltc2:checksum/>
        <xltc2:hyperlink startIndex="0" length="124" url="https://www.ebay.com/itm/326677329816?_skw=hp+5060&amp;itmmeta=01KAQAC57W28WG55H98WD50BNX&amp;hash=item4c0f7c7798:g:kV8AAeSwlyJpINwL"/>
      </ext>
    </x18tc:extLst>
  </x18tc:threadedComment>
  <x18tc:threadedComment ref="AF537" dT="2026-03-05T17:27:34.00" personId="{2ddfa542-8116-4937-a057-08470d7abaab}" id="{c08b0242-6d0e-42d6-bf9b-7e694d8602c6}" done="1">
    <x18tc:text xml:space="preserve">vental final, fixit, excedentes</x18tc:text>
  </x18tc:threadedComment>
  <x18tc:threadedComment ref="J415" dT="2025-12-19T18:01:24.00" personId="{d8e4f5ad-b65d-4160-a56f-197530fb7eb1}" id="{c0b42771-d0da-4bef-867b-c16e63c3115f}" done="0">
    <x18tc:text xml:space="preserve">https://drive.google.com/file/d/1TazS3dBwo0B4fv_CFGP5dU9PzVr0Ef6s/view?usp=drive_link</x18tc:text>
    <x18tc:extLst>
      <ext uri="{F7C98A9C-CBB3-438F-8F68-D28B6AF4A901}">
        <xltc2:checksum/>
        <xltc2:hyperlink startIndex="0" length="85" url="https://drive.google.com/file/d/1TazS3dBwo0B4fv_CFGP5dU9PzVr0Ef6s/view?usp=drive_link"/>
      </ext>
    </x18tc:extLst>
  </x18tc:threadedComment>
  <x18tc:threadedComment ref="Q612" dT="2026-03-31T15:27:17.00" personId="{80195d68-4e9b-4dc7-a031-ca5391c97d0f}" id="{17881f46-3ae2-497d-8928-0959147dd1aa}" done="0">
    <x18tc:text xml:space="preserve">apertura+antivirus</x18tc:text>
  </x18tc:threadedComment>
  <x18tc:threadedComment ref="AF373" dT="2025-12-03T16:24:29.00" personId="{2ddfa542-8116-4937-a057-08470d7abaab}" id="{f54897b1-53f0-48ee-9468-4ccda7bdab02}" done="0">
    <x18tc:text xml:space="preserve">Solo verificar para donde va el excedente</x18tc:text>
  </x18tc:threadedComment>
  <x18tc:threadedComment ref="AF373" dT="2025-12-03T16:37:37.00" personId="{2ddfa542-8116-4937-a057-08470d7abaab}" id="{9ba55b6a-4136-4c7a-9a5a-cb950e66b1cf}" parentId="{f54897b1-53f0-48ee-9468-4ccda7bdab02}">
    <x18tc:text xml:space="preserve">Marcado como resuelto</x18tc:text>
  </x18tc:threadedComment>
  <x18tc:threadedComment ref="AF373" dT="2025-12-27T19:10:03.00" personId="{2ddfa542-8116-4937-a057-08470d7abaab}" id="{4fc6b815-ced1-41ca-b2a8-df18e361d35d}" parentId="{f54897b1-53f0-48ee-9468-4ccda7bdab02}">
    <x18tc:text xml:space="preserve">Reabierto</x18tc:text>
  </x18tc:threadedComment>
  <x18tc:threadedComment ref="C332" dT="2025-11-23T02:04:24.00" personId="{d8e4f5ad-b65d-4160-a56f-197530fb7eb1}" id="{a7158a20-0b5c-47f7-a880-69a675713f99}" done="0">
    <x18tc:text xml:space="preserve">https://www.bestbuy.com/product/asus-rog-strix-g16-16-fhd-165hz-gaming-laptop-amd-ryzen-9-hx-16gb-ram-nvidia-geforce-rtx-5070-ti-1tb-ssd-eclipse-gray/JJGGLHJLTS</x18tc:text>
    <x18tc:extLst>
      <ext uri="{F7C98A9C-CBB3-438F-8F68-D28B6AF4A901}">
        <xltc2:checksum/>
        <xltc2:hyperlink startIndex="0" length="160" url="https://www.bestbuy.com/product/asus-rog-strix-g16-16-fhd-165hz-gaming-laptop-amd-ryzen-9-hx-16gb-ram-nvidia-geforce-rtx-5070-ti-1tb-ssd-eclipse-gray/JJGGLHJLTS"/>
      </ext>
    </x18tc:extLst>
  </x18tc:threadedComment>
  <x18tc:threadedComment ref="AF535" dT="2026-03-05T17:27:26.00" personId="{2ddfa542-8116-4937-a057-08470d7abaab}" id="{d425cad3-d13f-4cac-bb8b-1933dbd052b9}" done="1">
    <x18tc:text xml:space="preserve">vental final, fixit, excedentes</x18tc:text>
  </x18tc:threadedComment>
  <x18tc:threadedComment ref="D338" dT="2025-11-23T03:15:20.00" personId="{a5d43f6d-3c72-4414-b012-8f52ef50acc4}" id="{dfa11bea-679b-4fab-8656-7a8bb721df27}" done="0">
    <x18tc:text xml:space="preserve">Cristhian Eduardo Crisanto Coronel 
73662899
940079028
agro.crisanto97@gmail.com</x18tc:text>
  </x18tc:threadedComment>
  <x18tc:threadedComment ref="AI772" dT="2026-06-27T21:25:07.00" personId="{7d9bea4b-cfe7-4c29-b483-8e83a1c4f52a}" id="{dabdf7a1-8983-4508-9511-0ffa488f2f0c}" done="0">
    <x18tc:text xml:space="preserve">https://drive.google.com/file/d/1Z-mMJ27ZO-Uqt7QX5EvIMNui4fbXAXyn/view?usp=drive_link</x18tc:text>
    <x18tc:extLst>
      <ext uri="{F7C98A9C-CBB3-438F-8F68-D28B6AF4A901}">
        <xltc2:checksum/>
        <xltc2:hyperlink startIndex="0" length="85" url="https://drive.google.com/file/d/1Z-mMJ27ZO-Uqt7QX5EvIMNui4fbXAXyn/view?usp=drive_link"/>
      </ext>
    </x18tc:extLst>
  </x18tc:threadedComment>
  <x18tc:threadedComment ref="K397" dT="2026-01-14T17:03:39.00" personId="{d8e4f5ad-b65d-4160-a56f-197530fb7eb1}" id="{8dd41c9e-31b0-4c4a-9c86-b21caead4f55}" done="0">
    <x18tc:text xml:space="preserve">https://drive.google.com/file/d/1in4SDCWwF1Al7Gg0kPzVxyQYmfYtZ_V1/view?usp=drive_link</x18tc:text>
    <x18tc:extLst>
      <ext uri="{F7C98A9C-CBB3-438F-8F68-D28B6AF4A901}">
        <xltc2:checksum/>
        <xltc2:hyperlink startIndex="0" length="85" url="https://drive.google.com/file/d/1in4SDCWwF1Al7Gg0kPzVxyQYmfYtZ_V1/view?usp=drive_link"/>
      </ext>
    </x18tc:extLst>
  </x18tc:threadedComment>
  <x18tc:threadedComment ref="P291" dT="2025-12-03T16:12:48.00" personId="{2ddfa542-8116-4937-a057-08470d7abaab}" id="{28b5f269-6b72-46a5-a17f-4e696532cfb4}" done="0">
    <x18tc:text xml:space="preserve">se le resto 55.22 de la fila 284</x18tc:text>
  </x18tc:threadedComment>
  <x18tc:threadedComment ref="K327" dT="2025-12-15T20:36:58.00" personId="{d8e4f5ad-b65d-4160-a56f-197530fb7eb1}" id="{fd24587c-23b0-4ebc-a778-e560530eb70a}" done="0">
    <x18tc:text xml:space="preserve">https://drive.google.com/file/d/1woDg80juN3vmj2vGOd9NEdIPmorhj6Bn/view?usp=drive_link</x18tc:text>
    <x18tc:extLst>
      <ext uri="{F7C98A9C-CBB3-438F-8F68-D28B6AF4A901}">
        <xltc2:checksum/>
        <xltc2:hyperlink startIndex="0" length="85" url="https://drive.google.com/file/d/1woDg80juN3vmj2vGOd9NEdIPmorhj6Bn/view?usp=drive_link"/>
      </ext>
    </x18tc:extLst>
  </x18tc:threadedComment>
  <x18tc:threadedComment ref="C334" dT="2025-11-23T02:00:55.00" personId="{d8e4f5ad-b65d-4160-a56f-197530fb7eb1}" id="{bea19ce7-0886-4314-b43e-9a5ecba61a10}" done="1">
    <x18tc:text xml:space="preserve">https://www.bestbuy.com/product/asus-rog-zephyrus-g14-14-oled-3k-120hz-gaming-laptop-amd-ryzen-9-270-16gb-lpddr5x-geforce-rtx-5060-1tb-ssd-platinum-white/JJGGLH72GT</x18tc:text>
    <x18tc:extLst>
      <ext uri="{F7C98A9C-CBB3-438F-8F68-D28B6AF4A901}">
        <xltc2:checksum/>
        <xltc2:hyperlink startIndex="0" length="164" url="https://www.bestbuy.com/product/asus-rog-zephyrus-g14-14-oled-3k-120hz-gaming-laptop-amd-ryzen-9-270-16gb-lpddr5x-geforce-rtx-5060-1tb-ssd-platinum-white/JJGGLH72GT"/>
      </ext>
    </x18tc:extLst>
  </x18tc:threadedComment>
  <x18tc:threadedComment ref="S348" dT="2025-12-03T16:05:11.00" personId="{2ddfa542-8116-4937-a057-08470d7abaab}" id="{48a85946-30ea-4dec-8326-cbce4d5f8d38}" done="0">
    <x18tc:text xml:space="preserve">Ya está incluida en el precio de la laptop</x18tc:text>
  </x18tc:threadedComment>
  <x18tc:threadedComment ref="J300" dT="2025-11-13T04:23:28.00" personId="{d8e4f5ad-b65d-4160-a56f-197530fb7eb1}" id="{0f5410b3-c3fb-454b-8b93-303f290e1547}" done="0">
    <x18tc:text xml:space="preserve">https://drive.google.com/file/d/1VZmLOajXMTsjFNs3HZlYcsm0lItDY28_/view?usp=drive_link</x18tc:text>
    <x18tc:extLst>
      <ext uri="{F7C98A9C-CBB3-438F-8F68-D28B6AF4A901}">
        <xltc2:checksum/>
        <xltc2:hyperlink startIndex="0" length="85" url="https://drive.google.com/file/d/1VZmLOajXMTsjFNs3HZlYcsm0lItDY28_/view?usp=drive_link"/>
      </ext>
    </x18tc:extLst>
  </x18tc:threadedComment>
  <x18tc:threadedComment ref="L35" dT="2025-05-03T22:15:15.00" personId="{a5d43f6d-3c72-4414-b012-8f52ef50acc4}" id="{9803817c-48c5-4d37-a9d3-ec88e94666cf}" done="0">
    <x18tc:text xml:space="preserve">113.58 para configuracion inicial</x18tc:text>
  </x18tc:threadedComment>
  <x18tc:threadedComment ref="W179" dT="2025-09-01T19:53:28.00" personId="{d8e4f5ad-b65d-4160-a56f-197530fb7eb1}" id="{fa881277-cf2c-4bed-b432-ac7fd14c0527}" done="0">
    <x18tc:text xml:space="preserve">https://drive.google.com/file/d/1m86dVd9S05tQXfVX6Lwdp3kzxVAC8exJ/view?usp=drive_link</x18tc:text>
    <x18tc:extLst>
      <ext uri="{F7C98A9C-CBB3-438F-8F68-D28B6AF4A901}">
        <xltc2:checksum/>
        <xltc2:hyperlink startIndex="0" length="85" url="https://drive.google.com/file/d/1m86dVd9S05tQXfVX6Lwdp3kzxVAC8exJ/view?usp=drive_link"/>
      </ext>
    </x18tc:extLst>
  </x18tc:threadedComment>
  <x18tc:threadedComment ref="C300" dT="2025-11-13T04:16:20.00" personId="{d8e4f5ad-b65d-4160-a56f-197530fb7eb1}" id="{9fa9ae38-ef76-46f1-81a8-e631b59b1bfa}" done="0">
    <x18tc:text xml:space="preserve">https://www.microcenter.com/product/695523/dell-alienware-18-area-51-aa18250-18-gaming-laptop-computer-liquid-teal</x18tc:text>
    <x18tc:extLst>
      <ext uri="{F7C98A9C-CBB3-438F-8F68-D28B6AF4A901}">
        <xltc2:checksum/>
        <xltc2:hyperlink startIndex="0" length="114" url="https://www.microcenter.com/product/695523/dell-alienware-18-area-51-aa18250-18-gaming-laptop-computer-liquid-teal"/>
      </ext>
    </x18tc:extLst>
  </x18tc:threadedComment>
  <x18tc:threadedComment ref="K776" dT="2026-06-27T21:08:10.00" personId="{d8e4f5ad-b65d-4160-a56f-197530fb7eb1}" id="{0683dd5e-43c1-423d-8075-9de77db9b378}" done="0">
    <x18tc:text xml:space="preserve">https://drive.google.com/file/d/10jjfgECDYc47WlkrWo0jYsl3ZnyQQC65/view?usp=drive_link</x18tc:text>
    <x18tc:extLst>
      <ext uri="{F7C98A9C-CBB3-438F-8F68-D28B6AF4A901}">
        <xltc2:checksum/>
        <xltc2:hyperlink startIndex="0" length="85" url="https://drive.google.com/file/d/10jjfgECDYc47WlkrWo0jYsl3ZnyQQC65/view?usp=drive_link"/>
      </ext>
    </x18tc:extLst>
  </x18tc:threadedComment>
  <x18tc:threadedComment ref="L182" dT="2025-09-01T19:57:24.00" personId="{d8e4f5ad-b65d-4160-a56f-197530fb7eb1}" id="{38a7a979-f3c2-4909-ac6a-b535e6fc9c48}" done="0">
    <x18tc:text xml:space="preserve">https://drive.google.com/file/d/1LhzIMLNGuX_k_86ikKsbdfOVSYuFNvLm/view?usp=drive_link</x18tc:text>
    <x18tc:extLst>
      <ext uri="{F7C98A9C-CBB3-438F-8F68-D28B6AF4A901}">
        <xltc2:checksum/>
        <xltc2:hyperlink startIndex="0" length="85" url="https://drive.google.com/file/d/1LhzIMLNGuX_k_86ikKsbdfOVSYuFNvLm/view?usp=drive_link"/>
      </ext>
    </x18tc:extLst>
  </x18tc:threadedComment>
  <x18tc:threadedComment ref="L182" dT="2025-09-01T19:57:43.00" personId="{d8e4f5ad-b65d-4160-a56f-197530fb7eb1}" id="{1a2ba8b7-2881-47a4-b72e-75dfbd350526}" parentId="{38a7a979-f3c2-4909-ac6a-b535e6fc9c48}">
    <x18tc:text xml:space="preserve">https://drive.google.com/file/d/1EuAWAT-G4-0Wuh2_Eqg6axJs98NvtvLR/view?usp=drive_link</x18tc:text>
    <x18tc:extLst>
      <ext uri="{F7C98A9C-CBB3-438F-8F68-D28B6AF4A901}">
        <xltc2:checksum/>
        <xltc2:hyperlink startIndex="0" length="85" url="https://drive.google.com/file/d/1EuAWAT-G4-0Wuh2_Eqg6axJs98NvtvLR/view?usp=drive_link"/>
      </ext>
    </x18tc:extLst>
  </x18tc:threadedComment>
  <x18tc:threadedComment ref="W169" dT="2025-09-01T19:36:54.00" personId="{d8e4f5ad-b65d-4160-a56f-197530fb7eb1}" id="{e86a296f-43ee-481e-bf96-4c004490a9b1}" done="0">
    <x18tc:text xml:space="preserve">https://drive.google.com/file/d/1pz6Oov854X3XYjm_NuX5kAOw5WM6pLt8/view?usp=drive_link</x18tc:text>
    <x18tc:extLst>
      <ext uri="{F7C98A9C-CBB3-438F-8F68-D28B6AF4A901}">
        <xltc2:checksum/>
        <xltc2:hyperlink startIndex="0" length="85" url="https://drive.google.com/file/d/1pz6Oov854X3XYjm_NuX5kAOw5WM6pLt8/view?usp=drive_link"/>
      </ext>
    </x18tc:extLst>
  </x18tc:threadedComment>
  <x18tc:threadedComment ref="AI737" dT="2026-06-27T21:29:20.00" personId="{7d9bea4b-cfe7-4c29-b483-8e83a1c4f52a}" id="{86e2e807-a632-44af-94b0-aae1afacef6a}" done="0">
    <x18tc:text xml:space="preserve">https://drive.google.com/file/d/14hiIbeSYfoINOvpEgxEo7KPG4vpHAuO1/view?usp=drive_link</x18tc:text>
    <x18tc:extLst>
      <ext uri="{F7C98A9C-CBB3-438F-8F68-D28B6AF4A901}">
        <xltc2:checksum/>
        <xltc2:hyperlink startIndex="0" length="85" url="https://drive.google.com/file/d/14hiIbeSYfoINOvpEgxEo7KPG4vpHAuO1/view?usp=drive_link"/>
      </ext>
    </x18tc:extLst>
  </x18tc:threadedComment>
  <x18tc:threadedComment ref="J301" dT="2025-11-13T04:26:37.00" personId="{d8e4f5ad-b65d-4160-a56f-197530fb7eb1}" id="{1f7ecabb-e5f0-423a-a551-843b83af8e49}" done="0">
    <x18tc:text xml:space="preserve">https://drive.google.com/file/d/1mBc5QP_kHa14TBUkoUdf5qikXTDebiHv/view?usp=drive_link</x18tc:text>
    <x18tc:extLst>
      <ext uri="{F7C98A9C-CBB3-438F-8F68-D28B6AF4A901}">
        <xltc2:checksum/>
        <xltc2:hyperlink startIndex="0" length="85" url="https://drive.google.com/file/d/1mBc5QP_kHa14TBUkoUdf5qikXTDebiHv/view?usp=drive_link"/>
      </ext>
    </x18tc:extLst>
  </x18tc:threadedComment>
  <x18tc:threadedComment ref="AI805" dT="2026-06-27T21:31:03.00" personId="{7d9bea4b-cfe7-4c29-b483-8e83a1c4f52a}" id="{8e712a3b-e7e0-46d8-93d0-5dc34a174971}" done="0">
    <x18tc:text xml:space="preserve">https://drive.google.com/file/d/1eEgMcJntcQG-7U4rYivv0MHKTt3yTYUG/view?usp=drive_link</x18tc:text>
    <x18tc:extLst>
      <ext uri="{F7C98A9C-CBB3-438F-8F68-D28B6AF4A901}">
        <xltc2:checksum/>
        <xltc2:hyperlink startIndex="0" length="85" url="https://drive.google.com/file/d/1eEgMcJntcQG-7U4rYivv0MHKTt3yTYUG/view?usp=drive_link"/>
      </ext>
    </x18tc:extLst>
  </x18tc:threadedComment>
  <x18tc:threadedComment ref="C428" dT="2025-12-23T20:08:40.00" personId="{4df2d6c4-e43e-4f2e-b623-d90f458472ff}" id="{4ce355c0-fb8f-4e27-bf3e-87322e9a5c6c}" done="0">
    <x18tc:text xml:space="preserve">https://www.ebay.com/itm/326796274533?_skw=laptop+gaming&amp;itmmeta=01KD51PGBNVF9Z7NTKRWDPM6GF&amp;hash=item4c16936b65:g:~PAAAeSw4LBpRwQv</x18tc:text>
    <x18tc:extLst>
      <ext uri="{F7C98A9C-CBB3-438F-8F68-D28B6AF4A901}">
        <xltc2:checksum/>
        <xltc2:hyperlink startIndex="0" length="130" url="https://www.ebay.com/itm/326796274533?_skw=laptop+gaming&amp;itmmeta=01KD51PGBNVF9Z7NTKRWDPM6GF&amp;hash=item4c16936b65:g:~PAAAeSw4LBpRwQv"/>
      </ext>
    </x18tc:extLst>
  </x18tc:threadedComment>
  <x18tc:threadedComment ref="C263" dT="2025-10-10T04:05:56.00" personId="{a5d43f6d-3c72-4414-b012-8f52ef50acc4}" id="{89797a05-96ae-4937-ba5c-340e139d1f24}" done="0">
    <x18tc:text xml:space="preserve">https://www.ebay.com/itm/205606875313?_skw=5060&amp;itmmeta=01K75ZHFKJY4B0SNR2V94VF7HR&amp;hash=item2fdf1ff0b1:g:-fEAAeSwfdlo3OAG</x18tc:text>
    <x18tc:extLst>
      <ext uri="{F7C98A9C-CBB3-438F-8F68-D28B6AF4A901}">
        <xltc2:checksum/>
        <xltc2:hyperlink startIndex="0" length="121" url="https://www.ebay.com/itm/205606875313?_skw=5060&amp;itmmeta=01K75ZHFKJY4B0SNR2V94VF7HR&amp;hash=item2fdf1ff0b1:g:-fEAAeSwfdlo3OAG"/>
      </ext>
    </x18tc:extLst>
  </x18tc:threadedComment>
  <x18tc:threadedComment ref="W160" dT="2025-09-01T19:22:32.00" personId="{d8e4f5ad-b65d-4160-a56f-197530fb7eb1}" id="{677619e2-5af6-4d03-a47f-5c4780a36602}" done="0">
    <x18tc:text xml:space="preserve">https://drive.google.com/file/d/1aaqmWXidiVqIraHN2KJZORiMsWHqbnmF/view?usp=drive_link</x18tc:text>
    <x18tc:extLst>
      <ext uri="{F7C98A9C-CBB3-438F-8F68-D28B6AF4A901}">
        <xltc2:checksum/>
        <xltc2:hyperlink startIndex="0" length="85" url="https://drive.google.com/file/d/1aaqmWXidiVqIraHN2KJZORiMsWHqbnmF/view?usp=drive_link"/>
      </ext>
    </x18tc:extLst>
  </x18tc:threadedComment>
  <x18tc:threadedComment ref="W123" dT="2025-09-01T18:35:54.00" personId="{d8e4f5ad-b65d-4160-a56f-197530fb7eb1}" id="{1f598c8e-c21d-4d25-9d1f-6674a69097c2}" done="0">
    <x18tc:text xml:space="preserve">https://drive.google.com/file/d/1yh8d7i0XWnHCn9i3DGuWWPQ1qzS7c1NW/view?usp=drive_link</x18tc:text>
    <x18tc:extLst>
      <ext uri="{F7C98A9C-CBB3-438F-8F68-D28B6AF4A901}">
        <xltc2:checksum/>
        <xltc2:hyperlink startIndex="0" length="85" url="https://drive.google.com/file/d/1yh8d7i0XWnHCn9i3DGuWWPQ1qzS7c1NW/view?usp=drive_link"/>
      </ext>
    </x18tc:extLst>
  </x18tc:threadedComment>
  <x18tc:threadedComment ref="C430" dT="2025-12-23T21:57:02.00" personId="{d8e4f5ad-b65d-4160-a56f-197530fb7eb1}" id="{3e27f78c-8167-4b90-8454-8b8ee325254e}" done="0">
    <x18tc:text xml:space="preserve">https://www.costco.com/p/-/asus-rog-strix-g18-18-gaming-laptop-intel-core-ultra-9-275hx-25k-nebula-display-geforce-rtx-5070-32gb-ram-1tb-ssd-windows-11/4000370428?langId=-1</x18tc:text>
    <x18tc:extLst>
      <ext uri="{F7C98A9C-CBB3-438F-8F68-D28B6AF4A901}">
        <xltc2:checksum/>
        <xltc2:hyperlink startIndex="0" length="172" url="https://www.costco.com/p/-/asus-rog-strix-g18-18-gaming-laptop-intel-core-ultra-9-275hx-25k-nebula-display-geforce-rtx-5070-32gb-ram-1tb-ssd-windows-11/4000370428?langId=-1"/>
      </ext>
    </x18tc:extLst>
  </x18tc:threadedComment>
  <x18tc:threadedComment ref="W161" dT="2025-09-01T19:28:37.00" personId="{d8e4f5ad-b65d-4160-a56f-197530fb7eb1}" id="{dcee9164-50a9-46e3-ac8d-d8a4f8037917}" done="0">
    <x18tc:text xml:space="preserve">https://drive.google.com/file/d/1D1v4Xq40Wyw2DLM8o98WmgLmvzTdhAnD/view?usp=drive_link</x18tc:text>
    <x18tc:extLst>
      <ext uri="{F7C98A9C-CBB3-438F-8F68-D28B6AF4A901}">
        <xltc2:checksum/>
        <xltc2:hyperlink startIndex="0" length="85" url="https://drive.google.com/file/d/1D1v4Xq40Wyw2DLM8o98WmgLmvzTdhAnD/view?usp=drive_link"/>
      </ext>
    </x18tc:extLst>
  </x18tc:threadedComment>
  <x18tc:threadedComment ref="W124" dT="2025-09-01T18:41:10.00" personId="{d8e4f5ad-b65d-4160-a56f-197530fb7eb1}" id="{629e493b-3033-4b91-a88c-68cd743e1720}" done="0">
    <x18tc:text xml:space="preserve">https://drive.google.com/file/d/1iZqPJY4r0puANVijOh8AHEyw2LBdCo6G/view?usp=drive_link</x18tc:text>
    <x18tc:extLst>
      <ext uri="{F7C98A9C-CBB3-438F-8F68-D28B6AF4A901}">
        <xltc2:checksum/>
        <xltc2:hyperlink startIndex="0" length="85" url="https://drive.google.com/file/d/1iZqPJY4r0puANVijOh8AHEyw2LBdCo6G/view?usp=drive_link"/>
      </ext>
    </x18tc:extLst>
  </x18tc:threadedComment>
  <x18tc:threadedComment ref="N263" dT="2025-10-10T04:08:39.00" personId="{a5d43f6d-3c72-4414-b012-8f52ef50acc4}" id="{1a742ab3-2996-4ac2-b875-c1da322e9758}" done="1">
    <x18tc:text xml:space="preserve">1399.99 pero se acordó un descuento</x18tc:text>
  </x18tc:threadedComment>
  <x18tc:threadedComment ref="W155" dT="2025-09-01T19:10:56.00" personId="{d8e4f5ad-b65d-4160-a56f-197530fb7eb1}" id="{309d1810-8ea8-4b7d-836e-7e7591882fbf}" done="0">
    <x18tc:text xml:space="preserve">https://drive.google.com/file/d/1bMKzARbxdGkuKgXv_i8QzAR8Y-5YbDOh/view?usp=drive_link</x18tc:text>
    <x18tc:extLst>
      <ext uri="{F7C98A9C-CBB3-438F-8F68-D28B6AF4A901}">
        <xltc2:checksum/>
        <xltc2:hyperlink startIndex="0" length="85" url="https://drive.google.com/file/d/1bMKzARbxdGkuKgXv_i8QzAR8Y-5YbDOh/view?usp=drive_link"/>
      </ext>
    </x18tc:extLst>
  </x18tc:threadedComment>
  <x18tc:threadedComment ref="W119" dT="2025-09-01T18:17:29.00" personId="{d8e4f5ad-b65d-4160-a56f-197530fb7eb1}" id="{b85f08bf-e8e3-40f2-988f-f612be70f9d4}" done="0">
    <x18tc:text xml:space="preserve">https://drive.google.com/file/d/1V7EVwZrvHYbwVXTiPQfWv7goGg_vFbs9/view?usp=drive_link</x18tc:text>
    <x18tc:extLst>
      <ext uri="{F7C98A9C-CBB3-438F-8F68-D28B6AF4A901}">
        <xltc2:checksum/>
        <xltc2:hyperlink startIndex="0" length="85" url="https://drive.google.com/file/d/1V7EVwZrvHYbwVXTiPQfWv7goGg_vFbs9/view?usp=drive_link"/>
      </ext>
    </x18tc:extLst>
  </x18tc:threadedComment>
  <x18tc:threadedComment ref="J263" dT="2025-10-10T04:07:14.00" personId="{a5d43f6d-3c72-4414-b012-8f52ef50acc4}" id="{6a908fdc-5150-4a05-861c-c5f927963f13}" done="1">
    <x18tc:text xml:space="preserve">https://drive.google.com/file/d/1rZL4CPPABc_8gbxentId7YzPyTpKeS5f/view?usp=drive_link</x18tc:text>
    <x18tc:extLst>
      <ext uri="{F7C98A9C-CBB3-438F-8F68-D28B6AF4A901}">
        <xltc2:checksum/>
        <xltc2:hyperlink startIndex="0" length="85" url="https://drive.google.com/file/d/1rZL4CPPABc_8gbxentId7YzPyTpKeS5f/view?usp=drive_link"/>
      </ext>
    </x18tc:extLst>
  </x18tc:threadedComment>
  <x18tc:threadedComment ref="W153" dT="2025-09-01T19:18:33.00" personId="{d8e4f5ad-b65d-4160-a56f-197530fb7eb1}" id="{9a702dbd-cd77-4cde-81cc-4ca46e25e74e}" done="0">
    <x18tc:text xml:space="preserve">https://drive.google.com/file/d/1jG383on23uCZv9HWJZVSN8KYFuRibZa2/view?usp=drive_link</x18tc:text>
    <x18tc:extLst>
      <ext uri="{F7C98A9C-CBB3-438F-8F68-D28B6AF4A901}">
        <xltc2:checksum/>
        <xltc2:hyperlink startIndex="0" length="85" url="https://drive.google.com/file/d/1jG383on23uCZv9HWJZVSN8KYFuRibZa2/view?usp=drive_link"/>
      </ext>
    </x18tc:extLst>
  </x18tc:threadedComment>
  <x18tc:threadedComment ref="C668" dT="2026-04-09T15:49:11.00" personId="{d8e4f5ad-b65d-4160-a56f-197530fb7eb1}" id="{4fb14d19-07a2-43de-878b-4465985b35ea}"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W121" dT="2025-09-01T18:24:01.00" personId="{d8e4f5ad-b65d-4160-a56f-197530fb7eb1}" id="{8db68c32-8626-472c-80d6-c51adb14cac9}" done="0">
    <x18tc:text xml:space="preserve">https://drive.google.com/file/d/1orEJ3Z1v3rCGVnOtlu_NQmdzWhvsND3S/view?usp=drive_link</x18tc:text>
    <x18tc:extLst>
      <ext uri="{F7C98A9C-CBB3-438F-8F68-D28B6AF4A901}">
        <xltc2:checksum/>
        <xltc2:hyperlink startIndex="0" length="85" url="https://drive.google.com/file/d/1orEJ3Z1v3rCGVnOtlu_NQmdzWhvsND3S/view?usp=drive_link"/>
      </ext>
    </x18tc:extLst>
  </x18tc:threadedComment>
  <x18tc:threadedComment ref="J649" dT="2026-04-01T00:23:01.00" personId="{f9b224d0-ee33-4499-ae47-db5bcd2d0435}" id="{1caebd96-8ba8-4153-9bff-991ec46d3d07}" done="0">
    <x18tc:text xml:space="preserve">https://drive.google.com/file/d/1y-uewRr49Kxi279YPCGa1wYdUfNStlDR/view?usp=drive_link</x18tc:text>
    <x18tc:extLst>
      <ext uri="{F7C98A9C-CBB3-438F-8F68-D28B6AF4A901}">
        <xltc2:checksum/>
        <xltc2:hyperlink startIndex="0" length="85" url="https://drive.google.com/file/d/1y-uewRr49Kxi279YPCGa1wYdUfNStlDR/view?usp=drive_link"/>
      </ext>
    </x18tc:extLst>
  </x18tc:threadedComment>
  <x18tc:threadedComment ref="N263" dT="2025-10-10T04:12:44.00" personId="{a5d43f6d-3c72-4414-b012-8f52ef50acc4}" id="{eba85754-22a7-49db-bcd7-da2823d188fd}" done="1">
    <x18tc:text xml:space="preserve">Se está considerando 1349.99 por un acuerdo</x18tc:text>
  </x18tc:threadedComment>
  <x18tc:threadedComment ref="W370" dT="2025-12-31T17:44:00.00" personId="{2ddfa542-8116-4937-a057-08470d7abaab}" id="{2875c25a-6dd8-4e43-bfc8-acba49d3d271}" done="0">
    <x18tc:text xml:space="preserve">https://drive.google.com/file/d/1dxp4iCeG3jnn8bxWfb5tYIxt7MLt1pJA/view?usp=drive_link</x18tc:text>
    <x18tc:extLst>
      <ext uri="{F7C98A9C-CBB3-438F-8F68-D28B6AF4A901}">
        <xltc2:checksum/>
        <xltc2:hyperlink startIndex="0" length="85" url="https://drive.google.com/file/d/1dxp4iCeG3jnn8bxWfb5tYIxt7MLt1pJA/view?usp=drive_link"/>
      </ext>
    </x18tc:extLst>
  </x18tc:threadedComment>
  <x18tc:threadedComment ref="U554" dT="2026-02-24T18:17:21.00" personId="{d8e4f5ad-b65d-4160-a56f-197530fb7eb1}" id="{cfc0256e-8afa-4a9d-8148-e8ff0622577f}" done="1">
    <x18tc:text xml:space="preserve">de fila 20 de provedores</x18tc:text>
  </x18tc:threadedComment>
  <x18tc:threadedComment ref="U554" dT="2026-02-27T18:04:48.00" personId="{d8e4f5ad-b65d-4160-a56f-197530fb7eb1}" id="{8898d461-de6e-4859-8483-5bed2f3d475b}" parentId="{cfc0256e-8afa-4a9d-8148-e8ff0622577f}">
    <x18tc:text xml:space="preserve">de fila 21 de provedores
Marcado como resuelto</x18tc:text>
  </x18tc:threadedComment>
  <x18tc:threadedComment ref="W402" dT="2025-12-31T18:40:05.00" personId="{2ddfa542-8116-4937-a057-08470d7abaab}" id="{c901f9e7-e1f9-4789-9c98-b8039c04e454}" done="0">
    <x18tc:text xml:space="preserve">https://drive.google.com/file/d/1wJxsaQtHkZwCWOkR32AxbW5RLU0-uF_T/view?usp=drive_link</x18tc:text>
    <x18tc:extLst>
      <ext uri="{F7C98A9C-CBB3-438F-8F68-D28B6AF4A901}">
        <xltc2:checksum/>
        <xltc2:hyperlink startIndex="0" length="85" url="https://drive.google.com/file/d/1wJxsaQtHkZwCWOkR32AxbW5RLU0-uF_T/view?usp=drive_link"/>
      </ext>
    </x18tc:extLst>
  </x18tc:threadedComment>
  <x18tc:threadedComment ref="W359" dT="2025-12-31T17:32:43.00" personId="{2ddfa542-8116-4937-a057-08470d7abaab}" id="{30a1b004-0da2-4203-b8ee-882f20694ed1}" done="0">
    <x18tc:text xml:space="preserve">https://drive.google.com/file/d/1geBAHFUFUNZnA3atNWiZ4PtSrUcJXbRW/view?usp=drive_link</x18tc:text>
    <x18tc:extLst>
      <ext uri="{F7C98A9C-CBB3-438F-8F68-D28B6AF4A901}">
        <xltc2:checksum/>
        <xltc2:hyperlink startIndex="0" length="85" url="https://drive.google.com/file/d/1geBAHFUFUNZnA3atNWiZ4PtSrUcJXbRW/view?usp=drive_link"/>
      </ext>
    </x18tc:extLst>
  </x18tc:threadedComment>
  <x18tc:threadedComment ref="J271" dT="2025-10-11T20:26:58.00" personId="{d8e4f5ad-b65d-4160-a56f-197530fb7eb1}" id="{91439ed1-5893-4ab8-90c0-475b82c861e0}" done="0">
    <x18tc:text xml:space="preserve">https://drive.google.com/file/d/1oep-vGURlHzHN7Tsw9UJDtoTAThYFHKz/view?usp=drive_link</x18tc:text>
    <x18tc:extLst>
      <ext uri="{F7C98A9C-CBB3-438F-8F68-D28B6AF4A901}">
        <xltc2:checksum/>
        <xltc2:hyperlink startIndex="0" length="85" url="https://drive.google.com/file/d/1oep-vGURlHzHN7Tsw9UJDtoTAThYFHKz/view?usp=drive_link"/>
      </ext>
    </x18tc:extLst>
  </x18tc:threadedComment>
  <x18tc:threadedComment ref="AF542" dT="2026-03-05T17:27:50.00" personId="{2ddfa542-8116-4937-a057-08470d7abaab}" id="{a97768f3-fd8e-4d44-b6b2-904c5ebfec77}" done="1">
    <x18tc:text xml:space="preserve">vental final, fixit, excedentes</x18tc:text>
  </x18tc:threadedComment>
  <x18tc:threadedComment ref="W357" dT="2025-12-31T17:27:09.00" personId="{2ddfa542-8116-4937-a057-08470d7abaab}" id="{27983a32-2b3d-49c5-a0fc-cbca2b992367}" done="0">
    <x18tc:text xml:space="preserve">https://drive.google.com/file/d/1REXhPjsajBsXzFuKVdeDUhTRCWJF5NWC/view?usp=drive_link</x18tc:text>
    <x18tc:extLst>
      <ext uri="{F7C98A9C-CBB3-438F-8F68-D28B6AF4A901}">
        <xltc2:checksum/>
        <xltc2:hyperlink startIndex="0" length="85" url="https://drive.google.com/file/d/1REXhPjsajBsXzFuKVdeDUhTRCWJF5NWC/view?usp=drive_link"/>
      </ext>
    </x18tc:extLst>
  </x18tc:threadedComment>
  <x18tc:threadedComment ref="W391" dT="2025-12-31T18:18:44.00" personId="{2ddfa542-8116-4937-a057-08470d7abaab}" id="{bb10f8af-afec-4c59-9f55-266eede2b6ca}" done="0">
    <x18tc:text xml:space="preserve">https://drive.google.com/file/d/1bwF73uo2rRhxAaJ_s-E5xwKPmk1swFXb/view?usp=drive_link</x18tc:text>
    <x18tc:extLst>
      <ext uri="{F7C98A9C-CBB3-438F-8F68-D28B6AF4A901}">
        <xltc2:checksum/>
        <xltc2:hyperlink startIndex="0" length="85" url="https://drive.google.com/file/d/1bwF73uo2rRhxAaJ_s-E5xwKPmk1swFXb/view?usp=drive_link"/>
      </ext>
    </x18tc:extLst>
  </x18tc:threadedComment>
  <x18tc:threadedComment ref="N564" dT="2026-03-05T17:31:12.00" personId="{2ddfa542-8116-4937-a057-08470d7abaab}" id="{10f77edf-5d28-4ee2-aded-852e8a7d5d55}" done="1">
    <x18tc:text xml:space="preserve">lo modifique porque en la boleta figura otro precio</x18tc:text>
  </x18tc:threadedComment>
  <x18tc:threadedComment ref="W356" dT="2025-12-31T17:23:45.00" personId="{2ddfa542-8116-4937-a057-08470d7abaab}" id="{e47523a8-beda-4f08-a0b8-481a915a374c}" done="0">
    <x18tc:text xml:space="preserve">https://drive.google.com/file/d/18bw0SfEQ7d-xNo8sqYuzBHuKXTj5Cp33/view?usp=drive_link</x18tc:text>
    <x18tc:extLst>
      <ext uri="{F7C98A9C-CBB3-438F-8F68-D28B6AF4A901}">
        <xltc2:checksum/>
        <xltc2:hyperlink startIndex="0" length="85" url="https://drive.google.com/file/d/18bw0SfEQ7d-xNo8sqYuzBHuKXTj5Cp33/view?usp=drive_link"/>
      </ext>
    </x18tc:extLst>
  </x18tc:threadedComment>
  <x18tc:threadedComment ref="W390" dT="2025-12-31T18:14:59.00" personId="{2ddfa542-8116-4937-a057-08470d7abaab}" id="{a5fd0c5e-783f-4c46-9766-d7e9081d7fec}" done="0">
    <x18tc:text xml:space="preserve">https://drive.google.com/file/d/17bHIqPkPurbsuv0-EcBDGoa9AU2VEZ2u/view?usp=drive_link</x18tc:text>
    <x18tc:extLst>
      <ext uri="{F7C98A9C-CBB3-438F-8F68-D28B6AF4A901}">
        <xltc2:checksum/>
        <xltc2:hyperlink startIndex="0" length="85" url="https://drive.google.com/file/d/17bHIqPkPurbsuv0-EcBDGoa9AU2VEZ2u/view?usp=drive_link"/>
      </ext>
    </x18tc:extLst>
  </x18tc:threadedComment>
  <x18tc:threadedComment ref="C202" dT="2025-08-29T20:16:00.00" personId="{d8e4f5ad-b65d-4160-a56f-197530fb7eb1}" id="{aedbca38-a889-4d83-b097-adc3917d56f9}" done="0">
    <x18tc:text xml:space="preserve">https://www.amazon.com/-/es/Katana-15-6-165Hz-Port%C3%A1til-juegos/dp/B0DZFVBQLK/ref=sr_1_18?__mk_es_US=%C3%85M%C3%85%C5%BD%C3%95%C3%91&amp;crid=IZ6L6RCYV7P8&amp;dib=eyJ2IjoiMSJ9.t9eIAk3DVr2UwUtPDx2daJw5DaZCugFB-xtDCHSL0pNPn5LxpVIex9HxgahZF0oFkxtnDeh9Eu1ndO2vcEYye4YYcxkoyoS17R5JxqkevkRLA4C_ZflOR-fidEZGK6aKn7xPjcpE4Y3shppX4WbWRNn1tmEAhOizMtJkl4OsN_2y34lNu2_jVWfNPw34aaD4.UIZ66AZ4DKy_rKinJzTv8Zx8FZbG53hpLYf5K2ImMWE&amp;dib_tag=se&amp;keywords=laptop%2Bgaming&amp;qid=1756204688&amp;sprefix=laptop%2Bgaming%2Caps%2C175&amp;sr=8-18&amp;xpid=rTXsMsfkiooxR&amp;th=1</x18tc:text>
    <x18tc:extLst>
      <ext uri="{F7C98A9C-CBB3-438F-8F68-D28B6AF4A901}">
        <xltc2:checksum/>
        <xltc2:hyperlink startIndex="0" length="526" url="https://www.amazon.com/-/es/Katana-15-6-165Hz-Port%C3%A1til-juegos/dp/B0DZFVBQLK/ref=sr_1_18?__mk_es_US=%C3%85M%C3%85%C5%BD%C3%95%C3%91&amp;crid=IZ6L6RCYV7P8&amp;dib=eyJ2IjoiMSJ9.t9eIAk3DVr2UwUtPDx2daJw5DaZCugFB-xtDCHSL0pNPn5LxpVIex9HxgahZF0oFkxtnDeh9Eu1ndO2vcEYye4YYcxkoyoS17R5JxqkevkRLA4C_ZflOR-fidEZGK6aKn7xPjcpE4Y3shppX4WbWRNn1tmEAhOizMtJkl4OsN_2y34lNu2_jVWfNPw34aaD4.UIZ66AZ4DKy_rKinJzTv8Zx8FZbG53hpLYf5K2ImMWE&amp;dib_tag=se&amp;keywords=laptop%2Bgaming&amp;qid=1756204688&amp;sprefix=laptop%2Bgaming%2Caps%2C175&amp;sr=8-18&amp;xpid=rTXsMsfkiooxR&amp;th=1"/>
      </ext>
    </x18tc:extLst>
  </x18tc:threadedComment>
  <x18tc:threadedComment ref="J619" dT="2026-03-19T00:23:57.00" personId="{d8e4f5ad-b65d-4160-a56f-197530fb7eb1}" id="{2cd563c1-e057-43cf-aad7-840c8e35bd8b}" done="0">
    <x18tc:text xml:space="preserve">https://drive.google.com/file/d/1WI4YKi8nwcb2vWzGzpYqH8ZdpO-R-uUi/view?usp=drive_link</x18tc:text>
    <x18tc:extLst>
      <ext uri="{F7C98A9C-CBB3-438F-8F68-D28B6AF4A901}">
        <xltc2:checksum/>
        <xltc2:hyperlink startIndex="0" length="85" url="https://drive.google.com/file/d/1WI4YKi8nwcb2vWzGzpYqH8ZdpO-R-uUi/view?usp=drive_link"/>
      </ext>
    </x18tc:extLst>
  </x18tc:threadedComment>
  <x18tc:threadedComment ref="C334" dT="2025-11-23T02:14:34.00" personId="{4df2d6c4-e43e-4f2e-b623-d90f458472ff}" id="{e80e2aff-70f0-45ac-a979-42eb083de0f1}" done="0">
    <x18tc:text xml:space="preserve">https://www.ebay.com/itm/197444303642?_skw=zephyrus+g14&amp;itmmeta=01KAQ7S3S89KY6ARH29K7KGRFW&amp;hash=item2df898fb1a:g:T4IAAeSwdlZpHYhG&amp;itmprp=enc%3AAQAKAAAA0FkggFvd1GGDu0w3yXCmi1eCTo86OPs%2BlbO%2FhbpEMVrYTE7jaIdD8PILVInAKjM0G4hjLB38ZYT1Q5oTTOnyDkA4tfavnKMs4vevL%2FfqIkU0BJI0Wmr%2Bxxczq12r1QWTOFZsRkSLBRcLkyJDPVc36Am6KIRBqnQfLdC1aeL1LsaejwC8ewt2S9SK7w5wO%2Fud43rlZoxNSCWNv1SK7rzySHsyZjHMuqbity2691aTDamGpHmrvwJiJL1Ase2HBl8yCr4AlVg7DcX5ahm3XPr3vj0%3D%7Ctkp%3ABk9SR-K85OfVZg</x18tc:text>
    <x18tc:extLst>
      <ext uri="{F7C98A9C-CBB3-438F-8F68-D28B6AF4A901}">
        <xltc2:checksum/>
        <xltc2:hyperlink startIndex="0" length="466" url="https://www.ebay.com/itm/197444303642?_skw=zephyrus+g14&amp;itmmeta=01KAQ7S3S89KY6ARH29K7KGRFW&amp;hash=item2df898fb1a:g:T4IAAeSwdlZpHYhG&amp;itmprp=enc%3AAQAKAAAA0FkggFvd1GGDu0w3yXCmi1eCTo86OPs%2BlbO%2FhbpEMVrYTE7jaIdD8PILVInAKjM0G4hjLB38ZYT1Q5oTTOnyDkA4tfavnKMs4vevL%2FfqIkU0BJI0Wmr%2Bxxczq12r1QWTOFZsRkSLBRcLkyJDPVc36Am6KIRBqnQfLdC1aeL1LsaejwC8ewt2S9SK7w5wO%2Fud43rlZoxNSCWNv1SK7rzySHsyZjHMuqbity2691aTDamGpHmrvwJiJL1Ase2HBl8yCr4AlVg7DcX5ahm3XPr3vj0%3D%7Ctkp%3ABk9SR-K85OfVZg"/>
      </ext>
    </x18tc:extLst>
  </x18tc:threadedComment>
  <x18tc:threadedComment ref="C337" dT="2025-11-23T02:18:04.00" personId="{a5d43f6d-3c72-4414-b012-8f52ef50acc4}" id="{a1ab87d2-bc71-4d2b-ba3c-26f77ecf8cb5}" done="0">
    <x18tc:text xml:space="preserve">https://www.amazon.com/gp/product/B0FDHVCDGT/ref=ox_sc_act_title_1?smid=A17MC6HOH9AVE6&amp;psc=1</x18tc:text>
    <x18tc:extLst>
      <ext uri="{F7C98A9C-CBB3-438F-8F68-D28B6AF4A901}">
        <xltc2:checksum/>
        <xltc2:hyperlink startIndex="0" length="92" url="https://www.amazon.com/gp/product/B0FDHVCDGT/ref=ox_sc_act_title_1?smid=A17MC6HOH9AVE6&amp;psc=1"/>
      </ext>
    </x18tc:extLst>
  </x18tc:threadedComment>
  <x18tc:threadedComment ref="W332" dT="2025-12-19T20:52:06.00" personId="{2ddfa542-8116-4937-a057-08470d7abaab}" id="{13ffa4e0-d09a-41d3-b410-49e6c54f8b99}" done="0">
    <x18tc:text xml:space="preserve">https://drive.google.com/file/d/1_-nAlNrrJnmq8XlBZ3z1ngfg9m3x_lqS/view?usp=drive_link</x18tc:text>
    <x18tc:extLst>
      <ext uri="{F7C98A9C-CBB3-438F-8F68-D28B6AF4A901}">
        <xltc2:checksum/>
        <xltc2:hyperlink startIndex="0" length="85" url="https://drive.google.com/file/d/1_-nAlNrrJnmq8XlBZ3z1ngfg9m3x_lqS/view?usp=drive_link"/>
      </ext>
    </x18tc:extLst>
  </x18tc:threadedComment>
  <x18tc:threadedComment ref="AI744" dT="2026-05-18T21:41:39.00" personId="{7d9bea4b-cfe7-4c29-b483-8e83a1c4f52a}" id="{749a3963-98cf-4b41-913f-52bf98b4319a}" done="0">
    <x18tc:text xml:space="preserve">https://drive.google.com/file/d/1zDV_KhvnFXJdldWU7j_4kCDSo1OQ0Wc_/view?usp=drive_link</x18tc:text>
    <x18tc:extLst>
      <ext uri="{F7C98A9C-CBB3-438F-8F68-D28B6AF4A901}">
        <xltc2:checksum/>
        <xltc2:hyperlink startIndex="0" length="85" url="https://drive.google.com/file/d/1zDV_KhvnFXJdldWU7j_4kCDSo1OQ0Wc_/view?usp=drive_link"/>
      </ext>
    </x18tc:extLst>
  </x18tc:threadedComment>
  <x18tc:threadedComment ref="J622" dT="2026-03-19T00:24:23.00" personId="{d8e4f5ad-b65d-4160-a56f-197530fb7eb1}" id="{5a0eeb08-aca0-42e3-b8d5-e4180d393708}" done="0">
    <x18tc:text xml:space="preserve">https://drive.google.com/file/d/1sZzOSTSjGC2XK6omCptYJrwDRrL3r2M4/view?usp=drive_link</x18tc:text>
    <x18tc:extLst>
      <ext uri="{F7C98A9C-CBB3-438F-8F68-D28B6AF4A901}">
        <xltc2:checksum/>
        <xltc2:hyperlink startIndex="0" length="85" url="https://drive.google.com/file/d/1sZzOSTSjGC2XK6omCptYJrwDRrL3r2M4/view?usp=drive_link"/>
      </ext>
    </x18tc:extLst>
  </x18tc:threadedComment>
  <x18tc:threadedComment ref="W383" dT="2025-12-31T18:04:50.00" personId="{2ddfa542-8116-4937-a057-08470d7abaab}" id="{33af7c4c-ae5a-48da-a0f8-94587b86cc08}" done="0">
    <x18tc:text xml:space="preserve">https://drive.google.com/file/d/1-rgK8y79kX3YJWQZZf_qypmF-9dvcSLl/view?usp=drive_link</x18tc:text>
    <x18tc:extLst>
      <ext uri="{F7C98A9C-CBB3-438F-8F68-D28B6AF4A901}">
        <xltc2:checksum/>
        <xltc2:hyperlink startIndex="0" length="85" url="https://drive.google.com/file/d/1-rgK8y79kX3YJWQZZf_qypmF-9dvcSLl/view?usp=drive_link"/>
      </ext>
    </x18tc:extLst>
  </x18tc:threadedComment>
  <x18tc:threadedComment ref="W339" dT="2025-12-19T21:13:58.00" personId="{2ddfa542-8116-4937-a057-08470d7abaab}" id="{a0c272cb-d63c-401e-86a2-d3853c6727d0}" done="0">
    <x18tc:text xml:space="preserve">https://drive.google.com/file/d/1CnSPMINGho8ex7PTHPVC7gjet3oLO33o/view?usp=drive_link</x18tc:text>
    <x18tc:extLst>
      <ext uri="{F7C98A9C-CBB3-438F-8F68-D28B6AF4A901}">
        <xltc2:checksum/>
        <xltc2:hyperlink startIndex="0" length="85" url="https://drive.google.com/file/d/1CnSPMINGho8ex7PTHPVC7gjet3oLO33o/view?usp=drive_link"/>
      </ext>
    </x18tc:extLst>
  </x18tc:threadedComment>
  <x18tc:threadedComment ref="J618" dT="2026-03-19T00:24:10.00" personId="{d8e4f5ad-b65d-4160-a56f-197530fb7eb1}" id="{c265e691-75f4-49cd-a6a6-863f81cf58fd}" done="0">
    <x18tc:text xml:space="preserve">https://drive.google.com/file/d/1Iw700i_yLSJT4uC2WF_rbwJMKtkXoQBL/view?usp=drive_link</x18tc:text>
    <x18tc:extLst>
      <ext uri="{F7C98A9C-CBB3-438F-8F68-D28B6AF4A901}">
        <xltc2:checksum/>
        <xltc2:hyperlink startIndex="0" length="85" url="https://drive.google.com/file/d/1Iw700i_yLSJT4uC2WF_rbwJMKtkXoQBL/view?usp=drive_link"/>
      </ext>
    </x18tc:extLst>
  </x18tc:threadedComment>
  <x18tc:threadedComment ref="J618" dT="2026-03-25T00:21:45.00" personId="{d8e4f5ad-b65d-4160-a56f-197530fb7eb1}" id="{5d30934f-8a3a-4d8c-8906-18fbe802a40e}" parentId="{c265e691-75f4-49cd-a6a6-863f81cf58fd}">
    <x18tc:text xml:space="preserve">https://drive.google.com/file/d/1Ex9XE9Dcl6TzsVyd7VPqWXQYkbldOapV/view?usp=drive_link</x18tc:text>
    <x18tc:extLst>
      <ext uri="{F7C98A9C-CBB3-438F-8F68-D28B6AF4A901}">
        <xltc2:checksum/>
        <xltc2:hyperlink startIndex="0" length="85" url="https://drive.google.com/file/d/1Ex9XE9Dcl6TzsVyd7VPqWXQYkbldOapV/view?usp=drive_link"/>
      </ext>
    </x18tc:extLst>
  </x18tc:threadedComment>
  <x18tc:threadedComment ref="W378" dT="2025-12-31T17:56:26.00" personId="{2ddfa542-8116-4937-a057-08470d7abaab}" id="{5e78c3d2-6d4e-4c62-83c7-6b9ef73a90a5}" done="0">
    <x18tc:text xml:space="preserve">https://drive.google.com/file/d/19uYktCJMF085Ka5fe2q1yd9FtfVRax5d/view?usp=drive_link</x18tc:text>
    <x18tc:extLst>
      <ext uri="{F7C98A9C-CBB3-438F-8F68-D28B6AF4A901}">
        <xltc2:checksum/>
        <xltc2:hyperlink startIndex="0" length="85" url="https://drive.google.com/file/d/19uYktCJMF085Ka5fe2q1yd9FtfVRax5d/view?usp=drive_link"/>
      </ext>
    </x18tc:extLst>
  </x18tc:threadedComment>
  <x18tc:threadedComment ref="K381" dT="2025-12-19T21:25:36.00" personId="{a5d43f6d-3c72-4414-b012-8f52ef50acc4}" id="{240f7622-6994-4429-a6d7-781947ae1122}" done="0">
    <x18tc:text xml:space="preserve">https://drive.google.com/file/d/1VK-_ZRlrwrfrrqqXDebUI-E2zNLz_i7X/view?usp=drive_link</x18tc:text>
    <x18tc:extLst>
      <ext uri="{F7C98A9C-CBB3-438F-8F68-D28B6AF4A901}">
        <xltc2:checksum/>
        <xltc2:hyperlink startIndex="0" length="85" url="https://drive.google.com/file/d/1VK-_ZRlrwrfrrqqXDebUI-E2zNLz_i7X/view?usp=drive_link"/>
      </ext>
    </x18tc:extLst>
  </x18tc:threadedComment>
  <x18tc:threadedComment ref="L231" dT="2025-11-01T00:22:39.00" personId="{4df2d6c4-e43e-4f2e-b623-d90f458472ff}" id="{4b0858ca-e1db-4f2a-b25e-a435f4891fec}" done="0">
    <x18tc:text xml:space="preserve">https://drive.google.com/file/d/11HYuPGtdUKNFYx5uzSDlBFlz5RTQTPq_/view?usp=drive_link</x18tc:text>
    <x18tc:extLst>
      <ext uri="{F7C98A9C-CBB3-438F-8F68-D28B6AF4A901}">
        <xltc2:checksum/>
        <xltc2:hyperlink startIndex="0" length="85" url="https://drive.google.com/file/d/11HYuPGtdUKNFYx5uzSDlBFlz5RTQTPq_/view?usp=drive_link"/>
      </ext>
    </x18tc:extLst>
  </x18tc:threadedComment>
  <x18tc:threadedComment ref="L230" dT="2025-09-13T02:51:42.00" personId="{4df2d6c4-e43e-4f2e-b623-d90f458472ff}" id="{8062368d-21f2-431c-80e7-8249062d1e59}" done="0">
    <x18tc:text xml:space="preserve">https://drive.google.com/file/d/1O_oXAZqkKQCnqucG-oHzXHASmGI72Fa3/view?usp=drive_link</x18tc:text>
    <x18tc:extLst>
      <ext uri="{F7C98A9C-CBB3-438F-8F68-D28B6AF4A901}">
        <xltc2:checksum/>
        <xltc2:hyperlink startIndex="0" length="85" url="https://drive.google.com/file/d/1O_oXAZqkKQCnqucG-oHzXHASmGI72Fa3/view?usp=drive_link"/>
      </ext>
    </x18tc:extLst>
  </x18tc:threadedComment>
  <x18tc:threadedComment ref="J291" dT="2025-11-01T00:14:36.00" personId="{a5d43f6d-3c72-4414-b012-8f52ef50acc4}" id="{612eb725-ef34-43b5-a9bc-ab1c6b87be1d}" done="0">
    <x18tc:text xml:space="preserve">https://drive.google.com/file/d/1BNUILyDUy77wDMKN3cZ0AoOeBy06XtXr/view?usp=drive_link</x18tc:text>
    <x18tc:extLst>
      <ext uri="{F7C98A9C-CBB3-438F-8F68-D28B6AF4A901}">
        <xltc2:checksum/>
        <xltc2:hyperlink startIndex="0" length="85" url="https://drive.google.com/file/d/1BNUILyDUy77wDMKN3cZ0AoOeBy06XtXr/view?usp=drive_link"/>
      </ext>
    </x18tc:extLst>
  </x18tc:threadedComment>
  <x18tc:threadedComment ref="C15" dT="2025-04-16T01:48:30.00" personId="{4df2d6c4-e43e-4f2e-b623-d90f458472ff}" id="{0c76a932-5c46-44cf-bd98-503d3c006099}" done="0">
    <x18tc:text xml:space="preserve">https://www.bhphotovideo.com/c/product/1881482-REG/asus_g713pi_xb96_17_3_rog_strix_g17.html</x18tc:text>
    <x18tc:extLst>
      <ext uri="{F7C98A9C-CBB3-438F-8F68-D28B6AF4A901}">
        <xltc2:checksum/>
        <xltc2:hyperlink startIndex="0" length="91" url="https://www.bhphotovideo.com/c/product/1881482-REG/asus_g713pi_xb96_17_3_rog_strix_g17.html"/>
      </ext>
    </x18tc:extLst>
  </x18tc:threadedComment>
  <x18tc:threadedComment ref="O130" dT="2025-07-19T00:04:20.00" personId="{4df2d6c4-e43e-4f2e-b623-d90f458472ff}" id="{24707040-f59c-4412-a0d7-0c2f0a03296d}" done="0">
    <x18tc:text xml:space="preserve">LE DI UN MOUSE DE 30 SOLES DE REGALO</x18tc:text>
  </x18tc:threadedComment>
  <x18tc:threadedComment ref="C335" dT="2025-11-23T01:58:35.00" personId="{d8e4f5ad-b65d-4160-a56f-197530fb7eb1}" id="{95a2032f-7096-4560-b75d-33acd5f3be7e}"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223" dT="2025-09-13T01:01:04.00" personId="{4df2d6c4-e43e-4f2e-b623-d90f458472ff}" id="{41149b42-775a-4b6e-ae24-ba7e0289df38}" done="0">
    <x18tc:text xml:space="preserve">https://drive.google.com/file/d/1e369PmkKbhC0EtZdv9c7gl0uJf0rIkvq/view?usp=drive_link</x18tc:text>
    <x18tc:extLst>
      <ext uri="{F7C98A9C-CBB3-438F-8F68-D28B6AF4A901}">
        <xltc2:checksum/>
        <xltc2:hyperlink startIndex="0" length="85" url="https://drive.google.com/file/d/1e369PmkKbhC0EtZdv9c7gl0uJf0rIkvq/view?usp=drive_link"/>
      </ext>
    </x18tc:extLst>
  </x18tc:threadedComment>
  <x18tc:threadedComment ref="C745" dT="2026-05-16T00:35:06.00" personId="{d8e4f5ad-b65d-4160-a56f-197530fb7eb1}" id="{6a529b83-6cf3-4ac1-bee4-e4edbdf4783d}" done="0">
    <x18tc:text xml:space="preserve">https://www.ebay.com/itm/197812697947?_skw=legion+7i&amp;itmmeta=01KRQ3A1VQC5E8VC131M7TNQC4&amp;hash=item2e0e8e3b5b:g:XboAAeSwPKtqBsIa&amp;itmprp=enc%3AAQALAAAA8GfYFPkwiKCW4ZNSs2u11xC81gs9aQduJJvaZusIQr6OnWVCPpLkG5b4hyGxa9dKd6LucXBuP1SIjdTPuIlZAvJY%2BysSM4mP%2BjOuVlZwcGErjW9lTRRmG3ggsmvKJgZcaiy%2BYQt4YLrqTihtALdVZgEm%2FFoV14WW4NKRRaUHeRi7vIAq%2Flj2wrT--IAAm0t%2Fy9CwzXUfaqWZqNNufbIt5hsk1%2BumsUr0VrXYQddWhEiCRGdMEco2WE1KubqKN7ijBHjO6N5ApnsdY16l8Co6KmgTQXp82oM54SDzOup70IEr37dxnyqJLTltLPXotNYF7g%3D%3D%7Ctkp%3ABk9SR4ieqOPFZw</x18tc:text>
    <x18tc:extLst>
      <ext uri="{F7C98A9C-CBB3-438F-8F68-D28B6AF4A901}">
        <xltc2:checksum/>
        <xltc2:hyperlink startIndex="0" length="513" url="https://www.ebay.com/itm/197812697947?_skw=legion+7i&amp;itmmeta=01KRQ3A1VQC5E8VC131M7TNQC4&amp;hash=item2e0e8e3b5b:g:XboAAeSwPKtqBsIa&amp;itmprp=enc%3AAQALAAAA8GfYFPkwiKCW4ZNSs2u11xC81gs9aQduJJvaZusIQr6OnWVCPpLkG5b4hyGxa9dKd6LucXBuP1SIjdTPuIlZAvJY%2BysSM4mP%2BjOuVlZwcGErjW9lTRRmG3ggsmvKJgZcaiy%2BYQt4YLrqTihtALdVZgEm%2FFoV14WW4NKRRaUHeRi7vIAq%2Flj2wrT--IAAm0t%2Fy9CwzXUfaqWZqNNufbIt5hsk1%2BumsUr0VrXYQddWhEiCRGdMEco2WE1KubqKN7ijBHjO6N5ApnsdY16l8Co6KmgTQXp82oM54SDzOup70IEr37dxnyqJLTltLPXotNYF7g%3D%3D%7Ctkp%3ABk9SR4ieqOPFZw"/>
      </ext>
    </x18tc:extLst>
  </x18tc:threadedComment>
  <x18tc:threadedComment ref="J107" dT="2025-07-04T21:48:22.00" personId="{a5d43f6d-3c72-4414-b012-8f52ef50acc4}" id="{524ef0c5-380e-4c9c-a3dd-73cb6209f90f}" done="0">
    <x18tc:text xml:space="preserve">https://drive.google.com/file/d/1AAxziZlyjTn5SfVKo6tPmCxIMHZKnYFT/view?usp=drive_link</x18tc:text>
    <x18tc:extLst>
      <ext uri="{F7C98A9C-CBB3-438F-8F68-D28B6AF4A901}">
        <xltc2:checksum/>
        <xltc2:hyperlink startIndex="0" length="85" url="https://drive.google.com/file/d/1AAxziZlyjTn5SfVKo6tPmCxIMHZKnYFT/view?usp=drive_link"/>
      </ext>
    </x18tc:extLst>
  </x18tc:threadedComment>
  <x18tc:threadedComment ref="C107" dT="2025-07-04T21:44:12.00" personId="{a5d43f6d-3c72-4414-b012-8f52ef50acc4}" id="{60f14544-33d8-42d4-8336-c58dd9ec9b0f}" done="0">
    <x18tc:text xml:space="preserve">https://www.ebay.com/itm/205565391274?_skw=5070&amp;itmmeta=01JZBKFQNSRGP7ATBXTRSZ50T9&amp;hash=item2fdca6f1aa:g:e2UAAeSwt1loUEhN</x18tc:text>
    <x18tc:extLst>
      <ext uri="{F7C98A9C-CBB3-438F-8F68-D28B6AF4A901}">
        <xltc2:checksum/>
        <xltc2:hyperlink startIndex="0" length="121" url="https://www.ebay.com/itm/205565391274?_skw=5070&amp;itmmeta=01JZBKFQNSRGP7ATBXTRSZ50T9&amp;hash=item2fdca6f1aa:g:e2UAAeSwt1loUEhN"/>
      </ext>
    </x18tc:extLst>
  </x18tc:threadedComment>
  <x18tc:threadedComment ref="L130" dT="2025-07-18T23:57:23.00" personId="{4df2d6c4-e43e-4f2e-b623-d90f458472ff}" id="{f1594ab3-5d51-44aa-80a8-711343d393fa}" done="0">
    <x18tc:text xml:space="preserve">https://drive.google.com/file/d/1YoXWUbaqCtiB5rh2_8TMq56_Nc4iTksn/view?usp=drive_link</x18tc:text>
    <x18tc:extLst>
      <ext uri="{F7C98A9C-CBB3-438F-8F68-D28B6AF4A901}">
        <xltc2:checksum/>
        <xltc2:hyperlink startIndex="0" length="85" url="https://drive.google.com/file/d/1YoXWUbaqCtiB5rh2_8TMq56_Nc4iTksn/view?usp=drive_link"/>
      </ext>
    </x18tc:extLst>
  </x18tc:threadedComment>
  <x18tc:threadedComment ref="L130" dT="2025-07-18T23:57:45.00" personId="{4df2d6c4-e43e-4f2e-b623-d90f458472ff}" id="{49ac844c-89b6-46ac-8d66-37249ccfb50e}" parentId="{f1594ab3-5d51-44aa-80a8-711343d393fa}">
    <x18tc:text xml:space="preserve">https://drive.google.com/file/d/1d12j6rp7A87-zbiOtHIE1TUj2_DtlhS8/view?usp=drive_link</x18tc:text>
    <x18tc:extLst>
      <ext uri="{F7C98A9C-CBB3-438F-8F68-D28B6AF4A901}">
        <xltc2:checksum/>
        <xltc2:hyperlink startIndex="0" length="85" url="https://drive.google.com/file/d/1d12j6rp7A87-zbiOtHIE1TUj2_DtlhS8/view?usp=drive_link"/>
      </ext>
    </x18tc:extLst>
  </x18tc:threadedComment>
  <x18tc:threadedComment ref="AI707" dT="2026-05-18T21:35:56.00" personId="{7d9bea4b-cfe7-4c29-b483-8e83a1c4f52a}" id="{81c3feb6-8cd1-4a3a-a0d5-5c96e023b1f7}" done="0">
    <x18tc:text xml:space="preserve">https://drive.google.com/file/d/1Vb4vdKUxVVan5Cb6m1jEFKbLBoIJmSEB/view?usp=drive_link</x18tc:text>
    <x18tc:extLst>
      <ext uri="{F7C98A9C-CBB3-438F-8F68-D28B6AF4A901}">
        <xltc2:checksum/>
        <xltc2:hyperlink startIndex="0" length="85" url="https://drive.google.com/file/d/1Vb4vdKUxVVan5Cb6m1jEFKbLBoIJmSEB/view?usp=drive_link"/>
      </ext>
    </x18tc:extLst>
  </x18tc:threadedComment>
  <x18tc:threadedComment ref="AF267" dT="2025-10-24T21:01:48.00" personId="{2ddfa542-8116-4937-a057-08470d7abaab}" id="{9172a03c-c866-41dd-aff5-a529522494bc}" done="1">
    <x18tc:text xml:space="preserve">falta forms</x18tc:text>
  </x18tc:threadedComment>
  <x18tc:threadedComment ref="W487" dT="2026-01-27T23:09:06.00" personId="{2ddfa542-8116-4937-a057-08470d7abaab}" id="{184a4cb8-2d8d-456b-b886-c3175fc4e611}" done="0">
    <x18tc:text xml:space="preserve">https://drive.google.com/open?id=1IXeR68C_08HPO-14OHU3s0iM6YbX2dUi&amp;usp=drive_copy</x18tc:text>
    <x18tc:extLst>
      <ext uri="{F7C98A9C-CBB3-438F-8F68-D28B6AF4A901}">
        <xltc2:checksum/>
        <xltc2:hyperlink startIndex="0" length="81" url="https://drive.google.com/open?id=1IXeR68C_08HPO-14OHU3s0iM6YbX2dUi&amp;usp=drive_copy"/>
      </ext>
    </x18tc:extLst>
  </x18tc:threadedComment>
  <x18tc:threadedComment ref="F393" dT="2025-12-08T05:37:56.00" personId="{2ddfa542-8116-4937-a057-08470d7abaab}" id="{c6edc3da-4973-431a-909c-ce34d0fa7f9b}" done="1">
    <x18tc:text xml:space="preserve">Recibo pendiente</x18tc:text>
  </x18tc:threadedComment>
  <x18tc:threadedComment ref="W486" dT="2026-01-27T23:04:01.00" personId="{2ddfa542-8116-4937-a057-08470d7abaab}" id="{c4157fcf-e473-43fc-aeac-593db967c4f4}" done="0">
    <x18tc:text xml:space="preserve">https://drive.google.com/open?id=14OA36Q-kCI3-NnyQ-gfCF3unK6fr7uy3&amp;usp=drive_copy</x18tc:text>
    <x18tc:extLst>
      <ext uri="{F7C98A9C-CBB3-438F-8F68-D28B6AF4A901}">
        <xltc2:checksum/>
        <xltc2:hyperlink startIndex="0" length="81" url="https://drive.google.com/open?id=14OA36Q-kCI3-NnyQ-gfCF3unK6fr7uy3&amp;usp=drive_copy"/>
      </ext>
    </x18tc:extLst>
  </x18tc:threadedComment>
  <x18tc:threadedComment ref="K425" dT="2026-01-05T16:00:44.00" personId="{d8e4f5ad-b65d-4160-a56f-197530fb7eb1}" id="{ee221db6-0a0c-49d7-b81f-a6380d681e52}" done="0">
    <x18tc:text xml:space="preserve">https://drive.google.com/file/d/1q297Q3GzBqpR30yKGxMnA98cFVcOqeaS/view?usp=drive_link</x18tc:text>
    <x18tc:extLst>
      <ext uri="{F7C98A9C-CBB3-438F-8F68-D28B6AF4A901}">
        <xltc2:checksum/>
        <xltc2:hyperlink startIndex="0" length="85" url="https://drive.google.com/file/d/1q297Q3GzBqpR30yKGxMnA98cFVcOqeaS/view?usp=drive_link"/>
      </ext>
    </x18tc:extLst>
  </x18tc:threadedComment>
  <x18tc:threadedComment ref="K425" dT="2026-01-05T16:00:57.00" personId="{d8e4f5ad-b65d-4160-a56f-197530fb7eb1}" id="{4b2d51e6-a574-4e3f-8037-4aae98d8d521}" parentId="{ee221db6-0a0c-49d7-b81f-a6380d681e52}">
    <x18tc:text xml:space="preserve">https://drive.google.com/file/d/1L_5KEuQSzageoUxbZHFVMFI1-gm9f2Ja/view?usp=drive_link</x18tc:text>
    <x18tc:extLst>
      <ext uri="{F7C98A9C-CBB3-438F-8F68-D28B6AF4A901}">
        <xltc2:checksum/>
        <xltc2:hyperlink startIndex="0" length="85" url="https://drive.google.com/file/d/1L_5KEuQSzageoUxbZHFVMFI1-gm9f2Ja/view?usp=drive_link"/>
      </ext>
    </x18tc:extLst>
  </x18tc:threadedComment>
  <x18tc:threadedComment ref="W345" dT="2025-12-31T17:18:10.00" personId="{2ddfa542-8116-4937-a057-08470d7abaab}" id="{8c9252f0-40b1-41e9-b9b6-f86d08147c74}" done="0">
    <x18tc:text xml:space="preserve">https://drive.google.com/file/d/1QKwRTExCRHCwLoOvQprx7JSRqUaYJjx5/view?usp=drive_link</x18tc:text>
    <x18tc:extLst>
      <ext uri="{F7C98A9C-CBB3-438F-8F68-D28B6AF4A901}">
        <xltc2:checksum/>
        <xltc2:hyperlink startIndex="0" length="85" url="https://drive.google.com/file/d/1QKwRTExCRHCwLoOvQprx7JSRqUaYJjx5/view?usp=drive_link"/>
      </ext>
    </x18tc:extLst>
  </x18tc:threadedComment>
  <x18tc:threadedComment ref="C282" dT="2025-10-24T23:02:04.00" personId="{d8e4f5ad-b65d-4160-a56f-197530fb7eb1}" id="{4119049d-4d22-4e99-88f3-d97c6ce639a2}" done="0">
    <x18tc:text xml:space="preserve">https://www.ebay.com/itm/326796273441?_skw=rtx&amp;itmmeta=01K823H294CFBNF3WNE2SCNEA2&amp;hash=item4c16936721:g:BH0AAeSwoaBo80iW</x18tc:text>
    <x18tc:extLst>
      <ext uri="{F7C98A9C-CBB3-438F-8F68-D28B6AF4A901}">
        <xltc2:checksum/>
        <xltc2:hyperlink startIndex="0" length="120" url="https://www.ebay.com/itm/326796273441?_skw=rtx&amp;itmmeta=01K823H294CFBNF3WNE2SCNEA2&amp;hash=item4c16936721:g:BH0AAeSwoaBo80iW"/>
      </ext>
    </x18tc:extLst>
  </x18tc:threadedComment>
  <x18tc:threadedComment ref="A1" dT="2025-07-19T00:17:42.00" personId="{4df2d6c4-e43e-4f2e-b623-d90f458472ff}" id="{c292c4de-0ddb-4562-bcfc-c49b4f306ee6}" done="0">
    <x18tc:text xml:space="preserve">se queda en Porlles</x18tc:text>
  </x18tc:threadedComment>
  <x18tc:threadedComment ref="W482" dT="2026-01-27T22:42:35.00" personId="{2ddfa542-8116-4937-a057-08470d7abaab}" id="{db302fb4-bc24-47ac-a843-a1752d8608a3}" done="0">
    <x18tc:text xml:space="preserve">https://drive.google.com/open?id=1yEUkrsd5OFJafAnKSM4jyzcbwHvffI8g&amp;usp=drive_copy</x18tc:text>
    <x18tc:extLst>
      <ext uri="{F7C98A9C-CBB3-438F-8F68-D28B6AF4A901}">
        <xltc2:checksum/>
        <xltc2:hyperlink startIndex="0" length="81" url="https://drive.google.com/open?id=1yEUkrsd5OFJafAnKSM4jyzcbwHvffI8g&amp;usp=drive_copy"/>
      </ext>
    </x18tc:extLst>
  </x18tc:threadedComment>
  <x18tc:threadedComment ref="W342" dT="2025-12-31T17:13:31.00" personId="{2ddfa542-8116-4937-a057-08470d7abaab}" id="{0e38a53c-725e-4a4d-8dc5-318f39f2d613}" done="0">
    <x18tc:text xml:space="preserve">https://drive.google.com/file/d/1AK0h0NI5zesgmzhCXX4V7GFcaxhn0BOV/view?usp=drive_link</x18tc:text>
    <x18tc:extLst>
      <ext uri="{F7C98A9C-CBB3-438F-8F68-D28B6AF4A901}">
        <xltc2:checksum/>
        <xltc2:hyperlink startIndex="0" length="85" url="https://drive.google.com/file/d/1AK0h0NI5zesgmzhCXX4V7GFcaxhn0BOV/view?usp=drive_link"/>
      </ext>
    </x18tc:extLst>
  </x18tc:threadedComment>
  <x18tc:threadedComment ref="W452" dT="2026-01-27T22:37:38.00" personId="{2ddfa542-8116-4937-a057-08470d7abaab}" id="{2db65483-08d7-45bc-8d8e-0aa3de59e264}" done="0">
    <x18tc:text xml:space="preserve">https://drive.google.com/open?id=1kcKfKZcN9ErGFn4Uaujl0eonpPfzlLv-&amp;usp=drive_copy</x18tc:text>
    <x18tc:extLst>
      <ext uri="{F7C98A9C-CBB3-438F-8F68-D28B6AF4A901}">
        <xltc2:checksum/>
        <xltc2:hyperlink startIndex="0" length="81" url="https://drive.google.com/open?id=1kcKfKZcN9ErGFn4Uaujl0eonpPfzlLv-&amp;usp=drive_copy"/>
      </ext>
    </x18tc:extLst>
  </x18tc:threadedComment>
  <x18tc:threadedComment ref="W247" dT="2025-09-27T23:37:41.00" personId="{d8e4f5ad-b65d-4160-a56f-197530fb7eb1}" id="{ebd2bca2-e267-471a-ae44-bf5dd2d55186}" done="0">
    <x18tc:text xml:space="preserve">https://drive.google.com/file/d/1KsqSHFyJImRL9rwfugHuaLekdmQY2OOh/view?usp=drive_link</x18tc:text>
    <x18tc:extLst>
      <ext uri="{F7C98A9C-CBB3-438F-8F68-D28B6AF4A901}">
        <xltc2:checksum/>
        <xltc2:hyperlink startIndex="0" length="85" url="https://drive.google.com/file/d/1KsqSHFyJImRL9rwfugHuaLekdmQY2OOh/view?usp=drive_link"/>
      </ext>
    </x18tc:extLst>
  </x18tc:threadedComment>
  <x18tc:threadedComment ref="J115" dT="2025-07-10T17:16:41.00" personId="{d8e4f5ad-b65d-4160-a56f-197530fb7eb1}" id="{97ca27f5-c4dd-4834-8ce8-b79c35918a0b}" done="0">
    <x18tc:text xml:space="preserve">https://drive.google.com/file/d/1WJ171sA3SuPQVUt0IndLtWiX551uSnR_/view?usp=drive_link</x18tc:text>
    <x18tc:extLst>
      <ext uri="{F7C98A9C-CBB3-438F-8F68-D28B6AF4A901}">
        <xltc2:checksum/>
        <xltc2:hyperlink startIndex="0" length="85" url="https://drive.google.com/file/d/1WJ171sA3SuPQVUt0IndLtWiX551uSnR_/view?usp=drive_link"/>
      </ext>
    </x18tc:extLst>
  </x18tc:threadedComment>
  <x18tc:threadedComment ref="K357" dT="2025-12-22T21:30:07.00" personId="{a5d43f6d-3c72-4414-b012-8f52ef50acc4}" id="{51ae4cfb-faee-4ef3-8e3d-475ae89e4746}" done="0">
    <x18tc:text xml:space="preserve">https://drive.google.com/file/d/1bHJcAVUxYsGwH3zb0giJQPjaymUHspJJ/view?usp=drive_link</x18tc:text>
    <x18tc:extLst>
      <ext uri="{F7C98A9C-CBB3-438F-8F68-D28B6AF4A901}">
        <xltc2:checksum/>
        <xltc2:hyperlink startIndex="0" length="85" url="https://drive.google.com/file/d/1bHJcAVUxYsGwH3zb0giJQPjaymUHspJJ/view?usp=drive_link"/>
      </ext>
    </x18tc:extLst>
  </x18tc:threadedComment>
  <x18tc:threadedComment ref="C25" dT="2025-04-24T00:02:45.00" personId="{a5d43f6d-3c72-4414-b012-8f52ef50acc4}" id="{a37de7b0-b67e-4c1a-a27f-41e0ff24b77b}" done="0">
    <x18tc:text xml:space="preserve">https://www.amazon.com/-/es/Procesador-i9-13900H-port%C3%A1til-Pantalla-pulgadas/dp/B0D8JXHZTH/ref=sr_1_3?__mk_es_US=%C3%85M%C3%85%C5%BD%C3%95%C3%91&amp;crid=2RVMSLBIWSWPB&amp;dib=eyJ2IjoiMSJ9.MF9TL9Mr8pg8Wg7oNPukERytcUe0A86mioCRjx-pPb8knvx2m9FQZBQgtqtZmNBpwUAy3aNslHepVWVjSu1_aAX5W-M2IyUayr5i36eVnMJsPeuX2T9GNzRhQI5FsVcCLe6U6L_kB70lqpfIwol9cyb4w6Q0lkdztNVT2S2i7p8z16_kQjNxCljtbFWDAKw9MHhajh48WsBeaOyXe3vjdzvwUIFkd6tp7cCv78SOyY0.1zWcldI2l0Nf7QkaqwMtm9KIt9xmj8F96gTUK04_wnM&amp;dib_tag=se&amp;keywords=acer%2B4060&amp;qid=1745448413&amp;sprefix=acer%2B4060%2Caps%2C208&amp;sr=8-3&amp;th=1</x18tc:text>
    <x18tc:extLst>
      <ext uri="{F7C98A9C-CBB3-438F-8F68-D28B6AF4A901}">
        <xltc2:checksum/>
        <xltc2:hyperlink startIndex="0" length="555" url="https://www.amazon.com/-/es/Procesador-i9-13900H-port%C3%A1til-Pantalla-pulgadas/dp/B0D8JXHZTH/ref=sr_1_3?__mk_es_US=%C3%85M%C3%85%C5%BD%C3%95%C3%91&amp;crid=2RVMSLBIWSWPB&amp;dib=eyJ2IjoiMSJ9.MF9TL9Mr8pg8Wg7oNPukERytcUe0A86mioCRjx-pPb8knvx2m9FQZBQgtqtZmNBpwUAy3aNslHepVWVjSu1_aAX5W-M2IyUayr5i36eVnMJsPeuX2T9GNzRhQI5FsVcCLe6U6L_kB70lqpfIwol9cyb4w6Q0lkdztNVT2S2i7p8z16_kQjNxCljtbFWDAKw9MHhajh48WsBeaOyXe3vjdzvwUIFkd6tp7cCv78SOyY0.1zWcldI2l0Nf7QkaqwMtm9KIt9xmj8F96gTUK04_wnM&amp;dib_tag=se&amp;keywords=acer%2B4060&amp;qid=1745448413&amp;sprefix=acer%2B4060%2Caps%2C208&amp;sr=8-3&amp;th=1"/>
      </ext>
    </x18tc:extLst>
  </x18tc:threadedComment>
  <x18tc:threadedComment ref="K328" dT="2025-12-16T20:57:25.00" personId="{d8e4f5ad-b65d-4160-a56f-197530fb7eb1}" id="{9d1ceb4c-8189-456d-bfd2-8c408ded3a40}" done="0">
    <x18tc:text xml:space="preserve">https://drive.google.com/file/d/1h1wtwDwoMpx93APew4EOSrNuspx8uKhl/view?usp=drive_link</x18tc:text>
    <x18tc:extLst>
      <ext uri="{F7C98A9C-CBB3-438F-8F68-D28B6AF4A901}">
        <xltc2:checksum/>
        <xltc2:hyperlink startIndex="0" length="85" url="https://drive.google.com/file/d/1h1wtwDwoMpx93APew4EOSrNuspx8uKhl/view?usp=drive_link"/>
      </ext>
    </x18tc:extLst>
  </x18tc:threadedComment>
  <x18tc:threadedComment ref="J206" dT="2025-09-02T16:22:40.00" personId="{d8e4f5ad-b65d-4160-a56f-197530fb7eb1}" id="{38b3f228-32c8-4ef4-ac01-2c8b9c581e06}" done="0">
    <x18tc:text xml:space="preserve">https://drive.google.com/file/d/1VVrbGWiPAfpN9vlMJslrkviuEvbrGzW-/view?usp=drive_link</x18tc:text>
    <x18tc:extLst>
      <ext uri="{F7C98A9C-CBB3-438F-8F68-D28B6AF4A901}">
        <xltc2:checksum/>
        <xltc2:hyperlink startIndex="0" length="85" url="https://drive.google.com/file/d/1VVrbGWiPAfpN9vlMJslrkviuEvbrGzW-/view?usp=drive_link"/>
      </ext>
    </x18tc:extLst>
  </x18tc:threadedComment>
  <x18tc:threadedComment ref="W235" dT="2025-11-01T01:39:23.00" personId="{4df2d6c4-e43e-4f2e-b623-d90f458472ff}" id="{eabcaf2c-9f3c-4b51-b0c6-0a6945ca7f04}" done="0">
    <x18tc:text xml:space="preserve">ES MENOR DE EDAD PIPIPI</x18tc:text>
  </x18tc:threadedComment>
  <x18tc:threadedComment ref="L25" dT="2025-04-24T00:22:24.00" personId="{a5d43f6d-3c72-4414-b012-8f52ef50acc4}" id="{71be4b6b-a0ba-49b2-b09f-5df69e9ce5d1}" done="1">
    <x18tc:text xml:space="preserve">164 para configuración inicial y algo más</x18tc:text>
  </x18tc:threadedComment>
  <x18tc:threadedComment ref="C631" dT="2026-03-22T03:34:24.00" personId="{4df2d6c4-e43e-4f2e-b623-d90f458472ff}" id="{b7c13362-1669-413b-9fbe-ca0d218c2d13}"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249" dT="2025-11-01T01:50:29.00" personId="{4df2d6c4-e43e-4f2e-b623-d90f458472ff}" id="{d381067b-941f-44d9-8b24-300419829d80}" done="1">
    <x18tc:text xml:space="preserve">https://drive.google.com/file/d/1oZoh7g_GBzBcy9X8aWVl0W5zRPZ0SvzB/view?usp=drive_link</x18tc:text>
    <x18tc:extLst>
      <ext uri="{F7C98A9C-CBB3-438F-8F68-D28B6AF4A901}">
        <xltc2:checksum/>
        <xltc2:hyperlink startIndex="0" length="85" url="https://drive.google.com/file/d/1oZoh7g_GBzBcy9X8aWVl0W5zRPZ0SvzB/view?usp=drive_link"/>
      </ext>
    </x18tc:extLst>
  </x18tc:threadedComment>
  <x18tc:threadedComment ref="C24" dT="2025-04-23T23:27:46.00" personId="{4df2d6c4-e43e-4f2e-b623-d90f458472ff}" id="{6d652617-8f94-40b0-b2e5-754743bbb745}" done="0">
    <x18tc:text xml:space="preserve">https://www.ebay.com/itm/306262117598?_skw=4060&amp;itmmeta=01JSE8V61EHTAGCGPNETVA20JY&amp;hash=item474ea50cde%3Ag%3AaaMAAeSwmBJnwjGJ&amp;itmprp=enc%3AAQAKAAAA4FkggFvd1GGDu0w3yXCmi1e9OeRSHsyKV4DDRiXEGRaJNNQT%2BOEIn%2BFEiBOsvZlfOFNjjjMcW%2BY914q6QKcDYgQJxJzB1pDTlv1lKj9j96KH1GFKou1hyDUHABncz8F3NqKWLizaeAN86Hlrnz%2F75lsQRVkWcZDwCBq%2Fs93mwuzqq44taAgax6v06xRPD4sGujfXM2UcFoIIHp%2BesnPU6yF1bJfkCRPZ9TeKvkpAl5mvd9FUkENmtMEchsGjsb%2FXXY0G18259q%2Bh5QAuxqyGlOSH%2B%2FSQFPQhTPonia80rF3f%7Ctkp%3ABk9SR_zh7MjLZQ&amp;LH_BIN=1&amp;LH_ItemCondition=1000</x18tc:text>
    <x18tc:extLst>
      <ext uri="{F7C98A9C-CBB3-438F-8F68-D28B6AF4A901}">
        <xltc2:checksum/>
        <xltc2:hyperlink startIndex="0" length="521" url="https://www.ebay.com/itm/306262117598?_skw=4060&amp;itmmeta=01JSE8V61EHTAGCGPNETVA20JY&amp;hash=item474ea50cde%3Ag%3AaaMAAeSwmBJnwjGJ&amp;itmprp=enc%3AAQAKAAAA4FkggFvd1GGDu0w3yXCmi1e9OeRSHsyKV4DDRiXEGRaJNNQT%2BOEIn%2BFEiBOsvZlfOFNjjjMcW%2BY914q6QKcDYgQJxJzB1pDTlv1lKj9j96KH1GFKou1hyDUHABncz8F3NqKWLizaeAN86Hlrnz%2F75lsQRVkWcZDwCBq%2Fs93mwuzqq44taAgax6v06xRPD4sGujfXM2UcFoIIHp%2BesnPU6yF1bJfkCRPZ9TeKvkpAl5mvd9FUkENmtMEchsGjsb%2FXXY0G18259q%2Bh5QAuxqyGlOSH%2B%2FSQFPQhTPonia80rF3f%7Ctkp%3ABk9SR_zh7MjLZQ&amp;LH_BIN=1&amp;LH_ItemCondition=1000"/>
      </ext>
    </x18tc:extLst>
  </x18tc:threadedComment>
  <x18tc:threadedComment ref="W288" dT="2025-11-01T00:28:43.00" personId="{d8e4f5ad-b65d-4160-a56f-197530fb7eb1}" id="{6baad6ea-8903-4ff4-b8ae-5033acd6eb2d}" done="0">
    <x18tc:text xml:space="preserve">https://drive.google.com/file/d/1rS0WlEv9eCNLS79Pd8cPlV1lKsp7ZGFh/view?usp=drive_link</x18tc:text>
    <x18tc:extLst>
      <ext uri="{F7C98A9C-CBB3-438F-8F68-D28B6AF4A901}">
        <xltc2:checksum/>
        <xltc2:hyperlink startIndex="0" length="85" url="https://drive.google.com/file/d/1rS0WlEv9eCNLS79Pd8cPlV1lKsp7ZGFh/view?usp=drive_link"/>
      </ext>
    </x18tc:extLst>
  </x18tc:threadedComment>
  <x18tc:threadedComment ref="K395" dT="2025-12-18T18:42:02.00" personId="{a5d43f6d-3c72-4414-b012-8f52ef50acc4}" id="{e65705cf-37a8-4596-bd34-8d3abcbcaec7}" done="0">
    <x18tc:text xml:space="preserve">https://drive.google.com/file/d/18RWkXFg2T0CeJiMCHSTOGR-ev2Wfeb_N/view?usp=drive_link
https://drive.google.com/file/d/1M2IrNA8aAb2JhCUfh6T0qocDdbCwhcXL/view?usp=drive_link
pago de diferencia de mercado libre por envio https://drive.google.com/file/d/1RnTxAgvFFTmdoQh-IHRJerTtLWLDly5e/view?usp=drive_link</x18tc:text>
    <x18tc:extLst>
      <ext uri="{F7C98A9C-CBB3-438F-8F68-D28B6AF4A901}">
        <xltc2:checksum/>
        <xltc2:hyperlink startIndex="0" length="85" url="https://drive.google.com/file/d/18RWkXFg2T0CeJiMCHSTOGR-ev2Wfeb_N/view?usp=drive_link"/>
        <xltc2:hyperlink startIndex="86" length="85" url="https://drive.google.com/file/d/1M2IrNA8aAb2JhCUfh6T0qocDdbCwhcXL/view?usp=drive_link"/>
        <xltc2:hyperlink startIndex="218" length="85" url="https://drive.google.com/file/d/1RnTxAgvFFTmdoQh-IHRJerTtLWLDly5e/view?usp=drive_link"/>
      </ext>
    </x18tc:extLst>
  </x18tc:threadedComment>
  <x18tc:threadedComment ref="AF273" dT="2025-10-28T00:50:13.00" personId="{2ddfa542-8116-4937-a057-08470d7abaab}" id="{8a6ab582-ffb0-4551-a2ae-8cb7fb061855}" done="1">
    <x18tc:text xml:space="preserve">comprobante</x18tc:text>
  </x18tc:threadedComment>
  <x18tc:threadedComment ref="W290" dT="2025-11-01T00:25:48.00" personId="{d8e4f5ad-b65d-4160-a56f-197530fb7eb1}" id="{394bb348-ebba-4940-b982-f189f8033923}" done="0">
    <x18tc:text xml:space="preserve">https://drive.google.com/file/d/16-oA5G3Y6FtxAxoyH56I9U21JTtcEk3d/view?usp=drive_link</x18tc:text>
    <x18tc:extLst>
      <ext uri="{F7C98A9C-CBB3-438F-8F68-D28B6AF4A901}">
        <xltc2:checksum/>
        <xltc2:hyperlink startIndex="0" length="85" url="https://drive.google.com/file/d/16-oA5G3Y6FtxAxoyH56I9U21JTtcEk3d/view?usp=drive_link"/>
      </ext>
    </x18tc:extLst>
  </x18tc:threadedComment>
  <x18tc:threadedComment ref="F630" dT="2026-03-22T04:14:04.00" personId="{6afbe8df-a68a-4403-9951-ca8c0d21ef43}" id="{14708fd9-e9fe-43b7-80e7-e4322605a533}" done="1">
    <x18tc:text xml:space="preserve">el pago está siendo procesado, hay que verificar mañana</x18tc:text>
  </x18tc:threadedComment>
  <x18tc:threadedComment ref="F630" dT="2026-03-23T17:00:31.00" personId="{2ddfa542-8116-4937-a057-08470d7abaab}" id="{21d8cde8-8217-4c12-a564-04bf3ac29262}" parentId="{14708fd9-e9fe-43b7-80e7-e4322605a533}">
    <x18tc:text xml:space="preserve">sigue procesando la orden</x18tc:text>
  </x18tc:threadedComment>
  <x18tc:threadedComment ref="W388" dT="2025-12-31T18:10:53.00" personId="{2ddfa542-8116-4937-a057-08470d7abaab}" id="{74e8d1ea-6553-4a25-a732-098660d5a8e3}" done="0">
    <x18tc:text xml:space="preserve">https://drive.google.com/file/d/11rUNImfkce_I3bpjftA6rwRnSSp8scGg/view?usp=drive_link</x18tc:text>
    <x18tc:extLst>
      <ext uri="{F7C98A9C-CBB3-438F-8F68-D28B6AF4A901}">
        <xltc2:checksum/>
        <xltc2:hyperlink startIndex="0" length="85" url="https://drive.google.com/file/d/11rUNImfkce_I3bpjftA6rwRnSSp8scGg/view?usp=drive_link"/>
      </ext>
    </x18tc:extLst>
  </x18tc:threadedComment>
  <x18tc:threadedComment ref="J207" dT="2025-09-02T17:49:44.00" personId="{d8e4f5ad-b65d-4160-a56f-197530fb7eb1}" id="{9bc692fd-02dc-4cda-bbf9-6844cf8dd697}" done="0">
    <x18tc:text xml:space="preserve">https://drive.google.com/file/d/1o3D9cp5B-ddXobYe7cEshHjAc1202O6j/view?usp=drive_link</x18tc:text>
    <x18tc:extLst>
      <ext uri="{F7C98A9C-CBB3-438F-8F68-D28B6AF4A901}">
        <xltc2:checksum/>
        <xltc2:hyperlink startIndex="0" length="85" url="https://drive.google.com/file/d/1o3D9cp5B-ddXobYe7cEshHjAc1202O6j/view?usp=drive_link"/>
      </ext>
    </x18tc:extLst>
  </x18tc:threadedComment>
  <x18tc:threadedComment ref="J598" dT="2026-03-11T23:41:19.00" personId="{d8e4f5ad-b65d-4160-a56f-197530fb7eb1}" id="{a8d6ce8f-147c-40b0-bfd1-172942cca825}" done="0">
    <x18tc:text xml:space="preserve">https://drive.google.com/file/d/1KcsMJqoQ0ckfARSnoWnH4mrbwiMApJke/view?usp=drive_link</x18tc:text>
    <x18tc:extLst>
      <ext uri="{F7C98A9C-CBB3-438F-8F68-D28B6AF4A901}">
        <xltc2:checksum/>
        <xltc2:hyperlink startIndex="0" length="85" url="https://drive.google.com/file/d/1KcsMJqoQ0ckfARSnoWnH4mrbwiMApJke/view?usp=drive_link"/>
      </ext>
    </x18tc:extLst>
  </x18tc:threadedComment>
  <x18tc:threadedComment ref="J598" dT="2026-03-11T23:41:34.00" personId="{d8e4f5ad-b65d-4160-a56f-197530fb7eb1}" id="{ff8ef033-9f81-4586-9b61-ae5312026d63}" parentId="{a8d6ce8f-147c-40b0-bfd1-172942cca825}">
    <x18tc:text xml:space="preserve">https://drive.google.com/file/d/1OfJXy7Bxx-QRxAKkJylwzBNBKpoQreQn/view?usp=drive_link</x18tc:text>
    <x18tc:extLst>
      <ext uri="{F7C98A9C-CBB3-438F-8F68-D28B6AF4A901}">
        <xltc2:checksum/>
        <xltc2:hyperlink startIndex="0" length="85" url="https://drive.google.com/file/d/1OfJXy7Bxx-QRxAKkJylwzBNBKpoQreQn/view?usp=drive_link"/>
      </ext>
    </x18tc:extLst>
  </x18tc:threadedComment>
  <x18tc:threadedComment ref="K337" dT="2025-12-17T00:46:23.00" personId="{a5d43f6d-3c72-4414-b012-8f52ef50acc4}" id="{1e6e9665-1d7a-456c-aa16-632f0fc3f4c9}" done="0">
    <x18tc:text xml:space="preserve">https://drive.google.com/file/d/1JK0RGt8AjXDsvSMiq5yMKShJrTsC1SFo/view?usp=drive_link</x18tc:text>
    <x18tc:extLst>
      <ext uri="{F7C98A9C-CBB3-438F-8F68-D28B6AF4A901}">
        <xltc2:checksum/>
        <xltc2:hyperlink startIndex="0" length="85" url="https://drive.google.com/file/d/1JK0RGt8AjXDsvSMiq5yMKShJrTsC1SFo/view?usp=drive_link"/>
      </ext>
    </x18tc:extLst>
  </x18tc:threadedComment>
  <x18tc:threadedComment ref="L290" dT="2025-11-01T00:38:00.00" personId="{d8e4f5ad-b65d-4160-a56f-197530fb7eb1}" id="{b222f3f5-cad1-44db-bea3-b68853559824}" done="0">
    <x18tc:text xml:space="preserve">https://drive.google.com/file/d/1W0751Cw7UMUmIcQvOIDTbph-rXmj8Vj9/view?usp=drive_link</x18tc:text>
    <x18tc:extLst>
      <ext uri="{F7C98A9C-CBB3-438F-8F68-D28B6AF4A901}">
        <xltc2:checksum/>
        <xltc2:hyperlink startIndex="0" length="85" url="https://drive.google.com/file/d/1W0751Cw7UMUmIcQvOIDTbph-rXmj8Vj9/view?usp=drive_link"/>
      </ext>
    </x18tc:extLst>
  </x18tc:threadedComment>
  <x18tc:threadedComment ref="L274" dT="2025-11-01T15:55:27.00" personId="{4df2d6c4-e43e-4f2e-b623-d90f458472ff}" id="{a641495c-466a-4f39-b7a8-cdabb390868d}" done="0">
    <x18tc:text xml:space="preserve">https://drive.google.com/file/d/11pJQohdkH1AsuGmqEZ4wjKcCs03tXGLs/view?usp=drive_link</x18tc:text>
    <x18tc:extLst>
      <ext uri="{F7C98A9C-CBB3-438F-8F68-D28B6AF4A901}">
        <xltc2:checksum/>
        <xltc2:hyperlink startIndex="0" length="85" url="https://drive.google.com/file/d/11pJQohdkH1AsuGmqEZ4wjKcCs03tXGLs/view?usp=drive_link"/>
      </ext>
    </x18tc:extLst>
  </x18tc:threadedComment>
  <x18tc:threadedComment ref="K685" dT="2026-06-05T20:30:14.00" personId="{f9b224d0-ee33-4499-ae47-db5bcd2d0435}" id="{9227ba70-e274-423e-a94c-320786376a05}" done="0">
    <x18tc:text xml:space="preserve">https://drive.google.com/file/d/1OlooRMKZKUBcIKZUU86WWfGJC03IZoJM/view?usp=drive_link</x18tc:text>
    <x18tc:extLst>
      <ext uri="{F7C98A9C-CBB3-438F-8F68-D28B6AF4A901}">
        <xltc2:checksum/>
        <xltc2:hyperlink startIndex="0" length="85" url="https://drive.google.com/file/d/1OlooRMKZKUBcIKZUU86WWfGJC03IZoJM/view?usp=drive_link"/>
      </ext>
    </x18tc:extLst>
  </x18tc:threadedComment>
  <x18tc:threadedComment ref="J452" dT="2025-12-31T18:10:27.00" personId="{d8e4f5ad-b65d-4160-a56f-197530fb7eb1}" id="{95c02135-70e5-44ee-abbf-b3e68d97fbfe}" done="0">
    <x18tc:text xml:space="preserve">https://drive.google.com/file/d/12J-CuioUZGi9_gvkpERKF_PZorqHj21L/view?usp=drive_link</x18tc:text>
    <x18tc:extLst>
      <ext uri="{F7C98A9C-CBB3-438F-8F68-D28B6AF4A901}">
        <xltc2:checksum/>
        <xltc2:hyperlink startIndex="0" length="85" url="https://drive.google.com/file/d/12J-CuioUZGi9_gvkpERKF_PZorqHj21L/view?usp=drive_link"/>
      </ext>
    </x18tc:extLst>
  </x18tc:threadedComment>
  <x18tc:threadedComment ref="J452" dT="2026-01-02T16:13:37.00" personId="{d8e4f5ad-b65d-4160-a56f-197530fb7eb1}" id="{441465bd-c8d6-492d-bbb5-506c57fa8dc0}" parentId="{95c02135-70e5-44ee-abbf-b3e68d97fbfe}">
    <x18tc:text xml:space="preserve">https://drive.google.com/file/d/1lqZG7Ap0mlIhhot9-NJCknbYd4YfeS6G/view?usp=drive_link</x18tc:text>
    <x18tc:extLst>
      <ext uri="{F7C98A9C-CBB3-438F-8F68-D28B6AF4A901}">
        <xltc2:checksum/>
        <xltc2:hyperlink startIndex="0" length="85" url="https://drive.google.com/file/d/1lqZG7Ap0mlIhhot9-NJCknbYd4YfeS6G/view?usp=drive_link"/>
      </ext>
    </x18tc:extLst>
  </x18tc:threadedComment>
  <x18tc:threadedComment ref="J452" dT="2026-01-02T16:13:51.00" personId="{d8e4f5ad-b65d-4160-a56f-197530fb7eb1}" id="{27db745b-066e-4f89-9d89-836ebe635eb3}" parentId="{95c02135-70e5-44ee-abbf-b3e68d97fbfe}">
    <x18tc:text xml:space="preserve">https://drive.google.com/file/d/18hmRAsp1OQJvYIMz2l-t-WItpjeAA68S/view?usp=drive_link</x18tc:text>
    <x18tc:extLst>
      <ext uri="{F7C98A9C-CBB3-438F-8F68-D28B6AF4A901}">
        <xltc2:checksum/>
        <xltc2:hyperlink startIndex="0" length="85" url="https://drive.google.com/file/d/18hmRAsp1OQJvYIMz2l-t-WItpjeAA68S/view?usp=drive_link"/>
      </ext>
    </x18tc:extLst>
  </x18tc:threadedComment>
  <x18tc:threadedComment ref="W326" dT="2025-12-22T22:26:23.00" personId="{2ddfa542-8116-4937-a057-08470d7abaab}" id="{91eef53c-229e-4aa7-8ae4-0aca5ce22805}" done="0">
    <x18tc:text xml:space="preserve">https://drive.google.com/file/d/1N9Oqr2fY99YSz0uppGMxmPtyoO6Mq2wE/view?usp=drive_link</x18tc:text>
    <x18tc:extLst>
      <ext uri="{F7C98A9C-CBB3-438F-8F68-D28B6AF4A901}">
        <xltc2:checksum/>
        <xltc2:hyperlink startIndex="0" length="85" url="https://drive.google.com/file/d/1N9Oqr2fY99YSz0uppGMxmPtyoO6Mq2wE/view?usp=drive_link"/>
      </ext>
    </x18tc:extLst>
  </x18tc:threadedComment>
  <x18tc:threadedComment ref="J613" dT="2026-03-19T00:26:03.00" personId="{d8e4f5ad-b65d-4160-a56f-197530fb7eb1}" id="{273f7543-8bbb-48b0-9a9d-d33d944492e0}" done="0">
    <x18tc:text xml:space="preserve">https://drive.google.com/file/d/1GkeqQEJC0Nxjg19aHKAPq_ObLmuOgv00/view?usp=drive_link</x18tc:text>
    <x18tc:extLst>
      <ext uri="{F7C98A9C-CBB3-438F-8F68-D28B6AF4A901}">
        <xltc2:checksum/>
        <xltc2:hyperlink startIndex="0" length="85" url="https://drive.google.com/file/d/1GkeqQEJC0Nxjg19aHKAPq_ObLmuOgv00/view?usp=drive_link"/>
      </ext>
    </x18tc:extLst>
  </x18tc:threadedComment>
  <x18tc:threadedComment ref="W274" dT="2025-11-01T15:59:49.00" personId="{4df2d6c4-e43e-4f2e-b623-d90f458472ff}" id="{1837083c-48ab-436b-9940-00b7ef3c830d}" done="0">
    <x18tc:text xml:space="preserve">https://drive.google.com/file/d/1BQh3z2y7eRQFNy0hM6a_6CSW3xboYxjG/view?usp=drive_link</x18tc:text>
    <x18tc:extLst>
      <ext uri="{F7C98A9C-CBB3-438F-8F68-D28B6AF4A901}">
        <xltc2:checksum/>
        <xltc2:hyperlink startIndex="0" length="85" url="https://drive.google.com/file/d/1BQh3z2y7eRQFNy0hM6a_6CSW3xboYxjG/view?usp=drive_link"/>
      </ext>
    </x18tc:extLst>
  </x18tc:threadedComment>
  <x18tc:threadedComment ref="K392" dT="2025-12-31T18:09:18.00" personId="{d8e4f5ad-b65d-4160-a56f-197530fb7eb1}" id="{8d5e3dc8-81ac-44c0-9d3c-3ead0a66948c}" done="0">
    <x18tc:text xml:space="preserve">https://drive.google.com/file/d/1OyFYrFH1LtqrJrUw3lW0ouUp6ByhZ_m1/view?usp=drive_link</x18tc:text>
    <x18tc:extLst>
      <ext uri="{F7C98A9C-CBB3-438F-8F68-D28B6AF4A901}">
        <xltc2:checksum/>
        <xltc2:hyperlink startIndex="0" length="85" url="https://drive.google.com/file/d/1OyFYrFH1LtqrJrUw3lW0ouUp6ByhZ_m1/view?usp=drive_link"/>
      </ext>
    </x18tc:extLst>
  </x18tc:threadedComment>
  <x18tc:threadedComment ref="W325" dT="2025-12-22T22:21:06.00" personId="{2ddfa542-8116-4937-a057-08470d7abaab}" id="{fafa6df3-e098-4f73-b5c6-5c0c5b81a5ae}" done="0">
    <x18tc:text xml:space="preserve">https://drive.google.com/file/d/1_M1XTRrLnON_hq5HjVsQaIjqRe2_h7Ez/view?usp=drive_link</x18tc:text>
    <x18tc:extLst>
      <ext uri="{F7C98A9C-CBB3-438F-8F68-D28B6AF4A901}">
        <xltc2:checksum/>
        <xltc2:hyperlink startIndex="0" length="85" url="https://drive.google.com/file/d/1_M1XTRrLnON_hq5HjVsQaIjqRe2_h7Ez/view?usp=drive_link"/>
      </ext>
    </x18tc:extLst>
  </x18tc:threadedComment>
  <x18tc:threadedComment ref="J337" dT="2025-12-16T18:25:08.00" personId="{a5d43f6d-3c72-4414-b012-8f52ef50acc4}" id="{59eb40da-c365-4962-a9ac-2506a5c1e2da}" done="0">
    <x18tc:text xml:space="preserve">https://drive.google.com/file/d/1pcGVD5HvMdurlj-fD6mgYszCYbBbrouq/view?usp=drive_link</x18tc:text>
    <x18tc:extLst>
      <ext uri="{F7C98A9C-CBB3-438F-8F68-D28B6AF4A901}">
        <xltc2:checksum/>
        <xltc2:hyperlink startIndex="0" length="85" url="https://drive.google.com/file/d/1pcGVD5HvMdurlj-fD6mgYszCYbBbrouq/view?usp=drive_link"/>
      </ext>
    </x18tc:extLst>
  </x18tc:threadedComment>
  <x18tc:threadedComment ref="D408" dT="2025-12-17T00:50:28.00" personId="{4df2d6c4-e43e-4f2e-b623-d90f458472ff}" id="{10d15cb9-29ff-45b8-9b1d-b12a0ed933c0}" done="0">
    <x18tc:text xml:space="preserve">memorira ram de 16 gb 521</x18tc:text>
  </x18tc:threadedComment>
  <x18tc:threadedComment ref="L249" dT="2025-11-01T15:40:26.00" personId="{4df2d6c4-e43e-4f2e-b623-d90f458472ff}" id="{a42c2a23-a005-4f63-8798-340bb25c2d06}" done="0">
    <x18tc:text xml:space="preserve">https://drive.google.com/file/d/1oZoh7g_GBzBcy9X8aWVl0W5zRPZ0SvzB/view?usp=drive_link</x18tc:text>
    <x18tc:extLst>
      <ext uri="{F7C98A9C-CBB3-438F-8F68-D28B6AF4A901}">
        <xltc2:checksum/>
        <xltc2:hyperlink startIndex="0" length="85" url="https://drive.google.com/file/d/1oZoh7g_GBzBcy9X8aWVl0W5zRPZ0SvzB/view?usp=drive_link"/>
      </ext>
    </x18tc:extLst>
  </x18tc:threadedComment>
  <x18tc:threadedComment ref="L249" dT="2025-11-01T15:42:19.00" personId="{4df2d6c4-e43e-4f2e-b623-d90f458472ff}" id="{984dc92c-9f22-4c01-b90f-316508c1381f}" parentId="{a42c2a23-a005-4f63-8798-340bb25c2d06}">
    <x18tc:text xml:space="preserve">https://drive.google.com/file/d/1FcMZ_cWN_UXCJeps-fYYZ8nKf5JkQZOy/view?usp=drive_link</x18tc:text>
    <x18tc:extLst>
      <ext uri="{F7C98A9C-CBB3-438F-8F68-D28B6AF4A901}">
        <xltc2:checksum/>
        <xltc2:hyperlink startIndex="0" length="85" url="https://drive.google.com/file/d/1FcMZ_cWN_UXCJeps-fYYZ8nKf5JkQZOy/view?usp=drive_link"/>
      </ext>
    </x18tc:extLst>
  </x18tc:threadedComment>
  <x18tc:threadedComment ref="W231" dT="2025-11-01T00:39:33.00" personId="{4df2d6c4-e43e-4f2e-b623-d90f458472ff}" id="{861857d2-a175-4c50-81a4-dd9180bc60dc}" done="0">
    <x18tc:text xml:space="preserve">https://drive.google.com/file/d/1Vl3etJjcYoinELop9JUV1WurDR_TBlpX/view?usp=drive_link</x18tc:text>
    <x18tc:extLst>
      <ext uri="{F7C98A9C-CBB3-438F-8F68-D28B6AF4A901}">
        <xltc2:checksum/>
        <xltc2:hyperlink startIndex="0" length="85" url="https://drive.google.com/file/d/1Vl3etJjcYoinELop9JUV1WurDR_TBlpX/view?usp=drive_link"/>
      </ext>
    </x18tc:extLst>
  </x18tc:threadedComment>
  <x18tc:threadedComment ref="Q275" dT="2025-11-01T16:27:34.00" personId="{4df2d6c4-e43e-4f2e-b623-d90f458472ff}" id="{10358e63-1c8f-4073-976d-ebc05c54a41e}" done="0">
    <x18tc:text xml:space="preserve">COMPRO RAM Y SSD</x18tc:text>
  </x18tc:threadedComment>
  <x18tc:threadedComment ref="K521" dT="2026-02-27T21:59:36.00" personId="{d8e4f5ad-b65d-4160-a56f-197530fb7eb1}" id="{0c863716-23d2-402e-a9be-34620b035553}" done="0">
    <x18tc:text xml:space="preserve">https://drive.google.com/file/d/13Nd74LbeLuzKRmprASRXhQhRhSATncZT/view?usp=drive_link</x18tc:text>
    <x18tc:extLst>
      <ext uri="{F7C98A9C-CBB3-438F-8F68-D28B6AF4A901}">
        <xltc2:checksum/>
        <xltc2:hyperlink startIndex="0" length="85" url="https://drive.google.com/file/d/13Nd74LbeLuzKRmprASRXhQhRhSATncZT/view?usp=drive_link"/>
      </ext>
    </x18tc:extLst>
  </x18tc:threadedComment>
  <x18tc:threadedComment ref="O131" dT="2025-07-19T00:18:32.00" personId="{4df2d6c4-e43e-4f2e-b623-d90f458472ff}" id="{f421d8c2-4729-4ac7-99ec-e042c6cee4b9}" done="0">
    <x18tc:text xml:space="preserve">813 se queda en PORLLES 
124 para FIXIT</x18tc:text>
  </x18tc:threadedComment>
  <x18tc:threadedComment ref="L288" dT="2025-11-01T00:38:50.00" personId="{d8e4f5ad-b65d-4160-a56f-197530fb7eb1}" id="{6e1ea751-be44-4c1b-9aa2-b1e322f5f4c1}" done="0">
    <x18tc:text xml:space="preserve">https://drive.google.com/file/d/1wjN9GtylxocjBJTForouopQzMrXdVT_j/view?usp=drive_link</x18tc:text>
    <x18tc:extLst>
      <ext uri="{F7C98A9C-CBB3-438F-8F68-D28B6AF4A901}">
        <xltc2:checksum/>
        <xltc2:hyperlink startIndex="0" length="85" url="https://drive.google.com/file/d/1wjN9GtylxocjBJTForouopQzMrXdVT_j/view?usp=drive_link"/>
      </ext>
    </x18tc:extLst>
  </x18tc:threadedComment>
  <x18tc:threadedComment ref="J209" dT="2025-09-03T23:48:08.00" personId="{d8e4f5ad-b65d-4160-a56f-197530fb7eb1}" id="{dc5b62bc-537a-4c8b-8274-0e806c9dadf4}" done="0">
    <x18tc:text xml:space="preserve">https://drive.google.com/file/d/1pw7i4LwCmcxYJYz3zFaXlr298kazwr_B/view?usp=drive_link</x18tc:text>
    <x18tc:extLst>
      <ext uri="{F7C98A9C-CBB3-438F-8F68-D28B6AF4A901}">
        <xltc2:checksum/>
        <xltc2:hyperlink startIndex="0" length="85" url="https://drive.google.com/file/d/1pw7i4LwCmcxYJYz3zFaXlr298kazwr_B/view?usp=drive_link"/>
      </ext>
    </x18tc:extLst>
  </x18tc:threadedComment>
  <x18tc:threadedComment ref="U554" dT="2026-02-27T18:05:23.00" personId="{d8e4f5ad-b65d-4160-a56f-197530fb7eb1}" id="{e3cee619-440b-4c9b-90d2-98fce0e381d9}" done="0">
    <x18tc:text xml:space="preserve">descontar de fila 20 y 21 de provedores</x18tc:text>
  </x18tc:threadedComment>
  <x18tc:threadedComment ref="W234" dT="2025-11-01T15:32:28.00" personId="{4df2d6c4-e43e-4f2e-b623-d90f458472ff}" id="{15da459d-0129-4ffe-aafd-dbc57e88069d}" done="0">
    <x18tc:text xml:space="preserve">https://drive.google.com/file/d/1UUyQnJz8Sa3cPtPRXc-G8tdEPo9q29Ea/view?usp=drive_link</x18tc:text>
    <x18tc:extLst>
      <ext uri="{F7C98A9C-CBB3-438F-8F68-D28B6AF4A901}">
        <xltc2:checksum/>
        <xltc2:hyperlink startIndex="0" length="85" url="https://drive.google.com/file/d/1UUyQnJz8Sa3cPtPRXc-G8tdEPo9q29Ea/view?usp=drive_link"/>
      </ext>
    </x18tc:extLst>
  </x18tc:threadedComment>
  <x18tc:threadedComment ref="W144" dT="2025-10-15T16:51:20.00" personId="{d8e4f5ad-b65d-4160-a56f-197530fb7eb1}" id="{b2bb62f0-9fee-466b-bd16-04aa860fe61a}" done="0">
    <x18tc:text xml:space="preserve">https://drive.google.com/file/d/1BKfG5X23EgDvDuXm1VuGKv3pNyfDcOig/view?usp=drive_link</x18tc:text>
    <x18tc:extLst>
      <ext uri="{F7C98A9C-CBB3-438F-8F68-D28B6AF4A901}">
        <xltc2:checksum/>
        <xltc2:hyperlink startIndex="0" length="85" url="https://drive.google.com/file/d/1BKfG5X23EgDvDuXm1VuGKv3pNyfDcOig/view?usp=drive_link"/>
      </ext>
    </x18tc:extLst>
  </x18tc:threadedComment>
  <x18tc:threadedComment ref="W275" dT="2025-11-01T16:16:24.00" personId="{4df2d6c4-e43e-4f2e-b623-d90f458472ff}" id="{74f39a1f-a685-4ccf-bd05-583ab1fc67ce}" done="0">
    <x18tc:text xml:space="preserve">https://drive.google.com/file/d/1nxCfeKZGpVSWAU6JnMmxdIPrygnkMIqf/view?usp=drive_link</x18tc:text>
    <x18tc:extLst>
      <ext uri="{F7C98A9C-CBB3-438F-8F68-D28B6AF4A901}">
        <xltc2:checksum/>
        <xltc2:hyperlink startIndex="0" length="85" url="https://drive.google.com/file/d/1nxCfeKZGpVSWAU6JnMmxdIPrygnkMIqf/view?usp=drive_link"/>
      </ext>
    </x18tc:extLst>
  </x18tc:threadedComment>
  <x18tc:threadedComment ref="AF200" dT="2025-09-02T15:23:13.00" personId="{2ddfa542-8116-4937-a057-08470d7abaab}" id="{c1ed450d-8f96-458d-90ca-f916d31804e4}" done="1">
    <x18tc:text xml:space="preserve">FINAL: vental final y fixit</x18tc:text>
  </x18tc:threadedComment>
  <x18tc:threadedComment ref="AF198" dT="2025-09-02T15:15:52.00" personId="{2ddfa542-8116-4937-a057-08470d7abaab}" id="{d63d60ff-1e69-46d0-bfee-fa71afbbc285}" done="1">
    <x18tc:text xml:space="preserve">FINAL: vental final y fixit</x18tc:text>
  </x18tc:threadedComment>
  <x18tc:threadedComment ref="W249" dT="2025-11-01T15:38:38.00" personId="{4df2d6c4-e43e-4f2e-b623-d90f458472ff}" id="{5285e531-330a-4dcb-897f-e4fd4643f647}" done="0">
    <x18tc:text xml:space="preserve">https://drive.google.com/file/d/1BN9bGrYf42oPz4QnbTV6mSBUcNgM6aNU/view?usp=drive_link</x18tc:text>
    <x18tc:extLst>
      <ext uri="{F7C98A9C-CBB3-438F-8F68-D28B6AF4A901}">
        <xltc2:checksum/>
        <xltc2:hyperlink startIndex="0" length="85" url="https://drive.google.com/file/d/1BN9bGrYf42oPz4QnbTV6mSBUcNgM6aNU/view?usp=drive_link"/>
      </ext>
    </x18tc:extLst>
  </x18tc:threadedComment>
  <x18tc:threadedComment ref="L234" dT="2025-11-01T00:44:47.00" personId="{4df2d6c4-e43e-4f2e-b623-d90f458472ff}" id="{54ee5079-8a31-47b9-a666-b9ea7971dea7}" done="0">
    <x18tc:text xml:space="preserve">https://drive.google.com/file/d/1Z5yYl5sjdk6MFMh5kwZASJXNRBjaEHtg/view?usp=drive_link</x18tc:text>
    <x18tc:extLst>
      <ext uri="{F7C98A9C-CBB3-438F-8F68-D28B6AF4A901}">
        <xltc2:checksum/>
        <xltc2:hyperlink startIndex="0" length="85" url="https://drive.google.com/file/d/1Z5yYl5sjdk6MFMh5kwZASJXNRBjaEHtg/view?usp=drive_link"/>
      </ext>
    </x18tc:extLst>
  </x18tc:threadedComment>
  <x18tc:threadedComment ref="W145" dT="2025-10-15T16:56:41.00" personId="{d8e4f5ad-b65d-4160-a56f-197530fb7eb1}" id="{09cfeb6c-e291-4642-9bba-a06f3c9da720}" done="0">
    <x18tc:text xml:space="preserve">https://drive.google.com/file/d/1D1hPPOfVgthvrwKINAyd1t0unfxfBZUm/view?usp=drive_link</x18tc:text>
    <x18tc:extLst>
      <ext uri="{F7C98A9C-CBB3-438F-8F68-D28B6AF4A901}">
        <xltc2:checksum/>
        <xltc2:hyperlink startIndex="0" length="85" url="https://drive.google.com/file/d/1D1hPPOfVgthvrwKINAyd1t0unfxfBZUm/view?usp=drive_link"/>
      </ext>
    </x18tc:extLst>
  </x18tc:threadedComment>
  <x18tc:threadedComment ref="L275" dT="2025-11-01T16:19:18.00" personId="{4df2d6c4-e43e-4f2e-b623-d90f458472ff}" id="{98c481fe-c364-4c76-b36b-5457d4c13fb8}" done="0">
    <x18tc:text xml:space="preserve">https://drive.google.com/file/d/1XvuQSipAOnbRwQPlSuOkjrs5QgLnO_jy/view?usp=drive_link</x18tc:text>
    <x18tc:extLst>
      <ext uri="{F7C98A9C-CBB3-438F-8F68-D28B6AF4A901}">
        <xltc2:checksum/>
        <xltc2:hyperlink startIndex="0" length="85" url="https://drive.google.com/file/d/1XvuQSipAOnbRwQPlSuOkjrs5QgLnO_jy/view?usp=drive_link"/>
      </ext>
    </x18tc:extLst>
  </x18tc:threadedComment>
  <x18tc:threadedComment ref="C291" dT="2025-10-31T23:59:19.00" personId="{a5d43f6d-3c72-4414-b012-8f52ef50acc4}" id="{7e2025c4-2514-46e9-8ab9-2459df99afac}" done="0">
    <x18tc:text xml:space="preserve">https://us-store.msi.com/Laptops/Gaming-Series/msi-Vector-16-HX-AI-A2XWIG-050US</x18tc:text>
    <x18tc:extLst>
      <ext uri="{F7C98A9C-CBB3-438F-8F68-D28B6AF4A901}">
        <xltc2:checksum/>
        <xltc2:hyperlink startIndex="0" length="79" url="https://us-store.msi.com/Laptops/Gaming-Series/msi-Vector-16-HX-AI-A2XWIG-050US"/>
      </ext>
    </x18tc:extLst>
  </x18tc:threadedComment>
  <x18tc:threadedComment ref="K768" dT="2026-05-30T19:00:15.00" personId="{d8e4f5ad-b65d-4160-a56f-197530fb7eb1}" id="{8cf36d9c-3d08-4d1b-97e0-6dd76d12dc62}" done="0">
    <x18tc:text xml:space="preserve">https://drive.google.com/file/d/1nMY5xkBPgIiqpvsEpaXL_S12bZ9P_orO/view?usp=drive_link</x18tc:text>
    <x18tc:extLst>
      <ext uri="{F7C98A9C-CBB3-438F-8F68-D28B6AF4A901}">
        <xltc2:checksum/>
        <xltc2:hyperlink startIndex="0" length="85" url="https://drive.google.com/file/d/1nMY5xkBPgIiqpvsEpaXL_S12bZ9P_orO/view?usp=drive_link"/>
      </ext>
    </x18tc:extLst>
  </x18tc:threadedComment>
  <x18tc:threadedComment ref="K768" dT="2026-06-02T23:56:14.00" personId="{d8e4f5ad-b65d-4160-a56f-197530fb7eb1}" id="{d151491f-22b8-49d1-9d59-d78f7b13db9d}" parentId="{8cf36d9c-3d08-4d1b-97e0-6dd76d12dc62}">
    <x18tc:text xml:space="preserve">https://drive.google.com/file/d/1z7ZTSJzKvPGfClgqudYuH-i6bK1Iu5e8/view?usp=drive_link</x18tc:text>
    <x18tc:extLst>
      <ext uri="{F7C98A9C-CBB3-438F-8F68-D28B6AF4A901}">
        <xltc2:checksum/>
        <xltc2:hyperlink startIndex="0" length="85" url="https://drive.google.com/file/d/1z7ZTSJzKvPGfClgqudYuH-i6bK1Iu5e8/view?usp=drive_link"/>
      </ext>
    </x18tc:extLst>
  </x18tc:threadedComment>
  <x18tc:threadedComment ref="L249" dT="2025-11-01T01:52:27.00" personId="{4df2d6c4-e43e-4f2e-b623-d90f458472ff}" id="{bc9d2fb8-54cf-400d-82df-9c418781090e}" done="1">
    <x18tc:text xml:space="preserve">https://drive.google.com/file/d/1MJ2CjFirae8NcbosybVfmCj1JVAyWQc5/view?usp=drive_link</x18tc:text>
    <x18tc:extLst>
      <ext uri="{F7C98A9C-CBB3-438F-8F68-D28B6AF4A901}">
        <xltc2:checksum/>
        <xltc2:hyperlink startIndex="0" length="85" url="https://drive.google.com/file/d/1MJ2CjFirae8NcbosybVfmCj1JVAyWQc5/view?usp=drive_link"/>
      </ext>
    </x18tc:extLst>
  </x18tc:threadedComment>
  <x18tc:threadedComment ref="L249" dT="2025-11-01T01:52:54.00" personId="{4df2d6c4-e43e-4f2e-b623-d90f458472ff}" id="{c864d923-9303-4ee8-856f-d86d0356551e}" parentId="{bc9d2fb8-54cf-400d-82df-9c418781090e}">
    <x18tc:text xml:space="preserve">https://drive.google.com/file/d/1IqpA8GPLtrH7KWMbq7rzU0O5_dYw2hjS/view?usp=drive_link</x18tc:text>
    <x18tc:extLst>
      <ext uri="{F7C98A9C-CBB3-438F-8F68-D28B6AF4A901}">
        <xltc2:checksum/>
        <xltc2:hyperlink startIndex="0" length="85" url="https://drive.google.com/file/d/1IqpA8GPLtrH7KWMbq7rzU0O5_dYw2hjS/view?usp=drive_link"/>
      </ext>
    </x18tc:extLst>
  </x18tc:threadedComment>
  <x18tc:threadedComment ref="AF199" dT="2025-09-02T15:16:24.00" personId="{2ddfa542-8116-4937-a057-08470d7abaab}" id="{27399f59-c84c-4036-837b-7e97afaca13f}" done="1">
    <x18tc:text xml:space="preserve">FINAL: vental final y fixit</x18tc:text>
  </x18tc:threadedComment>
  <x18tc:threadedComment ref="K326" dT="2025-12-16T21:25:26.00" personId="{a5d43f6d-3c72-4414-b012-8f52ef50acc4}" id="{d21e5559-7498-4f59-b3f2-1c71f6a98e1d}" done="0">
    <x18tc:text xml:space="preserve">https://drive.google.com/file/d/1ux06gEbPU_Cw8aJr5GzxoDY3BZdXqtBa/view?usp=drive_link</x18tc:text>
    <x18tc:extLst>
      <ext uri="{F7C98A9C-CBB3-438F-8F68-D28B6AF4A901}">
        <xltc2:checksum/>
        <xltc2:hyperlink startIndex="0" length="85" url="https://drive.google.com/file/d/1ux06gEbPU_Cw8aJr5GzxoDY3BZdXqtBa/view?usp=drive_link"/>
      </ext>
    </x18tc:extLst>
  </x18tc:threadedComment>
  <x18tc:threadedComment ref="C115" dT="2025-07-10T17:12:33.00" personId="{d8e4f5ad-b65d-4160-a56f-197530fb7eb1}" id="{ce627714-0ec8-4038-8322-0a9d42c4b7bc}" done="0">
    <x18tc:text xml:space="preserve">https://www.amazon.com/ASUS-Port%C3%A1til-juegos-Strix-pantalla/dp/B0DZZWMB2L/ref=sxin_16_pa_sp_search_thematic_sspa?__mk_es_US=%C3%85M%C3%85%C5%BD%C3%95%C3%91&amp;cv_ct_cx=asus+tuf+gaming+a+16&amp;sbo=9ZOMT9Jm0JH%2Ft%2BWi68iDSA%3D%3D&amp;sr=1-2-77b0cf77-415f-48d3-9e56-0b97527a0d28-spons&amp;sp_csd=d2lkZ2V0TmFtZT1zcF9zZWFyY2hfdGhlbWF0aWM&amp;psc=1</x18tc:text>
    <x18tc:extLst>
      <ext uri="{F7C98A9C-CBB3-438F-8F68-D28B6AF4A901}">
        <xltc2:checksum/>
        <xltc2:hyperlink startIndex="0" length="329" url="https://www.amazon.com/ASUS-Port%C3%A1til-juegos-Strix-pantalla/dp/B0DZZWMB2L/ref=sxin_16_pa_sp_search_thematic_sspa?__mk_es_US=%C3%85M%C3%85%C5%BD%C3%95%C3%91&amp;cv_ct_cx=asus+tuf+gaming+a+16&amp;sbo=9ZOMT9Jm0JH%2Ft%2BWi68iDSA%3D%3D&amp;sr=1-2-77b0cf77-415f-48d3-9e56-0b97527a0d28-spons&amp;sp_csd=d2lkZ2V0TmFtZT1zcF9zZWFyY2hfdGhlbWF0aWM&amp;psc=1"/>
      </ext>
    </x18tc:extLst>
  </x18tc:threadedComment>
  <x18tc:threadedComment ref="Q410" dT="2026-01-04T00:24:21.00" personId="{4df2d6c4-e43e-4f2e-b623-d90f458472ff}" id="{80b7dd8f-de49-4b84-8219-a5ad70e2733e}" done="0">
    <x18tc:text xml:space="preserve">en la fila 323 agregue los 63
soles  para completar sus 100 soles de configuracion</x18tc:text>
  </x18tc:threadedComment>
  <x18tc:threadedComment ref="AF174" dT="2025-09-01T14:25:30.00" personId="{2ddfa542-8116-4937-a057-08470d7abaab}" id="{b4c3f090-8b0b-4404-afb5-c3a211a559c4}" done="0">
    <x18tc:text xml:space="preserve">Final: verificar precio de venta y fixit</x18tc:text>
  </x18tc:threadedComment>
  <x18tc:threadedComment ref="J23" dT="2025-04-22T16:54:35.00" personId="{d8e4f5ad-b65d-4160-a56f-197530fb7eb1}" id="{0af70ec4-2b9a-4c17-a0ff-b0bf7a04638e}" done="0">
    <x18tc:text xml:space="preserve">https://drive.google.com/file/d/1FcfUaxaWK8tO0jVvtGaCG-xCQ6hGxjy5/view?usp=drive_link</x18tc:text>
    <x18tc:extLst>
      <ext uri="{F7C98A9C-CBB3-438F-8F68-D28B6AF4A901}">
        <xltc2:checksum/>
        <xltc2:hyperlink startIndex="0" length="85" url="https://drive.google.com/file/d/1FcfUaxaWK8tO0jVvtGaCG-xCQ6hGxjy5/view?usp=drive_link"/>
      </ext>
    </x18tc:extLst>
  </x18tc:threadedComment>
  <x18tc:threadedComment ref="J572" dT="2026-02-27T18:16:17.00" personId="{d8e4f5ad-b65d-4160-a56f-197530fb7eb1}" id="{cd0775c2-2df3-41bd-8ea1-af0260e64f26}" done="0">
    <x18tc:text xml:space="preserve">https://drive.google.com/file/d/1Yj_mqB22lu7Q_1fSikBs94-4JKDGc-lz/view?usp=drive_link</x18tc:text>
    <x18tc:extLst>
      <ext uri="{F7C98A9C-CBB3-438F-8F68-D28B6AF4A901}">
        <xltc2:checksum/>
        <xltc2:hyperlink startIndex="0" length="85" url="https://drive.google.com/file/d/1Yj_mqB22lu7Q_1fSikBs94-4JKDGc-lz/view?usp=drive_link"/>
      </ext>
    </x18tc:extLst>
  </x18tc:threadedComment>
  <x18tc:threadedComment ref="J572" dT="2026-03-02T18:02:43.00" personId="{d8e4f5ad-b65d-4160-a56f-197530fb7eb1}" id="{4fadb904-5749-4431-8cd8-db186f964f45}" parentId="{cd0775c2-2df3-41bd-8ea1-af0260e64f26}">
    <x18tc:text xml:space="preserve">https://drive.google.com/file/d/1W30VPbmBRCCfMKHGKIn8roSOUGfRZzWR/view?usp=drive_link</x18tc:text>
    <x18tc:extLst>
      <ext uri="{F7C98A9C-CBB3-438F-8F68-D28B6AF4A901}">
        <xltc2:checksum/>
        <xltc2:hyperlink startIndex="0" length="85" url="https://drive.google.com/file/d/1W30VPbmBRCCfMKHGKIn8roSOUGfRZzWR/view?usp=drive_link"/>
      </ext>
    </x18tc:extLst>
  </x18tc:threadedComment>
  <x18tc:threadedComment ref="J390" dT="2025-12-04T20:45:07.00" personId="{d8e4f5ad-b65d-4160-a56f-197530fb7eb1}" id="{5d21bf40-858f-4941-8597-a821ea36ee0f}" done="0">
    <x18tc:text xml:space="preserve">https://drive.google.com/file/d/1zCcN7PUdHGuYNDmw6H0BIrYx9wiy0Nb3/view?usp=drive_link</x18tc:text>
    <x18tc:extLst>
      <ext uri="{F7C98A9C-CBB3-438F-8F68-D28B6AF4A901}">
        <xltc2:checksum/>
        <xltc2:hyperlink startIndex="0" length="85" url="https://drive.google.com/file/d/1zCcN7PUdHGuYNDmw6H0BIrYx9wiy0Nb3/view?usp=drive_link"/>
      </ext>
    </x18tc:extLst>
  </x18tc:threadedComment>
  <x18tc:threadedComment ref="C269" dT="2025-10-13T21:14:46.00" personId="{a5d43f6d-3c72-4414-b012-8f52ef50acc4}" id="{278f75a0-6148-479e-a0a1-3796ab54c585}" done="0">
    <x18tc:text xml:space="preserve">https://www.amazon.com/-/es/Port%C3%A1til-juegos-pantalla-Nebula-pulgadas/dp/B0F1C665XL/ref=sr_1_4?__mk_es_US=%C3%85M%C3%85%C5%BD%C3%95%C3%91&amp;crid=2KT2DBD3MUH8&amp;dib=eyJ2IjoiMSJ9.FPerDUhmcVxPN4EGLCr0hwPA0ITKko4mO71AXZ2v079xgU1Jimn4OtI-558zkUAuo-GghNU3ymTdY_hAT19h09E5mLdSXxjZzS2pqiGlFU5WLYokfmwQOMtoSz-xfi0cu_tideHRKyKKvRj5MGxY7GvOq8j_FK_MpwLQ0dm7WOV9bM79uCH6OIK19BbsFDf0skOEH04Wh6NS7w8BEF_UASkb4K6WW0O2CYqPkl6bJEc.HHtmENR1n2Co3JnghbMYrNi0tnkukI-0CvtWgN30WUA&amp;dib_tag=se&amp;keywords=ultra%2B9%2Bg16&amp;qid=1759792501&amp;sprefix=ultra%2B9%2Bg16%2Caps%2C268&amp;sr=8-4&amp;th=1</x18tc:text>
    <x18tc:extLst>
      <ext uri="{F7C98A9C-CBB3-438F-8F68-D28B6AF4A901}">
        <xltc2:checksum/>
        <xltc2:hyperlink startIndex="0" length="555" url="https://www.amazon.com/-/es/Port%C3%A1til-juegos-pantalla-Nebula-pulgadas/dp/B0F1C665XL/ref=sr_1_4?__mk_es_US=%C3%85M%C3%85%C5%BD%C3%95%C3%91&amp;crid=2KT2DBD3MUH8&amp;dib=eyJ2IjoiMSJ9.FPerDUhmcVxPN4EGLCr0hwPA0ITKko4mO71AXZ2v079xgU1Jimn4OtI-558zkUAuo-GghNU3ymTdY_hAT19h09E5mLdSXxjZzS2pqiGlFU5WLYokfmwQOMtoSz-xfi0cu_tideHRKyKKvRj5MGxY7GvOq8j_FK_MpwLQ0dm7WOV9bM79uCH6OIK19BbsFDf0skOEH04Wh6NS7w8BEF_UASkb4K6WW0O2CYqPkl6bJEc.HHtmENR1n2Co3JnghbMYrNi0tnkukI-0CvtWgN30WUA&amp;dib_tag=se&amp;keywords=ultra%2B9%2Bg16&amp;qid=1759792501&amp;sprefix=ultra%2B9%2Bg16%2Caps%2C268&amp;sr=8-4&amp;th=1"/>
      </ext>
    </x18tc:extLst>
  </x18tc:threadedComment>
  <x18tc:threadedComment ref="C390" dT="2025-12-04T20:45:22.00" personId="{d8e4f5ad-b65d-4160-a56f-197530fb7eb1}" id="{1ec978f7-9753-4955-b92a-c6f59298ded8}" done="0">
    <x18tc:text xml:space="preserve">https://www.ebay.com/itm/326796273689?_skw=asus+g16&amp;itmmeta=01KBK4C7X9E24ZS495XBG17RBN&amp;hash=item4c16936819:g:-0IAAeSws35pMLPf&amp;itmprp=enc%3AAQAKAAAA4FkggFvd1GGDu0w3yXCmi1cti4YVk1x35j%2F1Kc78s8x5HQPK9uGWVDfyP3Q%2B1tkC7Eah%2Br50PXN%2Ff9JoPN7qJPNTi5V7SiG5%2Fu1gI6DimOQMBziF9a29%2FA7kNFBwZ3EVODaBIfSek3QPAjmGoP2sIXPiaTzzL6RElHBSTIJSF7RJfNbeuu33R%2BI2JvJxzrJxSgpxXz7%2B26uGK1brb%2BNSReYJk3sJYkbPZQJO%2BWoJgMRDJ6i4nmaFBFiFqLa3oDL9fBFUz8E%2BlWYAWnwZBvdWT1VT31zJ4Alt5erFSb9SYXZv%7Ctkp%3ABk9SR-b-sOTcZg</x18tc:text>
    <x18tc:extLst>
      <ext uri="{F7C98A9C-CBB3-438F-8F68-D28B6AF4A901}">
        <xltc2:checksum/>
        <xltc2:hyperlink startIndex="0" length="492" url="https://www.ebay.com/itm/326796273689?_skw=asus+g16&amp;itmmeta=01KBK4C7X9E24ZS495XBG17RBN&amp;hash=item4c16936819:g:-0IAAeSws35pMLPf&amp;itmprp=enc%3AAQAKAAAA4FkggFvd1GGDu0w3yXCmi1cti4YVk1x35j%2F1Kc78s8x5HQPK9uGWVDfyP3Q%2B1tkC7Eah%2Br50PXN%2Ff9JoPN7qJPNTi5V7SiG5%2Fu1gI6DimOQMBziF9a29%2FA7kNFBwZ3EVODaBIfSek3QPAjmGoP2sIXPiaTzzL6RElHBSTIJSF7RJfNbeuu33R%2BI2JvJxzrJxSgpxXz7%2B26uGK1brb%2BNSReYJk3sJYkbPZQJO%2BWoJgMRDJ6i4nmaFBFiFqLa3oDL9fBFUz8E%2BlWYAWnwZBvdWT1VT31zJ4Alt5erFSb9SYXZv%7Ctkp%3ABk9SR-b-sOTcZg"/>
      </ext>
    </x18tc:extLst>
  </x18tc:threadedComment>
  <x18tc:threadedComment ref="J269" dT="2025-10-13T21:16:16.00" personId="{a5d43f6d-3c72-4414-b012-8f52ef50acc4}" id="{64db7ae6-5381-45da-8c45-d9dbdeb4bd4f}" done="0">
    <x18tc:text xml:space="preserve">https://drive.google.com/file/d/1uOA_EItIGxUKnY0iDfQXRezzIsGQbP04/view?usp=drive_link</x18tc:text>
    <x18tc:extLst>
      <ext uri="{F7C98A9C-CBB3-438F-8F68-D28B6AF4A901}">
        <xltc2:checksum/>
        <xltc2:hyperlink startIndex="0" length="85" url="https://drive.google.com/file/d/1uOA_EItIGxUKnY0iDfQXRezzIsGQbP04/view?usp=drive_link"/>
      </ext>
    </x18tc:extLst>
  </x18tc:threadedComment>
  <x18tc:threadedComment ref="K743" dT="2026-06-09T18:01:55.00" personId="{d8e4f5ad-b65d-4160-a56f-197530fb7eb1}" id="{95f3b87f-39bd-43e4-9d71-dc76781923d7}" done="0">
    <x18tc:text xml:space="preserve">https://drive.google.com/file/d/1Jcqo9Of9NNg8lvQdkS6j6BtoB5g4Bi8w/view?usp=drive_link</x18tc:text>
    <x18tc:extLst>
      <ext uri="{F7C98A9C-CBB3-438F-8F68-D28B6AF4A901}">
        <xltc2:checksum/>
        <xltc2:hyperlink startIndex="0" length="85" url="https://drive.google.com/file/d/1Jcqo9Of9NNg8lvQdkS6j6BtoB5g4Bi8w/view?usp=drive_link"/>
      </ext>
    </x18tc:extLst>
  </x18tc:threadedComment>
  <x18tc:threadedComment ref="N269" dT="2025-10-13T21:17:10.00" personId="{a5d43f6d-3c72-4414-b012-8f52ef50acc4}" id="{10bc6bb7-8c56-43ed-92d0-e35f48b4b87e}" done="0">
    <x18tc:text xml:space="preserve">S/.891,73729
S/.1.052,2500</x18tc:text>
  </x18tc:threadedComment>
  <x18tc:threadedComment ref="C391" dT="2025-12-04T20:58:20.00" personId="{a5d43f6d-3c72-4414-b012-8f52ef50acc4}" id="{1501fb26-de69-430f-af71-e62c712bb787}" done="0">
    <x18tc:text xml:space="preserve">https://www.lenovo.com/us/en/p/laptops/legion-laptops/legion-5-series/lenovo-legion-5i-gen-10-(15-inch-intel)/83f00006us</x18tc:text>
    <x18tc:extLst>
      <ext uri="{F7C98A9C-CBB3-438F-8F68-D28B6AF4A901}">
        <xltc2:checksum/>
        <xltc2:hyperlink startIndex="0" length="120" url="https://www.lenovo.com/us/en/p/laptops/legion-laptops/legion-5-series/lenovo-legion-5i-gen-10-(15-inch-intel)/83f00006us"/>
      </ext>
    </x18tc:extLst>
  </x18tc:threadedComment>
  <x18tc:threadedComment ref="C94" dT="2025-06-12T17:14:53.00" personId="{d8e4f5ad-b65d-4160-a56f-197530fb7eb1}" id="{1b189f4a-c8fe-454b-99dc-4147a4793115}" done="0">
    <x18tc:text xml:space="preserve">https://www.bestbuy.com/site/asus-rog-strix-g18-18-2-5k-240hz-gaming-laptop-amd-ryzen-9-hx-32gb-ram-nvidia-geforce-rtx-5060-1tb-ssd-eclipse-gray/6633426.p?skuId=6633426&amp;intl=nosplash</x18tc:text>
    <x18tc:extLst>
      <ext uri="{F7C98A9C-CBB3-438F-8F68-D28B6AF4A901}">
        <xltc2:checksum/>
        <xltc2:hyperlink startIndex="0" length="182" url="https://www.bestbuy.com/site/asus-rog-strix-g18-18-2-5k-240hz-gaming-laptop-amd-ryzen-9-hx-32gb-ram-nvidia-geforce-rtx-5060-1tb-ssd-eclipse-gray/6633426.p?skuId=6633426&amp;intl=nosplash"/>
      </ext>
    </x18tc:extLst>
  </x18tc:threadedComment>
  <x18tc:threadedComment ref="C781" dT="2026-05-21T18:46:34.00" personId="{d8e4f5ad-b65d-4160-a56f-197530fb7eb1}" id="{a69845a7-eef3-4c1e-81e7-acdd44448247}" done="1">
    <x18tc:text xml:space="preserve">https://www.amazon.com/-/es/Laptop-gamer-Strix-pulgadas-Nebula/dp/B0DW29H85Z/ref=sr_1_1?__mk_es_US=%C3%85M%C3%85%C5%BD%C3%95%C3%91&amp;crid=1P58HJIEXBEWO&amp;dib=eyJ2IjoiMSJ9.p8wIC8g93SILiBs__UVjOQG48U8_7YftU5_51mi2fwOAwJyquaL-UYK3xeOA3b9C6brfDnHbZh4ie4zyGbbbWj6UGU0sP6OxFLTMwNks8MQCCT3zf33v3iwA_WqMk3Lkwps5pMpWIACzt2dpIBhWb5pDbkVRnhmW1AVjV1X1gAOC8B3iA6uymkCYZwLljYXAKwVdqen5Hl_eknBmhrCqEH5Lyhqt5g8W_-W-1EqFdAM.1zSb7VPLHS6ZtnceCU_QFErUsZcFl3ob7Xqjs-3yzD4&amp;dib_tag=se&amp;keywords=scar%2B18&amp;qid=1779389139&amp;sprefix=scar%2B1%2Caps%2C352&amp;sr=8-1&amp;th=1</x18tc:text>
    <x18tc:extLst>
      <ext uri="{F7C98A9C-CBB3-438F-8F68-D28B6AF4A901}">
        <xltc2:checksum/>
        <xltc2:hyperlink startIndex="0" length="532" url="https://www.amazon.com/-/es/Laptop-gamer-Strix-pulgadas-Nebula/dp/B0DW29H85Z/ref=sr_1_1?__mk_es_US=%C3%85M%C3%85%C5%BD%C3%95%C3%91&amp;crid=1P58HJIEXBEWO&amp;dib=eyJ2IjoiMSJ9.p8wIC8g93SILiBs__UVjOQG48U8_7YftU5_51mi2fwOAwJyquaL-UYK3xeOA3b9C6brfDnHbZh4ie4zyGbbbWj6UGU0sP6OxFLTMwNks8MQCCT3zf33v3iwA_WqMk3Lkwps5pMpWIACzt2dpIBhWb5pDbkVRnhmW1AVjV1X1gAOC8B3iA6uymkCYZwLljYXAKwVdqen5Hl_eknBmhrCqEH5Lyhqt5g8W_-W-1EqFdAM.1zSb7VPLHS6ZtnceCU_QFErUsZcFl3ob7Xqjs-3yzD4&amp;dib_tag=se&amp;keywords=scar%2B18&amp;qid=1779389139&amp;sprefix=scar%2B1%2Caps%2C352&amp;sr=8-1&amp;th=1"/>
      </ext>
    </x18tc:extLst>
  </x18tc:threadedComment>
  <x18tc:threadedComment ref="AF362" dT="2025-12-04T18:42:37.00" personId="{2ddfa542-8116-4937-a057-08470d7abaab}" id="{2cc164fb-f30e-45c0-8db7-9ecc5facd7cb}" done="0">
    <x18tc:text xml:space="preserve">VENTA FINAL Y EXCEDENTES</x18tc:text>
  </x18tc:threadedComment>
  <x18tc:threadedComment ref="AF287" dT="2025-11-05T03:45:39.00" personId="{2ddfa542-8116-4937-a057-08470d7abaab}" id="{1e284e2f-bc6c-4622-bab4-9df68b270fe7}" done="0">
    <x18tc:text xml:space="preserve">boleta, fixit, venta final, nuevo cambio</x18tc:text>
  </x18tc:threadedComment>
  <x18tc:threadedComment ref="D269" dT="2025-10-13T21:17:35.00" personId="{a5d43f6d-3c72-4414-b012-8f52ef50acc4}" id="{206c4533-b6a3-4429-800e-9ca426c81384}" done="0">
    <x18tc:text xml:space="preserve">Christian Gabriel Velasquez Canessa
73614155
928680944
Bakuryumimo@gmail.com</x18tc:text>
  </x18tc:threadedComment>
  <x18tc:threadedComment ref="AF375" dT="2025-12-04T18:45:58.00" personId="{2ddfa542-8116-4937-a057-08470d7abaab}" id="{83375129-6b64-4905-9c31-cdd1717b17c8}" done="0">
    <x18tc:text xml:space="preserve">venta final + excedentes</x18tc:text>
  </x18tc:threadedComment>
  <x18tc:threadedComment ref="M187" dT="2025-08-25T17:49:19.00" personId="{a5d43f6d-3c72-4414-b012-8f52ef50acc4}" id="{892649d0-dac4-4e02-8f61-3af4746ae85f}" done="0">
    <x18tc:text xml:space="preserve">cambió el precio porque no había taxes en esta tienda</x18tc:text>
  </x18tc:threadedComment>
  <x18tc:threadedComment ref="Q323" dT="2026-01-04T00:23:06.00" personId="{4df2d6c4-e43e-4f2e-b623-d90f458472ff}" id="{5acb8184-f707-49ab-9048-5d3e1087f9ed}" done="0">
    <x18tc:text xml:space="preserve">aqui agregue 63 soles de josimar</x18tc:text>
  </x18tc:threadedComment>
  <x18tc:threadedComment ref="L209" dT="2025-09-08T17:17:50.00" personId="{d8e4f5ad-b65d-4160-a56f-197530fb7eb1}" id="{9860a8c0-02a1-4ee9-b7a4-060df6a22f04}" done="0">
    <x18tc:text xml:space="preserve">https://drive.google.com/file/d/1lhfrB3r4ZmWaP-zqMrDLNQTJHDOdP2nk/view?usp=drive_link</x18tc:text>
    <x18tc:extLst>
      <ext uri="{F7C98A9C-CBB3-438F-8F68-D28B6AF4A901}">
        <xltc2:checksum/>
        <xltc2:hyperlink startIndex="0" length="85" url="https://drive.google.com/file/d/1lhfrB3r4ZmWaP-zqMrDLNQTJHDOdP2nk/view?usp=drive_link"/>
      </ext>
    </x18tc:extLst>
  </x18tc:threadedComment>
  <x18tc:threadedComment ref="L181" dT="2025-09-01T13:39:23.00" personId="{a5d43f6d-3c72-4414-b012-8f52ef50acc4}" id="{e1418d93-2b0d-4803-8259-641b5e20601c}" done="0">
    <x18tc:text xml:space="preserve">https://drive.google.com/file/d/1NzxLcvJInd0kC4G0TxnGu1ENR7iAck2c/view?usp=drive_link</x18tc:text>
    <x18tc:extLst>
      <ext uri="{F7C98A9C-CBB3-438F-8F68-D28B6AF4A901}">
        <xltc2:checksum/>
        <xltc2:hyperlink startIndex="0" length="85" url="https://drive.google.com/file/d/1NzxLcvJInd0kC4G0TxnGu1ENR7iAck2c/view?usp=drive_link"/>
      </ext>
    </x18tc:extLst>
  </x18tc:threadedComment>
  <x18tc:threadedComment ref="K387" dT="2026-01-03T23:53:37.00" personId="{a5d43f6d-3c72-4414-b012-8f52ef50acc4}" id="{59e74485-0a02-4ecc-89b8-5df35620e8fd}" done="0">
    <x18tc:text xml:space="preserve">https://drive.google.com/file/d/1BRjILuYitZHqv2VPfSdoYguWvdp5MG8y/view?usp=drive_link</x18tc:text>
    <x18tc:extLst>
      <ext uri="{F7C98A9C-CBB3-438F-8F68-D28B6AF4A901}">
        <xltc2:checksum/>
        <xltc2:hyperlink startIndex="0" length="85" url="https://drive.google.com/file/d/1BRjILuYitZHqv2VPfSdoYguWvdp5MG8y/view?usp=drive_link"/>
      </ext>
    </x18tc:extLst>
  </x18tc:threadedComment>
  <x18tc:threadedComment ref="L59" dT="2025-06-12T16:21:43.00" personId="{a5d43f6d-3c72-4414-b012-8f52ef50acc4}" id="{fcf47243-457b-42d3-bca9-837bc707fcc8}" done="0">
    <x18tc:text xml:space="preserve">https://drive.google.com/file/d/1Poed_80Mc_Sc7eiQ3igeYkB1P7SvNpdD/view?usp=drive_link</x18tc:text>
    <x18tc:extLst>
      <ext uri="{F7C98A9C-CBB3-438F-8F68-D28B6AF4A901}">
        <xltc2:checksum/>
        <xltc2:hyperlink startIndex="0" length="85" url="https://drive.google.com/file/d/1Poed_80Mc_Sc7eiQ3igeYkB1P7SvNpdD/view?usp=drive_link"/>
      </ext>
    </x18tc:extLst>
  </x18tc:threadedComment>
  <x18tc:threadedComment ref="C76" dT="2025-05-29T16:43:11.00" personId="{a5d43f6d-3c72-4414-b012-8f52ef50acc4}" id="{905fbe67-1cd4-4e96-ab5c-07227ba02ecf}" done="0">
    <x18tc:text xml:space="preserve">https://www.ebay.com/itm/204802774106?_skw=alienware+m16+r2&amp;itmmeta=01JWEAJRQ4AQ1WWSBCVRTNBDQA&amp;hash=item2faf32545a:g:FxoAAeSw6hZnopQY</x18tc:text>
    <x18tc:extLst>
      <ext uri="{F7C98A9C-CBB3-438F-8F68-D28B6AF4A901}">
        <xltc2:checksum/>
        <xltc2:hyperlink startIndex="0" length="133" url="https://www.ebay.com/itm/204802774106?_skw=alienware+m16+r2&amp;itmmeta=01JWEAJRQ4AQ1WWSBCVRTNBDQA&amp;hash=item2faf32545a:g:FxoAAeSw6hZnopQY"/>
      </ext>
    </x18tc:extLst>
  </x18tc:threadedComment>
  <x18tc:threadedComment ref="J218" dT="2025-09-06T19:23:07.00" personId="{a5d43f6d-3c72-4414-b012-8f52ef50acc4}" id="{5109edaf-f216-426c-b133-b0837d3908d2}" done="0">
    <x18tc:text xml:space="preserve">https://drive.google.com/file/d/1G2u-SlrdOQAt13saWGjTaYOGE935h7No/view?usp=drive_link
https://drive.google.com/file/d/1_m7x0_a-wMM_3yaniPF6_5k2rS-Rj6Ec/view?usp=drive_link</x18tc:text>
    <x18tc:extLst>
      <ext uri="{F7C98A9C-CBB3-438F-8F68-D28B6AF4A901}">
        <xltc2:checksum/>
        <xltc2:hyperlink startIndex="0" length="85" url="https://drive.google.com/file/d/1G2u-SlrdOQAt13saWGjTaYOGE935h7No/view?usp=drive_link"/>
        <xltc2:hyperlink startIndex="86" length="85" url="https://drive.google.com/file/d/1_m7x0_a-wMM_3yaniPF6_5k2rS-Rj6Ec/view?usp=drive_link"/>
      </ext>
    </x18tc:extLst>
  </x18tc:threadedComment>
  <x18tc:threadedComment ref="K459" dT="2026-01-03T23:34:07.00" personId="{a5d43f6d-3c72-4414-b012-8f52ef50acc4}" id="{2a3864d7-310c-4bce-aae6-9401626155a2}" done="0">
    <x18tc:text xml:space="preserve">https://drive.google.com/file/d/1f_ctkKAogJsWlnfryyRF3VlThdDcyc_S/view?usp=drive_link</x18tc:text>
    <x18tc:extLst>
      <ext uri="{F7C98A9C-CBB3-438F-8F68-D28B6AF4A901}">
        <xltc2:checksum/>
        <xltc2:hyperlink startIndex="0" length="85" url="https://drive.google.com/file/d/1f_ctkKAogJsWlnfryyRF3VlThdDcyc_S/view?usp=drive_link"/>
      </ext>
    </x18tc:extLst>
  </x18tc:threadedComment>
  <x18tc:threadedComment ref="C218" dT="2025-09-06T19:22:02.00" personId="{a5d43f6d-3c72-4414-b012-8f52ef50acc4}" id="{dab95d76-4fdd-4ada-bed3-75c82403608f}" done="1">
    <x18tc:text xml:space="preserve">https://www.bestbuy.com/product/acer-predator-helios-neo-16s-ai-gaming-laptop-16-oled-240hz-intel-core-ultra-9-nvidia-geforce-rtx-5070ti-32gb-1tb-obsidian-black/JJ8V8H38XT</x18tc:text>
    <x18tc:extLst>
      <ext uri="{F7C98A9C-CBB3-438F-8F68-D28B6AF4A901}">
        <xltc2:checksum/>
        <xltc2:hyperlink startIndex="0" length="171" url="https://www.bestbuy.com/product/acer-predator-helios-neo-16s-ai-gaming-laptop-16-oled-240hz-intel-core-ultra-9-nvidia-geforce-rtx-5070ti-32gb-1tb-obsidian-black/JJ8V8H38XT"/>
      </ext>
    </x18tc:extLst>
  </x18tc:threadedComment>
  <x18tc:threadedComment ref="L133" dT="2025-08-14T00:54:58.00" personId="{4df2d6c4-e43e-4f2e-b623-d90f458472ff}" id="{42816a9b-3cb9-4e45-9e69-7086306f06ee}" done="0">
    <x18tc:text xml:space="preserve">https://drive.google.com/file/d/1q0l123DdFiNBoLE0vLT1MRTNHwiswGXU/view?usp=drive_link</x18tc:text>
    <x18tc:extLst>
      <ext uri="{F7C98A9C-CBB3-438F-8F68-D28B6AF4A901}">
        <xltc2:checksum/>
        <xltc2:hyperlink startIndex="0" length="85" url="https://drive.google.com/file/d/1q0l123DdFiNBoLE0vLT1MRTNHwiswGXU/view?usp=drive_link"/>
      </ext>
    </x18tc:extLst>
  </x18tc:threadedComment>
  <x18tc:threadedComment ref="J94" dT="2025-06-12T17:12:39.00" personId="{d8e4f5ad-b65d-4160-a56f-197530fb7eb1}" id="{ae530da8-e7ea-422d-839b-0e64e30bedb9}" done="0">
    <x18tc:text xml:space="preserve">https://drive.google.com/file/d/11VmI4xMINEx5f_3QCP2SkCi2dAXp_MIZ/view?usp=drive_link</x18tc:text>
    <x18tc:extLst>
      <ext uri="{F7C98A9C-CBB3-438F-8F68-D28B6AF4A901}">
        <xltc2:checksum/>
        <xltc2:hyperlink startIndex="0" length="85" url="https://drive.google.com/file/d/11VmI4xMINEx5f_3QCP2SkCi2dAXp_MIZ/view?usp=drive_link"/>
      </ext>
    </x18tc:extLst>
  </x18tc:threadedComment>
  <x18tc:threadedComment ref="K484" dT="2026-02-10T22:03:38.00" personId="{a5d43f6d-3c72-4414-b012-8f52ef50acc4}" id="{a346bb0a-54cc-4be2-99ed-c61a74984fa6}" done="0">
    <x18tc:text xml:space="preserve">https://drive.google.com/file/d/10oTj8sYKwSmdDy20412Yw-kuRrZwMPRY/view?usp=drive_link</x18tc:text>
    <x18tc:extLst>
      <ext uri="{F7C98A9C-CBB3-438F-8F68-D28B6AF4A901}">
        <xltc2:checksum/>
        <xltc2:hyperlink startIndex="0" length="85" url="https://drive.google.com/file/d/10oTj8sYKwSmdDy20412Yw-kuRrZwMPRY/view?usp=drive_link"/>
      </ext>
    </x18tc:extLst>
  </x18tc:threadedComment>
  <x18tc:threadedComment ref="J217" dT="2025-09-06T15:42:24.00" personId="{a5d43f6d-3c72-4414-b012-8f52ef50acc4}" id="{e89ea01f-dd70-464a-81fb-0987c0df0f6f}" done="0">
    <x18tc:text xml:space="preserve">https://drive.google.com/file/d/1ZnUS1IESBhPQHjbBqhK3odKwvjXNoRyR/view?usp=drive_link</x18tc:text>
    <x18tc:extLst>
      <ext uri="{F7C98A9C-CBB3-438F-8F68-D28B6AF4A901}">
        <xltc2:checksum/>
        <xltc2:hyperlink startIndex="0" length="85" url="https://drive.google.com/file/d/1ZnUS1IESBhPQHjbBqhK3odKwvjXNoRyR/view?usp=drive_link"/>
      </ext>
    </x18tc:extLst>
  </x18tc:threadedComment>
  <x18tc:threadedComment ref="L83" dT="2025-06-12T17:13:16.00" personId="{a5d43f6d-3c72-4414-b012-8f52ef50acc4}" id="{ab5408a1-7e65-4a5d-8dba-0b7a4798c6e6}" done="0">
    <x18tc:text xml:space="preserve">https://drive.google.com/file/d/1w91xKHOV1KlwJV3oR3l-3KIyFd0uyUzQ/view?usp=drive_link</x18tc:text>
    <x18tc:extLst>
      <ext uri="{F7C98A9C-CBB3-438F-8F68-D28B6AF4A901}">
        <xltc2:checksum/>
        <xltc2:hyperlink startIndex="0" length="85" url="https://drive.google.com/file/d/1w91xKHOV1KlwJV3oR3l-3KIyFd0uyUzQ/view?usp=drive_link"/>
      </ext>
    </x18tc:extLst>
  </x18tc:threadedComment>
  <x18tc:threadedComment ref="C530" dT="2026-02-10T20:27:05.00" personId="{d8e4f5ad-b65d-4160-a56f-197530fb7eb1}" id="{c57aade2-30ac-44da-be14-496f3c4ad17b}" done="0">
    <x18tc:text xml:space="preserve">https://www.microcenter.com/product/695522/dell-alienware-18-area-51-aa18250-18-gaming-laptop-computer-liquid-teal?storeid=065</x18tc:text>
    <x18tc:extLst>
      <ext uri="{F7C98A9C-CBB3-438F-8F68-D28B6AF4A901}">
        <xltc2:checksum/>
        <xltc2:hyperlink startIndex="0" length="126" url="https://www.microcenter.com/product/695522/dell-alienware-18-area-51-aa18250-18-gaming-laptop-computer-liquid-teal?storeid=065"/>
      </ext>
    </x18tc:extLst>
  </x18tc:threadedComment>
  <x18tc:threadedComment ref="C23" dT="2025-04-22T16:52:41.00" personId="{d8e4f5ad-b65d-4160-a56f-197530fb7eb1}" id="{9fef441d-2a7f-446b-9633-a9f61501e189}" done="0">
    <x18tc:text xml:space="preserve">https://www.ebay.com/itm/326068742080?_skw=4070&amp;itmmeta=01JSE8DW5WSAZK6MA5PKDC5X4C&amp;hash=item4beb3627c0:g:MeUAAeSwbrxnopc7</x18tc:text>
    <x18tc:extLst>
      <ext uri="{F7C98A9C-CBB3-438F-8F68-D28B6AF4A901}">
        <xltc2:checksum/>
        <xltc2:hyperlink startIndex="0" length="121" url="https://www.ebay.com/itm/326068742080?_skw=4070&amp;itmmeta=01JSE8DW5WSAZK6MA5PKDC5X4C&amp;hash=item4beb3627c0:g:MeUAAeSwbrxnopc7"/>
      </ext>
    </x18tc:extLst>
  </x18tc:threadedComment>
  <x18tc:threadedComment ref="AF384" dT="2025-12-04T20:00:03.00" personId="{2ddfa542-8116-4937-a057-08470d7abaab}" id="{29bac587-dc83-4e34-9bd2-5704c27a2907}" done="0">
    <x18tc:text xml:space="preserve">venta final + excedentes</x18tc:text>
  </x18tc:threadedComment>
  <x18tc:threadedComment ref="K548" dT="2026-02-27T18:16:44.00" personId="{d8e4f5ad-b65d-4160-a56f-197530fb7eb1}" id="{a5cd3c5f-25c3-49a3-8650-feb7954b5faf}" done="0">
    <x18tc:text xml:space="preserve">https://drive.google.com/file/d/1RTjcmG51mdWYZcgO7nuiUEUV8arUxeVf/view?usp=drive_link</x18tc:text>
    <x18tc:extLst>
      <ext uri="{F7C98A9C-CBB3-438F-8F68-D28B6AF4A901}">
        <xltc2:checksum/>
        <xltc2:hyperlink startIndex="0" length="85" url="https://drive.google.com/file/d/1RTjcmG51mdWYZcgO7nuiUEUV8arUxeVf/view?usp=drive_link"/>
      </ext>
    </x18tc:extLst>
  </x18tc:threadedComment>
  <x18tc:threadedComment ref="K548" dT="2026-02-27T18:19:00.00" personId="{d8e4f5ad-b65d-4160-a56f-197530fb7eb1}" id="{8fd8ca61-f960-461a-b83b-bcbdf3c541e7}" parentId="{a5cd3c5f-25c3-49a3-8650-feb7954b5faf}">
    <x18tc:text xml:space="preserve">https://drive.google.com/file/d/13N_0n-qi0zpXqNxwWHT9b9SZRx5bm0xu/view?usp=drive_link</x18tc:text>
    <x18tc:extLst>
      <ext uri="{F7C98A9C-CBB3-438F-8F68-D28B6AF4A901}">
        <xltc2:checksum/>
        <xltc2:hyperlink startIndex="0" length="85" url="https://drive.google.com/file/d/13N_0n-qi0zpXqNxwWHT9b9SZRx5bm0xu/view?usp=drive_link"/>
      </ext>
    </x18tc:extLst>
  </x18tc:threadedComment>
  <x18tc:threadedComment ref="C218" dT="2025-09-06T19:24:04.00" personId="{a5d43f6d-3c72-4414-b012-8f52ef50acc4}" id="{8f6c967b-ca47-480b-a704-a96c3f3bf899}" done="0">
    <x18tc:text xml:space="preserve">Compren el que llegaría antes ;-;
https://www.ebay.com/itm/326655425561?_skw=acer+predator&amp;itmmeta=01K4G7QZWGKERQ5302J3VVTF8X&amp;hash=item4c0e2e3c19:g:wY8AAeSwF-FoupKD
https://www.bestbuy.com/product/acer-predator-helios-neo-16s-ai-gaming-laptop-16-oled-240hz-intel-core-ultra-9-nvidia-geforce-rtx-5070ti-32gb-1tb-obsidian-black/JJ8V8H38XT</x18tc:text>
    <x18tc:extLst>
      <ext uri="{F7C98A9C-CBB3-438F-8F68-D28B6AF4A901}">
        <xltc2:checksum/>
        <xltc2:hyperlink startIndex="34" length="130" url="https://www.ebay.com/itm/326655425561?_skw=acer+predator&amp;itmmeta=01K4G7QZWGKERQ5302J3VVTF8X&amp;hash=item4c0e2e3c19:g:wY8AAeSwF-FoupKD"/>
        <xltc2:hyperlink startIndex="165" length="171" url="https://www.bestbuy.com/product/acer-predator-helios-neo-16s-ai-gaming-laptop-16-oled-240hz-intel-core-ultra-9-nvidia-geforce-rtx-5070ti-32gb-1tb-obsidian-black/JJ8V8H38XT"/>
      </ext>
    </x18tc:extLst>
  </x18tc:threadedComment>
  <x18tc:threadedComment ref="AF159" dT="2025-08-30T05:58:59.00" personId="{2ddfa542-8116-4937-a057-08470d7abaab}" id="{5f2f4a22-71f8-460e-b89d-6812f4b5ff45}" done="1">
    <x18tc:text xml:space="preserve">preguntar por el excedente y falta boleta</x18tc:text>
  </x18tc:threadedComment>
  <x18tc:threadedComment ref="U352" dT="2026-01-16T21:28:56.00" personId="{a5d43f6d-3c72-4414-b012-8f52ef50acc4}" id="{8a434bb5-b87f-42a5-94d9-5ffa7a101f93}" done="0">
    <x18tc:text xml:space="preserve">el cliente dice que no se envió el mouse, así que no sé si se descuenta o no :/</x18tc:text>
  </x18tc:threadedComment>
  <x18tc:threadedComment ref="F485" dT="2026-01-16T15:30:59.00" personId="{2ddfa542-8116-4937-a057-08470d7abaab}" id="{0c56aa8d-515c-438f-8fc5-24d17ac5e9d3}" done="0">
    <x18tc:text xml:space="preserve">Sigue procesando la orden</x18tc:text>
  </x18tc:threadedComment>
  <x18tc:threadedComment ref="F485" dT="2026-01-20T16:19:57.00" personId="{2ddfa542-8116-4937-a057-08470d7abaab}" id="{c68f1a1e-a46e-424c-901e-4dc498b102aa}" parentId="{0c56aa8d-515c-438f-8fc5-24d17ac5e9d3}">
    <x18tc:text xml:space="preserve">Ya sale preparando la orden</x18tc:text>
  </x18tc:threadedComment>
  <x18tc:threadedComment ref="J615" dT="2026-03-17T23:45:18.00" personId="{f9b224d0-ee33-4499-ae47-db5bcd2d0435}" id="{6139a2e5-64cc-4929-b365-54591df852e0}" done="0">
    <x18tc:text xml:space="preserve">https://drive.google.com/file/d/1k240GeE_9OnudnGVRwqfjwZq4OpSxlj5/view?usp=drive_link</x18tc:text>
    <x18tc:extLst>
      <ext uri="{F7C98A9C-CBB3-438F-8F68-D28B6AF4A901}">
        <xltc2:checksum/>
        <xltc2:hyperlink startIndex="0" length="85" url="https://drive.google.com/file/d/1k240GeE_9OnudnGVRwqfjwZq4OpSxlj5/view?usp=drive_link"/>
      </ext>
    </x18tc:extLst>
  </x18tc:threadedComment>
  <x18tc:threadedComment ref="J615" dT="2026-03-17T23:46:25.00" personId="{f9b224d0-ee33-4499-ae47-db5bcd2d0435}" id="{0f9f6877-1f7b-47bb-aed1-7c982c9e3d8b}" parentId="{6139a2e5-64cc-4929-b365-54591df852e0}">
    <x18tc:text xml:space="preserve">https://drive.google.com/file/d/1mXp-9vFZN6xsDYjHR9OTZ3y_YqpI_ctY/view?usp=drive_link</x18tc:text>
    <x18tc:extLst>
      <ext uri="{F7C98A9C-CBB3-438F-8F68-D28B6AF4A901}">
        <xltc2:checksum/>
        <xltc2:hyperlink startIndex="0" length="85" url="https://drive.google.com/file/d/1mXp-9vFZN6xsDYjHR9OTZ3y_YqpI_ctY/view?usp=drive_link"/>
      </ext>
    </x18tc:extLst>
  </x18tc:threadedComment>
  <x18tc:threadedComment ref="J615" dT="2026-03-17T23:46:40.00" personId="{f9b224d0-ee33-4499-ae47-db5bcd2d0435}" id="{593ea4c9-aa76-4274-9987-4fd7641e736a}" parentId="{6139a2e5-64cc-4929-b365-54591df852e0}">
    <x18tc:text xml:space="preserve">https://drive.google.com/file/d/1w88xRoaoJ7RMr-TFx2jJLRSmWB2d-5w2/view?usp=drive_link</x18tc:text>
    <x18tc:extLst>
      <ext uri="{F7C98A9C-CBB3-438F-8F68-D28B6AF4A901}">
        <xltc2:checksum/>
        <xltc2:hyperlink startIndex="0" length="85" url="https://drive.google.com/file/d/1w88xRoaoJ7RMr-TFx2jJLRSmWB2d-5w2/view?usp=drive_link"/>
      </ext>
    </x18tc:extLst>
  </x18tc:threadedComment>
  <x18tc:threadedComment ref="J615" dT="2026-03-17T23:46:58.00" personId="{f9b224d0-ee33-4499-ae47-db5bcd2d0435}" id="{c37207c2-ce69-45c5-9457-b4218d150cd4}" parentId="{6139a2e5-64cc-4929-b365-54591df852e0}">
    <x18tc:text xml:space="preserve">https://drive.google.com/file/d/1vIv1wat-8hNKYPJ2n_cCiBK2ds8bvIgy/view?usp=drive_link</x18tc:text>
    <x18tc:extLst>
      <ext uri="{F7C98A9C-CBB3-438F-8F68-D28B6AF4A901}">
        <xltc2:checksum/>
        <xltc2:hyperlink startIndex="0" length="85" url="https://drive.google.com/file/d/1vIv1wat-8hNKYPJ2n_cCiBK2ds8bvIgy/view?usp=drive_link"/>
      </ext>
    </x18tc:extLst>
  </x18tc:threadedComment>
  <x18tc:threadedComment ref="C615" dT="2026-03-17T23:38:57.00" personId="{f9b224d0-ee33-4499-ae47-db5bcd2d0435}" id="{3c9e1340-0176-4bc2-b50c-b65cf19d54d7}" done="0">
    <x18tc:text xml:space="preserve">https://www.ebay.com/itm/326655425561?_skw%3Dlaptop%2Bgaming%26itmmeta%3D01KKX6NN615576FGXJTV0BS1MJ%26hash%3Ditem4c0e2e3c19:g:RGMAAeSw20xptYNa&amp;sa=D&amp;source=editors&amp;ust=1773745320572021&amp;usg=AOvVaw3YfAxtozYH2gSV3yeAFIPr</x18tc:text>
    <x18tc:extLst>
      <ext uri="{F7C98A9C-CBB3-438F-8F68-D28B6AF4A901}">
        <xltc2:checksum/>
        <xltc2:hyperlink startIndex="0" length="216" url="https://www.ebay.com/itm/326655425561?_skw%3Dlaptop%2Bgaming%26itmmeta%3D01KKX6NN615576FGXJTV0BS1MJ%26hash%3Ditem4c0e2e3c19:g:RGMAAeSw20xptYNa&amp;sa=D&amp;source=editors&amp;ust=1773745320572021&amp;usg=AOvVaw3YfAxtozYH2gSV3yeAFIPr"/>
      </ext>
    </x18tc:extLst>
  </x18tc:threadedComment>
  <x18tc:threadedComment ref="C425" dT="2025-12-22T17:09:45.00" personId="{d8e4f5ad-b65d-4160-a56f-197530fb7eb1}" id="{f72ae3de-7335-4aa2-a510-737898ee99d9}"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J220" dT="2025-09-06T21:37:42.00" personId="{a5d43f6d-3c72-4414-b012-8f52ef50acc4}" id="{0370178c-957d-459c-8908-25af875ef79c}" done="0">
    <x18tc:text xml:space="preserve">https://drive.google.com/file/d/1vytH-VRwmLoOeDM7ECMwtbdsgUjlaWSF/view?usp=drive_link</x18tc:text>
    <x18tc:extLst>
      <ext uri="{F7C98A9C-CBB3-438F-8F68-D28B6AF4A901}">
        <xltc2:checksum/>
        <xltc2:hyperlink startIndex="0" length="85" url="https://drive.google.com/file/d/1vytH-VRwmLoOeDM7ECMwtbdsgUjlaWSF/view?usp=drive_link"/>
      </ext>
    </x18tc:extLst>
  </x18tc:threadedComment>
  <x18tc:threadedComment ref="L139" dT="2025-08-25T18:02:39.00" personId="{a5d43f6d-3c72-4414-b012-8f52ef50acc4}" id="{7151e42c-0a33-4ef5-960c-cc5d8623fb3f}" done="0">
    <x18tc:text xml:space="preserve">https://drive.google.com/file/d/1Jr14m8L55CA_MsczF59_sXT5V-bHO-KT/view?usp=drive_link
https://drive.google.com/file/d/1My5ghvVkCuVHSU8Nx8ouyElrBmGvUvYl/view?usp=drive_link
https://drive.google.com/file/d/1I7NCfS_weD9Fqu-Po6ZjSqZuStoknH7_/view?usp=drive_link</x18tc:text>
    <x18tc:extLst>
      <ext uri="{F7C98A9C-CBB3-438F-8F68-D28B6AF4A901}">
        <xltc2:checksum/>
        <xltc2:hyperlink startIndex="0" length="85" url="https://drive.google.com/file/d/1Jr14m8L55CA_MsczF59_sXT5V-bHO-KT/view?usp=drive_link"/>
        <xltc2:hyperlink startIndex="86" length="85" url="https://drive.google.com/file/d/1My5ghvVkCuVHSU8Nx8ouyElrBmGvUvYl/view?usp=drive_link"/>
        <xltc2:hyperlink startIndex="172" length="85" url="https://drive.google.com/file/d/1I7NCfS_weD9Fqu-Po6ZjSqZuStoknH7_/view?usp=drive_link"/>
      </ext>
    </x18tc:extLst>
  </x18tc:threadedComment>
  <x18tc:threadedComment ref="W344" dT="2025-12-19T20:21:33.00" personId="{2ddfa542-8116-4937-a057-08470d7abaab}" id="{6de2a9e2-d2ac-4f9d-830b-4f800797f4d4}" done="0">
    <x18tc:text xml:space="preserve">https://drive.google.com/file/d/1DHxXAyTzaGWM2yROrN24u3rIUo3wrqP9/view?usp=drive_link</x18tc:text>
    <x18tc:extLst>
      <ext uri="{F7C98A9C-CBB3-438F-8F68-D28B6AF4A901}">
        <xltc2:checksum/>
        <xltc2:hyperlink startIndex="0" length="85" url="https://drive.google.com/file/d/1DHxXAyTzaGWM2yROrN24u3rIUo3wrqP9/view?usp=drive_link"/>
      </ext>
    </x18tc:extLst>
  </x18tc:threadedComment>
  <x18tc:threadedComment ref="C220" dT="2025-09-06T21:25:56.00" personId="{a5d43f6d-3c72-4414-b012-8f52ef50acc4}" id="{cd961a41-23f3-4b1c-8d8f-3bdc55eab1d7}" done="0">
    <x18tc:text xml:space="preserve">https://www.amazon.com/Port%C3%A1til-para-juegos-Vector-144Hz/dp/B0DTMX7RKM/ref=sr_1_1_sspa?__mk_es_US=%C3%85M%C3%85%C5%BD%C3%95%C3%91&amp;crid=MDXH0IMAASJF&amp;dib=eyJ2IjoiMSJ9.PGr3CPrW_X90mmSkdGTeAmKNbRyjGcKNl0BPFwPO1Fi6GggN0QROagaeBiwSCJYKkl_bIUZtsgCovcCU4WzM9zGY9dl139_GKPifVhsh2E8-aWmt0j_uVsRF_sUVFTUjce6aV1UyH9EX2O3GzGLU-6Y2kjB6QqpyBIrcQtRMO8Ix0tDUDI5RFqjulvB7my4MvqwXp7MVsNqMMpgd8eH8Ze69iVQgAVQcRhf15DFZZgnQv8Rl4Al4roSeSmdVtixSBKpx6V2eXGnKX43u1anyKkAXOPbnwCdbecOltJv5ZSA.jovGgrOQpPYVT4pcoXXO61XmOoA9HsKi5yIbKIjhy8g&amp;dib_tag=se&amp;keywords=laptop%2Bgaming&amp;qid=1756815081&amp;refinements=p_n_deal_type%3A23566065011&amp;rnid=23566063011&amp;s=electronics&amp;sprefix=laptop%2Bgamin%2Celectronics%2C170&amp;sr=1-1-spons&amp;sp_csd=d2lkZ2V0TmFtZT1zcF9hdGY&amp;th=1</x18tc:text>
    <x18tc:extLst>
      <ext uri="{F7C98A9C-CBB3-438F-8F68-D28B6AF4A901}">
        <xltc2:checksum/>
        <xltc2:hyperlink startIndex="0" length="727" url="https://www.amazon.com/Port%C3%A1til-para-juegos-Vector-144Hz/dp/B0DTMX7RKM/ref=sr_1_1_sspa?__mk_es_US=%C3%85M%C3%85%C5%BD%C3%95%C3%91&amp;crid=MDXH0IMAASJF&amp;dib=eyJ2IjoiMSJ9.PGr3CPrW_X90mmSkdGTeAmKNbRyjGcKNl0BPFwPO1Fi6GggN0QROagaeBiwSCJYKkl_bIUZtsgCovcCU4WzM9zGY9dl139_GKPifVhsh2E8-aWmt0j_uVsRF_sUVFTUjce6aV1UyH9EX2O3GzGLU-6Y2kjB6QqpyBIrcQtRMO8Ix0tDUDI5RFqjulvB7my4MvqwXp7MVsNqMMpgd8eH8Ze69iVQgAVQcRhf15DFZZgnQv8Rl4Al4roSeSmdVtixSBKpx6V2eXGnKX43u1anyKkAXOPbnwCdbecOltJv5ZSA.jovGgrOQpPYVT4pcoXXO61XmOoA9HsKi5yIbKIjhy8g&amp;dib_tag=se&amp;keywords=laptop%2Bgaming&amp;qid=1756815081&amp;refinements=p_n_deal_type%3A23566065011&amp;rnid=23566063011&amp;s=electronics&amp;sprefix=laptop%2Bgamin%2Celectronics%2C170&amp;sr=1-1-spons&amp;sp_csd=d2lkZ2V0TmFtZT1zcF9hdGY&amp;th=1"/>
      </ext>
    </x18tc:extLst>
  </x18tc:threadedComment>
  <x18tc:threadedComment ref="C534" dT="2026-02-12T22:16:48.00" personId="{d8e4f5ad-b65d-4160-a56f-197530fb7eb1}" id="{1de6eec4-842f-433d-93f1-86c811265017}" done="0">
    <x18tc:text xml:space="preserve">https://www.ebay.es/itm/326655425561</x18tc:text>
    <x18tc:extLst>
      <ext uri="{F7C98A9C-CBB3-438F-8F68-D28B6AF4A901}">
        <xltc2:checksum/>
        <xltc2:hyperlink startIndex="0" length="36" url="https://www.ebay.es/itm/326655425561"/>
      </ext>
    </x18tc:extLst>
  </x18tc:threadedComment>
  <x18tc:threadedComment ref="C534" dT="2026-02-12T23:40:09.00" personId="{6afbe8df-a68a-4403-9951-ca8c0d21ef43}" id="{9a642407-aab1-4a94-9e3d-a5bd6b1f5e1f}" parentId="{1de6eec4-842f-433d-93f1-86c811265017}">
    <x18tc:text xml:space="preserve">https://www.ebay.com/itm/326655425561</x18tc:text>
    <x18tc:extLst>
      <ext uri="{F7C98A9C-CBB3-438F-8F68-D28B6AF4A901}">
        <xltc2:checksum/>
        <xltc2:hyperlink startIndex="0" length="37" url="https://www.ebay.com/itm/326655425561"/>
      </ext>
    </x18tc:extLst>
  </x18tc:threadedComment>
  <x18tc:threadedComment ref="C73" dT="2025-05-28T17:49:43.00" personId="{a5d43f6d-3c72-4414-b012-8f52ef50acc4}" id="{5e3282ea-4e3c-4a69-b5fd-8b99be1c9ab3}" done="0">
    <x18tc:text xml:space="preserve">https://www.costco.com/lenovo-legion-5i-16-gaming-laptop---14th-gen-intel-core-i9-14900hx---geforce-rtx-4060---165hz-2560-x-1600.product.4000270759.html</x18tc:text>
    <x18tc:extLst>
      <ext uri="{F7C98A9C-CBB3-438F-8F68-D28B6AF4A901}">
        <xltc2:checksum/>
        <xltc2:hyperlink startIndex="0" length="152" url="https://www.costco.com/lenovo-legion-5i-16-gaming-laptop---14th-gen-intel-core-i9-14900hx---geforce-rtx-4060---165hz-2560-x-1600.product.4000270759.html"/>
      </ext>
    </x18tc:extLst>
  </x18tc:threadedComment>
  <x18tc:threadedComment ref="J534" dT="2026-02-13T00:32:42.00" personId="{d8e4f5ad-b65d-4160-a56f-197530fb7eb1}" id="{f4cb187a-ea87-4bd1-a3ff-42d9b66c58d1}" done="0">
    <x18tc:text xml:space="preserve">https://drive.google.com/file/d/1frLXAsXLh2PurAaE_i5L2a8SenzRTEjz/view?usp=drive_link</x18tc:text>
    <x18tc:extLst>
      <ext uri="{F7C98A9C-CBB3-438F-8F68-D28B6AF4A901}">
        <xltc2:checksum/>
        <xltc2:hyperlink startIndex="0" length="85" url="https://drive.google.com/file/d/1frLXAsXLh2PurAaE_i5L2a8SenzRTEjz/view?usp=drive_link"/>
      </ext>
    </x18tc:extLst>
  </x18tc:threadedComment>
  <x18tc:threadedComment ref="W418" dT="2025-12-19T20:26:01.00" personId="{2ddfa542-8116-4937-a057-08470d7abaab}" id="{f4a109a1-2b63-471e-a39e-9aaaec2b0192}" done="0">
    <x18tc:text xml:space="preserve">https://drive.google.com/file/d/1FS56qqaySD5C7UT0nBmxXgpcEfy_rwPC/view?usp=drive_link</x18tc:text>
    <x18tc:extLst>
      <ext uri="{F7C98A9C-CBB3-438F-8F68-D28B6AF4A901}">
        <xltc2:checksum/>
        <xltc2:hyperlink startIndex="0" length="85" url="https://drive.google.com/file/d/1FS56qqaySD5C7UT0nBmxXgpcEfy_rwPC/view?usp=drive_link"/>
      </ext>
    </x18tc:extLst>
  </x18tc:threadedComment>
  <x18tc:threadedComment ref="J219" dT="2025-09-06T19:59:02.00" personId="{4df2d6c4-e43e-4f2e-b623-d90f458472ff}" id="{adca4fc4-a538-4f7e-ad1e-43ad169c4d86}" done="0">
    <x18tc:text xml:space="preserve">https://drive.google.com/file/d/1SFh9mN2deFMST4a3T1cAfI0cQoF9XwYp/view?usp=drive_link</x18tc:text>
    <x18tc:extLst>
      <ext uri="{F7C98A9C-CBB3-438F-8F68-D28B6AF4A901}">
        <xltc2:checksum/>
        <xltc2:hyperlink startIndex="0" length="85" url="https://drive.google.com/file/d/1SFh9mN2deFMST4a3T1cAfI0cQoF9XwYp/view?usp=drive_link"/>
      </ext>
    </x18tc:extLst>
  </x18tc:threadedComment>
  <x18tc:threadedComment ref="K525" dT="2026-02-13T00:35:57.00" personId="{68efe3e3-8b68-4e02-81e2-a29fa228b211}" id="{e39852ec-d3bb-4f6a-a533-fbac1e4bcd46}" done="0">
    <x18tc:text xml:space="preserve">https://drive.google.com/file/d/1pJwtbQd-RxiA47CHUP_T29wmZ5nQjREI/view?usp=drive_link</x18tc:text>
    <x18tc:extLst>
      <ext uri="{F7C98A9C-CBB3-438F-8F68-D28B6AF4A901}">
        <xltc2:checksum/>
        <xltc2:hyperlink startIndex="0" length="85" url="https://drive.google.com/file/d/1pJwtbQd-RxiA47CHUP_T29wmZ5nQjREI/view?usp=drive_link"/>
      </ext>
    </x18tc:extLst>
  </x18tc:threadedComment>
  <x18tc:threadedComment ref="C46" dT="2025-05-12T17:35:03.00" personId="{a5d43f6d-3c72-4414-b012-8f52ef50acc4}" id="{d21723db-1ab7-4aed-b43d-90d1c7a19b94}" done="0">
    <x18tc:text xml:space="preserve">https://www.amazon.com/-/es/dp/B0CTMTKCRY/ref=sspa_mw_detail_1?ie=UTF8&amp;sp_csd=d2lkZ2V0TmFtZT1zcF9waG9uZV9kZXRhaWwp13NParams&amp;th=1</x18tc:text>
    <x18tc:extLst>
      <ext uri="{F7C98A9C-CBB3-438F-8F68-D28B6AF4A901}">
        <xltc2:checksum/>
        <xltc2:hyperlink startIndex="0" length="128" url="https://www.amazon.com/-/es/dp/B0CTMTKCRY/ref=sspa_mw_detail_1?ie=UTF8&amp;sp_csd=d2lkZ2V0TmFtZT1zcF9waG9uZV9kZXRhaWwp13NParams&amp;th=1"/>
      </ext>
    </x18tc:extLst>
  </x18tc:threadedComment>
  <x18tc:threadedComment ref="C281" dT="2025-10-21T21:15:23.00" personId="{d8e4f5ad-b65d-4160-a56f-197530fb7eb1}" id="{84890b16-ba70-4405-8727-5db58f9c2089}" done="0">
    <x18tc:text xml:space="preserve">https://www.bestbuy.com/product/msi-vector-16-hx-ai-400-16-240hz-qhd-gaming-laptop-intel-ultra-9-275hx-geforce-rtx-5080-16gb-memory-1tbssd-cosmo-gray/J3P7TXRSQV</x18tc:text>
    <x18tc:extLst>
      <ext uri="{F7C98A9C-CBB3-438F-8F68-D28B6AF4A901}">
        <xltc2:checksum/>
        <xltc2:hyperlink startIndex="0" length="160" url="https://www.bestbuy.com/product/msi-vector-16-hx-ai-400-16-240hz-qhd-gaming-laptop-intel-ultra-9-275hx-geforce-rtx-5080-16gb-memory-1tbssd-cosmo-gray/J3P7TXRSQV"/>
      </ext>
    </x18tc:extLst>
  </x18tc:threadedComment>
  <x18tc:threadedComment ref="M218" dT="2025-09-06T19:26:55.00" personId="{a5d43f6d-3c72-4414-b012-8f52ef50acc4}" id="{cd53a906-0eac-4350-9d19-35ae9bba7ccc}" done="0">
    <x18tc:text xml:space="preserve">si se compra de bestbuy sería 7229.39</x18tc:text>
  </x18tc:threadedComment>
  <x18tc:threadedComment ref="C289" dT="2025-10-31T18:08:10.00" personId="{a5d43f6d-3c72-4414-b012-8f52ef50acc4}" id="{64f8cf80-ba77-41bb-88b5-6459e739debf}" done="0">
    <x18tc:text xml:space="preserve">https://www.bhphotovideo.com/c/product/1875948-REG/lenovo_83f5001bus_16_legion_pro_7i.html/specs</x18tc:text>
    <x18tc:extLst>
      <ext uri="{F7C98A9C-CBB3-438F-8F68-D28B6AF4A901}">
        <xltc2:checksum/>
        <xltc2:hyperlink startIndex="0" length="96" url="https://www.bhphotovideo.com/c/product/1875948-REG/lenovo_83f5001bus_16_legion_pro_7i.html/specs"/>
      </ext>
    </x18tc:extLst>
  </x18tc:threadedComment>
  <x18tc:threadedComment ref="W242" dT="2025-10-06T20:02:27.00" personId="{d8e4f5ad-b65d-4160-a56f-197530fb7eb1}" id="{81d1336f-4783-4a02-96f5-b9ca844f8662}" done="0">
    <x18tc:text xml:space="preserve">https://drive.google.com/file/d/1Hy0Vv3CFHVaI-Z3_0s8MPol4LXij_XJj/view?usp=drive_link</x18tc:text>
    <x18tc:extLst>
      <ext uri="{F7C98A9C-CBB3-438F-8F68-D28B6AF4A901}">
        <xltc2:checksum/>
        <xltc2:hyperlink startIndex="0" length="85" url="https://drive.google.com/file/d/1Hy0Vv3CFHVaI-Z3_0s8MPol4LXij_XJj/view?usp=drive_link"/>
      </ext>
    </x18tc:extLst>
  </x18tc:threadedComment>
  <x18tc:threadedComment ref="J73" dT="2025-05-28T17:53:47.00" personId="{a5d43f6d-3c72-4414-b012-8f52ef50acc4}" id="{d6f273d3-126b-4420-b1fc-5dd366f23f37}" done="0">
    <x18tc:text xml:space="preserve">https://drive.google.com/file/d/1cH9ZRZgxcpADO_LW4sOooylCz6O9oQ-S/view?usp=sharing</x18tc:text>
    <x18tc:extLst>
      <ext uri="{F7C98A9C-CBB3-438F-8F68-D28B6AF4A901}">
        <xltc2:checksum/>
        <xltc2:hyperlink startIndex="0" length="82" url="https://drive.google.com/file/d/1cH9ZRZgxcpADO_LW4sOooylCz6O9oQ-S/view?usp=sharing"/>
      </ext>
    </x18tc:extLst>
  </x18tc:threadedComment>
  <x18tc:threadedComment ref="M427" dT="2026-01-03T23:31:46.00" personId="{2ddfa542-8116-4937-a057-08470d7abaab}" id="{660f8d77-1747-477e-a140-f5f4b0783122}" done="0">
    <x18tc:text xml:space="preserve">Le puse 6253, así aparece en el sheet de Ventas seguimiento Diciembre</x18tc:text>
  </x18tc:threadedComment>
  <x18tc:threadedComment ref="W257" dT="2025-12-04T21:56:41.00" personId="{2ddfa542-8116-4937-a057-08470d7abaab}" id="{bdc17fde-2f0e-4e61-a384-2cdd5ba43cd6}" done="0">
    <x18tc:text xml:space="preserve">https://drive.google.com/file/d/14FZBHsavQ6tYGuNEgZ2Perc9euvSRpm8/view?usp=drive_link</x18tc:text>
    <x18tc:extLst>
      <ext uri="{F7C98A9C-CBB3-438F-8F68-D28B6AF4A901}">
        <xltc2:checksum/>
        <xltc2:hyperlink startIndex="0" length="85" url="https://drive.google.com/file/d/14FZBHsavQ6tYGuNEgZ2Perc9euvSRpm8/view?usp=drive_link"/>
      </ext>
    </x18tc:extLst>
  </x18tc:threadedComment>
  <x18tc:threadedComment ref="C614" dT="2026-03-17T23:00:12.00" personId="{4df2d6c4-e43e-4f2e-b623-d90f458472ff}" id="{4b48ddd0-f03a-4eba-a06e-afd7520601db}" done="0">
    <x18tc:text xml:space="preserve">https://www.ebay.com/itm/326796273689?_skw=laptop+gaming&amp;itmmeta=01KKX6NN6134JBFGK29084N58V&amp;hash=item4c16936819:g:4lMAAeSwKO1pqzYD</x18tc:text>
    <x18tc:extLst>
      <ext uri="{F7C98A9C-CBB3-438F-8F68-D28B6AF4A901}">
        <xltc2:checksum/>
        <xltc2:hyperlink startIndex="0" length="130" url="https://www.ebay.com/itm/326796273689?_skw=laptop+gaming&amp;itmmeta=01KKX6NN6134JBFGK29084N58V&amp;hash=item4c16936819:g:4lMAAeSwKO1pqzYD"/>
      </ext>
    </x18tc:extLst>
  </x18tc:threadedComment>
  <x18tc:threadedComment ref="A1" dT="2025-12-19T20:42:12.00" personId="{2ddfa542-8116-4937-a057-08470d7abaab}" id="{4d5e1568-06b2-480b-b88b-4090a1e4653c}" done="0">
    <x18tc:text xml:space="preserve">https://drive.google.com/file/d/1qjF7ZG9Y_tkM4soW1JaGO0okurqxsf2D/view?usp=drive_link</x18tc:text>
    <x18tc:extLst>
      <ext uri="{F7C98A9C-CBB3-438F-8F68-D28B6AF4A901}">
        <xltc2:checksum/>
        <xltc2:hyperlink startIndex="0" length="85" url="https://drive.google.com/file/d/1qjF7ZG9Y_tkM4soW1JaGO0okurqxsf2D/view?usp=drive_link"/>
      </ext>
    </x18tc:extLst>
  </x18tc:threadedComment>
  <x18tc:threadedComment ref="W236" dT="2025-10-06T20:11:27.00" personId="{d8e4f5ad-b65d-4160-a56f-197530fb7eb1}" id="{8afdcc47-7dc6-42e7-95ac-f6135816fdde}" done="0">
    <x18tc:text xml:space="preserve">https://drive.google.com/file/d/1Q9cp7gvnoQA3Xa0pFI_Vpk_gzwDQTusH/view?usp=drive_link</x18tc:text>
    <x18tc:extLst>
      <ext uri="{F7C98A9C-CBB3-438F-8F68-D28B6AF4A901}">
        <xltc2:checksum/>
        <xltc2:hyperlink startIndex="0" length="85" url="https://drive.google.com/file/d/1Q9cp7gvnoQA3Xa0pFI_Vpk_gzwDQTusH/view?usp=drive_link"/>
      </ext>
    </x18tc:extLst>
  </x18tc:threadedComment>
  <x18tc:threadedComment ref="W327" dT="2025-12-19T20:42:37.00" personId="{2ddfa542-8116-4937-a057-08470d7abaab}" id="{a565552d-01fb-4464-b60d-dc04148bd697}" done="0">
    <x18tc:text xml:space="preserve">https://drive.google.com/file/d/1qjF7ZG9Y_tkM4soW1JaGO0okurqxsf2D/view?usp=drive_link</x18tc:text>
    <x18tc:extLst>
      <ext uri="{F7C98A9C-CBB3-438F-8F68-D28B6AF4A901}">
        <xltc2:checksum/>
        <xltc2:hyperlink startIndex="0" length="85" url="https://drive.google.com/file/d/1qjF7ZG9Y_tkM4soW1JaGO0okurqxsf2D/view?usp=drive_link"/>
      </ext>
    </x18tc:extLst>
  </x18tc:threadedComment>
  <x18tc:threadedComment ref="J289" dT="2025-10-31T18:12:50.00" personId="{a5d43f6d-3c72-4414-b012-8f52ef50acc4}" id="{d1892a4b-f7cc-4dd1-8cbb-cbb85f6b7160}" done="0">
    <x18tc:text xml:space="preserve">https://drive.google.com/file/d/1Y-Fb98R679FZCqtMEf3a8nA0jkm_miIf/view?usp=drive_link</x18tc:text>
    <x18tc:extLst>
      <ext uri="{F7C98A9C-CBB3-438F-8F68-D28B6AF4A901}">
        <xltc2:checksum/>
        <xltc2:hyperlink startIndex="0" length="85" url="https://drive.google.com/file/d/1Y-Fb98R679FZCqtMEf3a8nA0jkm_miIf/view?usp=drive_link"/>
      </ext>
    </x18tc:extLst>
  </x18tc:threadedComment>
  <x18tc:threadedComment ref="J281" dT="2025-10-21T23:28:50.00" personId="{d8e4f5ad-b65d-4160-a56f-197530fb7eb1}" id="{b183417b-6c24-4819-aadf-cacddee76632}" done="0">
    <x18tc:text xml:space="preserve">https://drive.google.com/file/d/1sDYZU9i1j9UisTs8hAZmqWYvU6O-Dnhz/view?usp=drive_link</x18tc:text>
    <x18tc:extLst>
      <ext uri="{F7C98A9C-CBB3-438F-8F68-D28B6AF4A901}">
        <xltc2:checksum/>
        <xltc2:hyperlink startIndex="0" length="85" url="https://drive.google.com/file/d/1sDYZU9i1j9UisTs8hAZmqWYvU6O-Dnhz/view?usp=drive_link"/>
      </ext>
    </x18tc:extLst>
  </x18tc:threadedComment>
  <x18tc:threadedComment ref="L262" dT="2025-10-21T23:31:14.00" personId="{d8e4f5ad-b65d-4160-a56f-197530fb7eb1}" id="{510002cf-7e46-4083-be9c-cf02528ff149}" done="0">
    <x18tc:text xml:space="preserve">https://drive.google.com/file/d/1F5xC0voRNVeB571OqUO1rVWoN1_ybg1T/view?usp=drive_link</x18tc:text>
    <x18tc:extLst>
      <ext uri="{F7C98A9C-CBB3-438F-8F68-D28B6AF4A901}">
        <xltc2:checksum/>
        <xltc2:hyperlink startIndex="0" length="85" url="https://drive.google.com/file/d/1F5xC0voRNVeB571OqUO1rVWoN1_ybg1T/view?usp=drive_link"/>
      </ext>
    </x18tc:extLst>
  </x18tc:threadedComment>
  <x18tc:threadedComment ref="F620" dT="2026-03-20T17:30:10.00" personId="{2ddfa542-8116-4937-a057-08470d7abaab}" id="{8c8ab54c-5517-4d28-a43e-7dc8926665d2}" done="1">
    <x18tc:text xml:space="preserve">verificar que no la cancelen</x18tc:text>
  </x18tc:threadedComment>
  <x18tc:threadedComment ref="K474" dT="2026-01-27T23:39:12.00" personId="{a5d43f6d-3c72-4414-b012-8f52ef50acc4}" id="{1e45428e-0f35-446a-9cd8-dd140ef79564}" done="0">
    <x18tc:text xml:space="preserve">https://drive.google.com/file/d/1nL-6LGp2Gm8b1G34xE_UfLlHKoQU_Xfo/view?usp=drive_link</x18tc:text>
    <x18tc:extLst>
      <ext uri="{F7C98A9C-CBB3-438F-8F68-D28B6AF4A901}">
        <xltc2:checksum/>
        <xltc2:hyperlink startIndex="0" length="85" url="https://drive.google.com/file/d/1nL-6LGp2Gm8b1G34xE_UfLlHKoQU_Xfo/view?usp=drive_link"/>
      </ext>
    </x18tc:extLst>
  </x18tc:threadedComment>
  <x18tc:threadedComment ref="F390" dT="2025-12-08T05:51:50.00" personId="{2ddfa542-8116-4937-a057-08470d7abaab}" id="{af7f7f68-e499-4350-80c0-8ced6e584123}" done="1">
    <x18tc:text xml:space="preserve">no lo encuentro</x18tc:text>
  </x18tc:threadedComment>
  <x18tc:threadedComment ref="C463" dT="2026-01-03T22:38:33.00" personId="{4df2d6c4-e43e-4f2e-b623-d90f458472ff}" id="{2c437dc1-c950-428c-b15c-de3ee7f5a861}"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AF173" dT="2025-08-30T05:59:37.00" personId="{2ddfa542-8116-4937-a057-08470d7abaab}" id="{b2cda89e-49a3-4574-984e-32ecda1a7898}" done="1">
    <x18tc:text xml:space="preserve">comprobar precio y boleta</x18tc:text>
  </x18tc:threadedComment>
  <x18tc:threadedComment ref="C547" dT="2026-02-17T15:50:33.00" personId="{4df2d6c4-e43e-4f2e-b623-d90f458472ff}" id="{b0fee61c-2f47-40f5-b4cb-587b5b1ce61e}" done="0">
    <x18tc:text xml:space="preserve">https://www.ebay.com/itm/326645194194?_skw=laptop+gaming&amp;itmmeta=01KHN5B21NJAPN9X1T7MRSM0SK&amp;hash=item4c0d921dd2:g:hecAAeSwI1ZpjuU3</x18tc:text>
    <x18tc:extLst>
      <ext uri="{F7C98A9C-CBB3-438F-8F68-D28B6AF4A901}">
        <xltc2:checksum/>
        <xltc2:hyperlink startIndex="0" length="130" url="https://www.ebay.com/itm/326645194194?_skw=laptop+gaming&amp;itmmeta=01KHN5B21NJAPN9X1T7MRSM0SK&amp;hash=item4c0d921dd2:g:hecAAeSwI1ZpjuU3"/>
      </ext>
    </x18tc:extLst>
  </x18tc:threadedComment>
  <x18tc:threadedComment ref="K398" dT="2026-01-16T21:56:51.00" personId="{a5d43f6d-3c72-4414-b012-8f52ef50acc4}" id="{a39d591d-baea-46d2-9040-812e760566ef}" done="0">
    <x18tc:text xml:space="preserve">https://drive.google.com/file/d/1xFfXa5DSksPPvGdTGeRjXU3o1VVvxpyo/view?usp=drive_link</x18tc:text>
    <x18tc:extLst>
      <ext uri="{F7C98A9C-CBB3-438F-8F68-D28B6AF4A901}">
        <xltc2:checksum/>
        <xltc2:hyperlink startIndex="0" length="85" url="https://drive.google.com/file/d/1xFfXa5DSksPPvGdTGeRjXU3o1VVvxpyo/view?usp=drive_link"/>
      </ext>
    </x18tc:extLst>
  </x18tc:threadedComment>
  <x18tc:threadedComment ref="AF179" dT="2025-08-30T06:10:38.00" personId="{2ddfa542-8116-4937-a057-08470d7abaab}" id="{b3373809-b8f9-42ac-9884-15626d1adab0}" done="1">
    <x18tc:text xml:space="preserve">preguntar fixit y boleta</x18tc:text>
  </x18tc:threadedComment>
  <x18tc:threadedComment ref="J547" dT="2026-02-17T15:54:38.00" personId="{80195d68-4e9b-4dc7-a031-ca5391c97d0f}" id="{dad8fc38-431f-4dc1-91bc-eb37a7e8f24e}" done="0">
    <x18tc:text xml:space="preserve">https://drive.google.com/file/d/1eMadr9HoU7dVQq9phZeBIk52OYgmST1R/view?usp=drive_link</x18tc:text>
    <x18tc:extLst>
      <ext uri="{F7C98A9C-CBB3-438F-8F68-D28B6AF4A901}">
        <xltc2:checksum/>
        <xltc2:hyperlink startIndex="0" length="85" url="https://drive.google.com/file/d/1eMadr9HoU7dVQq9phZeBIk52OYgmST1R/view?usp=drive_link"/>
      </ext>
    </x18tc:extLst>
  </x18tc:threadedComment>
  <x18tc:threadedComment ref="E352" dT="2026-01-16T22:20:15.00" personId="{2ddfa542-8116-4937-a057-08470d7abaab}" id="{9054dd73-9195-440c-95cc-74c4c8e7df5d}" done="0">
    <x18tc:text xml:space="preserve">esta en sheet de Ventas Diciembre</x18tc:text>
  </x18tc:threadedComment>
  <x18tc:threadedComment ref="W156" dT="2025-09-01T19:07:44.00" personId="{d8e4f5ad-b65d-4160-a56f-197530fb7eb1}" id="{6d890a18-168e-46dd-ac10-df3425fea789}" done="0">
    <x18tc:text xml:space="preserve">https://drive.google.com/file/d/1hUey3-S1d7xR6fPUe9qjsy_68qHhbuWb/view?usp=drive_link</x18tc:text>
    <x18tc:extLst>
      <ext uri="{F7C98A9C-CBB3-438F-8F68-D28B6AF4A901}">
        <xltc2:checksum/>
        <xltc2:hyperlink startIndex="0" length="85" url="https://drive.google.com/file/d/1hUey3-S1d7xR6fPUe9qjsy_68qHhbuWb/view?usp=drive_link"/>
      </ext>
    </x18tc:extLst>
  </x18tc:threadedComment>
  <x18tc:threadedComment ref="L135" dT="2025-08-25T18:49:37.00" personId="{a5d43f6d-3c72-4414-b012-8f52ef50acc4}" id="{557519fe-c2bb-40fb-8549-b5df2555bcee}" done="0">
    <x18tc:text xml:space="preserve">https://drive.google.com/file/d/1oIGTDS50fj0WnWG86ZH8E59uUY8CH5gu/view?usp=drive_link</x18tc:text>
    <x18tc:extLst>
      <ext uri="{F7C98A9C-CBB3-438F-8F68-D28B6AF4A901}">
        <xltc2:checksum/>
        <xltc2:hyperlink startIndex="0" length="85" url="https://drive.google.com/file/d/1oIGTDS50fj0WnWG86ZH8E59uUY8CH5gu/view?usp=drive_link"/>
      </ext>
    </x18tc:extLst>
  </x18tc:threadedComment>
  <x18tc:threadedComment ref="W281" dT="2025-11-18T22:25:48.00" personId="{d8e4f5ad-b65d-4160-a56f-197530fb7eb1}" id="{8f444cbb-6c0c-4cbd-bd3c-3fcdd0f9dd44}" done="0">
    <x18tc:text xml:space="preserve">https://drive.google.com/file/d/1DUiUH3--PGobzFys_Uhzv5yncLgeeuFO/view?usp=drive_link</x18tc:text>
    <x18tc:extLst>
      <ext uri="{F7C98A9C-CBB3-438F-8F68-D28B6AF4A901}">
        <xltc2:checksum/>
        <xltc2:hyperlink startIndex="0" length="85" url="https://drive.google.com/file/d/1DUiUH3--PGobzFys_Uhzv5yncLgeeuFO/view?usp=drive_link"/>
      </ext>
    </x18tc:extLst>
  </x18tc:threadedComment>
  <x18tc:threadedComment ref="C192" dT="2025-08-25T19:14:08.00" personId="{4df2d6c4-e43e-4f2e-b623-d90f458472ff}" id="{ee366c04-73f3-4d43-96d6-f899c0cdee1c}" done="0">
    <x18tc:text xml:space="preserve">https://www.ebay.com/itm/306301779985?_skw=rtx&amp;itmmeta=01K30JEZE6WBVN85RWAPVQNC1E&amp;hash=item4751024011:g:MXkAAOSwhvxoMKtE</x18tc:text>
    <x18tc:extLst>
      <ext uri="{F7C98A9C-CBB3-438F-8F68-D28B6AF4A901}">
        <xltc2:checksum/>
        <xltc2:hyperlink startIndex="0" length="120" url="https://www.ebay.com/itm/306301779985?_skw=rtx&amp;itmmeta=01K30JEZE6WBVN85RWAPVQNC1E&amp;hash=item4751024011:g:MXkAAOSwhvxoMKtE"/>
      </ext>
    </x18tc:extLst>
  </x18tc:threadedComment>
  <x18tc:threadedComment ref="AF330" dT="2025-12-04T17:54:42.00" personId="{2ddfa542-8116-4937-a057-08470d7abaab}" id="{b02152d7-4be7-4bac-8472-7d5f173c9cfa}" done="0">
    <x18tc:text xml:space="preserve">VENTA FINAL Y EXCEDENTES</x18tc:text>
  </x18tc:threadedComment>
  <x18tc:threadedComment ref="AF330" dT="2025-12-27T18:35:25.00" personId="{2ddfa542-8116-4937-a057-08470d7abaab}" id="{2e20446e-66b4-486d-8a3e-36b7c9da2be5}" parentId="{b02152d7-4be7-4bac-8472-7d5f173c9cfa}">
    <x18tc:text xml:space="preserve">Marcado como resuelto</x18tc:text>
  </x18tc:threadedComment>
  <x18tc:threadedComment ref="AF330" dT="2025-12-27T19:07:32.00" personId="{2ddfa542-8116-4937-a057-08470d7abaab}" id="{48dc56ea-e09f-4ff9-b05e-4ce8c729902b}" parentId="{b02152d7-4be7-4bac-8472-7d5f173c9cfa}">
    <x18tc:text xml:space="preserve">Reabierto</x18tc:text>
  </x18tc:threadedComment>
  <x18tc:threadedComment ref="J807" dT="2026-06-27T23:31:57.00" personId="{d8e4f5ad-b65d-4160-a56f-197530fb7eb1}" id="{f0e9edcd-92d1-4fb8-a5f0-010f358b73c7}" done="0">
    <x18tc:text xml:space="preserve">https://drive.google.com/file/d/1uYBJ9hgLNpEkKeieLGxpXsT1jSQg5MHv/view?usp=drive_link</x18tc:text>
    <x18tc:extLst>
      <ext uri="{F7C98A9C-CBB3-438F-8F68-D28B6AF4A901}">
        <xltc2:checksum/>
        <xltc2:hyperlink startIndex="0" length="85" url="https://drive.google.com/file/d/1uYBJ9hgLNpEkKeieLGxpXsT1jSQg5MHv/view?usp=drive_link"/>
      </ext>
    </x18tc:extLst>
  </x18tc:threadedComment>
  <x18tc:threadedComment ref="O135" dT="2025-08-25T18:49:03.00" personId="{a5d43f6d-3c72-4414-b012-8f52ef50acc4}" id="{09b5bdd9-5698-4a37-b66e-de0fab1a581a}" done="0">
    <x18tc:text xml:space="preserve">hay 150 soles que se va a sacar de excedentes de otras laptops, con permiso de la srta sofía</x18tc:text>
  </x18tc:threadedComment>
  <x18tc:threadedComment ref="J616" dT="2026-03-18T00:03:06.00" personId="{f9b224d0-ee33-4499-ae47-db5bcd2d0435}" id="{44f9effa-4dff-4be1-905a-ea9143654a94}" done="0">
    <x18tc:text xml:space="preserve">https://drive.google.com/file/d/1_-ylPn-7x0L0lHJWIBpF57OEwULj6BJZ/view?usp=drive_link</x18tc:text>
    <x18tc:extLst>
      <ext uri="{F7C98A9C-CBB3-438F-8F68-D28B6AF4A901}">
        <xltc2:checksum/>
        <xltc2:hyperlink startIndex="0" length="85" url="https://drive.google.com/file/d/1_-ylPn-7x0L0lHJWIBpF57OEwULj6BJZ/view?usp=drive_link"/>
      </ext>
    </x18tc:extLst>
  </x18tc:threadedComment>
  <x18tc:threadedComment ref="C101" dT="2025-06-28T01:48:50.00" personId="{4df2d6c4-e43e-4f2e-b623-d90f458472ff}" id="{f43951c6-9394-461c-8b34-ac92a55f1922}" done="0">
    <x18tc:text xml:space="preserve">https://www.bestbuy.com/site/asus-rog-strix-g18-18-2-5k-240hz-gaming-laptop-intel-core-ultra-9-hx-32gb-ram-nvidia-geforce-rtx-5080-2tb-ssd-eclipse-grey/6613958.p?loc=Hatch&amp;ref=198&amp;cmp=RMX&amp;refdomain=asus.com&amp;acampID=0</x18tc:text>
    <x18tc:extLst>
      <ext uri="{F7C98A9C-CBB3-438F-8F68-D28B6AF4A901}">
        <xltc2:checksum/>
        <xltc2:hyperlink startIndex="0" length="216" url="https://www.bestbuy.com/site/asus-rog-strix-g18-18-2-5k-240hz-gaming-laptop-intel-core-ultra-9-hx-32gb-ram-nvidia-geforce-rtx-5080-2tb-ssd-eclipse-grey/6613958.p?loc=Hatch&amp;ref=198&amp;cmp=RMX&amp;refdomain=asus.com&amp;acampID=0"/>
      </ext>
    </x18tc:extLst>
  </x18tc:threadedComment>
  <x18tc:threadedComment ref="AF334" dT="2025-12-04T17:55:58.00" personId="{2ddfa542-8116-4937-a057-08470d7abaab}" id="{e11ffc2f-8b01-485c-8574-39f8390e7905}" done="0">
    <x18tc:text xml:space="preserve">VENTA FINAL Y EXCEDENTES</x18tc:text>
  </x18tc:threadedComment>
  <x18tc:threadedComment ref="AF334" dT="2025-12-27T18:37:54.00" personId="{2ddfa542-8116-4937-a057-08470d7abaab}" id="{2ec205b6-9ee0-42b8-a4ab-3de24ddf0c11}" parentId="{e11ffc2f-8b01-485c-8574-39f8390e7905}">
    <x18tc:text xml:space="preserve">Marcado como resuelto</x18tc:text>
  </x18tc:threadedComment>
  <x18tc:threadedComment ref="AF334" dT="2025-12-27T19:07:26.00" personId="{2ddfa542-8116-4937-a057-08470d7abaab}" id="{a324562f-3275-4bfd-a05a-30317d522b1e}" parentId="{e11ffc2f-8b01-485c-8574-39f8390e7905}">
    <x18tc:text xml:space="preserve">Reabierto</x18tc:text>
  </x18tc:threadedComment>
  <x18tc:threadedComment ref="J46" dT="2025-05-12T17:38:11.00" personId="{a5d43f6d-3c72-4414-b012-8f52ef50acc4}" id="{53d08841-f853-4501-a05b-b9a8215b2408}" done="0">
    <x18tc:text xml:space="preserve">https://drive.google.com/file/d/1ByXLQ8F3niOkFoS9FvrlHLuXaXSAjDc0/view?usp=drive_link</x18tc:text>
    <x18tc:extLst>
      <ext uri="{F7C98A9C-CBB3-438F-8F68-D28B6AF4A901}">
        <xltc2:checksum/>
        <xltc2:hyperlink startIndex="0" length="85" url="https://drive.google.com/file/d/1ByXLQ8F3niOkFoS9FvrlHLuXaXSAjDc0/view?usp=drive_link"/>
      </ext>
    </x18tc:extLst>
  </x18tc:threadedComment>
  <x18tc:threadedComment ref="C616" dT="2026-03-17T23:54:39.00" personId="{f9b224d0-ee33-4499-ae47-db5bcd2d0435}" id="{3907041d-42f1-477c-ab07-a211ce1efcf8}" done="0">
    <x18tc:text xml:space="preserve">https://www.ebay.com/itm/127666580768?_skw=ASUS+-+ROG+Strix+G18+18%22+2.5K+ryzen+9+RTX+5060&amp;itmmeta=01KKYRJ22A0FSXDM24K3GB555X&amp;hash=item1db9856d20:g:8jcAAeSw779piFqc&amp;itmprp=enc%3AAQALAAABEGfYFPkwiKCW4ZNSs2u11xBNDwsdiKG2p2yjy8%2FuhrsHtDATpT406khB%2Bfu6GrSBQC0b8ya%2BMBSRY4uI%2ByDdTjcbLdkW%2F10imAKk%2B22sKODh9tPowbaZ4sKz7uNc2lxxZdRgekuNeuPZVxjWxtCltv4LB%2BbFkLTdQGpJgZ9tjSi5TC0%2BT1nvr3nLx833LijeTXy6KnHKxTP81vVFxSuqXk5R6BVe3WXSrBZ%2FjMoJxS21lFq7midYo8QrUiHy2yaadJJO5szpeTjVJqUwrT%2BaSD5iOS2ZLWO%2FHyl9hc6PkYkEwhevVwbyAh4cx%2B3T5EaXB2I3APBztDRb0yFVWeQ7bCp%2BTfpsCTLXj%2F2zWyYZquYp%7Ctkp%3ABk9SR7ShyNifZw</x18tc:text>
    <x18tc:extLst>
      <ext uri="{F7C98A9C-CBB3-438F-8F68-D28B6AF4A901}">
        <xltc2:checksum/>
        <xltc2:hyperlink startIndex="0" length="602" url="https://www.ebay.com/itm/127666580768?_skw=ASUS+-+ROG+Strix+G18+18%22+2.5K+ryzen+9+RTX+5060&amp;itmmeta=01KKYRJ22A0FSXDM24K3GB555X&amp;hash=item1db9856d20:g:8jcAAeSw779piFqc&amp;itmprp=enc%3AAQALAAABEGfYFPkwiKCW4ZNSs2u11xBNDwsdiKG2p2yjy8%2FuhrsHtDATpT406khB%2Bfu6GrSBQC0b8ya%2BMBSRY4uI%2ByDdTjcbLdkW%2F10imAKk%2B22sKODh9tPowbaZ4sKz7uNc2lxxZdRgekuNeuPZVxjWxtCltv4LB%2BbFkLTdQGpJgZ9tjSi5TC0%2BT1nvr3nLx833LijeTXy6KnHKxTP81vVFxSuqXk5R6BVe3WXSrBZ%2FjMoJxS21lFq7midYo8QrUiHy2yaadJJO5szpeTjVJqUwrT%2BaSD5iOS2ZLWO%2FHyl9hc6PkYkEwhevVwbyAh4cx%2B3T5EaXB2I3APBztDRb0yFVWeQ7bCp%2BTfpsCTLXj%2F2zWyYZquYp%7Ctkp%3ABk9SR7ShyNifZw"/>
      </ext>
    </x18tc:extLst>
  </x18tc:threadedComment>
  <x18tc:threadedComment ref="W302" dT="2025-11-18T21:54:21.00" personId="{d8e4f5ad-b65d-4160-a56f-197530fb7eb1}" id="{ef6fb064-3ecf-4ec8-9306-a349cc4a3fc1}" done="0">
    <x18tc:text xml:space="preserve">https://drive.google.com/file/d/12WFBYPIU4R2Q9P5vKDhvyjWlZ4TbvgKk/view?usp=drive_link</x18tc:text>
    <x18tc:extLst>
      <ext uri="{F7C98A9C-CBB3-438F-8F68-D28B6AF4A901}">
        <xltc2:checksum/>
        <xltc2:hyperlink startIndex="0" length="85" url="https://drive.google.com/file/d/12WFBYPIU4R2Q9P5vKDhvyjWlZ4TbvgKk/view?usp=drive_link"/>
      </ext>
    </x18tc:extLst>
  </x18tc:threadedComment>
  <x18tc:threadedComment ref="C518" dT="2026-02-05T06:33:07.00" personId="{4df2d6c4-e43e-4f2e-b623-d90f458472ff}" id="{3379b20d-bea4-4ff1-9294-4ae8319a988a}" done="0">
    <x18tc:text xml:space="preserve">https://www.ebay.com/itm/326645194194?_ul=PE</x18tc:text>
    <x18tc:extLst>
      <ext uri="{F7C98A9C-CBB3-438F-8F68-D28B6AF4A901}">
        <xltc2:checksum/>
        <xltc2:hyperlink startIndex="0" length="44" url="https://www.ebay.com/itm/326645194194?_ul=PE"/>
      </ext>
    </x18tc:extLst>
  </x18tc:threadedComment>
  <x18tc:threadedComment ref="AF335" dT="2025-12-04T17:57:06.00" personId="{2ddfa542-8116-4937-a057-08470d7abaab}" id="{b27993ab-3e27-448d-8cd8-baca97d676a4}" done="0">
    <x18tc:text xml:space="preserve">VENTA FINAL Y EXCEDENTES</x18tc:text>
  </x18tc:threadedComment>
  <x18tc:threadedComment ref="AF335" dT="2025-12-27T18:44:20.00" personId="{2ddfa542-8116-4937-a057-08470d7abaab}" id="{caa4cbfd-5258-4e9d-ba51-9864a9a8fa63}" parentId="{b27993ab-3e27-448d-8cd8-baca97d676a4}">
    <x18tc:text xml:space="preserve">Marcado como resuelto</x18tc:text>
  </x18tc:threadedComment>
  <x18tc:threadedComment ref="AF335" dT="2025-12-27T19:07:23.00" personId="{2ddfa542-8116-4937-a057-08470d7abaab}" id="{31f348b3-81ed-464a-887e-f48071fad407}" parentId="{b27993ab-3e27-448d-8cd8-baca97d676a4}">
    <x18tc:text xml:space="preserve">Reabierto</x18tc:text>
  </x18tc:threadedComment>
  <x18tc:threadedComment ref="K541" dT="2026-03-18T17:17:31.00" personId="{f9b224d0-ee33-4499-ae47-db5bcd2d0435}" id="{6fcf1155-e8a2-47bf-817c-140dea4661bb}" done="0">
    <x18tc:text xml:space="preserve">https://drive.google.com/file/d/1E5SuhKkWd0HFu0qvNLpE-SEkLm87HRBF/view?usp=drive_link</x18tc:text>
    <x18tc:extLst>
      <ext uri="{F7C98A9C-CBB3-438F-8F68-D28B6AF4A901}">
        <xltc2:checksum/>
        <xltc2:hyperlink startIndex="0" length="85" url="https://drive.google.com/file/d/1E5SuhKkWd0HFu0qvNLpE-SEkLm87HRBF/view?usp=drive_link"/>
      </ext>
    </x18tc:extLst>
  </x18tc:threadedComment>
  <x18tc:threadedComment ref="W312" dT="2025-11-18T22:02:37.00" personId="{d8e4f5ad-b65d-4160-a56f-197530fb7eb1}" id="{b0db761e-692e-4f87-bb02-a351e5ec1b90}" done="0">
    <x18tc:text xml:space="preserve">https://drive.google.com/file/d/1vpOv1ktD2dzAZUles7Q0cF5MbYM479Sb/view?usp=drive_link</x18tc:text>
    <x18tc:extLst>
      <ext uri="{F7C98A9C-CBB3-438F-8F68-D28B6AF4A901}">
        <xltc2:checksum/>
        <xltc2:hyperlink startIndex="0" length="85" url="https://drive.google.com/file/d/1vpOv1ktD2dzAZUles7Q0cF5MbYM479Sb/view?usp=drive_link"/>
      </ext>
    </x18tc:extLst>
  </x18tc:threadedComment>
  <x18tc:threadedComment ref="J76" dT="2025-05-29T16:41:13.00" personId="{a5d43f6d-3c72-4414-b012-8f52ef50acc4}" id="{d43e6528-ffcc-4d3c-9372-83f9bc8fb67c}" done="0">
    <x18tc:text xml:space="preserve">https://drive.google.com/file/d/1smfpgca7tB-KnlR29_uawVjB5xqzFtVw/view?usp=drive_link
https://drive.google.com/file/d/13DkUaksQ4kEMbKbx5pbsvTDz7TXtEoxI/view?usp=drive_link
https://drive.google.com/file/d/15cT_pf9PhGVo0anNCx6eVoY4Ej70Niod/view?usp=drive_link
https://drive.google.com/file/d/1jcuvXzgcNLyN-8YPjNIRydLfARdrqsSR/view?usp=drive_link</x18tc:text>
    <x18tc:extLst>
      <ext uri="{F7C98A9C-CBB3-438F-8F68-D28B6AF4A901}">
        <xltc2:checksum/>
        <xltc2:hyperlink startIndex="0" length="85" url="https://drive.google.com/file/d/1smfpgca7tB-KnlR29_uawVjB5xqzFtVw/view?usp=drive_link"/>
        <xltc2:hyperlink startIndex="86" length="85" url="https://drive.google.com/file/d/13DkUaksQ4kEMbKbx5pbsvTDz7TXtEoxI/view?usp=drive_link"/>
        <xltc2:hyperlink startIndex="172" length="85" url="https://drive.google.com/file/d/15cT_pf9PhGVo0anNCx6eVoY4Ej70Niod/view?usp=drive_link"/>
        <xltc2:hyperlink startIndex="258" length="85" url="https://drive.google.com/file/d/1jcuvXzgcNLyN-8YPjNIRydLfARdrqsSR/view?usp=drive_link"/>
      </ext>
    </x18tc:extLst>
  </x18tc:threadedComment>
  <x18tc:threadedComment ref="J808" dT="2026-06-27T23:32:28.00" personId="{d8e4f5ad-b65d-4160-a56f-197530fb7eb1}" id="{a83345a9-cbfe-4214-b9b2-20c357badd59}" done="0">
    <x18tc:text xml:space="preserve">https://drive.google.com/file/d/1PP58J6w9SZrZbMwI0xM1jwekd6ReYxf0/view?usp=drive_link</x18tc:text>
    <x18tc:extLst>
      <ext uri="{F7C98A9C-CBB3-438F-8F68-D28B6AF4A901}">
        <xltc2:checksum/>
        <xltc2:hyperlink startIndex="0" length="85" url="https://drive.google.com/file/d/1PP58J6w9SZrZbMwI0xM1jwekd6ReYxf0/view?usp=drive_link"/>
      </ext>
    </x18tc:extLst>
  </x18tc:threadedComment>
  <x18tc:threadedComment ref="J611" dT="2026-03-17T21:09:38.00" personId="{f9b224d0-ee33-4499-ae47-db5bcd2d0435}" id="{5746e6a7-090f-4d04-8cb0-f71995f3f14e}" done="0">
    <x18tc:text xml:space="preserve">https://drive.google.com/file/d/1oAp4wz3AIQbWOMrmNZgUA8PVqhzTn8pr/view?usp=drive_link</x18tc:text>
    <x18tc:extLst>
      <ext uri="{F7C98A9C-CBB3-438F-8F68-D28B6AF4A901}">
        <xltc2:checksum/>
        <xltc2:hyperlink startIndex="0" length="85" url="https://drive.google.com/file/d/1oAp4wz3AIQbWOMrmNZgUA8PVqhzTn8pr/view?usp=drive_link"/>
      </ext>
    </x18tc:extLst>
  </x18tc:threadedComment>
  <x18tc:threadedComment ref="W451" dT="2026-01-02T18:56:32.00" personId="{2ddfa542-8116-4937-a057-08470d7abaab}" id="{08e59fea-3929-4149-a5a1-3f974f47829e}" done="0">
    <x18tc:text xml:space="preserve">https://drive.google.com/file/d/1GleglBrMWYpEQyPJ1zVry1qXqxeLfTJr/view?usp=drive_link</x18tc:text>
    <x18tc:extLst>
      <ext uri="{F7C98A9C-CBB3-438F-8F68-D28B6AF4A901}">
        <xltc2:checksum/>
        <xltc2:hyperlink startIndex="0" length="85" url="https://drive.google.com/file/d/1GleglBrMWYpEQyPJ1zVry1qXqxeLfTJr/view?usp=drive_link"/>
      </ext>
    </x18tc:extLst>
  </x18tc:threadedComment>
  <x18tc:threadedComment ref="L107" dT="2025-08-13T23:08:40.00" personId="{a5d43f6d-3c72-4414-b012-8f52ef50acc4}" id="{6ba6877b-518c-475c-b6c4-138102ab46f8}" done="0">
    <x18tc:text xml:space="preserve">https://drive.google.com/file/d/1v5fxC5zq8hoadmLT4CrG00w548Sn3osJ/view?usp=drive_link
https://drive.google.com/file/d/16I_Q1-SQFPBb9uCY5J00eohVh3CDit5-/view?usp=drive_link</x18tc:text>
    <x18tc:extLst>
      <ext uri="{F7C98A9C-CBB3-438F-8F68-D28B6AF4A901}">
        <xltc2:checksum/>
        <xltc2:hyperlink startIndex="0" length="85" url="https://drive.google.com/file/d/1v5fxC5zq8hoadmLT4CrG00w548Sn3osJ/view?usp=drive_link"/>
        <xltc2:hyperlink startIndex="86" length="85" url="https://drive.google.com/file/d/16I_Q1-SQFPBb9uCY5J00eohVh3CDit5-/view?usp=drive_link"/>
      </ext>
    </x18tc:extLst>
  </x18tc:threadedComment>
  <x18tc:threadedComment ref="AI785" dT="2026-06-27T23:44:08.00" personId="{7d9bea4b-cfe7-4c29-b483-8e83a1c4f52a}" id="{fd171448-71cf-4ae8-b74e-19c969b73317}" done="0">
    <x18tc:text xml:space="preserve">https://drive.google.com/file/d/1Rj9vJI66XsIxS8Pe7UXaJm31555nuO-M/view?usp=drive_link</x18tc:text>
    <x18tc:extLst>
      <ext uri="{F7C98A9C-CBB3-438F-8F68-D28B6AF4A901}">
        <xltc2:checksum/>
        <xltc2:hyperlink startIndex="0" length="85" url="https://drive.google.com/file/d/1Rj9vJI66XsIxS8Pe7UXaJm31555nuO-M/view?usp=drive_link"/>
      </ext>
    </x18tc:extLst>
  </x18tc:threadedComment>
  <x18tc:threadedComment ref="C611" dT="2026-03-17T21:04:19.00" personId="{f9b224d0-ee33-4499-ae47-db5bcd2d0435}" id="{141ec96f-2983-4ca7-a6c6-76dc8547b627}" done="0">
    <x18tc:text xml:space="preserve">https://www.ebay.com/itm/205814283481</x18tc:text>
    <x18tc:extLst>
      <ext uri="{F7C98A9C-CBB3-438F-8F68-D28B6AF4A901}">
        <xltc2:checksum/>
        <xltc2:hyperlink startIndex="0" length="37" url="https://www.ebay.com/itm/205814283481"/>
      </ext>
    </x18tc:extLst>
  </x18tc:threadedComment>
  <x18tc:threadedComment ref="J318" dT="2025-11-19T00:02:20.00" personId="{d8e4f5ad-b65d-4160-a56f-197530fb7eb1}" id="{9ae11209-d4af-4ed8-b220-3f802cc2c761}" done="0">
    <x18tc:text xml:space="preserve">https://drive.google.com/file/d/1NzWqZ6uc5GJtFNhPCgta6RubTXD0-2OR/view?usp=drive_link</x18tc:text>
    <x18tc:extLst>
      <ext uri="{F7C98A9C-CBB3-438F-8F68-D28B6AF4A901}">
        <xltc2:checksum/>
        <xltc2:hyperlink startIndex="0" length="85" url="https://drive.google.com/file/d/1NzWqZ6uc5GJtFNhPCgta6RubTXD0-2OR/view?usp=drive_link"/>
      </ext>
    </x18tc:extLst>
  </x18tc:threadedComment>
  <x18tc:threadedComment ref="W313" dT="2025-11-18T21:53:42.00" personId="{d8e4f5ad-b65d-4160-a56f-197530fb7eb1}" id="{1ceed0ba-5fe2-4276-949d-c0d895ca9f70}" done="0">
    <x18tc:text xml:space="preserve">https://drive.google.com/file/d/1XyWCGUx0i_hc2qcQOwCYSAKACd8S4bm1/view?usp=drive_link</x18tc:text>
    <x18tc:extLst>
      <ext uri="{F7C98A9C-CBB3-438F-8F68-D28B6AF4A901}">
        <xltc2:checksum/>
        <xltc2:hyperlink startIndex="0" length="85" url="https://drive.google.com/file/d/1XyWCGUx0i_hc2qcQOwCYSAKACd8S4bm1/view?usp=drive_link"/>
      </ext>
    </x18tc:extLst>
  </x18tc:threadedComment>
  <x18tc:threadedComment ref="W438" dT="2026-01-02T18:47:20.00" personId="{2ddfa542-8116-4937-a057-08470d7abaab}" id="{90572758-5c71-438f-af5f-e50157447491}" done="0">
    <x18tc:text xml:space="preserve">https://drive.google.com/file/d/13ErVlNaVvubjZxj8XDvl9NpGvUHWAZlg/view?usp=drive_link</x18tc:text>
    <x18tc:extLst>
      <ext uri="{F7C98A9C-CBB3-438F-8F68-D28B6AF4A901}">
        <xltc2:checksum/>
        <xltc2:hyperlink startIndex="0" length="85" url="https://drive.google.com/file/d/13ErVlNaVvubjZxj8XDvl9NpGvUHWAZlg/view?usp=drive_link"/>
      </ext>
    </x18tc:extLst>
  </x18tc:threadedComment>
  <x18tc:threadedComment ref="W438" dT="2026-01-02T18:59:04.00" personId="{2ddfa542-8116-4937-a057-08470d7abaab}" id="{3bc85e91-069c-4d48-9ade-687de090f358}" parentId="{90572758-5c71-438f-af5f-e50157447491}">
    <x18tc:text xml:space="preserve">https://drive.google.com/file/d/1VpDnUYO85YstfSY93YLesH8PM8qz7LGx/view?usp=drive_link</x18tc:text>
    <x18tc:extLst>
      <ext uri="{F7C98A9C-CBB3-438F-8F68-D28B6AF4A901}">
        <xltc2:checksum/>
        <xltc2:hyperlink startIndex="0" length="85" url="https://drive.google.com/file/d/1VpDnUYO85YstfSY93YLesH8PM8qz7LGx/view?usp=drive_link"/>
      </ext>
    </x18tc:extLst>
  </x18tc:threadedComment>
  <x18tc:threadedComment ref="K724" dT="2026-06-28T00:43:44.00" personId="{f9b224d0-ee33-4499-ae47-db5bcd2d0435}" id="{38af7c29-94bf-4fea-9dff-65b048a82231}" done="0">
    <x18tc:text xml:space="preserve">https://drive.google.com/file/d/1je4gT-ahrnMYNSjp7V4f5oB2k7qstQii/view?usp=drive_link</x18tc:text>
    <x18tc:extLst>
      <ext uri="{F7C98A9C-CBB3-438F-8F68-D28B6AF4A901}">
        <xltc2:checksum/>
        <xltc2:hyperlink startIndex="0" length="85" url="https://drive.google.com/file/d/1je4gT-ahrnMYNSjp7V4f5oB2k7qstQii/view?usp=drive_link"/>
      </ext>
    </x18tc:extLst>
  </x18tc:threadedComment>
  <x18tc:threadedComment ref="K724" dT="2026-06-28T00:44:27.00" personId="{f9b224d0-ee33-4499-ae47-db5bcd2d0435}" id="{e0cdd1dc-006f-49cc-86d4-9efd2899f4b4}" parentId="{38af7c29-94bf-4fea-9dff-65b048a82231}">
    <x18tc:text xml:space="preserve">4 mil lo pago Mercado Libre Link enviado por la Srta Sofia 27-6</x18tc:text>
  </x18tc:threadedComment>
  <x18tc:threadedComment ref="W314" dT="2025-11-18T21:53:02.00" personId="{d8e4f5ad-b65d-4160-a56f-197530fb7eb1}" id="{5e745fcc-6e52-400a-96f8-fce21e7cb50a}" done="0">
    <x18tc:text xml:space="preserve">https://drive.google.com/file/d/1S2L1fK1xyHwngXuvrLBuI-joZh5gS9X6/view?usp=drive_link</x18tc:text>
    <x18tc:extLst>
      <ext uri="{F7C98A9C-CBB3-438F-8F68-D28B6AF4A901}">
        <xltc2:checksum/>
        <xltc2:hyperlink startIndex="0" length="85" url="https://drive.google.com/file/d/1S2L1fK1xyHwngXuvrLBuI-joZh5gS9X6/view?usp=drive_link"/>
      </ext>
    </x18tc:extLst>
  </x18tc:threadedComment>
  <x18tc:threadedComment ref="C449" dT="2026-01-02T18:47:06.00" personId="{d8e4f5ad-b65d-4160-a56f-197530fb7eb1}" id="{094da4b0-4c91-41c8-824e-147d7ca6f835}" done="0">
    <x18tc:text xml:space="preserve">https://www.ebay.com/itm/127553183038</x18tc:text>
    <x18tc:extLst>
      <ext uri="{F7C98A9C-CBB3-438F-8F68-D28B6AF4A901}">
        <xltc2:checksum/>
        <xltc2:hyperlink startIndex="0" length="37" url="https://www.ebay.com/itm/127553183038"/>
      </ext>
    </x18tc:extLst>
  </x18tc:threadedComment>
  <x18tc:threadedComment ref="L106" dT="2025-08-01T19:09:15.00" personId="{a5d43f6d-3c72-4414-b012-8f52ef50acc4}" id="{439b6dc3-7599-457f-929b-f2a9244fd6aa}" done="0">
    <x18tc:text xml:space="preserve">https://drive.google.com/file/d/1AFgnwyfV9Oo3PYbs29rtwGlYfGwwKxYg/view?usp=drive_link</x18tc:text>
    <x18tc:extLst>
      <ext uri="{F7C98A9C-CBB3-438F-8F68-D28B6AF4A901}">
        <xltc2:checksum/>
        <xltc2:hyperlink startIndex="0" length="85" url="https://drive.google.com/file/d/1AFgnwyfV9Oo3PYbs29rtwGlYfGwwKxYg/view?usp=drive_link"/>
      </ext>
    </x18tc:extLst>
  </x18tc:threadedComment>
  <x18tc:threadedComment ref="W531" dT="2026-02-17T22:40:21.00" personId="{2ddfa542-8116-4937-a057-08470d7abaab}" id="{ffec8d56-ce1c-4470-8cd9-b1999cfa2912}" done="0">
    <x18tc:text xml:space="preserve">SE LE ENVIO EL 20% AL FINALIZAR EMITIRLE LA FACTURA COMPLETA restando el importe</x18tc:text>
  </x18tc:threadedComment>
  <x18tc:threadedComment ref="W531" dT="2026-02-20T17:04:26.00" personId="{2ddfa542-8116-4937-a057-08470d7abaab}" id="{68b6aacc-b511-4b0e-9f67-f10d382a3802}" parentId="{ffec8d56-ce1c-4470-8cd9-b1999cfa2912}">
    <x18tc:text xml:space="preserve">se envio otra factura con el saldo restante</x18tc:text>
  </x18tc:threadedComment>
  <x18tc:threadedComment ref="J192" dT="2025-08-25T19:15:14.00" personId="{4df2d6c4-e43e-4f2e-b623-d90f458472ff}" id="{49f329f7-2035-487e-8a50-ab3b2bb3082e}" done="0">
    <x18tc:text xml:space="preserve">https://drive.google.com/file/d/1APQkR_CDfHnHE6m1v0x8-mE4UkXT6YQJ/view</x18tc:text>
    <x18tc:extLst>
      <ext uri="{F7C98A9C-CBB3-438F-8F68-D28B6AF4A901}">
        <xltc2:checksum/>
        <xltc2:hyperlink startIndex="0" length="70" url="https://drive.google.com/file/d/1APQkR_CDfHnHE6m1v0x8-mE4UkXT6YQJ/view"/>
      </ext>
    </x18tc:extLst>
  </x18tc:threadedComment>
  <x18tc:threadedComment ref="C612" dT="2026-03-17T22:40:57.00" personId="{80195d68-4e9b-4dc7-a031-ca5391c97d0f}" id="{701b8d42-5cb4-4717-a7cb-e6512025355a}" done="0">
    <x18tc:text xml:space="preserve">https://www.ebay.com/itm/326796273689?_skw=laptop+gaming&amp;itmmeta=01KKX6NN6134JBFGK29084N58V&amp;hash=item4c16936819:g:4lMAAeSwKO1pqzYD</x18tc:text>
    <x18tc:extLst>
      <ext uri="{F7C98A9C-CBB3-438F-8F68-D28B6AF4A901}">
        <xltc2:checksum/>
        <xltc2:hyperlink startIndex="0" length="130" url="https://www.ebay.com/itm/326796273689?_skw=laptop+gaming&amp;itmmeta=01KKX6NN6134JBFGK29084N58V&amp;hash=item4c16936819:g:4lMAAeSwKO1pqzYD"/>
      </ext>
    </x18tc:extLst>
  </x18tc:threadedComment>
  <x18tc:threadedComment ref="Q724" dT="2026-06-28T00:46:45.00" personId="{f9b224d0-ee33-4499-ae47-db5bcd2d0435}" id="{2891283c-c20a-4a7f-b92e-7502005a72f0}" done="0">
    <x18tc:text xml:space="preserve">fila 802 129.01</x18tc:text>
  </x18tc:threadedComment>
  <x18tc:threadedComment ref="W355" dT="2026-01-02T18:43:01.00" personId="{2ddfa542-8116-4937-a057-08470d7abaab}" id="{6c89f29a-b1db-4bc4-a23e-f557cdbc551b}" done="0">
    <x18tc:text xml:space="preserve">https://drive.google.com/file/d/1twkO_k_jLpiCTjCW_eOvGeSXG8y6UXqu/view?usp=drive_link</x18tc:text>
    <x18tc:extLst>
      <ext uri="{F7C98A9C-CBB3-438F-8F68-D28B6AF4A901}">
        <xltc2:checksum/>
        <xltc2:hyperlink startIndex="0" length="85" url="https://drive.google.com/file/d/1twkO_k_jLpiCTjCW_eOvGeSXG8y6UXqu/view?usp=drive_link"/>
      </ext>
    </x18tc:extLst>
  </x18tc:threadedComment>
  <x18tc:threadedComment ref="W127" dT="2025-09-01T18:46:10.00" personId="{d8e4f5ad-b65d-4160-a56f-197530fb7eb1}" id="{86d3ffa8-58cc-4457-9c69-27ad36e7755d}" done="0">
    <x18tc:text xml:space="preserve">https://drive.google.com/file/d/13-8zKmv9zMBFtV5AyQ5PWmfZVXX3N-6D/view?usp=drive_link</x18tc:text>
    <x18tc:extLst>
      <ext uri="{F7C98A9C-CBB3-438F-8F68-D28B6AF4A901}">
        <xltc2:checksum/>
        <xltc2:hyperlink startIndex="0" length="85" url="https://drive.google.com/file/d/13-8zKmv9zMBFtV5AyQ5PWmfZVXX3N-6D/view?usp=drive_link"/>
      </ext>
    </x18tc:extLst>
  </x18tc:threadedComment>
  <x18tc:threadedComment ref="L140" dT="2025-08-01T17:27:39.00" personId="{a5d43f6d-3c72-4414-b012-8f52ef50acc4}" id="{09efb6d0-a040-49a8-8128-345e7d3f4dd0}" done="0">
    <x18tc:text xml:space="preserve">adicional pagó el envío e instalacion de programas para fixit
https://drive.google.com/file/d/1ryIZQ4hgtL-bDYJvJYGZaCBzpqnvf-1I/view?usp=drive_link</x18tc:text>
    <x18tc:extLst>
      <ext uri="{F7C98A9C-CBB3-438F-8F68-D28B6AF4A901}">
        <xltc2:checksum/>
        <xltc2:hyperlink startIndex="62" length="85" url="https://drive.google.com/file/d/1ryIZQ4hgtL-bDYJvJYGZaCBzpqnvf-1I/view?usp=drive_link"/>
      </ext>
    </x18tc:extLst>
  </x18tc:threadedComment>
  <x18tc:threadedComment ref="W146" dT="2025-09-01T18:50:48.00" personId="{d8e4f5ad-b65d-4160-a56f-197530fb7eb1}" id="{e6d8d2c2-b516-45ec-b503-8ef153ba636e}" done="0">
    <x18tc:text xml:space="preserve">https://drive.google.com/file/d/1iBAvn3it4apZtn_S2wRz-NS9H3efpY2j/view?usp=drive_link</x18tc:text>
    <x18tc:extLst>
      <ext uri="{F7C98A9C-CBB3-438F-8F68-D28B6AF4A901}">
        <xltc2:checksum/>
        <xltc2:hyperlink startIndex="0" length="85" url="https://drive.google.com/file/d/1iBAvn3it4apZtn_S2wRz-NS9H3efpY2j/view?usp=drive_link"/>
      </ext>
    </x18tc:extLst>
  </x18tc:threadedComment>
  <x18tc:threadedComment ref="W346" dT="2026-01-02T18:01:20.00" personId="{2ddfa542-8116-4937-a057-08470d7abaab}" id="{baddb8c8-0300-44cd-8eff-0a938c2c5766}" done="0">
    <x18tc:text xml:space="preserve">https://drive.google.com/file/d/1-OWncDxURgfOy1kvaOG8p5MqJn_C3YDZ/view?usp=drive_link</x18tc:text>
    <x18tc:extLst>
      <ext uri="{F7C98A9C-CBB3-438F-8F68-D28B6AF4A901}">
        <xltc2:checksum/>
        <xltc2:hyperlink startIndex="0" length="85" url="https://drive.google.com/file/d/1-OWncDxURgfOy1kvaOG8p5MqJn_C3YDZ/view?usp=drive_link"/>
      </ext>
    </x18tc:extLst>
  </x18tc:threadedComment>
  <x18tc:threadedComment ref="L258" dT="2025-10-23T17:58:56.00" personId="{a5d43f6d-3c72-4414-b012-8f52ef50acc4}" id="{58db5806-f817-4382-a5b0-d7023eb5bc18}" done="0">
    <x18tc:text xml:space="preserve">https://drive.google.com/file/d/1WP4Obw--D93nRckHD6TadvDwIr1kqTgv/view?usp=drive_link</x18tc:text>
    <x18tc:extLst>
      <ext uri="{F7C98A9C-CBB3-438F-8F68-D28B6AF4A901}">
        <xltc2:checksum/>
        <xltc2:hyperlink startIndex="0" length="85" url="https://drive.google.com/file/d/1WP4Obw--D93nRckHD6TadvDwIr1kqTgv/view?usp=drive_link"/>
      </ext>
    </x18tc:extLst>
  </x18tc:threadedComment>
  <x18tc:threadedComment ref="L136" dT="2025-08-25T18:55:16.00" personId="{a5d43f6d-3c72-4414-b012-8f52ef50acc4}" id="{5f1bda04-58f8-4bff-92b9-64d3b763c918}" done="0">
    <x18tc:text xml:space="preserve">https://drive.google.com/file/d/1Ka_JJ4Zxj8-hoV-MzoOw-lWIM2rcAl5T/view?usp=drive_link</x18tc:text>
    <x18tc:extLst>
      <ext uri="{F7C98A9C-CBB3-438F-8F68-D28B6AF4A901}">
        <xltc2:checksum/>
        <xltc2:hyperlink startIndex="0" length="85" url="https://drive.google.com/file/d/1Ka_JJ4Zxj8-hoV-MzoOw-lWIM2rcAl5T/view?usp=drive_link"/>
      </ext>
    </x18tc:extLst>
  </x18tc:threadedComment>
  <x18tc:threadedComment ref="C620" dT="2026-03-18T17:30:14.00" personId="{4df2d6c4-e43e-4f2e-b623-d90f458472ff}" id="{36245875-69de-4cc1-9ee2-2932cf90ce6b}" done="0">
    <x18tc:text xml:space="preserve">https://www.ebay.com/itm/326796274533?_skw=laptop+gaming&amp;itmmeta=01KKX6NN61STCVQPC9BRD6P2N7&amp;hash=item4c16936b65:g:iGwAAeSwpO5puFEd</x18tc:text>
    <x18tc:extLst>
      <ext uri="{F7C98A9C-CBB3-438F-8F68-D28B6AF4A901}">
        <xltc2:checksum/>
        <xltc2:hyperlink startIndex="0" length="130" url="https://www.ebay.com/itm/326796274533?_skw=laptop+gaming&amp;itmmeta=01KKX6NN61STCVQPC9BRD6P2N7&amp;hash=item4c16936b65:g:iGwAAeSwpO5puFEd"/>
      </ext>
    </x18tc:extLst>
  </x18tc:threadedComment>
  <x18tc:threadedComment ref="C621" dT="2026-03-18T17:34:45.00" personId="{80195d68-4e9b-4dc7-a031-ca5391c97d0f}" id="{aa0bb169-a52b-464b-8172-32f8d9dca830}" done="0">
    <x18tc:text xml:space="preserve">https://www.bestbuy.com/product/asus-zenbook-s-16-16-3k-oled-touch-screen-laptop-copilot-pc-amd-ryzen-ai-9-365-24gb-memory-1tb-ssd-scandinavian-white/JJGGLQSYLC</x18tc:text>
    <x18tc:extLst>
      <ext uri="{F7C98A9C-CBB3-438F-8F68-D28B6AF4A901}">
        <xltc2:checksum/>
        <xltc2:hyperlink startIndex="0" length="160" url="https://www.bestbuy.com/product/asus-zenbook-s-16-16-3k-oled-touch-screen-laptop-copilot-pc-amd-ryzen-ai-9-365-24gb-memory-1tb-ssd-scandinavian-white/JJGGLQSYLC"/>
      </ext>
    </x18tc:extLst>
  </x18tc:threadedComment>
  <x18tc:threadedComment ref="W322" dT="2026-01-02T17:47:54.00" personId="{2ddfa542-8116-4937-a057-08470d7abaab}" id="{9ae7b15f-c4ce-42f5-9e58-992033631602}" done="0">
    <x18tc:text xml:space="preserve">https://drive.google.com/file/d/132hzIG6jBLkBz_U0W_qCIoZlXQOq5yT-/view?usp=drive_link</x18tc:text>
    <x18tc:extLst>
      <ext uri="{F7C98A9C-CBB3-438F-8F68-D28B6AF4A901}">
        <xltc2:checksum/>
        <xltc2:hyperlink startIndex="0" length="85" url="https://drive.google.com/file/d/132hzIG6jBLkBz_U0W_qCIoZlXQOq5yT-/view?usp=drive_link"/>
      </ext>
    </x18tc:extLst>
  </x18tc:threadedComment>
  <x18tc:threadedComment ref="K448" dT="2026-01-02T18:30:11.00" personId="{d8e4f5ad-b65d-4160-a56f-197530fb7eb1}" id="{7fb25855-d3df-4653-ac14-f7aee5ab2cd6}" done="0">
    <x18tc:text xml:space="preserve">https://drive.google.com/file/d/1zv4A9xb9XlDIQpf-z2zeHsPmPA0pmCmC/view?usp=drive_link</x18tc:text>
    <x18tc:extLst>
      <ext uri="{F7C98A9C-CBB3-438F-8F68-D28B6AF4A901}">
        <xltc2:checksum/>
        <xltc2:hyperlink startIndex="0" length="85" url="https://drive.google.com/file/d/1zv4A9xb9XlDIQpf-z2zeHsPmPA0pmCmC/view?usp=drive_link"/>
      </ext>
    </x18tc:extLst>
  </x18tc:threadedComment>
  <x18tc:threadedComment ref="AF343" dT="2025-12-04T18:17:43.00" personId="{2ddfa542-8116-4937-a057-08470d7abaab}" id="{6b5299ac-c31d-43c5-8856-4585abf0267a}" done="0">
    <x18tc:text xml:space="preserve">VENTA FINAL Y EXCEDENTES</x18tc:text>
  </x18tc:threadedComment>
  <x18tc:threadedComment ref="AF343" dT="2025-12-27T18:55:21.00" personId="{2ddfa542-8116-4937-a057-08470d7abaab}" id="{7d905500-f2e3-4070-b553-e34ef3e4e427}" parentId="{6b5299ac-c31d-43c5-8856-4585abf0267a}">
    <x18tc:text xml:space="preserve">Marcado como resuelto</x18tc:text>
  </x18tc:threadedComment>
  <x18tc:threadedComment ref="AF343" dT="2025-12-27T19:07:15.00" personId="{2ddfa542-8116-4937-a057-08470d7abaab}" id="{49536c33-a0b9-44cb-a387-52f4400a83f9}" parentId="{6b5299ac-c31d-43c5-8856-4585abf0267a}">
    <x18tc:text xml:space="preserve">Reabierto</x18tc:text>
  </x18tc:threadedComment>
  <x18tc:threadedComment ref="AF327" dT="2025-12-04T17:49:41.00" personId="{2ddfa542-8116-4937-a057-08470d7abaab}" id="{0553cabf-b59e-4833-9eb0-dde904cf2c4f}" done="0">
    <x18tc:text xml:space="preserve">VENTA FINAL Y EXCEDENTES</x18tc:text>
  </x18tc:threadedComment>
  <x18tc:threadedComment ref="AF327" dT="2025-12-20T21:18:03.00" personId="{2ddfa542-8116-4937-a057-08470d7abaab}" id="{1d537e2c-b286-418f-b6f5-1bd435fc72bd}" parentId="{0553cabf-b59e-4833-9eb0-dde904cf2c4f}">
    <x18tc:text xml:space="preserve">Marcado como resuelto</x18tc:text>
  </x18tc:threadedComment>
  <x18tc:threadedComment ref="AF327" dT="2025-12-27T19:07:41.00" personId="{2ddfa542-8116-4937-a057-08470d7abaab}" id="{37100aef-c725-40b5-b71c-df8be41f6a92}" parentId="{0553cabf-b59e-4833-9eb0-dde904cf2c4f}">
    <x18tc:text xml:space="preserve">Reabierto</x18tc:text>
  </x18tc:threadedComment>
  <x18tc:threadedComment ref="A1" dT="2025-11-18T23:23:37.00" personId="{d8e4f5ad-b65d-4160-a56f-197530fb7eb1}" id="{4b1cc4f6-62a1-43c7-a8c1-6036b1c3bd89}" done="0">
    <x18tc:text xml:space="preserve">https://drive.google.com/file/d/1Z7YS21SZgOsj6PsM5GfFvC_W0_Tg2Cmy/view?usp=drive_link</x18tc:text>
    <x18tc:extLst>
      <ext uri="{F7C98A9C-CBB3-438F-8F68-D28B6AF4A901}">
        <xltc2:checksum/>
        <xltc2:hyperlink startIndex="0" length="85" url="https://drive.google.com/file/d/1Z7YS21SZgOsj6PsM5GfFvC_W0_Tg2Cmy/view?usp=drive_link"/>
      </ext>
    </x18tc:extLst>
  </x18tc:threadedComment>
  <x18tc:threadedComment ref="N270" dT="2025-10-16T00:01:00.00" personId="{a5d43f6d-3c72-4414-b012-8f52ef50acc4}" id="{4c88e5a9-5d54-432a-bcff-d3ed17bbe306}" done="0">
    <x18tc:text xml:space="preserve">S/.1.092,61864
S/.1.289,2900</x18tc:text>
  </x18tc:threadedComment>
  <x18tc:threadedComment ref="AF346" dT="2025-12-04T18:24:48.00" personId="{2ddfa542-8116-4937-a057-08470d7abaab}" id="{eae7fa16-210e-4c0c-a1cd-725f356258e4}" done="0">
    <x18tc:text xml:space="preserve">VENTA FINAL Y EXCEDENTES</x18tc:text>
  </x18tc:threadedComment>
  <x18tc:threadedComment ref="L143" dT="2025-08-25T19:25:56.00" personId="{a5d43f6d-3c72-4414-b012-8f52ef50acc4}" id="{a85561e0-d64c-4910-ab27-24f1a22fb893}" done="0">
    <x18tc:text xml:space="preserve">https://drive.google.com/file/d/1hyGRZvJ_MzF9D602S67rzkSafqcWR0OZ/view?usp=drive_link</x18tc:text>
    <x18tc:extLst>
      <ext uri="{F7C98A9C-CBB3-438F-8F68-D28B6AF4A901}">
        <xltc2:checksum/>
        <xltc2:hyperlink startIndex="0" length="85" url="https://drive.google.com/file/d/1hyGRZvJ_MzF9D602S67rzkSafqcWR0OZ/view?usp=drive_link"/>
      </ext>
    </x18tc:extLst>
  </x18tc:threadedComment>
  <x18tc:threadedComment ref="AF328" dT="2025-12-04T17:50:28.00" personId="{2ddfa542-8116-4937-a057-08470d7abaab}" id="{ac203d69-5dff-4827-941d-0ddd9bf7e0c8}" done="0">
    <x18tc:text xml:space="preserve">VENTA FINAL Y EXCEDENTES</x18tc:text>
  </x18tc:threadedComment>
  <x18tc:threadedComment ref="AF328" dT="2025-12-20T21:24:26.00" personId="{2ddfa542-8116-4937-a057-08470d7abaab}" id="{999621a8-ce08-4306-bc33-fbe167895517}" parentId="{ac203d69-5dff-4827-941d-0ddd9bf7e0c8}">
    <x18tc:text xml:space="preserve">Marcado como resuelto</x18tc:text>
  </x18tc:threadedComment>
  <x18tc:threadedComment ref="AF328" dT="2025-12-27T19:07:38.00" personId="{2ddfa542-8116-4937-a057-08470d7abaab}" id="{2f34e16f-d98f-4381-98e6-9b1bd9eb42fc}" parentId="{ac203d69-5dff-4827-941d-0ddd9bf7e0c8}">
    <x18tc:text xml:space="preserve">Reabierto</x18tc:text>
  </x18tc:threadedComment>
  <x18tc:threadedComment ref="J270" dT="2025-10-16T00:01:35.00" personId="{a5d43f6d-3c72-4414-b012-8f52ef50acc4}" id="{06d8a5b5-c23c-455f-b3ca-a49e1c98b4bf}" done="0">
    <x18tc:text xml:space="preserve">https://drive.google.com/file/d/1VkynYxoB3vI4T1_pQRh63PAkSokn9jO9/view?usp=drive_link</x18tc:text>
    <x18tc:extLst>
      <ext uri="{F7C98A9C-CBB3-438F-8F68-D28B6AF4A901}">
        <xltc2:checksum/>
        <xltc2:hyperlink startIndex="0" length="85" url="https://drive.google.com/file/d/1VkynYxoB3vI4T1_pQRh63PAkSokn9jO9/view?usp=drive_link"/>
      </ext>
    </x18tc:extLst>
  </x18tc:threadedComment>
  <x18tc:threadedComment ref="W321" dT="2026-01-02T17:43:31.00" personId="{2ddfa542-8116-4937-a057-08470d7abaab}" id="{07def5aa-30ea-4822-8fcf-86300e935c15}" done="0">
    <x18tc:text xml:space="preserve">https://drive.google.com/file/d/11PrvYN1symoG1WjEfRfIygc8RN-AQNs1/view?usp=drive_link</x18tc:text>
    <x18tc:extLst>
      <ext uri="{F7C98A9C-CBB3-438F-8F68-D28B6AF4A901}">
        <xltc2:checksum/>
        <xltc2:hyperlink startIndex="0" length="85" url="https://drive.google.com/file/d/11PrvYN1symoG1WjEfRfIygc8RN-AQNs1/view?usp=drive_link"/>
      </ext>
    </x18tc:extLst>
  </x18tc:threadedComment>
  <x18tc:threadedComment ref="O83" dT="2025-06-12T17:15:53.00" personId="{a5d43f6d-3c72-4414-b012-8f52ef50acc4}" id="{7ba13a6a-d309-41ef-8bbe-b6e4351b22e4}" done="0">
    <x18tc:text xml:space="preserve">60 soles se saca para darle mouse + mousepad</x18tc:text>
  </x18tc:threadedComment>
  <x18tc:threadedComment ref="AF344" dT="2025-12-04T18:25:54.00" personId="{2ddfa542-8116-4937-a057-08470d7abaab}" id="{7a66ea0c-afde-4bd5-9cec-8fb7ad63b3db}" done="0">
    <x18tc:text xml:space="preserve">VENTA FINAL Y EXCEDENTES</x18tc:text>
  </x18tc:threadedComment>
  <x18tc:threadedComment ref="C619" dT="2026-03-18T16:35:54.00" personId="{d8e4f5ad-b65d-4160-a56f-197530fb7eb1}" id="{ccaea062-59ed-4d1d-bec9-f348de6ae96b}"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AF329" dT="2025-12-04T17:52:44.00" personId="{2ddfa542-8116-4937-a057-08470d7abaab}" id="{39d23018-b8d3-4b14-8134-c54b2d3c0881}" done="0">
    <x18tc:text xml:space="preserve">VENTA FINAL Y EXCEDENTES, precio laptop, envio. (todo)</x18tc:text>
  </x18tc:threadedComment>
  <x18tc:threadedComment ref="AF329" dT="2025-12-27T18:33:55.00" personId="{2ddfa542-8116-4937-a057-08470d7abaab}" id="{f70bb034-8f36-40c3-ba70-b12dfa399398}" parentId="{39d23018-b8d3-4b14-8134-c54b2d3c0881}">
    <x18tc:text xml:space="preserve">Marcado como resuelto</x18tc:text>
  </x18tc:threadedComment>
  <x18tc:threadedComment ref="AF329" dT="2025-12-27T19:07:35.00" personId="{2ddfa542-8116-4937-a057-08470d7abaab}" id="{091bc67e-4055-47df-866b-0d2b6f21921b}" parentId="{39d23018-b8d3-4b14-8134-c54b2d3c0881}">
    <x18tc:text xml:space="preserve">Reabierto</x18tc:text>
  </x18tc:threadedComment>
  <x18tc:threadedComment ref="K487" dT="2026-01-19T22:17:02.00" personId="{d8e4f5ad-b65d-4160-a56f-197530fb7eb1}" id="{7ea8380d-bfb4-40dd-b167-daac47929bb4}" done="0">
    <x18tc:text xml:space="preserve">https://drive.google.com/file/d/1VrCwP7i9JFv1gAJRR8NCgFRt4DQ5izrJ/view?usp=drive_link</x18tc:text>
    <x18tc:extLst>
      <ext uri="{F7C98A9C-CBB3-438F-8F68-D28B6AF4A901}">
        <xltc2:checksum/>
        <xltc2:hyperlink startIndex="0" length="85" url="https://drive.google.com/file/d/1VrCwP7i9JFv1gAJRR8NCgFRt4DQ5izrJ/view?usp=drive_link"/>
      </ext>
    </x18tc:extLst>
  </x18tc:threadedComment>
  <x18tc:threadedComment ref="L66" dT="2025-06-12T17:21:38.00" personId="{a5d43f6d-3c72-4414-b012-8f52ef50acc4}" id="{f6ee7b6c-577f-4b31-ba72-0952fb31b5d8}" done="0">
    <x18tc:text xml:space="preserve">se agregó 37 soles por el código
https://drive.google.com/file/d/1RfQrq12z_jR8_vAPY09glXQocn1_DyAs/view?usp=drive_link</x18tc:text>
    <x18tc:extLst>
      <ext uri="{F7C98A9C-CBB3-438F-8F68-D28B6AF4A901}">
        <xltc2:checksum/>
        <xltc2:hyperlink startIndex="33" length="85" url="https://drive.google.com/file/d/1RfQrq12z_jR8_vAPY09glXQocn1_DyAs/view?usp=drive_link"/>
      </ext>
    </x18tc:extLst>
  </x18tc:threadedComment>
  <x18tc:threadedComment ref="AF644" dT="2026-04-09T06:34:06.00" personId="{2ddfa542-8116-4937-a057-08470d7abaab}" id="{4c177b80-03fa-4931-bf46-46da89746b74}" done="1">
    <x18tc:text xml:space="preserve">venta final,excedentes, fixit</x18tc:text>
  </x18tc:threadedComment>
  <x18tc:threadedComment ref="AF351" dT="2025-12-04T18:30:14.00" personId="{2ddfa542-8116-4937-a057-08470d7abaab}" id="{a02d73b0-e1f8-42b8-b9de-124e9cf3287e}" done="0">
    <x18tc:text xml:space="preserve">VENTA FINAL Y EXCEDENTES</x18tc:text>
  </x18tc:threadedComment>
  <x18tc:threadedComment ref="K750" dT="2026-05-23T17:04:18.00" personId="{f9b224d0-ee33-4499-ae47-db5bcd2d0435}" id="{bbea6630-9de5-40ff-866c-86bd8813139d}" done="0">
    <x18tc:text xml:space="preserve">https://drive.google.com/file/d/1vv8JO7xxlDQaHxJAhq0y1YoUt9DUC4cE/view?usp=drive_link</x18tc:text>
    <x18tc:extLst>
      <ext uri="{F7C98A9C-CBB3-438F-8F68-D28B6AF4A901}">
        <xltc2:checksum/>
        <xltc2:hyperlink startIndex="0" length="85" url="https://drive.google.com/file/d/1vv8JO7xxlDQaHxJAhq0y1YoUt9DUC4cE/view?usp=drive_link"/>
      </ext>
    </x18tc:extLst>
  </x18tc:threadedComment>
  <x18tc:threadedComment ref="K750" dT="2026-05-23T17:05:12.00" personId="{f9b224d0-ee33-4499-ae47-db5bcd2d0435}" id="{b9673ad6-dcc1-4679-ae25-ff71fb7cd363}" parentId="{bbea6630-9de5-40ff-866c-86bd8813139d}">
    <x18tc:text xml:space="preserve">https://drive.google.com/file/d/1ik5qyT7LV9_m2qPLsxu_tAOJJvaTFlFw/view?usp=drive_link</x18tc:text>
    <x18tc:extLst>
      <ext uri="{F7C98A9C-CBB3-438F-8F68-D28B6AF4A901}">
        <xltc2:checksum/>
        <xltc2:hyperlink startIndex="0" length="85" url="https://drive.google.com/file/d/1ik5qyT7LV9_m2qPLsxu_tAOJJvaTFlFw/view?usp=drive_link"/>
      </ext>
    </x18tc:extLst>
  </x18tc:threadedComment>
  <x18tc:threadedComment ref="D270" dT="2025-10-16T00:00:02.00" personId="{a5d43f6d-3c72-4414-b012-8f52ef50acc4}" id="{79495554-1e5d-4909-af48-7584e1fd8e62}" done="0">
    <x18tc:text xml:space="preserve">✅NOMBRES COMPLETOS O RAZÓN SOCIAL: Houston Jonathan Modragon Pintado.
✅DNI O RUC: 45420443
✅NÚMERO DE CELULAR: 995253128
✅CORREO ELECTRÓNICO: modragon.jona@gmail.com</x18tc:text>
  </x18tc:threadedComment>
  <x18tc:threadedComment ref="AF631" dT="2026-04-09T06:30:38.00" personId="{2ddfa542-8116-4937-a057-08470d7abaab}" id="{c3b43e0c-140e-4a53-9e2d-62c5ee43a7cd}" done="1">
    <x18tc:text xml:space="preserve">venta final,excedentes, fixit</x18tc:text>
  </x18tc:threadedComment>
  <x18tc:threadedComment ref="AF629" dT="2026-04-09T06:29:18.00" personId="{2ddfa542-8116-4937-a057-08470d7abaab}" id="{1dc3773d-03dd-4c8a-9636-dba371b0f332}" done="1">
    <x18tc:text xml:space="preserve">venta final,excedentes, fixit</x18tc:text>
  </x18tc:threadedComment>
  <x18tc:threadedComment ref="AF353" dT="2025-12-04T18:32:29.00" personId="{2ddfa542-8116-4937-a057-08470d7abaab}" id="{9a84f267-1b3c-42b5-8748-da52a801b898}" done="0">
    <x18tc:text xml:space="preserve">VENTA FINAL Y EXCEDENTES</x18tc:text>
  </x18tc:threadedComment>
  <x18tc:threadedComment ref="AF628" dT="2026-04-09T06:26:41.00" personId="{2ddfa542-8116-4937-a057-08470d7abaab}" id="{6c9a4f82-e87f-47dd-b227-4169cb464a52}" done="1">
    <x18tc:text xml:space="preserve">venta final,excedentes, fixit</x18tc:text>
  </x18tc:threadedComment>
  <x18tc:threadedComment ref="Z434" dT="2026-01-19T20:31:34.00" personId="{a5d43f6d-3c72-4414-b012-8f52ef50acc4}" id="{156fe5c1-3952-4191-b6c0-66e17ec0403b}" done="0">
    <x18tc:text xml:space="preserve">Para la boleta/factura del servicio por traer la laptop desde EEUU:
✅NOMBRES COMPLETOS O RAZÓN SOCIAL: Keit Nevsky Machaca Mamani 
✅DNI O RUC: 10701773921
✅NÚMERO DE CELULAR: 917367547
✅CORREO ELECTRÓNICO: keitroll7017@gmail.com</x18tc:text>
  </x18tc:threadedComment>
  <x18tc:threadedComment ref="AF358" dT="2025-12-04T18:37:57.00" personId="{2ddfa542-8116-4937-a057-08470d7abaab}" id="{63bcf1dc-0018-4565-b78e-68ce4e226bf7}" done="0">
    <x18tc:text xml:space="preserve">VENTA FINAL Y EXCEDENTES</x18tc:text>
  </x18tc:threadedComment>
  <x18tc:threadedComment ref="O270" dT="2025-10-16T00:01:57.00" personId="{a5d43f6d-3c72-4414-b012-8f52ef50acc4}" id="{b99528b9-dd7d-4370-99f5-1a42e21e1a0b}" done="0">
    <x18tc:text xml:space="preserve">desea laptop sellada</x18tc:text>
  </x18tc:threadedComment>
  <x18tc:threadedComment ref="L171" dT="2025-08-14T00:47:02.00" personId="{a5d43f6d-3c72-4414-b012-8f52ef50acc4}" id="{bf98a44f-a265-4879-bd2e-c122b5f3981a}" done="0">
    <x18tc:text xml:space="preserve">https://drive.google.com/file/d/1JAjuVVqGn0fabZk5mcwHtYtE759nqXxu/view?usp=drive_link</x18tc:text>
    <x18tc:extLst>
      <ext uri="{F7C98A9C-CBB3-438F-8F68-D28B6AF4A901}">
        <xltc2:checksum/>
        <xltc2:hyperlink startIndex="0" length="85" url="https://drive.google.com/file/d/1JAjuVVqGn0fabZk5mcwHtYtE759nqXxu/view?usp=drive_link"/>
      </ext>
    </x18tc:extLst>
  </x18tc:threadedComment>
  <x18tc:threadedComment ref="C549" dT="2026-02-17T23:01:41.00" personId="{d8e4f5ad-b65d-4160-a56f-197530fb7eb1}" id="{414e6def-e2ac-4889-b906-740e758ed5b1}" done="0">
    <x18tc:text xml:space="preserve">https://www.ebay.com/itm/326840072490?_skw=laptop+gaming&amp;itmmeta=01KHN5B21PYNDPA6E1QHAWW3DZ&amp;hash=item4c192fb92a:g:ingAAeSwviJpixKV</x18tc:text>
    <x18tc:extLst>
      <ext uri="{F7C98A9C-CBB3-438F-8F68-D28B6AF4A901}">
        <xltc2:checksum/>
        <xltc2:hyperlink startIndex="0" length="130" url="https://www.ebay.com/itm/326840072490?_skw=laptop+gaming&amp;itmmeta=01KHN5B21PYNDPA6E1QHAWW3DZ&amp;hash=item4c192fb92a:g:ingAAeSwviJpixKV"/>
      </ext>
    </x18tc:extLst>
  </x18tc:threadedComment>
  <x18tc:threadedComment ref="AF360" dT="2025-12-04T18:40:27.00" personId="{2ddfa542-8116-4937-a057-08470d7abaab}" id="{e4841d04-160e-48fb-8887-49572f616771}" done="0">
    <x18tc:text xml:space="preserve">VENTA FINAL Y EXCEDENTES</x18tc:text>
  </x18tc:threadedComment>
  <x18tc:threadedComment ref="L50" dT="2025-06-12T17:04:18.00" personId="{a5d43f6d-3c72-4414-b012-8f52ef50acc4}" id="{4e45d131-85a7-4fb0-8e67-6a774b307149}" done="0">
    <x18tc:text xml:space="preserve">https://drive.google.com/file/d/1DVLIEqqrb_d91VQ4xQze8XbR20CGeFnf/view?usp=drive_link</x18tc:text>
    <x18tc:extLst>
      <ext uri="{F7C98A9C-CBB3-438F-8F68-D28B6AF4A901}">
        <xltc2:checksum/>
        <xltc2:hyperlink startIndex="0" length="85" url="https://drive.google.com/file/d/1DVLIEqqrb_d91VQ4xQze8XbR20CGeFnf/view?usp=drive_link"/>
      </ext>
    </x18tc:extLst>
  </x18tc:threadedComment>
  <x18tc:threadedComment ref="C110" dT="2025-07-07T20:05:52.00" personId="{d8e4f5ad-b65d-4160-a56f-197530fb7eb1}" id="{72230850-08ce-4cba-9e60-c29bdeeedaa7}" done="0">
    <x18tc:text xml:space="preserve">https://www.dell.com/en-us/shop/dell-laptops/alienware-16x-aurora-gaming-laptop/spd/alienware-aurora-ac16251-gaming-laptop/useac16251wbtohkqh</x18tc:text>
    <x18tc:extLst>
      <ext uri="{F7C98A9C-CBB3-438F-8F68-D28B6AF4A901}">
        <xltc2:checksum/>
        <xltc2:hyperlink startIndex="0" length="141" url="https://www.dell.com/en-us/shop/dell-laptops/alienware-16x-aurora-gaming-laptop/spd/alienware-aurora-ac16251-gaming-laptop/useac16251wbtohkqh"/>
      </ext>
    </x18tc:extLst>
  </x18tc:threadedComment>
  <x18tc:threadedComment ref="L111" dT="2025-08-13T23:16:34.00" personId="{a5d43f6d-3c72-4414-b012-8f52ef50acc4}" id="{cd71c343-a8b8-4d83-b98e-19bf4d752bc7}" done="0">
    <x18tc:text xml:space="preserve">https://drive.google.com/file/d/1F0uoGR6uf3leFeKROMEqFHUivkRJ2xZe/view?usp=drive_link</x18tc:text>
    <x18tc:extLst>
      <ext uri="{F7C98A9C-CBB3-438F-8F68-D28B6AF4A901}">
        <xltc2:checksum/>
        <xltc2:hyperlink startIndex="0" length="85" url="https://drive.google.com/file/d/1F0uoGR6uf3leFeKROMEqFHUivkRJ2xZe/view?usp=drive_link"/>
      </ext>
    </x18tc:extLst>
  </x18tc:threadedComment>
  <x18tc:threadedComment ref="C127" dT="2025-07-18T16:25:19.00" personId="{d8e4f5ad-b65d-4160-a56f-197530fb7eb1}" id="{6a993c27-5e0e-4da6-9d4b-6e0bcab53001}"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J345" dT="2025-11-26T16:28:14.00" personId="{a5d43f6d-3c72-4414-b012-8f52ef50acc4}" id="{ceb6691a-e4be-41fd-91e7-fb2481eeadd4}" done="0">
    <x18tc:text xml:space="preserve">https://drive.google.com/file/d/1hfZsngbEa83EexCebqe6m42NUYCVpyHy/view?usp=drive_link
https://drive.google.com/file/d/1X4aFIqm70r1SMlG7fmuGBDx4omkNpmw0/view?usp=drive_link
https://drive.google.com/file/d/1ZKBNaGU70cJOb23IYSDbdOFAqCvzCjui/view?usp=drive_link
https://drive.google.com/file/d/1yMFnalyGkoSypv_nV1ovPTWaxXdODKAX/view?usp=drive_link</x18tc:text>
    <x18tc:extLst>
      <ext uri="{F7C98A9C-CBB3-438F-8F68-D28B6AF4A901}">
        <xltc2:checksum/>
        <xltc2:hyperlink startIndex="0" length="85" url="https://drive.google.com/file/d/1hfZsngbEa83EexCebqe6m42NUYCVpyHy/view?usp=drive_link"/>
        <xltc2:hyperlink startIndex="86" length="85" url="https://drive.google.com/file/d/1X4aFIqm70r1SMlG7fmuGBDx4omkNpmw0/view?usp=drive_link"/>
        <xltc2:hyperlink startIndex="172" length="85" url="https://drive.google.com/file/d/1ZKBNaGU70cJOb23IYSDbdOFAqCvzCjui/view?usp=drive_link"/>
        <xltc2:hyperlink startIndex="258" length="85" url="https://drive.google.com/file/d/1yMFnalyGkoSypv_nV1ovPTWaxXdODKAX/view?usp=drive_link"/>
      </ext>
    </x18tc:extLst>
  </x18tc:threadedComment>
  <x18tc:threadedComment ref="L112" dT="2025-08-13T23:13:46.00" personId="{a5d43f6d-3c72-4414-b012-8f52ef50acc4}" id="{68579d90-0cb1-4314-b9b5-d7c17666f812}" done="0">
    <x18tc:text xml:space="preserve">https://drive.google.com/file/d/1jZppwMdkBibf4CSb-46H6j6iHoB6syA7/view?usp=drive_link</x18tc:text>
    <x18tc:extLst>
      <ext uri="{F7C98A9C-CBB3-438F-8F68-D28B6AF4A901}">
        <xltc2:checksum/>
        <xltc2:hyperlink startIndex="0" length="85" url="https://drive.google.com/file/d/1jZppwMdkBibf4CSb-46H6j6iHoB6syA7/view?usp=drive_link"/>
      </ext>
    </x18tc:extLst>
  </x18tc:threadedComment>
  <x18tc:threadedComment ref="K270" dT="2025-11-18T20:24:06.00" personId="{a5d43f6d-3c72-4414-b012-8f52ef50acc4}" id="{89f5602e-060c-46a5-8e48-dca6e80d6fc9}" done="0">
    <x18tc:text xml:space="preserve">https://drive.google.com/file/d/17R3d_kQxXjag5wSkMUYBbJymzcSW_rP-/view?usp=drive_link</x18tc:text>
    <x18tc:extLst>
      <ext uri="{F7C98A9C-CBB3-438F-8F68-D28B6AF4A901}">
        <xltc2:checksum/>
        <xltc2:hyperlink startIndex="0" length="85" url="https://drive.google.com/file/d/17R3d_kQxXjag5wSkMUYBbJymzcSW_rP-/view?usp=drive_link"/>
      </ext>
    </x18tc:extLst>
  </x18tc:threadedComment>
  <x18tc:threadedComment ref="C342" dT="2025-11-26T16:30:02.00" personId="{a5d43f6d-3c72-4414-b012-8f52ef50acc4}" id="{657ebe34-bf94-4171-b7da-987963c6f72a}" done="0">
    <x18tc:text xml:space="preserve">https://www.ebay.com/itm/226967926710?_skw=laptop+gaming&amp;itmmeta=01KB0DCE7J1S1W83RT3BAF9F6N&amp;hash=item34d857b7b6:g:PPQAAeSwGjtpJMix</x18tc:text>
    <x18tc:extLst>
      <ext uri="{F7C98A9C-CBB3-438F-8F68-D28B6AF4A901}">
        <xltc2:checksum/>
        <xltc2:hyperlink startIndex="0" length="130" url="https://www.ebay.com/itm/226967926710?_skw=laptop+gaming&amp;itmmeta=01KB0DCE7J1S1W83RT3BAF9F6N&amp;hash=item34d857b7b6:g:PPQAAeSwGjtpJMix"/>
      </ext>
    </x18tc:extLst>
  </x18tc:threadedComment>
  <x18tc:threadedComment ref="AF177" dT="2025-09-01T14:53:48.00" personId="{2ddfa542-8116-4937-a057-08470d7abaab}" id="{40a6542c-701a-4061-8d39-964408802b2f}" done="1">
    <x18tc:text xml:space="preserve">FINAL: verificar precio final y fixit</x18tc:text>
  </x18tc:threadedComment>
  <x18tc:threadedComment ref="O140" dT="2025-08-01T17:55:35.00" personId="{a5d43f6d-3c72-4414-b012-8f52ef50acc4}" id="{e093b9e0-0536-40e8-979b-ed2d3bc787f7}" done="0">
    <x18tc:text xml:space="preserve">pagó 30 soles extra por instalación de programas</x18tc:text>
  </x18tc:threadedComment>
  <x18tc:threadedComment ref="J342" dT="2025-11-26T16:32:00.00" personId="{a5d43f6d-3c72-4414-b012-8f52ef50acc4}" id="{ee270735-6991-41ed-9763-01d2250117c7}" done="0">
    <x18tc:text xml:space="preserve">https://drive.google.com/file/d/1rjIBRgmSGBiXwglD_-bIEnA5lYaB2IDQ/view?usp=drive_link</x18tc:text>
    <x18tc:extLst>
      <ext uri="{F7C98A9C-CBB3-438F-8F68-D28B6AF4A901}">
        <xltc2:checksum/>
        <xltc2:hyperlink startIndex="0" length="85" url="https://drive.google.com/file/d/1rjIBRgmSGBiXwglD_-bIEnA5lYaB2IDQ/view?usp=drive_link"/>
      </ext>
    </x18tc:extLst>
  </x18tc:threadedComment>
  <x18tc:threadedComment ref="AF339" dT="2025-12-04T18:06:13.00" personId="{2ddfa542-8116-4937-a057-08470d7abaab}" id="{5776bb15-c37a-47bc-b7c8-64944116f8e6}" done="0">
    <x18tc:text xml:space="preserve">VENTA FINAL Y EXCEDENTES</x18tc:text>
  </x18tc:threadedComment>
  <x18tc:threadedComment ref="AF339" dT="2025-12-27T18:45:52.00" personId="{2ddfa542-8116-4937-a057-08470d7abaab}" id="{bfb00abd-8624-4409-83a3-acf388e734d8}" parentId="{5776bb15-c37a-47bc-b7c8-64944116f8e6}">
    <x18tc:text xml:space="preserve">Marcado como resuelto</x18tc:text>
  </x18tc:threadedComment>
  <x18tc:threadedComment ref="AF339" dT="2025-12-27T19:07:30.00" personId="{2ddfa542-8116-4937-a057-08470d7abaab}" id="{54612df1-4f75-4887-a300-5cf911906905}" parentId="{5776bb15-c37a-47bc-b7c8-64944116f8e6}">
    <x18tc:text xml:space="preserve">Reabierto</x18tc:text>
  </x18tc:threadedComment>
  <x18tc:threadedComment ref="K532" dT="2026-02-19T23:37:34.00" personId="{d8e4f5ad-b65d-4160-a56f-197530fb7eb1}" id="{6a1c90f5-9f91-4e51-8821-ee1aa85adede}" done="0">
    <x18tc:text xml:space="preserve">https://drive.google.com/file/d/1FwjAh63Tc7ymLG28cC0vVLe7XIlxgq3B/view?usp=drive_link</x18tc:text>
    <x18tc:extLst>
      <ext uri="{F7C98A9C-CBB3-438F-8F68-D28B6AF4A901}">
        <xltc2:checksum/>
        <xltc2:hyperlink startIndex="0" length="85" url="https://drive.google.com/file/d/1FwjAh63Tc7ymLG28cC0vVLe7XIlxgq3B/view?usp=drive_link"/>
      </ext>
    </x18tc:extLst>
  </x18tc:threadedComment>
  <x18tc:threadedComment ref="W113" dT="2025-09-01T09:13:02.00" personId="{a5d43f6d-3c72-4414-b012-8f52ef50acc4}" id="{8e019cce-32b6-4091-b580-3d4dbf639c43}" done="0">
    <x18tc:text xml:space="preserve">https://drive.google.com/file/d/1Nr5_EsFeZ7yHbYDdo5WhDVKLAmiS1mCR/view?usp=drive_link</x18tc:text>
    <x18tc:extLst>
      <ext uri="{F7C98A9C-CBB3-438F-8F68-D28B6AF4A901}">
        <xltc2:checksum/>
        <xltc2:hyperlink startIndex="0" length="85" url="https://drive.google.com/file/d/1Nr5_EsFeZ7yHbYDdo5WhDVKLAmiS1mCR/view?usp=drive_link"/>
      </ext>
    </x18tc:extLst>
  </x18tc:threadedComment>
  <x18tc:threadedComment ref="AF341" dT="2025-12-04T18:07:49.00" personId="{2ddfa542-8116-4937-a057-08470d7abaab}" id="{9e658df0-c5c1-4419-af6c-4eb1c44514ce}" done="0">
    <x18tc:text xml:space="preserve">VENTA FINAL Y EXCEDENTES</x18tc:text>
  </x18tc:threadedComment>
  <x18tc:threadedComment ref="AF341" dT="2025-12-27T18:50:15.00" personId="{2ddfa542-8116-4937-a057-08470d7abaab}" id="{c11b98ff-9348-4aec-bea5-0700017d5972}" parentId="{9e658df0-c5c1-4419-af6c-4eb1c44514ce}">
    <x18tc:text xml:space="preserve">Marcado como resuelto</x18tc:text>
  </x18tc:threadedComment>
  <x18tc:threadedComment ref="AF341" dT="2025-12-27T19:07:19.00" personId="{2ddfa542-8116-4937-a057-08470d7abaab}" id="{3359d943-9f57-402b-b8f9-84401b4b6f1d}" parentId="{9e658df0-c5c1-4419-af6c-4eb1c44514ce}">
    <x18tc:text xml:space="preserve">Reabierto</x18tc:text>
  </x18tc:threadedComment>
  <x18tc:threadedComment ref="AF175" dT="2025-09-01T14:34:04.00" personId="{2ddfa542-8116-4937-a057-08470d7abaab}" id="{4f9afb20-4bbc-4f6d-9f4b-258ecff7ae5c}" done="1">
    <x18tc:text xml:space="preserve">FINAL: precio final y fixit</x18tc:text>
  </x18tc:threadedComment>
  <x18tc:threadedComment ref="C346" dT="2025-11-26T18:21:33.00" personId="{4df2d6c4-e43e-4f2e-b623-d90f458472ff}" id="{c15ab763-4e43-4c52-95be-78991e5d61b5}" done="0">
    <x18tc:text xml:space="preserve">https://www.microcenter.com/product/695522/dell-alienware-18-area-51-aa18250-18-gaming-laptop-computer-liquid-teal</x18tc:text>
    <x18tc:extLst>
      <ext uri="{F7C98A9C-CBB3-438F-8F68-D28B6AF4A901}">
        <xltc2:checksum/>
        <xltc2:hyperlink startIndex="0" length="114" url="https://www.microcenter.com/product/695522/dell-alienware-18-area-51-aa18250-18-gaming-laptop-computer-liquid-teal"/>
      </ext>
    </x18tc:extLst>
  </x18tc:threadedComment>
  <x18tc:threadedComment ref="N343" dT="2025-12-04T18:17:04.00" personId="{2ddfa542-8116-4937-a057-08470d7abaab}" id="{a7fca905-c5e4-4b6d-ba40-7ff863c693d6}" done="0">
    <x18tc:text xml:space="preserve">lo cambié a uno similar, porque el anterior incluía taxes</x18tc:text>
  </x18tc:threadedComment>
  <x18tc:threadedComment ref="C649" dT="2026-03-31T22:42:57.00" personId="{f9b224d0-ee33-4499-ae47-db5bcd2d0435}" id="{1f5f8cb3-470a-470c-b0dc-4754ae18b5b4}" done="0">
    <x18tc:text xml:space="preserve">https://www.ebay.com/itm/197468116655</x18tc:text>
    <x18tc:extLst>
      <ext uri="{F7C98A9C-CBB3-438F-8F68-D28B6AF4A901}">
        <xltc2:checksum/>
        <xltc2:hyperlink startIndex="0" length="37" url="https://www.ebay.com/itm/197468116655"/>
      </ext>
    </x18tc:extLst>
  </x18tc:threadedComment>
  <x18tc:threadedComment ref="K330" dT="2025-12-17T22:45:35.00" personId="{a5d43f6d-3c72-4414-b012-8f52ef50acc4}" id="{6aa30e5e-805d-45c4-b96f-b994a1e9b9f2}" done="0">
    <x18tc:text xml:space="preserve">https://drive.google.com/file/d/1OSubobQp0PYG9Z8u4k0J4wq5-7yhZYtb/view?usp=drive_link</x18tc:text>
    <x18tc:extLst>
      <ext uri="{F7C98A9C-CBB3-438F-8F68-D28B6AF4A901}">
        <xltc2:checksum/>
        <xltc2:hyperlink startIndex="0" length="85" url="https://drive.google.com/file/d/1OSubobQp0PYG9Z8u4k0J4wq5-7yhZYtb/view?usp=drive_link"/>
      </ext>
    </x18tc:extLst>
  </x18tc:threadedComment>
  <x18tc:threadedComment ref="C239" dT="2025-09-21T00:25:46.00" personId="{4df2d6c4-e43e-4f2e-b623-d90f458472ff}" id="{5025ce46-5642-44c6-8230-95afb80cdc1b}" done="0">
    <x18tc:text xml:space="preserve">https://www.ebay.com/itm/326677332189?_skw=rtx&amp;epid=17084943112&amp;itmmeta=01K58WGTQZYPECKDP0EV58Y6JA&amp;hash=item4c0f7c80dd:g:EFMAAeSwhvtowoKg</x18tc:text>
    <x18tc:extLst>
      <ext uri="{F7C98A9C-CBB3-438F-8F68-D28B6AF4A901}">
        <xltc2:checksum/>
        <xltc2:hyperlink startIndex="0" length="137" url="https://www.ebay.com/itm/326677332189?_skw=rtx&amp;epid=17084943112&amp;itmmeta=01K58WGTQZYPECKDP0EV58Y6JA&amp;hash=item4c0f7c80dd:g:EFMAAeSwhvtowoKg"/>
      </ext>
    </x18tc:extLst>
  </x18tc:threadedComment>
  <x18tc:threadedComment ref="J584" dT="2026-03-04T19:22:42.00" personId="{d8e4f5ad-b65d-4160-a56f-197530fb7eb1}" id="{ae7e27bb-dd60-4053-9bc9-36c1dfb5690d}" done="0">
    <x18tc:text xml:space="preserve">https://drive.google.com/file/d/1UYN9D56dwCoubyFVxQqonA9P7Uv18QVg/view?usp=drive_link</x18tc:text>
    <x18tc:extLst>
      <ext uri="{F7C98A9C-CBB3-438F-8F68-D28B6AF4A901}">
        <xltc2:checksum/>
        <xltc2:hyperlink startIndex="0" length="85" url="https://drive.google.com/file/d/1UYN9D56dwCoubyFVxQqonA9P7Uv18QVg/view?usp=drive_link"/>
      </ext>
    </x18tc:extLst>
  </x18tc:threadedComment>
  <x18tc:threadedComment ref="C239" dT="2025-09-21T00:19:54.00" personId="{4df2d6c4-e43e-4f2e-b623-d90f458472ff}" id="{7a3f33c3-b9f4-4993-ab43-238746a9aff3}" done="1">
    <x18tc:text xml:space="preserve">https://www.ebay.com/itm/326677331843?_skw=rtx&amp;epid=10084476461&amp;itmmeta=01K58WGTQZH3Q9FW4XPE0Q68G5&amp;hash=item4c0f7c7f83:g:lUIAAeSwOlJowZ1A</x18tc:text>
    <x18tc:extLst>
      <ext uri="{F7C98A9C-CBB3-438F-8F68-D28B6AF4A901}">
        <xltc2:checksum/>
        <xltc2:hyperlink startIndex="0" length="137" url="https://www.ebay.com/itm/326677331843?_skw=rtx&amp;epid=10084476461&amp;itmmeta=01K58WGTQZH3Q9FW4XPE0Q68G5&amp;hash=item4c0f7c7f83:g:lUIAAeSwOlJowZ1A"/>
      </ext>
    </x18tc:extLst>
  </x18tc:threadedComment>
  <x18tc:threadedComment ref="J770" dT="2026-06-02T23:53:08.00" personId="{d8e4f5ad-b65d-4160-a56f-197530fb7eb1}" id="{2754f9a5-aba2-4dbc-a7fb-7fbca27cda42}" done="0">
    <x18tc:text xml:space="preserve">https://drive.google.com/file/d/1rKR9EmyYhCNfmOu04W7xXe8bj1SadPzv/view?usp=drive_link</x18tc:text>
    <x18tc:extLst>
      <ext uri="{F7C98A9C-CBB3-438F-8F68-D28B6AF4A901}">
        <xltc2:checksum/>
        <xltc2:hyperlink startIndex="0" length="85" url="https://drive.google.com/file/d/1rKR9EmyYhCNfmOu04W7xXe8bj1SadPzv/view?usp=drive_link"/>
      </ext>
    </x18tc:extLst>
  </x18tc:threadedComment>
  <x18tc:threadedComment ref="C413" dT="2025-12-18T00:14:32.00" personId="{4df2d6c4-e43e-4f2e-b623-d90f458472ff}" id="{0e9d2d29-1ce2-4228-9acc-6bdb199da1e5}" done="1">
    <x18tc:text xml:space="preserve">https://www.ebay.com/itm/277579676795?_skw=acer+predator+18&amp;itmmeta=01KCPJ63DWY7DHG1HVDFYV1G46&amp;hash=item40a109bc7b:g:zF0AAeSwoo1pQbo3&amp;itmprp=enc%3AAQAKAAAA8FkggFvd1GGDu0w3yXCmi1c7CQ46JjC0MtkiLjRUFb0zlxOJrlBNSpk1pZfQB3IoqDbPXzugTgomDf3tX%2FDTfHER%2FKTU4hPk1TLrc6WLlYreeeurr8olkNFhgyMgAcp3R2QD%2BmiK9ZRxo821a27AaZgdvA0O%2FkTNerh7Ci86KcnPn1%2F8uVY3CAJjh799xtcJcOkAEdX2iO2i5--1mAN%2B5%2FJ2xwyMLJSD8ADlnbjb0aun1tycU0dd5Q4huItSBszDIM1fy0ooWMnvb4Nmbq53BzpmWwwtNo9Qz66LggHPwJNeVYM7YTL%2FIAjbZIHEx8%2BdEw%3D%3D%7Ctkp%3ABk9SR5y3mNLlZg</x18tc:text>
    <x18tc:extLst>
      <ext uri="{F7C98A9C-CBB3-438F-8F68-D28B6AF4A901}">
        <xltc2:checksum/>
        <xltc2:hyperlink startIndex="0" length="524" url="https://www.ebay.com/itm/277579676795?_skw=acer+predator+18&amp;itmmeta=01KCPJ63DWY7DHG1HVDFYV1G46&amp;hash=item40a109bc7b:g:zF0AAeSwoo1pQbo3&amp;itmprp=enc%3AAQAKAAAA8FkggFvd1GGDu0w3yXCmi1c7CQ46JjC0MtkiLjRUFb0zlxOJrlBNSpk1pZfQB3IoqDbPXzugTgomDf3tX%2FDTfHER%2FKTU4hPk1TLrc6WLlYreeeurr8olkNFhgyMgAcp3R2QD%2BmiK9ZRxo821a27AaZgdvA0O%2FkTNerh7Ci86KcnPn1%2F8uVY3CAJjh799xtcJcOkAEdX2iO2i5--1mAN%2B5%2FJ2xwyMLJSD8ADlnbjb0aun1tycU0dd5Q4huItSBszDIM1fy0ooWMnvb4Nmbq53BzpmWwwtNo9Qz66LggHPwJNeVYM7YTL%2FIAjbZIHEx8%2BdEw%3D%3D%7Ctkp%3ABk9SR5y3mNLlZg"/>
      </ext>
    </x18tc:extLst>
  </x18tc:threadedComment>
  <x18tc:threadedComment ref="J645" dT="2026-03-28T17:34:37.00" personId="{d8e4f5ad-b65d-4160-a56f-197530fb7eb1}" id="{6470d932-42c1-4933-948c-1e68d6200dbb}" done="0">
    <x18tc:text xml:space="preserve">https://drive.google.com/file/d/18rzOCjGAMeIw3qEHpccqZhlLx_qawAPG/view?usp=drive_link</x18tc:text>
    <x18tc:extLst>
      <ext uri="{F7C98A9C-CBB3-438F-8F68-D28B6AF4A901}">
        <xltc2:checksum/>
        <xltc2:hyperlink startIndex="0" length="85" url="https://drive.google.com/file/d/18rzOCjGAMeIw3qEHpccqZhlLx_qawAPG/view?usp=drive_link"/>
      </ext>
    </x18tc:extLst>
  </x18tc:threadedComment>
  <x18tc:threadedComment ref="J790" dT="2026-06-13T16:12:07.00" personId="{d8e4f5ad-b65d-4160-a56f-197530fb7eb1}" id="{12ad214c-21f2-4356-97be-8b2153ea23d0}" done="0">
    <x18tc:text xml:space="preserve">https://drive.google.com/file/d/1e-NNl0_XQUj_hiBLi_cuwO63plycoL1T/view?usp=drive_link</x18tc:text>
    <x18tc:extLst>
      <ext uri="{F7C98A9C-CBB3-438F-8F68-D28B6AF4A901}">
        <xltc2:checksum/>
        <xltc2:hyperlink startIndex="0" length="85" url="https://drive.google.com/file/d/1e-NNl0_XQUj_hiBLi_cuwO63plycoL1T/view?usp=drive_link"/>
      </ext>
    </x18tc:extLst>
  </x18tc:threadedComment>
  <x18tc:threadedComment ref="AI732" dT="2026-06-02T23:58:00.00" personId="{7d9bea4b-cfe7-4c29-b483-8e83a1c4f52a}" id="{630b3c89-f13c-4c68-8bb8-72f799a860c4}" done="0">
    <x18tc:text xml:space="preserve">https://drive.google.com/file/d/1u6gDqNkkdYXW_Cd2cRGBMtrGZUITiBXK/view?usp=drive_link</x18tc:text>
    <x18tc:extLst>
      <ext uri="{F7C98A9C-CBB3-438F-8F68-D28B6AF4A901}">
        <xltc2:checksum/>
        <xltc2:hyperlink startIndex="0" length="85" url="https://drive.google.com/file/d/1u6gDqNkkdYXW_Cd2cRGBMtrGZUITiBXK/view?usp=drive_link"/>
      </ext>
    </x18tc:extLst>
  </x18tc:threadedComment>
  <x18tc:threadedComment ref="C414" dT="2025-12-18T22:48:22.00" personId="{4df2d6c4-e43e-4f2e-b623-d90f458472ff}" id="{6d98eefe-bfea-4486-94fa-483e65169411}" done="0">
    <x18tc:text xml:space="preserve">https://www.microcenter.com/product/691906/asus-rog-strix-scar-18-g835lw-xs97-18-gaming-laptop-computer-off-black?storeid=041</x18tc:text>
    <x18tc:extLst>
      <ext uri="{F7C98A9C-CBB3-438F-8F68-D28B6AF4A901}">
        <xltc2:checksum/>
        <xltc2:hyperlink startIndex="0" length="125" url="https://www.microcenter.com/product/691906/asus-rog-strix-scar-18-g835lw-xs97-18-gaming-laptop-computer-off-black?storeid=041"/>
      </ext>
    </x18tc:extLst>
  </x18tc:threadedComment>
  <x18tc:threadedComment ref="K772" dT="2026-06-26T22:14:21.00" personId="{d8e4f5ad-b65d-4160-a56f-197530fb7eb1}" id="{6e9d1e3d-6ba8-4c30-9910-e2e4f932ba8b}" done="0">
    <x18tc:text xml:space="preserve">https://drive.google.com/file/d/1l48Q9dhGYG5d38b40Qwx3FtAgjpIhCPZ/view?usp=drive_link</x18tc:text>
    <x18tc:extLst>
      <ext uri="{F7C98A9C-CBB3-438F-8F68-D28B6AF4A901}">
        <xltc2:checksum/>
        <xltc2:hyperlink startIndex="0" length="85" url="https://drive.google.com/file/d/1l48Q9dhGYG5d38b40Qwx3FtAgjpIhCPZ/view?usp=drive_link"/>
      </ext>
    </x18tc:extLst>
  </x18tc:threadedComment>
  <x18tc:threadedComment ref="V790" dT="2026-06-13T16:01:33.00" personId="{d8e4f5ad-b65d-4160-a56f-197530fb7eb1}" id="{e3aacaa1-a785-4cf5-9909-6a2bfc7bffa3}" done="0">
    <x18tc:text xml:space="preserve">traida por importacion no llena form</x18tc:text>
  </x18tc:threadedComment>
  <x18tc:threadedComment ref="AI734" dT="2026-06-03T00:00:20.00" personId="{7d9bea4b-cfe7-4c29-b483-8e83a1c4f52a}" id="{fbbd4eba-83e9-4ade-b1a6-9e6bbd0e6f68}" done="0">
    <x18tc:text xml:space="preserve">https://drive.google.com/file/d/1Kwp53XblHrvw_WKhW51WBejE88ti_68G/view?usp=drive_link</x18tc:text>
    <x18tc:extLst>
      <ext uri="{F7C98A9C-CBB3-438F-8F68-D28B6AF4A901}">
        <xltc2:checksum/>
        <xltc2:hyperlink startIndex="0" length="85" url="https://drive.google.com/file/d/1Kwp53XblHrvw_WKhW51WBejE88ti_68G/view?usp=drive_link"/>
      </ext>
    </x18tc:extLst>
  </x18tc:threadedComment>
  <x18tc:threadedComment ref="W311" dT="2025-12-18T22:46:48.00" personId="{2ddfa542-8116-4937-a057-08470d7abaab}" id="{b664670b-c9ff-4866-b4d3-0bd2b830ac24}" done="0">
    <x18tc:text xml:space="preserve">https://drive.google.com/file/d/14SbBDFlwBVmtO7V7azKP-7PJMXO3Zu5f/view?usp=drive_link</x18tc:text>
    <x18tc:extLst>
      <ext uri="{F7C98A9C-CBB3-438F-8F68-D28B6AF4A901}">
        <xltc2:checksum/>
        <xltc2:hyperlink startIndex="0" length="85" url="https://drive.google.com/file/d/14SbBDFlwBVmtO7V7azKP-7PJMXO3Zu5f/view?usp=drive_link"/>
      </ext>
    </x18tc:extLst>
  </x18tc:threadedComment>
  <x18tc:threadedComment ref="J110" dT="2025-07-07T20:04:00.00" personId="{d8e4f5ad-b65d-4160-a56f-197530fb7eb1}" id="{042e1c98-0685-4ac5-b6ff-cea6ad85778c}" done="0">
    <x18tc:text xml:space="preserve">https://drive.google.com/file/d/1CN0-Y91Ho_vODHy3yjnNYoLouGYa5KqL/view?usp=drive_link</x18tc:text>
    <x18tc:extLst>
      <ext uri="{F7C98A9C-CBB3-438F-8F68-D28B6AF4A901}">
        <xltc2:checksum/>
        <xltc2:hyperlink startIndex="0" length="85" url="https://drive.google.com/file/d/1CN0-Y91Ho_vODHy3yjnNYoLouGYa5KqL/view?usp=drive_link"/>
      </ext>
    </x18tc:extLst>
  </x18tc:threadedComment>
  <x18tc:threadedComment ref="L178" dT="2025-09-02T23:23:18.00" personId="{d8e4f5ad-b65d-4160-a56f-197530fb7eb1}" id="{72f4b2aa-c44a-486e-a638-4542c7c89b36}" done="0">
    <x18tc:text xml:space="preserve">https://drive.google.com/file/d/1NA2aZV_El0SqprMX4jvaNxGmenQbVt3l/view?usp=drive_link</x18tc:text>
    <x18tc:extLst>
      <ext uri="{F7C98A9C-CBB3-438F-8F68-D28B6AF4A901}">
        <xltc2:checksum/>
        <xltc2:hyperlink startIndex="0" length="85" url="https://drive.google.com/file/d/1NA2aZV_El0SqprMX4jvaNxGmenQbVt3l/view?usp=drive_link"/>
      </ext>
    </x18tc:extLst>
  </x18tc:threadedComment>
  <x18tc:threadedComment ref="C132" dT="2025-07-19T18:59:51.00" personId="{a5d43f6d-3c72-4414-b012-8f52ef50acc4}" id="{ded47fc1-669a-4cc5-8fa9-255b910d0022}" done="0">
    <x18tc:text xml:space="preserve">https://www.dell.com/en-us/shop/dell-laptops/alienware-16-aurora-gaming-laptop/spd/alienware-aurora-ac16250-gaming-laptop/useac16250wbtohjzy</x18tc:text>
    <x18tc:extLst>
      <ext uri="{F7C98A9C-CBB3-438F-8F68-D28B6AF4A901}">
        <xltc2:checksum/>
        <xltc2:hyperlink startIndex="0" length="140" url="https://www.dell.com/en-us/shop/dell-laptops/alienware-16-aurora-gaming-laptop/spd/alienware-aurora-ac16250-gaming-laptop/useac16250wbtohjzy"/>
      </ext>
    </x18tc:extLst>
  </x18tc:threadedComment>
  <x18tc:threadedComment ref="J803" dT="2026-06-26T22:12:10.00" personId="{d8e4f5ad-b65d-4160-a56f-197530fb7eb1}" id="{429c9f27-482c-477f-a925-1c54a0b00da6}" done="0">
    <x18tc:text xml:space="preserve">https://drive.google.com/file/d/1IoW1UXSM7-ZNvkk1uqmSvnHpuvH2DQHE/view?usp=drive_link</x18tc:text>
    <x18tc:extLst>
      <ext uri="{F7C98A9C-CBB3-438F-8F68-D28B6AF4A901}">
        <xltc2:checksum/>
        <xltc2:hyperlink startIndex="0" length="85" url="https://drive.google.com/file/d/1IoW1UXSM7-ZNvkk1uqmSvnHpuvH2DQHE/view?usp=drive_link"/>
      </ext>
    </x18tc:extLst>
  </x18tc:threadedComment>
  <x18tc:threadedComment ref="W178" dT="2025-09-02T23:21:55.00" personId="{d8e4f5ad-b65d-4160-a56f-197530fb7eb1}" id="{a3aebc3e-e07c-4e40-8c83-7f7b10feae4a}" done="0">
    <x18tc:text xml:space="preserve">https://drive.google.com/file/d/10BO2sqxh4BNtc9r_17GjQlyx18Hgtn6C/view?usp=drive_link</x18tc:text>
    <x18tc:extLst>
      <ext uri="{F7C98A9C-CBB3-438F-8F68-D28B6AF4A901}">
        <xltc2:checksum/>
        <xltc2:hyperlink startIndex="0" length="85" url="https://drive.google.com/file/d/10BO2sqxh4BNtc9r_17GjQlyx18Hgtn6C/view?usp=drive_link"/>
      </ext>
    </x18tc:extLst>
  </x18tc:threadedComment>
  <x18tc:threadedComment ref="C466" dT="2026-01-05T19:02:52.00" personId="{a5d43f6d-3c72-4414-b012-8f52ef50acc4}" id="{2d9b8ce1-8788-4659-864e-b0c18e3f3b6b}" done="0">
    <x18tc:text xml:space="preserve">https://www.ebay.com/itm/226967927108?_skw=laptop+gaming+32gb&amp;itmmeta=01KE7P9VB3C61K9XZ6Y1WJSFTF&amp;hash=item34d857b944:g:5JoAAeSwXlBo6UQF</x18tc:text>
    <x18tc:extLst>
      <ext uri="{F7C98A9C-CBB3-438F-8F68-D28B6AF4A901}">
        <xltc2:checksum/>
        <xltc2:hyperlink startIndex="0" length="135" url="https://www.ebay.com/itm/226967927108?_skw=laptop+gaming+32gb&amp;itmmeta=01KE7P9VB3C61K9XZ6Y1WJSFTF&amp;hash=item34d857b944:g:5JoAAeSwXlBo6UQF"/>
      </ext>
    </x18tc:extLst>
  </x18tc:threadedComment>
  <x18tc:threadedComment ref="J804" dT="2026-06-26T22:11:56.00" personId="{d8e4f5ad-b65d-4160-a56f-197530fb7eb1}" id="{a715b947-f29b-439d-ac83-5263ce39cb6e}" done="0">
    <x18tc:text xml:space="preserve">https://drive.google.com/file/d/1DlJ-BvElE9lD8aBU7GRsceNylxZI26aG/view?usp=drive_link</x18tc:text>
    <x18tc:extLst>
      <ext uri="{F7C98A9C-CBB3-438F-8F68-D28B6AF4A901}">
        <xltc2:checksum/>
        <xltc2:hyperlink startIndex="0" length="85" url="https://drive.google.com/file/d/1DlJ-BvElE9lD8aBU7GRsceNylxZI26aG/view?usp=drive_link"/>
      </ext>
    </x18tc:extLst>
  </x18tc:threadedComment>
  <x18tc:threadedComment ref="J805" dT="2026-06-26T22:11:40.00" personId="{d8e4f5ad-b65d-4160-a56f-197530fb7eb1}" id="{d6cfca2e-5597-4670-b916-2e30d2b8e597}" done="0">
    <x18tc:text xml:space="preserve">https://drive.google.com/file/d/1lNp-GuFXSqDpUfsJ_YHkW4WiRmyIH-JZ/view?usp=drive_link</x18tc:text>
    <x18tc:extLst>
      <ext uri="{F7C98A9C-CBB3-438F-8F68-D28B6AF4A901}">
        <xltc2:checksum/>
        <xltc2:hyperlink startIndex="0" length="85" url="https://drive.google.com/file/d/1lNp-GuFXSqDpUfsJ_YHkW4WiRmyIH-JZ/view?usp=drive_link"/>
      </ext>
    </x18tc:extLst>
  </x18tc:threadedComment>
  <x18tc:threadedComment ref="K405" dT="2026-01-27T21:47:49.00" personId="{4df2d6c4-e43e-4f2e-b623-d90f458472ff}" id="{2e1cab35-7c9f-4613-9d9c-52c69880b359}" done="0">
    <x18tc:text xml:space="preserve">https://drive.google.com/file/d/15e7dl-Ea5e5IlzFY2HJ2rq_CLisHAlqa/view?usp=drive_link</x18tc:text>
    <x18tc:extLst>
      <ext uri="{F7C98A9C-CBB3-438F-8F68-D28B6AF4A901}">
        <xltc2:checksum/>
        <xltc2:hyperlink startIndex="0" length="85" url="https://drive.google.com/file/d/15e7dl-Ea5e5IlzFY2HJ2rq_CLisHAlqa/view?usp=drive_link"/>
      </ext>
    </x18tc:extLst>
  </x18tc:threadedComment>
  <x18tc:threadedComment ref="W437" dT="2026-01-27T21:47:01.00" personId="{2ddfa542-8116-4937-a057-08470d7abaab}" id="{6b4adbdd-c99b-4444-9c87-4c7995d239fe}" done="0">
    <x18tc:text xml:space="preserve">https://drive.google.com/open?id=1Zn20U2IVmdJNb1WrY4YGsH8mPNzdkoku&amp;usp=drive_copy</x18tc:text>
    <x18tc:extLst>
      <ext uri="{F7C98A9C-CBB3-438F-8F68-D28B6AF4A901}">
        <xltc2:checksum/>
        <xltc2:hyperlink startIndex="0" length="81" url="https://drive.google.com/open?id=1Zn20U2IVmdJNb1WrY4YGsH8mPNzdkoku&amp;usp=drive_copy"/>
      </ext>
    </x18tc:extLst>
  </x18tc:threadedComment>
  <x18tc:threadedComment ref="F489" dT="2026-01-19T17:02:30.00" personId="{6afbe8df-a68a-4403-9951-ca8c0d21ef43}" id="{7f83bc37-0c24-4119-88eb-e61584ca6869}" done="0">
    <x18tc:text xml:space="preserve">enviar por courier (no viajero)</x18tc:text>
  </x18tc:threadedComment>
  <x18tc:threadedComment ref="L285" dT="2025-11-12T19:57:53.00" personId="{a5d43f6d-3c72-4414-b012-8f52ef50acc4}" id="{37fd4c95-6e99-4732-88ef-70444a8f7564}" done="0">
    <x18tc:text xml:space="preserve">https://drive.google.com/file/d/147D17RJ30PuzZalfmw5x0SvxRuQC7n8_/view?usp=drive_link</x18tc:text>
    <x18tc:extLst>
      <ext uri="{F7C98A9C-CBB3-438F-8F68-D28B6AF4A901}">
        <xltc2:checksum/>
        <xltc2:hyperlink startIndex="0" length="85" url="https://drive.google.com/file/d/147D17RJ30PuzZalfmw5x0SvxRuQC7n8_/view?usp=drive_link"/>
      </ext>
    </x18tc:extLst>
  </x18tc:threadedComment>
  <x18tc:threadedComment ref="F490" dT="2026-01-19T17:02:36.00" personId="{6afbe8df-a68a-4403-9951-ca8c0d21ef43}" id="{79acbe9d-dc11-4289-9fb8-2a9e1b8d0f41}" done="0">
    <x18tc:text xml:space="preserve">enviar por courier (no viajero)</x18tc:text>
  </x18tc:threadedComment>
  <x18tc:threadedComment ref="T405" dT="2026-01-27T21:48:29.00" personId="{4df2d6c4-e43e-4f2e-b623-d90f458472ff}" id="{c90aff8a-1aa9-41ba-b2be-e03bd7cb02e7}" done="0">
    <x18tc:text xml:space="preserve">memoria RAM 16GB</x18tc:text>
  </x18tc:threadedComment>
  <x18tc:threadedComment ref="C532" dT="2026-02-11T17:32:51.00" personId="{d8e4f5ad-b65d-4160-a56f-197530fb7eb1}" id="{f32c5b85-a2d3-41a1-b3e0-ffe6039c8638}"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203" dT="2025-08-29T22:14:13.00" personId="{d8e4f5ad-b65d-4160-a56f-197530fb7eb1}" id="{432508b7-1284-4800-bf6b-28ec244740ec}" done="0">
    <x18tc:text xml:space="preserve">https://drive.google.com/file/d/1AyjELrkVzSP05woNs-zOZt16h_BBUEcw/view?usp=drive_link</x18tc:text>
    <x18tc:extLst>
      <ext uri="{F7C98A9C-CBB3-438F-8F68-D28B6AF4A901}">
        <xltc2:checksum/>
        <xltc2:hyperlink startIndex="0" length="85" url="https://drive.google.com/file/d/1AyjELrkVzSP05woNs-zOZt16h_BBUEcw/view?usp=drive_link"/>
      </ext>
    </x18tc:extLst>
  </x18tc:threadedComment>
  <x18tc:threadedComment ref="K505" dT="2026-03-02T23:53:50.00" personId="{4df2d6c4-e43e-4f2e-b623-d90f458472ff}" id="{10fdc2d7-00e0-4672-8f36-9623901f2381}" done="0">
    <x18tc:text xml:space="preserve">https://drive.google.com/file/d/1UQqjLGw7fjunwgNKd7vnoJEL1nPVMFSR/view?usp=drive_link</x18tc:text>
    <x18tc:extLst>
      <ext uri="{F7C98A9C-CBB3-438F-8F68-D28B6AF4A901}">
        <xltc2:checksum/>
        <xltc2:hyperlink startIndex="0" length="85" url="https://drive.google.com/file/d/1UQqjLGw7fjunwgNKd7vnoJEL1nPVMFSR/view?usp=drive_link"/>
      </ext>
    </x18tc:extLst>
  </x18tc:threadedComment>
  <x18tc:threadedComment ref="K505" dT="2026-03-02T23:54:05.00" personId="{4df2d6c4-e43e-4f2e-b623-d90f458472ff}" id="{e1be6cd9-590e-4a14-8592-937c02ef068f}" parentId="{10fdc2d7-00e0-4672-8f36-9623901f2381}">
    <x18tc:text xml:space="preserve">https://drive.google.com/file/d/1ggoyqWaP09UzEzrolM8Z1iY-VTVKWSbC/view?usp=drive_link</x18tc:text>
    <x18tc:extLst>
      <ext uri="{F7C98A9C-CBB3-438F-8F68-D28B6AF4A901}">
        <xltc2:checksum/>
        <xltc2:hyperlink startIndex="0" length="85" url="https://drive.google.com/file/d/1ggoyqWaP09UzEzrolM8Z1iY-VTVKWSbC/view?usp=drive_link"/>
      </ext>
    </x18tc:extLst>
  </x18tc:threadedComment>
  <x18tc:threadedComment ref="K505" dT="2026-03-05T21:15:55.00" personId="{4df2d6c4-e43e-4f2e-b623-d90f458472ff}" id="{a3f89fe5-e9d9-4b1a-9c4d-78e3fcc439d3}" parentId="{10fdc2d7-00e0-4672-8f36-9623901f2381}">
    <x18tc:text xml:space="preserve">https://drive.google.com/file/d/12GeO0tT0wSDSc3I7qjgLQlFcKzeSuxiR/view?usp=drive_link</x18tc:text>
    <x18tc:extLst>
      <ext uri="{F7C98A9C-CBB3-438F-8F68-D28B6AF4A901}">
        <xltc2:checksum/>
        <xltc2:hyperlink startIndex="0" length="85" url="https://drive.google.com/file/d/12GeO0tT0wSDSc3I7qjgLQlFcKzeSuxiR/view?usp=drive_link"/>
      </ext>
    </x18tc:extLst>
  </x18tc:threadedComment>
  <x18tc:threadedComment ref="C505" dT="2026-01-27T19:39:44.00" personId="{4df2d6c4-e43e-4f2e-b623-d90f458472ff}" id="{1fd97d16-b8e6-4e86-a553-8c501b903c0d}" done="0">
    <x18tc:text xml:space="preserve">https://www.lenovo.com/us/en/p/laptops/legion-laptops/legion-pro-series/legion-pro-5-gen-10-16-inch-amd/83f20026us#tech_specs</x18tc:text>
    <x18tc:extLst>
      <ext uri="{F7C98A9C-CBB3-438F-8F68-D28B6AF4A901}">
        <xltc2:checksum/>
        <xltc2:hyperlink startIndex="0" length="125" url="https://www.lenovo.com/us/en/p/laptops/legion-laptops/legion-pro-series/legion-pro-5-gen-10-16-inch-amd/83f20026us#tech_specs"/>
      </ext>
    </x18tc:extLst>
  </x18tc:threadedComment>
  <x18tc:threadedComment ref="J168" dT="2025-08-09T18:40:30.00" personId="{a5d43f6d-3c72-4414-b012-8f52ef50acc4}" id="{1c823498-a8f3-4aaf-923e-b2f65590fe9d}" done="0">
    <x18tc:text xml:space="preserve">https://drive.google.com/file/d/1tj6EEljpAewOkX_2eDvZo_YRV5U4ldA9/view?usp=drive_link</x18tc:text>
    <x18tc:extLst>
      <ext uri="{F7C98A9C-CBB3-438F-8F68-D28B6AF4A901}">
        <xltc2:checksum/>
        <xltc2:hyperlink startIndex="0" length="85" url="https://drive.google.com/file/d/1tj6EEljpAewOkX_2eDvZo_YRV5U4ldA9/view?usp=drive_link"/>
      </ext>
    </x18tc:extLst>
  </x18tc:threadedComment>
  <x18tc:threadedComment ref="J132" dT="2025-07-19T19:01:28.00" personId="{a5d43f6d-3c72-4414-b012-8f52ef50acc4}" id="{8ed5bc75-758e-4505-b55b-8ca700c18bad}" done="0">
    <x18tc:text xml:space="preserve">https://drive.google.com/file/d/1frNgNP0GDkgia-iTp0hFMGPzkDJjmbC4/view?usp=drive_link
https://drive.google.com/file/d/1IV1spkHWSsvXH8fy9R54VlB-unjH1Jo9/view?usp=drive_link
https://drive.google.com/file/d/13he_-MMIC9mgF5KunnLQzqY30lGEL816/view?usp=drive_link</x18tc:text>
    <x18tc:extLst>
      <ext uri="{F7C98A9C-CBB3-438F-8F68-D28B6AF4A901}">
        <xltc2:checksum/>
        <xltc2:hyperlink startIndex="0" length="85" url="https://drive.google.com/file/d/1frNgNP0GDkgia-iTp0hFMGPzkDJjmbC4/view?usp=drive_link"/>
        <xltc2:hyperlink startIndex="86" length="85" url="https://drive.google.com/file/d/1IV1spkHWSsvXH8fy9R54VlB-unjH1Jo9/view?usp=drive_link"/>
        <xltc2:hyperlink startIndex="172" length="85" url="https://drive.google.com/file/d/13he_-MMIC9mgF5KunnLQzqY30lGEL816/view?usp=drive_link"/>
      </ext>
    </x18tc:extLst>
  </x18tc:threadedComment>
  <x18tc:threadedComment ref="C133" dT="2025-07-19T19:37:38.00" personId="{4df2d6c4-e43e-4f2e-b623-d90f458472ff}" id="{987b06fa-49da-4611-be9b-eafbf8a0a829}" done="0">
    <x18tc:text xml:space="preserve">https://www.ebay.com/itm/197444306465?_skw=hp+omen&amp;itmmeta=01K0HW7Q8R3WN45FJKGM0MAM81&amp;hash=item2df8990621:g:H1cAAeSwLd5oe4Es&amp;itmprp=enc%3AAQAKAAAAwFkggFvd1GGDu0w3yXCmi1ekp4YFaYw63b2%2BKvvhbukSuddf5UiRJqZfog%2FOP%2By1IFgIPvcIV0PLMlwhjoFqysRwwLg4TZWboQzLrcpj2acvHkDIxEqJJQhOP4KZfQb9bf4ukEFr3DZ%2BrbGeaRuvPdW1yECYMVTfPgfXJSR5E9xDYTfDBlBJe4%2BHkE0ZuZC5XfB4EquSdttst%2Fg0k%2FD4BE0ytkARNCv8FAiOeuKDtDBfUmFtlRQuQhnYQfSKWDx%2BTg%3D%3D%7Ctkp%3ABk9SR8T0nryEZg</x18tc:text>
    <x18tc:extLst>
      <ext uri="{F7C98A9C-CBB3-438F-8F68-D28B6AF4A901}">
        <xltc2:checksum/>
        <xltc2:hyperlink startIndex="0" length="449" url="https://www.ebay.com/itm/197444306465?_skw=hp+omen&amp;itmmeta=01K0HW7Q8R3WN45FJKGM0MAM81&amp;hash=item2df8990621:g:H1cAAeSwLd5oe4Es&amp;itmprp=enc%3AAQAKAAAAwFkggFvd1GGDu0w3yXCmi1ekp4YFaYw63b2%2BKvvhbukSuddf5UiRJqZfog%2FOP%2By1IFgIPvcIV0PLMlwhjoFqysRwwLg4TZWboQzLrcpj2acvHkDIxEqJJQhOP4KZfQb9bf4ukEFr3DZ%2BrbGeaRuvPdW1yECYMVTfPgfXJSR5E9xDYTfDBlBJe4%2BHkE0ZuZC5XfB4EquSdttst%2Fg0k%2FD4BE0ytkARNCv8FAiOeuKDtDBfUmFtlRQuQhnYQfSKWDx%2BTg%3D%3D%7Ctkp%3ABk9SR8T0nryEZg"/>
      </ext>
    </x18tc:extLst>
  </x18tc:threadedComment>
  <x18tc:threadedComment ref="K737" dT="2026-06-27T01:00:14.00" personId="{f9b224d0-ee33-4499-ae47-db5bcd2d0435}" id="{660bc1c7-d84d-4d74-a0af-a6fff1199158}" done="0">
    <x18tc:text xml:space="preserve">https://drive.google.com/file/d/1vylfmT9RLX94BjHUAJqdYEPHfuPL2duW/view?usp=drive_link</x18tc:text>
    <x18tc:extLst>
      <ext uri="{F7C98A9C-CBB3-438F-8F68-D28B6AF4A901}">
        <xltc2:checksum/>
        <xltc2:hyperlink startIndex="0" length="85" url="https://drive.google.com/file/d/1vylfmT9RLX94BjHUAJqdYEPHfuPL2duW/view?usp=drive_link"/>
      </ext>
    </x18tc:extLst>
  </x18tc:threadedComment>
  <x18tc:threadedComment ref="R474" dT="2026-01-29T16:07:52.00" personId="{a5d43f6d-3c72-4414-b012-8f52ef50acc4}" id="{f875b18e-7d7b-4ee6-b462-c23d25444c5e}" done="0">
    <x18tc:text xml:space="preserve">lo saqué, porque no se le aperturó la laptop en oficina</x18tc:text>
  </x18tc:threadedComment>
  <x18tc:threadedComment ref="J791" dT="2026-06-13T23:46:42.00" personId="{d8e4f5ad-b65d-4160-a56f-197530fb7eb1}" id="{f13835a5-4c66-45bd-b706-cc51d7099608}" done="0">
    <x18tc:text xml:space="preserve">https://drive.google.com/file/d/1CBKJM-nirsXGy9N34D9C3XucwkXg-n4U/view?usp=drive_link</x18tc:text>
    <x18tc:extLst>
      <ext uri="{F7C98A9C-CBB3-438F-8F68-D28B6AF4A901}">
        <xltc2:checksum/>
        <xltc2:hyperlink startIndex="0" length="85" url="https://drive.google.com/file/d/1CBKJM-nirsXGy9N34D9C3XucwkXg-n4U/view?usp=drive_link"/>
      </ext>
    </x18tc:extLst>
  </x18tc:threadedComment>
  <x18tc:threadedComment ref="J791" dT="2026-06-15T19:31:46.00" personId="{d8e4f5ad-b65d-4160-a56f-197530fb7eb1}" id="{d7d8af1c-968a-46d2-95a1-23220c00773a}" parentId="{f13835a5-4c66-45bd-b706-cc51d7099608}">
    <x18tc:text xml:space="preserve">https://drive.google.com/file/d/1Z7wh6XF88lQjsnc2uyaF3EjQS_cxWnLq/view?usp=drive_link</x18tc:text>
    <x18tc:extLst>
      <ext uri="{F7C98A9C-CBB3-438F-8F68-D28B6AF4A901}">
        <xltc2:checksum/>
        <xltc2:hyperlink startIndex="0" length="85" url="https://drive.google.com/file/d/1Z7wh6XF88lQjsnc2uyaF3EjQS_cxWnLq/view?usp=drive_link"/>
      </ext>
    </x18tc:extLst>
  </x18tc:threadedComment>
  <x18tc:threadedComment ref="J772" dT="2026-06-02T23:52:52.00" personId="{d8e4f5ad-b65d-4160-a56f-197530fb7eb1}" id="{64a46af3-c3f6-4a24-b1b7-4c8938dd5767}" done="0">
    <x18tc:text xml:space="preserve">https://drive.google.com/file/d/1z5BT3UHmgMUJw8b-Ju_ukW7sfnqXdMV9/view?usp=drive_link</x18tc:text>
    <x18tc:extLst>
      <ext uri="{F7C98A9C-CBB3-438F-8F68-D28B6AF4A901}">
        <xltc2:checksum/>
        <xltc2:hyperlink startIndex="0" length="85" url="https://drive.google.com/file/d/1z5BT3UHmgMUJw8b-Ju_ukW7sfnqXdMV9/view?usp=drive_link"/>
      </ext>
    </x18tc:extLst>
  </x18tc:threadedComment>
  <x18tc:threadedComment ref="J517" dT="2026-02-02T17:35:25.00" personId="{4df2d6c4-e43e-4f2e-b623-d90f458472ff}" id="{0b0b784d-e9b5-45e9-b4d2-823033dc3688}" done="0">
    <x18tc:text xml:space="preserve">https://drive.google.com/file/d/1leWlba6ch0C6ZeAffbgfBz8iQ-99GkUN/view?usp=drive_link</x18tc:text>
    <x18tc:extLst>
      <ext uri="{F7C98A9C-CBB3-438F-8F68-D28B6AF4A901}">
        <xltc2:checksum/>
        <xltc2:hyperlink startIndex="0" length="85" url="https://drive.google.com/file/d/1leWlba6ch0C6ZeAffbgfBz8iQ-99GkUN/view?usp=drive_link"/>
      </ext>
    </x18tc:extLst>
  </x18tc:threadedComment>
  <x18tc:threadedComment ref="C234" dT="2025-09-14T22:39:49.00" personId="{4df2d6c4-e43e-4f2e-b623-d90f458472ff}" id="{b6dfa8da-c8ac-4d86-913b-5c41f99904ca}" done="0">
    <x18tc:text xml:space="preserve">https://ebay.us/m/dH90HF</x18tc:text>
    <x18tc:extLst>
      <ext uri="{F7C98A9C-CBB3-438F-8F68-D28B6AF4A901}">
        <xltc2:checksum/>
        <xltc2:hyperlink startIndex="0" length="24" url="https://ebay.us/m/dH90HF"/>
      </ext>
    </x18tc:extLst>
  </x18tc:threadedComment>
  <x18tc:threadedComment ref="W324" dT="2025-12-18T22:57:30.00" personId="{2ddfa542-8116-4937-a057-08470d7abaab}" id="{fd79ad14-ec55-49ca-85e9-d20531eeb595}" done="0">
    <x18tc:text xml:space="preserve">https://drive.google.com/file/d/1oT_UR0iE_JFNmodjq1svXjuTHJBkLmaQ/view?usp=drive_link</x18tc:text>
    <x18tc:extLst>
      <ext uri="{F7C98A9C-CBB3-438F-8F68-D28B6AF4A901}">
        <xltc2:checksum/>
        <xltc2:hyperlink startIndex="0" length="85" url="https://drive.google.com/file/d/1oT_UR0iE_JFNmodjq1svXjuTHJBkLmaQ/view?usp=drive_link"/>
      </ext>
    </x18tc:extLst>
  </x18tc:threadedComment>
  <x18tc:threadedComment ref="T737" dT="2026-06-27T01:01:05.00" personId="{f9b224d0-ee33-4499-ae47-db5bcd2d0435}" id="{cf374f17-c135-4be3-872f-947f3d440280}" done="0">
    <x18tc:text xml:space="preserve">comision de banco</x18tc:text>
  </x18tc:threadedComment>
  <x18tc:threadedComment ref="W429" dT="2026-01-27T21:48:44.00" personId="{2ddfa542-8116-4937-a057-08470d7abaab}" id="{6ec78b5a-20f6-4b56-89a7-f8ddd0d843f3}" done="0">
    <x18tc:text xml:space="preserve">https://drive.google.com/open?id=1DUpfmxUHyi1UxRATjpO65Y58i9YNel2f&amp;usp=drive_copy</x18tc:text>
    <x18tc:extLst>
      <ext uri="{F7C98A9C-CBB3-438F-8F68-D28B6AF4A901}">
        <xltc2:checksum/>
        <xltc2:hyperlink startIndex="0" length="81" url="https://drive.google.com/open?id=1DUpfmxUHyi1UxRATjpO65Y58i9YNel2f&amp;usp=drive_copy"/>
      </ext>
    </x18tc:extLst>
  </x18tc:threadedComment>
  <x18tc:threadedComment ref="W315" dT="2025-12-18T22:52:22.00" personId="{2ddfa542-8116-4937-a057-08470d7abaab}" id="{35c533ee-9fc3-4011-ab75-63f581c63e97}" done="0">
    <x18tc:text xml:space="preserve">https://drive.google.com/file/d/1SK3kuZIAB6kj5fN_fDPGy6MXjrAewxJt/view?usp=drive_link</x18tc:text>
    <x18tc:extLst>
      <ext uri="{F7C98A9C-CBB3-438F-8F68-D28B6AF4A901}">
        <xltc2:checksum/>
        <xltc2:hyperlink startIndex="0" length="85" url="https://drive.google.com/file/d/1SK3kuZIAB6kj5fN_fDPGy6MXjrAewxJt/view?usp=drive_link"/>
      </ext>
    </x18tc:extLst>
  </x18tc:threadedComment>
  <x18tc:threadedComment ref="C508" dT="2026-01-29T18:08:45.00" personId="{d8e4f5ad-b65d-4160-a56f-197530fb7eb1}" id="{2b5c18ab-9c8d-4bbb-b88e-bb444be593a3}" done="0">
    <x18tc:text xml:space="preserve">https://www.ebay.com/itm/197489937322?_skw=legion&amp;itmmeta=01KG4Y29XBH660Z39JHBBJRFEE&amp;hash=item2dfb514baa:g:gjkAAeSwKGlpc4jX&amp;itmprp=enc%3AAQALAAAA4O7PUuNWmJ%2B%2BUShgI9tQz%2FqTe9Hc6xBhwynYKRu5CQAcJw8Mqo73gb4gzUB6KNb%2FYQSJy63sIvFi02VglH8nqfmXB3xA3ELHpB2kaTX89e%2FMVK4u46jK%2BpbMwjbE16bDj2Rt0FL8eoLaPoxeuYO7GK%2Bh1GmMme0yH5vO%2FBgJtWkh3pLcVUkEurrqsf0OFO6moW7OOD2%2BOqKgiknY6bBCv6dZlfYOqLs25%2B6St76r5zXPiYmOxs5lUrpidtootS0NggP8b1A2BzcIibg31ZAR1QaGYW%2FN9z29aMf2biZRz0r6%7Ctkp%3ABk9SR_ieiZ6BZw</x18tc:text>
    <x18tc:extLst>
      <ext uri="{F7C98A9C-CBB3-438F-8F68-D28B6AF4A901}">
        <xltc2:checksum/>
        <xltc2:hyperlink startIndex="0" length="490" url="https://www.ebay.com/itm/197489937322?_skw=legion&amp;itmmeta=01KG4Y29XBH660Z39JHBBJRFEE&amp;hash=item2dfb514baa:g:gjkAAeSwKGlpc4jX&amp;itmprp=enc%3AAQALAAAA4O7PUuNWmJ%2B%2BUShgI9tQz%2FqTe9Hc6xBhwynYKRu5CQAcJw8Mqo73gb4gzUB6KNb%2FYQSJy63sIvFi02VglH8nqfmXB3xA3ELHpB2kaTX89e%2FMVK4u46jK%2BpbMwjbE16bDj2Rt0FL8eoLaPoxeuYO7GK%2Bh1GmMme0yH5vO%2FBgJtWkh3pLcVUkEurrqsf0OFO6moW7OOD2%2BOqKgiknY6bBCv6dZlfYOqLs25%2B6St76r5zXPiYmOxs5lUrpidtootS0NggP8b1A2BzcIibg31ZAR1QaGYW%2FN9z29aMf2biZRz0r6%7Ctkp%3ABk9SR_ieiZ6BZw"/>
      </ext>
    </x18tc:extLst>
  </x18tc:threadedComment>
  <x18tc:threadedComment ref="K468" dT="2026-01-27T22:02:21.00" personId="{4df2d6c4-e43e-4f2e-b623-d90f458472ff}" id="{76a17ef1-851d-4a9b-8fe7-30823edeb9f6}" done="0">
    <x18tc:text xml:space="preserve">https://drive.google.com/file/d/1qQgQ8X8Rodb9uZ1DK_Nyop-Oq-LlFs7y/view?usp=drive_link</x18tc:text>
    <x18tc:extLst>
      <ext uri="{F7C98A9C-CBB3-438F-8F68-D28B6AF4A901}">
        <xltc2:checksum/>
        <xltc2:hyperlink startIndex="0" length="85" url="https://drive.google.com/file/d/1qQgQ8X8Rodb9uZ1DK_Nyop-Oq-LlFs7y/view?usp=drive_link"/>
      </ext>
    </x18tc:extLst>
  </x18tc:threadedComment>
  <x18tc:threadedComment ref="C320" dT="2025-11-20T17:10:48.00" personId="{a5d43f6d-3c72-4414-b012-8f52ef50acc4}" id="{8abc51e5-36d9-4df1-b175-28b55c4ba1b8}" done="0">
    <x18tc:text xml:space="preserve">https://www.ebay.com/itm/127157824843?_skw=rog+flow&amp;itmmeta=01KABXXBZGRAX9F247QY9EPAQW&amp;hash=item1d9b326d4b:g:2jcAAeSwiVZpA8J1</x18tc:text>
    <x18tc:extLst>
      <ext uri="{F7C98A9C-CBB3-438F-8F68-D28B6AF4A901}">
        <xltc2:checksum/>
        <xltc2:hyperlink startIndex="0" length="125" url="https://www.ebay.com/itm/127157824843?_skw=rog+flow&amp;itmmeta=01KABXXBZGRAX9F247QY9EPAQW&amp;hash=item1d9b326d4b:g:2jcAAeSwiVZpA8J1"/>
      </ext>
    </x18tc:extLst>
  </x18tc:threadedComment>
  <x18tc:threadedComment ref="W433" dT="2026-01-27T21:56:12.00" personId="{2ddfa542-8116-4937-a057-08470d7abaab}" id="{132c6b8e-ed70-4f46-ab20-94d7df9c3daf}" done="0">
    <x18tc:text xml:space="preserve">https://drive.google.com/open?id=1LgcLgdDgtnDOd5rMSGBcdJEwL9llxYuf&amp;usp=drive_copy</x18tc:text>
    <x18tc:extLst>
      <ext uri="{F7C98A9C-CBB3-438F-8F68-D28B6AF4A901}">
        <xltc2:checksum/>
        <xltc2:hyperlink startIndex="0" length="81" url="https://drive.google.com/open?id=1LgcLgdDgtnDOd5rMSGBcdJEwL9llxYuf&amp;usp=drive_copy"/>
      </ext>
    </x18tc:extLst>
  </x18tc:threadedComment>
  <x18tc:threadedComment ref="J428" dT="2026-01-01T01:12:35.00" personId="{4df2d6c4-e43e-4f2e-b623-d90f458472ff}" id="{bd9e9014-3d2f-4854-a3ca-e0db26df5e23}" done="1">
    <x18tc:text xml:space="preserve">https://drive.google.com/file/d/1cJYbQf4wByXP8JmaEZ33KfGFdm5PdSho/view?usp=drive_link</x18tc:text>
    <x18tc:extLst>
      <ext uri="{F7C98A9C-CBB3-438F-8F68-D28B6AF4A901}">
        <xltc2:checksum/>
        <xltc2:hyperlink startIndex="0" length="85" url="https://drive.google.com/file/d/1cJYbQf4wByXP8JmaEZ33KfGFdm5PdSho/view?usp=drive_link"/>
      </ext>
    </x18tc:extLst>
  </x18tc:threadedComment>
  <x18tc:threadedComment ref="D320" dT="2025-11-20T17:11:07.00" personId="{a5d43f6d-3c72-4414-b012-8f52ef50acc4}" id="{2c376893-34ed-4008-b3a8-1626ba2836ef}" done="0">
    <x18tc:text xml:space="preserve">✅NOMBRES COMPLETOS O RAZÓN SOCIAL: 20614680823
✅DNI O RUC: R Y B SERVICIOS GENERALES E.I.R.L.
✅NÚMERO DE CELULAR: 917861193
✅CORREO ELECTRÓNICO: francckeny@gmail.com</x18tc:text>
  </x18tc:threadedComment>
  <x18tc:threadedComment ref="L118" dT="2025-07-12T22:15:13.00" personId="{d8e4f5ad-b65d-4160-a56f-197530fb7eb1}" id="{2a8c5476-c514-4dc7-9ffc-78dc0d19bf22}" done="0">
    <x18tc:text xml:space="preserve">https://drive.google.com/file/d/1fJj94mC5_JXeqS7MnyYk_BTXOL4REh19/view?usp=drive_link</x18tc:text>
    <x18tc:extLst>
      <ext uri="{F7C98A9C-CBB3-438F-8F68-D28B6AF4A901}">
        <xltc2:checksum/>
        <xltc2:hyperlink startIndex="0" length="85" url="https://drive.google.com/file/d/1fJj94mC5_JXeqS7MnyYk_BTXOL4REh19/view?usp=drive_link"/>
      </ext>
    </x18tc:extLst>
  </x18tc:threadedComment>
  <x18tc:threadedComment ref="W320" dT="2025-12-18T22:58:26.00" personId="{2ddfa542-8116-4937-a057-08470d7abaab}" id="{79aeff4c-180d-45d6-8a67-5e3a502f2912}" done="0">
    <x18tc:text xml:space="preserve">https://drive.google.com/file/d/1weSsfAKi7yaz1KBLj7ZsWFm-HLM36g6b/view?usp=drive_link</x18tc:text>
    <x18tc:extLst>
      <ext uri="{F7C98A9C-CBB3-438F-8F68-D28B6AF4A901}">
        <xltc2:checksum/>
        <xltc2:hyperlink startIndex="0" length="85" url="https://drive.google.com/file/d/1weSsfAKi7yaz1KBLj7ZsWFm-HLM36g6b/view?usp=drive_link"/>
      </ext>
    </x18tc:extLst>
  </x18tc:threadedComment>
  <x18tc:threadedComment ref="AF196" dT="2025-08-31T01:52:00.00" personId="{2ddfa542-8116-4937-a057-08470d7abaab}" id="{98a5c152-b0d2-436a-9b0c-4f32f8c6bf5b}" done="1">
    <x18tc:text xml:space="preserve">Falta fixit</x18tc:text>
  </x18tc:threadedComment>
  <x18tc:threadedComment ref="N320" dT="2025-11-20T17:12:29.00" personId="{a5d43f6d-3c72-4414-b012-8f52ef50acc4}" id="{ba503d5e-ee7c-4a9d-a6f1-90fc78c8e7cf}" done="0">
    <x18tc:text xml:space="preserve">S/.876,22881
S/.1.033,9500</x18tc:text>
  </x18tc:threadedComment>
  <x18tc:threadedComment ref="A1" dT="2025-08-29T23:02:17.00" personId="{4df2d6c4-e43e-4f2e-b623-d90f458472ff}" id="{ac147aa2-3479-40cb-8da0-cec1a867580d}" done="0">
    <x18tc:text xml:space="preserve">https://drive.google.com/file/d/1ji3gBMgXVUg-397GyaoTffMO0CjOnjeJ/view?usp=drive_link</x18tc:text>
    <x18tc:extLst>
      <ext uri="{F7C98A9C-CBB3-438F-8F68-D28B6AF4A901}">
        <xltc2:checksum/>
        <xltc2:hyperlink startIndex="0" length="85" url="https://drive.google.com/file/d/1ji3gBMgXVUg-397GyaoTffMO0CjOnjeJ/view?usp=drive_link"/>
      </ext>
    </x18tc:extLst>
  </x18tc:threadedComment>
  <x18tc:threadedComment ref="J199" dT="2025-08-28T16:09:54.00" personId="{d8e4f5ad-b65d-4160-a56f-197530fb7eb1}" id="{9852ab6a-8a51-4d9b-916f-b409a402f3f3}" done="0">
    <x18tc:text xml:space="preserve">https://drive.google.com/file/d/1HS4VHrBHSdq7COlntpTFDRmCo7nRs4OF/view?usp=drive_link</x18tc:text>
    <x18tc:extLst>
      <ext uri="{F7C98A9C-CBB3-438F-8F68-D28B6AF4A901}">
        <xltc2:checksum/>
        <xltc2:hyperlink startIndex="0" length="85" url="https://drive.google.com/file/d/1HS4VHrBHSdq7COlntpTFDRmCo7nRs4OF/view?usp=drive_link"/>
      </ext>
    </x18tc:extLst>
  </x18tc:threadedComment>
  <x18tc:threadedComment ref="J199" dT="2025-08-28T16:10:16.00" personId="{d8e4f5ad-b65d-4160-a56f-197530fb7eb1}" id="{51715132-006d-41e5-b009-509959c2c103}" parentId="{9852ab6a-8a51-4d9b-916f-b409a402f3f3}">
    <x18tc:text xml:space="preserve">https://drive.google.com/file/d/1_UZbBRxhpi3UwSay5M_K2Gm4AvU9PEZR/view?usp=drive_link</x18tc:text>
    <x18tc:extLst>
      <ext uri="{F7C98A9C-CBB3-438F-8F68-D28B6AF4A901}">
        <xltc2:checksum/>
        <xltc2:hyperlink startIndex="0" length="85" url="https://drive.google.com/file/d/1_UZbBRxhpi3UwSay5M_K2Gm4AvU9PEZR/view?usp=drive_link"/>
      </ext>
    </x18tc:extLst>
  </x18tc:threadedComment>
  <x18tc:threadedComment ref="K477" dT="2026-02-02T17:45:16.00" personId="{a5d43f6d-3c72-4414-b012-8f52ef50acc4}" id="{9b50113a-685e-4214-a6a3-97689b49f159}" done="0">
    <x18tc:text xml:space="preserve">https://drive.google.com/file/d/1INDNBF8kSM3YOKxAPhTsVdrBldwsLPW8/view?usp=drive_link</x18tc:text>
    <x18tc:extLst>
      <ext uri="{F7C98A9C-CBB3-438F-8F68-D28B6AF4A901}">
        <xltc2:checksum/>
        <xltc2:hyperlink startIndex="0" length="85" url="https://drive.google.com/file/d/1INDNBF8kSM3YOKxAPhTsVdrBldwsLPW8/view?usp=drive_link"/>
      </ext>
    </x18tc:extLst>
  </x18tc:threadedComment>
  <x18tc:threadedComment ref="L163" dT="2025-08-29T23:38:18.00" personId="{4df2d6c4-e43e-4f2e-b623-d90f458472ff}" id="{e850ee81-069b-42da-b1b6-6efdc731ceb5}" done="0">
    <x18tc:text xml:space="preserve">https://drive.google.com/file/d/1MINLksHn5gDvo-GMmAVAYMmurYiZkUbc/view?usp=drive_link</x18tc:text>
    <x18tc:extLst>
      <ext uri="{F7C98A9C-CBB3-438F-8F68-D28B6AF4A901}">
        <xltc2:checksum/>
        <xltc2:hyperlink startIndex="0" length="85" url="https://drive.google.com/file/d/1MINLksHn5gDvo-GMmAVAYMmurYiZkUbc/view?usp=drive_link"/>
      </ext>
    </x18tc:extLst>
  </x18tc:threadedComment>
  <x18tc:threadedComment ref="J527" dT="2026-02-09T23:36:39.00" personId="{d8e4f5ad-b65d-4160-a56f-197530fb7eb1}" id="{a83d87fb-0508-46d9-b6d1-979da07d4f0c}" done="0">
    <x18tc:text xml:space="preserve">https://drive.google.com/file/d/1pZvIUvJNLrVfSEMkYM6HXDs5FHogGlIH/view?usp=drive_link</x18tc:text>
    <x18tc:extLst>
      <ext uri="{F7C98A9C-CBB3-438F-8F68-D28B6AF4A901}">
        <xltc2:checksum/>
        <xltc2:hyperlink startIndex="0" length="85" url="https://drive.google.com/file/d/1pZvIUvJNLrVfSEMkYM6HXDs5FHogGlIH/view?usp=drive_link"/>
      </ext>
    </x18tc:extLst>
  </x18tc:threadedComment>
  <x18tc:threadedComment ref="J163" dT="2025-08-29T23:38:46.00" personId="{4df2d6c4-e43e-4f2e-b623-d90f458472ff}" id="{36cb1bbf-44dc-4962-9ab2-51f8c98040e7}" done="0">
    <x18tc:text xml:space="preserve">https://drive.google.com/file/d/1EpVwY3_VLXxgrPw2djkNCwo2JxlJgRFu/view?usp=drive_link</x18tc:text>
    <x18tc:extLst>
      <ext uri="{F7C98A9C-CBB3-438F-8F68-D28B6AF4A901}">
        <xltc2:checksum/>
        <xltc2:hyperlink startIndex="0" length="85" url="https://drive.google.com/file/d/1EpVwY3_VLXxgrPw2djkNCwo2JxlJgRFu/view?usp=drive_link"/>
      </ext>
    </x18tc:extLst>
  </x18tc:threadedComment>
  <x18tc:threadedComment ref="F197" dT="2025-08-29T23:20:06.00" personId="{d28ef52a-149c-458c-84f2-6b54860887d5}" id="{d71c004f-f388-4237-aaf7-ee27b66c9710}" done="0">
    <x18tc:text xml:space="preserve">COMPROBANTE: https://drive.google.com/file/d/1NfqUd4Fua9GOOeckpS2Dr4EP3f4K-rda/view?usp=drive_link</x18tc:text>
    <x18tc:extLst>
      <ext uri="{F7C98A9C-CBB3-438F-8F68-D28B6AF4A901}">
        <xltc2:checksum/>
        <xltc2:hyperlink startIndex="13" length="85" url="https://drive.google.com/file/d/1NfqUd4Fua9GOOeckpS2Dr4EP3f4K-rda/view?usp=drive_link"/>
      </ext>
    </x18tc:extLst>
  </x18tc:threadedComment>
  <x18tc:threadedComment ref="K456" dT="2026-02-02T17:44:56.00" personId="{a5d43f6d-3c72-4414-b012-8f52ef50acc4}" id="{99f94e34-fe83-45b3-a772-6c2edc4f32b6}" done="0">
    <x18tc:text xml:space="preserve">https://drive.google.com/file/d/14PRUi_gdF0J9a07781F8U1Ir5M07moUJ/view?usp=drive_link</x18tc:text>
    <x18tc:extLst>
      <ext uri="{F7C98A9C-CBB3-438F-8F68-D28B6AF4A901}">
        <xltc2:checksum/>
        <xltc2:hyperlink startIndex="0" length="85" url="https://drive.google.com/file/d/14PRUi_gdF0J9a07781F8U1Ir5M07moUJ/view?usp=drive_link"/>
      </ext>
    </x18tc:extLst>
  </x18tc:threadedComment>
  <x18tc:threadedComment ref="C199" dT="2025-08-28T16:08:09.00" personId="{d8e4f5ad-b65d-4160-a56f-197530fb7eb1}" id="{fb482b73-b50d-4f4f-8803-e4c63aa4f70d}" done="0">
    <x18tc:text xml:space="preserve">https://www.ebay.com/itm/326677331843?_skw=laptop&amp;itmmeta=01K3JTZ8VCEZXG1EPEKE3WRQWZ&amp;hash=item4c0f7c7f83%3Ag%3A274AAeSwxeVorIrb&amp;LH_ItemCondition=3</x18tc:text>
    <x18tc:extLst>
      <ext uri="{F7C98A9C-CBB3-438F-8F68-D28B6AF4A901}">
        <xltc2:checksum/>
        <xltc2:hyperlink startIndex="0" length="146" url="https://www.ebay.com/itm/326677331843?_skw=laptop&amp;itmmeta=01K3JTZ8VCEZXG1EPEKE3WRQWZ&amp;hash=item4c0f7c7f83%3Ag%3A274AAeSwxeVorIrb&amp;LH_ItemCondition=3"/>
      </ext>
    </x18tc:extLst>
  </x18tc:threadedComment>
  <x18tc:threadedComment ref="C204" dT="2025-08-29T23:36:50.00" personId="{a5d43f6d-3c72-4414-b012-8f52ef50acc4}" id="{82ec0e5d-7d25-47df-8a93-8ebcaa51016b}" done="0">
    <x18tc:text xml:space="preserve">https://www.amazon.com/-/es/Alienware-Aurora-Laptop-AC16250-Pantalla-pulgadas/dp/B0FBHXJG7K/ref=sr_1_4?__mk_es_US=%C3%85M%C3%85%C5%BD%C3%95%C3%91&amp;crid=3BOOSKZHK8C52&amp;dib=eyJ2IjoiMSJ9.HTf761iRoK_ZUbe1Xlou4k8ItREm2A-FtPg1-5DuPoWEfgBI0uVQ4kSEnAQ5vG_zFFJZst3793Gx9HoRkK4krRT1Gdr5DARddyNnl1p1A_1mjy7pWPDAy8LvWGlx0gF-IF6IsIX7J23eic8DrqRCmPY3OMeaDBv_gocLPE6MhMpLBjB3AW2xvXKFj3tIqfwU5KHFXT2nm6T1CE9oXOh_O13zS41SGedJ0NV3MTl-I7_U65Yk2E9gDm6F50ZJ3Rit0yvuWQVZHhcseTtIZ7PwW9FuVlEZQ0O54cNuHdTRvqA.QvTFts8nHOoM4SR27DP_BhX7RNrrmb7HfvZmctQE42U&amp;dib_tag=se&amp;keywords=alienware&amp;qid=1756484667&amp;s=electronics&amp;sprefix=alienwar%2Celectronics%2C231&amp;sr=1-4&amp;th=1</x18tc:text>
    <x18tc:extLst>
      <ext uri="{F7C98A9C-CBB3-438F-8F68-D28B6AF4A901}">
        <xltc2:checksum/>
        <xltc2:hyperlink startIndex="0" length="633" url="https://www.amazon.com/-/es/Alienware-Aurora-Laptop-AC16250-Pantalla-pulgadas/dp/B0FBHXJG7K/ref=sr_1_4?__mk_es_US=%C3%85M%C3%85%C5%BD%C3%95%C3%91&amp;crid=3BOOSKZHK8C52&amp;dib=eyJ2IjoiMSJ9.HTf761iRoK_ZUbe1Xlou4k8ItREm2A-FtPg1-5DuPoWEfgBI0uVQ4kSEnAQ5vG_zFFJZst3793Gx9HoRkK4krRT1Gdr5DARddyNnl1p1A_1mjy7pWPDAy8LvWGlx0gF-IF6IsIX7J23eic8DrqRCmPY3OMeaDBv_gocLPE6MhMpLBjB3AW2xvXKFj3tIqfwU5KHFXT2nm6T1CE9oXOh_O13zS41SGedJ0NV3MTl-I7_U65Yk2E9gDm6F50ZJ3Rit0yvuWQVZHhcseTtIZ7PwW9FuVlEZQ0O54cNuHdTRvqA.QvTFts8nHOoM4SR27DP_BhX7RNrrmb7HfvZmctQE42U&amp;dib_tag=se&amp;keywords=alienware&amp;qid=1756484667&amp;s=electronics&amp;sprefix=alienwar%2Celectronics%2C231&amp;sr=1-4&amp;th=1"/>
      </ext>
    </x18tc:extLst>
  </x18tc:threadedComment>
  <x18tc:threadedComment ref="J599" dT="2026-03-12T17:26:40.00" personId="{80195d68-4e9b-4dc7-a031-ca5391c97d0f}" id="{27ae3f84-a982-4559-9489-4a58da624bf3}" done="0">
    <x18tc:text xml:space="preserve">https://drive.google.com/file/d/19X4apOYR0LKgS8XY8zin6A08hZv7t4Bf/view?usp=drive_link</x18tc:text>
    <x18tc:extLst>
      <ext uri="{F7C98A9C-CBB3-438F-8F68-D28B6AF4A901}">
        <xltc2:checksum/>
        <xltc2:hyperlink startIndex="0" length="85" url="https://drive.google.com/file/d/19X4apOYR0LKgS8XY8zin6A08hZv7t4Bf/view?usp=drive_link"/>
      </ext>
    </x18tc:extLst>
  </x18tc:threadedComment>
  <x18tc:threadedComment ref="Q529" dT="2026-02-09T23:42:54.00" personId="{a5d43f6d-3c72-4414-b012-8f52ef50acc4}" id="{842feadb-77b7-47bf-aa7e-c887ea6b94ff}" done="0">
    <x18tc:text xml:space="preserve">office 2024 + eset nod 32 + windows 11 pro + apertura con configuración inicial con formateo</x18tc:text>
  </x18tc:threadedComment>
  <x18tc:threadedComment ref="J519" dT="2026-03-02T23:52:13.00" personId="{4df2d6c4-e43e-4f2e-b623-d90f458472ff}" id="{a7214bb1-5ced-4f19-ad31-67dc44f67ca2}" done="0">
    <x18tc:text xml:space="preserve">https://drive.google.com/file/d/11rwpN9fhxZEpXXauKE5S2FjVvjD64Nbj/view?usp=drive_link</x18tc:text>
    <x18tc:extLst>
      <ext uri="{F7C98A9C-CBB3-438F-8F68-D28B6AF4A901}">
        <xltc2:checksum/>
        <xltc2:hyperlink startIndex="0" length="85" url="https://drive.google.com/file/d/11rwpN9fhxZEpXXauKE5S2FjVvjD64Nbj/view?usp=drive_link"/>
      </ext>
    </x18tc:extLst>
  </x18tc:threadedComment>
  <x18tc:threadedComment ref="V181" dT="2025-08-24T04:25:49.00" personId="{2ddfa542-8116-4937-a057-08470d7abaab}" id="{dbc53474-8dbc-4bb1-bbc5-513b0ad06f4d}" done="1">
    <x18tc:text xml:space="preserve">verificar</x18tc:text>
  </x18tc:threadedComment>
  <x18tc:threadedComment ref="J801" dT="2026-06-23T23:56:41.00" personId="{d8e4f5ad-b65d-4160-a56f-197530fb7eb1}" id="{58c0ce31-7034-492c-ab6b-2174232ba508}" done="0">
    <x18tc:text xml:space="preserve">https://drive.google.com/file/d/1PAsYcyVIPZdIJ0Jkvm0MkXqEPtLOhyTh/view?usp=drive_link</x18tc:text>
    <x18tc:extLst>
      <ext uri="{F7C98A9C-CBB3-438F-8F68-D28B6AF4A901}">
        <xltc2:checksum/>
        <xltc2:hyperlink startIndex="0" length="85" url="https://drive.google.com/file/d/1PAsYcyVIPZdIJ0Jkvm0MkXqEPtLOhyTh/view?usp=drive_link"/>
      </ext>
    </x18tc:extLst>
  </x18tc:threadedComment>
  <x18tc:threadedComment ref="C321" dT="2025-11-20T19:46:13.00" personId="{4df2d6c4-e43e-4f2e-b623-d90f458472ff}" id="{eb8e5851-436f-4705-9ff4-b03d39267b2f}" done="0">
    <x18tc:text xml:space="preserve">https://www.bhphotovideo.com/c/product/1875948-REG/lenovo_83f5001bus_16_legion_pro_7i.html/specs</x18tc:text>
    <x18tc:extLst>
      <ext uri="{F7C98A9C-CBB3-438F-8F68-D28B6AF4A901}">
        <xltc2:checksum/>
        <xltc2:hyperlink startIndex="0" length="96" url="https://www.bhphotovideo.com/c/product/1875948-REG/lenovo_83f5001bus_16_legion_pro_7i.html/specs"/>
      </ext>
    </x18tc:extLst>
  </x18tc:threadedComment>
  <x18tc:threadedComment ref="J267" dT="2025-10-06T19:40:27.00" personId="{d8e4f5ad-b65d-4160-a56f-197530fb7eb1}" id="{c5aaa556-a3f9-4378-b100-f0b71482ae87}" done="0">
    <x18tc:text xml:space="preserve">https://drive.google.com/file/d/19Vz1JyBS1fE0pkeuc5mGQqxxCWm5DTD_/view?usp=drive_link</x18tc:text>
    <x18tc:extLst>
      <ext uri="{F7C98A9C-CBB3-438F-8F68-D28B6AF4A901}">
        <xltc2:checksum/>
        <xltc2:hyperlink startIndex="0" length="85" url="https://drive.google.com/file/d/19Vz1JyBS1fE0pkeuc5mGQqxxCWm5DTD_/view?usp=drive_link"/>
      </ext>
    </x18tc:extLst>
  </x18tc:threadedComment>
  <x18tc:threadedComment ref="J267" dT="2025-10-25T01:14:43.00" personId="{d8e4f5ad-b65d-4160-a56f-197530fb7eb1}" id="{8210a4ea-99ab-487b-b146-c45f3c7c0e35}" parentId="{c5aaa556-a3f9-4378-b100-f0b71482ae87}">
    <x18tc:text xml:space="preserve">https://drive.google.com/file/d/1eTENlWPi5pD_XY7z87ioN_9udlWgtwb8/view?usp=drive_link</x18tc:text>
    <x18tc:extLst>
      <ext uri="{F7C98A9C-CBB3-438F-8F68-D28B6AF4A901}">
        <xltc2:checksum/>
        <xltc2:hyperlink startIndex="0" length="85" url="https://drive.google.com/file/d/1eTENlWPi5pD_XY7z87ioN_9udlWgtwb8/view?usp=drive_link"/>
      </ext>
    </x18tc:extLst>
  </x18tc:threadedComment>
  <x18tc:threadedComment ref="J505" dT="2026-03-02T23:53:15.00" personId="{4df2d6c4-e43e-4f2e-b623-d90f458472ff}" id="{dbe25c95-0eef-4b4b-9f35-4f822699f6f2}" done="0">
    <x18tc:text xml:space="preserve">https://drive.google.com/file/d/11lvKF_fjNEY2goKQQs92_Qyo8nFA1Hw5/view?usp=drive_link</x18tc:text>
    <x18tc:extLst>
      <ext uri="{F7C98A9C-CBB3-438F-8F68-D28B6AF4A901}">
        <xltc2:checksum/>
        <xltc2:hyperlink startIndex="0" length="85" url="https://drive.google.com/file/d/11lvKF_fjNEY2goKQQs92_Qyo8nFA1Hw5/view?usp=drive_link"/>
      </ext>
    </x18tc:extLst>
  </x18tc:threadedComment>
  <x18tc:threadedComment ref="J773" dT="2026-06-01T22:53:43.00" personId="{f9b224d0-ee33-4499-ae47-db5bcd2d0435}" id="{12e47927-04a7-4d21-afd5-f78c0bad6f9a}" done="0">
    <x18tc:text xml:space="preserve">https://drive.google.com/file/d/1NzAlnVKROHf6jIHA7xRZ92aPaDnfrHVb/view?usp=drive_link</x18tc:text>
    <x18tc:extLst>
      <ext uri="{F7C98A9C-CBB3-438F-8F68-D28B6AF4A901}">
        <xltc2:checksum/>
        <xltc2:hyperlink startIndex="0" length="85" url="https://drive.google.com/file/d/1NzAlnVKROHf6jIHA7xRZ92aPaDnfrHVb/view?usp=drive_link"/>
      </ext>
    </x18tc:extLst>
  </x18tc:threadedComment>
  <x18tc:threadedComment ref="J773" dT="2026-06-01T22:54:02.00" personId="{f9b224d0-ee33-4499-ae47-db5bcd2d0435}" id="{064eb923-afe8-449b-9a46-ff4b9f92931b}" parentId="{12e47927-04a7-4d21-afd5-f78c0bad6f9a}">
    <x18tc:text xml:space="preserve">https://drive.google.com/file/d/1SWxYbkLDWQx1QE7pWygMMKt3m1x-YI_5/view?usp=drive_link</x18tc:text>
    <x18tc:extLst>
      <ext uri="{F7C98A9C-CBB3-438F-8F68-D28B6AF4A901}">
        <xltc2:checksum/>
        <xltc2:hyperlink startIndex="0" length="85" url="https://drive.google.com/file/d/1SWxYbkLDWQx1QE7pWygMMKt3m1x-YI_5/view?usp=drive_link"/>
      </ext>
    </x18tc:extLst>
  </x18tc:threadedComment>
  <x18tc:threadedComment ref="J773" dT="2026-06-01T22:54:17.00" personId="{f9b224d0-ee33-4499-ae47-db5bcd2d0435}" id="{26598f0d-82da-465a-a020-1618d8574fd0}" parentId="{12e47927-04a7-4d21-afd5-f78c0bad6f9a}">
    <x18tc:text xml:space="preserve">https://drive.google.com/file/d/11SbR9_UupMAs9tvQuIqb-xEpc1WD66zM/view?usp=drive_link</x18tc:text>
    <x18tc:extLst>
      <ext uri="{F7C98A9C-CBB3-438F-8F68-D28B6AF4A901}">
        <xltc2:checksum/>
        <xltc2:hyperlink startIndex="0" length="85" url="https://drive.google.com/file/d/11SbR9_UupMAs9tvQuIqb-xEpc1WD66zM/view?usp=drive_link"/>
      </ext>
    </x18tc:extLst>
  </x18tc:threadedComment>
  <x18tc:threadedComment ref="J198" dT="2025-08-29T23:02:29.00" personId="{4df2d6c4-e43e-4f2e-b623-d90f458472ff}" id="{8ac895af-5a10-4af7-88ff-a4712216e425}" done="0">
    <x18tc:text xml:space="preserve">https://drive.google.com/file/d/1ji3gBMgXVUg-397GyaoTffMO0CjOnjeJ/view?usp=drive_link</x18tc:text>
    <x18tc:extLst>
      <ext uri="{F7C98A9C-CBB3-438F-8F68-D28B6AF4A901}">
        <xltc2:checksum/>
        <xltc2:hyperlink startIndex="0" length="85" url="https://drive.google.com/file/d/1ji3gBMgXVUg-397GyaoTffMO0CjOnjeJ/view?usp=drive_link"/>
      </ext>
    </x18tc:extLst>
  </x18tc:threadedComment>
  <x18tc:threadedComment ref="F184" dT="2025-08-24T04:25:20.00" personId="{2ddfa542-8116-4937-a057-08470d7abaab}" id="{d0e68af6-b23d-4184-94b7-4b95bef991df}" done="1">
    <x18tc:text xml:space="preserve">NO hay en el sheet de ingresos</x18tc:text>
  </x18tc:threadedComment>
  <x18tc:threadedComment ref="C509" dT="2026-01-29T18:18:30.00" personId="{a5d43f6d-3c72-4414-b012-8f52ef50acc4}" id="{a632354f-1743-484b-becd-719aaaf9ac3e}" done="0">
    <x18tc:text xml:space="preserve">https://www.ebay.com/itm/197489937322?_skw=pro+5i&amp;itmmeta=01KG5EA4D0V2P7NKBCTXNQ6PK1&amp;hash=item2dfb514baa:g:gjkAAeSwKGlpc4jX</x18tc:text>
    <x18tc:extLst>
      <ext uri="{F7C98A9C-CBB3-438F-8F68-D28B6AF4A901}">
        <xltc2:checksum/>
        <xltc2:hyperlink startIndex="0" length="123" url="https://www.ebay.com/itm/197489937322?_skw=pro+5i&amp;itmmeta=01KG5EA4D0V2P7NKBCTXNQ6PK1&amp;hash=item2dfb514baa:g:gjkAAeSwKGlpc4jX"/>
      </ext>
    </x18tc:extLst>
  </x18tc:threadedComment>
  <x18tc:threadedComment ref="C322" dT="2025-11-20T19:46:19.00" personId="{4df2d6c4-e43e-4f2e-b623-d90f458472ff}" id="{2a3d84ba-f596-41df-96fe-ddcc81bc62f1}" done="0">
    <x18tc:text xml:space="preserve">https://www.bhphotovideo.com/c/product/1875948-REG/lenovo_83f5001bus_16_legion_pro_7i.html/specs</x18tc:text>
    <x18tc:extLst>
      <ext uri="{F7C98A9C-CBB3-438F-8F68-D28B6AF4A901}">
        <xltc2:checksum/>
        <xltc2:hyperlink startIndex="0" length="96" url="https://www.bhphotovideo.com/c/product/1875948-REG/lenovo_83f5001bus_16_legion_pro_7i.html/specs"/>
      </ext>
    </x18tc:extLst>
  </x18tc:threadedComment>
  <x18tc:threadedComment ref="J546" dT="2026-03-03T00:00:12.00" personId="{4df2d6c4-e43e-4f2e-b623-d90f458472ff}" id="{2eeffa14-a967-4548-9699-6ab18f3bc93e}" done="0">
    <x18tc:text xml:space="preserve">https://drive.google.com/file/d/1vFJpzw6EEgiNHoxfad9QbIg6g3u_kznu/view?usp=drive_link</x18tc:text>
    <x18tc:extLst>
      <ext uri="{F7C98A9C-CBB3-438F-8F68-D28B6AF4A901}">
        <xltc2:checksum/>
        <xltc2:hyperlink startIndex="0" length="85" url="https://drive.google.com/file/d/1vFJpzw6EEgiNHoxfad9QbIg6g3u_kznu/view?usp=drive_link"/>
      </ext>
    </x18tc:extLst>
  </x18tc:threadedComment>
  <x18tc:threadedComment ref="C529" dT="2026-02-09T23:40:40.00" personId="{a5d43f6d-3c72-4414-b012-8f52ef50acc4}" id="{133ae6b2-b14a-4cfb-8fe7-f00e03a9d619}" done="0">
    <x18tc:text xml:space="preserve">https://www.ebay.com/itm/326655425561?_skw=predator&amp;itmmeta=01KH2CDW56X8NFE92GMV2MWR1M&amp;hash=item4c0e2e3c19:g:lSsAAeSwwJdpe5j1</x18tc:text>
    <x18tc:extLst>
      <ext uri="{F7C98A9C-CBB3-438F-8F68-D28B6AF4A901}">
        <xltc2:checksum/>
        <xltc2:hyperlink startIndex="0" length="125" url="https://www.ebay.com/itm/326655425561?_skw=predator&amp;itmmeta=01KH2CDW56X8NFE92GMV2MWR1M&amp;hash=item4c0e2e3c19:g:lSsAAeSwwJdpe5j1"/>
      </ext>
    </x18tc:extLst>
  </x18tc:threadedComment>
  <x18tc:threadedComment ref="K519" dT="2026-03-02T23:43:08.00" personId="{4df2d6c4-e43e-4f2e-b623-d90f458472ff}" id="{50c0f792-842d-4575-9f68-d0095f4a5510}" done="0">
    <x18tc:text xml:space="preserve">https://drive.google.com/file/d/18GPleM4xu24jFiytVnCWbfx2Eh4f6AoT/view?usp=drive_link</x18tc:text>
    <x18tc:extLst>
      <ext uri="{F7C98A9C-CBB3-438F-8F68-D28B6AF4A901}">
        <xltc2:checksum/>
        <xltc2:hyperlink startIndex="0" length="85" url="https://drive.google.com/file/d/18GPleM4xu24jFiytVnCWbfx2Eh4f6AoT/view?usp=drive_link"/>
      </ext>
    </x18tc:extLst>
  </x18tc:threadedComment>
  <x18tc:threadedComment ref="K519" dT="2026-03-02T23:43:30.00" personId="{4df2d6c4-e43e-4f2e-b623-d90f458472ff}" id="{736cbd5a-d54f-42bf-9646-d6c9cfa32bda}" parentId="{50c0f792-842d-4575-9f68-d0095f4a5510}">
    <x18tc:text xml:space="preserve">https://drive.google.com/file/d/1L7f9-0WTl8YyQRChsWta2Smt8uapFtls/view?usp=drive_link</x18tc:text>
    <x18tc:extLst>
      <ext uri="{F7C98A9C-CBB3-438F-8F68-D28B6AF4A901}">
        <xltc2:checksum/>
        <xltc2:hyperlink startIndex="0" length="85" url="https://drive.google.com/file/d/1L7f9-0WTl8YyQRChsWta2Smt8uapFtls/view?usp=drive_link"/>
      </ext>
    </x18tc:extLst>
  </x18tc:threadedComment>
  <x18tc:threadedComment ref="Q509" dT="2026-01-29T18:19:43.00" personId="{a5d43f6d-3c72-4414-b012-8f52ef50acc4}" id="{508130f4-de7c-4cf7-a3ba-a1180e3ab334}" done="0">
    <x18tc:text xml:space="preserve">apertura + configuración inicial con formateo + eset nod 32 + windows 11 pro + office profesional plus 2024</x18tc:text>
  </x18tc:threadedComment>
  <x18tc:threadedComment ref="AI747" dT="2026-05-21T16:52:59.00" personId="{7d9bea4b-cfe7-4c29-b483-8e83a1c4f52a}" id="{6bff6307-e0fd-4d3e-be4a-4ff4f34485da}" done="0">
    <x18tc:text xml:space="preserve">https://drive.google.com/file/d/1lVI_JYTLfe6skbYgOu10QHh68Dx7y83v/view?usp=drive_link</x18tc:text>
    <x18tc:extLst>
      <ext uri="{F7C98A9C-CBB3-438F-8F68-D28B6AF4A901}">
        <xltc2:checksum/>
        <xltc2:hyperlink startIndex="0" length="85" url="https://drive.google.com/file/d/1lVI_JYTLfe6skbYgOu10QHh68Dx7y83v/view?usp=drive_link"/>
      </ext>
    </x18tc:extLst>
  </x18tc:threadedComment>
  <x18tc:threadedComment ref="J561" dT="2026-03-03T00:01:14.00" personId="{4df2d6c4-e43e-4f2e-b623-d90f458472ff}" id="{e6576288-b04d-41f5-b8d5-78d3afb9cd1f}" done="0">
    <x18tc:text xml:space="preserve">https://drive.google.com/file/d/1OBzytMbg4qqAk2zxmgfrvDFndKM5nxbM/view?usp=drive_link</x18tc:text>
    <x18tc:extLst>
      <ext uri="{F7C98A9C-CBB3-438F-8F68-D28B6AF4A901}">
        <xltc2:checksum/>
        <xltc2:hyperlink startIndex="0" length="85" url="https://drive.google.com/file/d/1OBzytMbg4qqAk2zxmgfrvDFndKM5nxbM/view?usp=drive_link"/>
      </ext>
    </x18tc:extLst>
  </x18tc:threadedComment>
  <x18tc:threadedComment ref="J529" dT="2026-02-09T23:41:31.00" personId="{a5d43f6d-3c72-4414-b012-8f52ef50acc4}" id="{62cc8b99-a88d-49d6-a66a-23669741bbb8}" done="0">
    <x18tc:text xml:space="preserve">https://drive.google.com/file/d/1JsK8ugyzLuv57AZyOL-UGux5byzSWXJY/view?usp=drive_link</x18tc:text>
    <x18tc:extLst>
      <ext uri="{F7C98A9C-CBB3-438F-8F68-D28B6AF4A901}">
        <xltc2:checksum/>
        <xltc2:hyperlink startIndex="0" length="85" url="https://drive.google.com/file/d/1JsK8ugyzLuv57AZyOL-UGux5byzSWXJY/view?usp=drive_link"/>
      </ext>
    </x18tc:extLst>
  </x18tc:threadedComment>
  <x18tc:threadedComment ref="K479" dT="2026-02-10T18:13:40.00" personId="{a5d43f6d-3c72-4414-b012-8f52ef50acc4}" id="{f8108304-c498-48a1-a8ee-1c275b17c86d}" done="0">
    <x18tc:text xml:space="preserve">https://drive.google.com/file/d/1eyn8wmjct6GR5L_L99lrD2P5D_S5mMk4/view?usp=drive_link
https://drive.google.com/file/d/19-oRrnh-mdmg4kcydxWbOhMD9_pX1y3a/view?usp=drive_link
https://drive.google.com/file/d/1pbNnx6wHkcCMoAwy_dYBwrKOS1z6fILX/view?usp=drive_link</x18tc:text>
    <x18tc:extLst>
      <ext uri="{F7C98A9C-CBB3-438F-8F68-D28B6AF4A901}">
        <xltc2:checksum/>
        <xltc2:hyperlink startIndex="0" length="85" url="https://drive.google.com/file/d/1eyn8wmjct6GR5L_L99lrD2P5D_S5mMk4/view?usp=drive_link"/>
        <xltc2:hyperlink startIndex="86" length="85" url="https://drive.google.com/file/d/19-oRrnh-mdmg4kcydxWbOhMD9_pX1y3a/view?usp=drive_link"/>
        <xltc2:hyperlink startIndex="172" length="85" url="https://drive.google.com/file/d/1pbNnx6wHkcCMoAwy_dYBwrKOS1z6fILX/view?usp=drive_link"/>
      </ext>
    </x18tc:extLst>
  </x18tc:threadedComment>
  <x18tc:threadedComment ref="J366" dT="2025-11-30T01:21:08.00" personId="{d8e4f5ad-b65d-4160-a56f-197530fb7eb1}" id="{c2e10e3e-d7bc-4562-a2f0-4c842b9c5258}" done="0">
    <x18tc:text xml:space="preserve">https://drive.google.com/file/d/1ST0TcBkvkiwVzGYA22_tL4CwcvYtXAid/view?usp=drive_link</x18tc:text>
    <x18tc:extLst>
      <ext uri="{F7C98A9C-CBB3-438F-8F68-D28B6AF4A901}">
        <xltc2:checksum/>
        <xltc2:hyperlink startIndex="0" length="85" url="https://drive.google.com/file/d/1ST0TcBkvkiwVzGYA22_tL4CwcvYtXAid/view?usp=drive_link"/>
      </ext>
    </x18tc:extLst>
  </x18tc:threadedComment>
  <x18tc:threadedComment ref="J366" dT="2025-11-30T01:21:22.00" personId="{d8e4f5ad-b65d-4160-a56f-197530fb7eb1}" id="{4adc330e-0dcf-4d5e-930c-c382de34d59a}" parentId="{c2e10e3e-d7bc-4562-a2f0-4c842b9c5258}">
    <x18tc:text xml:space="preserve">https://drive.google.com/file/d/1PSaAz98MyWlWjNQAL4y7BVKZ2efzYwEU/view?usp=drive_link</x18tc:text>
    <x18tc:extLst>
      <ext uri="{F7C98A9C-CBB3-438F-8F68-D28B6AF4A901}">
        <xltc2:checksum/>
        <xltc2:hyperlink startIndex="0" length="85" url="https://drive.google.com/file/d/1PSaAz98MyWlWjNQAL4y7BVKZ2efzYwEU/view?usp=drive_link"/>
      </ext>
    </x18tc:extLst>
  </x18tc:threadedComment>
  <x18tc:threadedComment ref="W203" dT="2025-08-30T00:36:07.00" personId="{d8e4f5ad-b65d-4160-a56f-197530fb7eb1}" id="{98e4bd6e-df0e-4489-938a-86d0971178a5}" done="0">
    <x18tc:text xml:space="preserve">https://drive.google.com/file/d/1IeowuJWQPjlbad8G3BwRRfTlzCLa4Wcy/view?usp=drive_link</x18tc:text>
    <x18tc:extLst>
      <ext uri="{F7C98A9C-CBB3-438F-8F68-D28B6AF4A901}">
        <xltc2:checksum/>
        <xltc2:hyperlink startIndex="0" length="85" url="https://drive.google.com/file/d/1IeowuJWQPjlbad8G3BwRRfTlzCLa4Wcy/view?usp=drive_link"/>
      </ext>
    </x18tc:extLst>
  </x18tc:threadedComment>
  <x18tc:threadedComment ref="K526" dT="2026-03-11T18:15:38.00" personId="{d8e4f5ad-b65d-4160-a56f-197530fb7eb1}" id="{440a149d-ce73-4fb6-aba4-3bb2042dc849}" done="0">
    <x18tc:text xml:space="preserve">https://drive.google.com/file/d/1JSLwrrtaF2QCy3espDpBl6HCUWNgsQav/view?usp=drive_link</x18tc:text>
    <x18tc:extLst>
      <ext uri="{F7C98A9C-CBB3-438F-8F68-D28B6AF4A901}">
        <xltc2:checksum/>
        <xltc2:hyperlink startIndex="0" length="85" url="https://drive.google.com/file/d/1JSLwrrtaF2QCy3espDpBl6HCUWNgsQav/view?usp=drive_link"/>
      </ext>
    </x18tc:extLst>
  </x18tc:threadedComment>
  <x18tc:threadedComment ref="J518" dT="2026-03-02T23:57:36.00" personId="{4df2d6c4-e43e-4f2e-b623-d90f458472ff}" id="{701bbc27-1e53-4216-bcbe-6cac6135be8d}" done="0">
    <x18tc:text xml:space="preserve">https://drive.google.com/file/d/1WA-rpskPpAsCPjKVAWEzZT4HX3SMk2KS/view?usp=drive_link</x18tc:text>
    <x18tc:extLst>
      <ext uri="{F7C98A9C-CBB3-438F-8F68-D28B6AF4A901}">
        <xltc2:checksum/>
        <xltc2:hyperlink startIndex="0" length="85" url="https://drive.google.com/file/d/1WA-rpskPpAsCPjKVAWEzZT4HX3SMk2KS/view?usp=drive_link"/>
      </ext>
    </x18tc:extLst>
  </x18tc:threadedComment>
  <x18tc:threadedComment ref="J518" dT="2026-03-02T23:58:12.00" personId="{4df2d6c4-e43e-4f2e-b623-d90f458472ff}" id="{f4fa3257-fd00-46ce-a3a7-928bb6fdd3c4}" parentId="{701bbc27-1e53-4216-bcbe-6cac6135be8d}">
    <x18tc:text xml:space="preserve">https://drive.google.com/file/d/1KfYMVcuvNCoFHD512lR2m-KVsw5-S2Pv/view?usp=drive_link</x18tc:text>
    <x18tc:extLst>
      <ext uri="{F7C98A9C-CBB3-438F-8F68-D28B6AF4A901}">
        <xltc2:checksum/>
        <xltc2:hyperlink startIndex="0" length="85" url="https://drive.google.com/file/d/1KfYMVcuvNCoFHD512lR2m-KVsw5-S2Pv/view?usp=drive_link"/>
      </ext>
    </x18tc:extLst>
  </x18tc:threadedComment>
  <x18tc:threadedComment ref="J518" dT="2026-03-02T23:58:29.00" personId="{4df2d6c4-e43e-4f2e-b623-d90f458472ff}" id="{310ddaf4-15d7-4885-b8d3-41fa70c90c44}" parentId="{701bbc27-1e53-4216-bcbe-6cac6135be8d}">
    <x18tc:text xml:space="preserve">https://drive.google.com/file/d/1jZ2tKL-K1g8ErfTUv-3StZISx5m85WFj/view?usp=drive_link</x18tc:text>
    <x18tc:extLst>
      <ext uri="{F7C98A9C-CBB3-438F-8F68-D28B6AF4A901}">
        <xltc2:checksum/>
        <xltc2:hyperlink startIndex="0" length="85" url="https://drive.google.com/file/d/1jZ2tKL-K1g8ErfTUv-3StZISx5m85WFj/view?usp=drive_link"/>
      </ext>
    </x18tc:extLst>
  </x18tc:threadedComment>
  <x18tc:threadedComment ref="J365" dT="2025-11-30T01:29:40.00" personId="{d8e4f5ad-b65d-4160-a56f-197530fb7eb1}" id="{2f70b032-7528-4506-b4f1-d8be060fa003}" done="0">
    <x18tc:text xml:space="preserve">https://drive.google.com/file/d/10VX8qoNTLCa7H6ZGZF_gIwVABL_4Qb46/view?usp=drive_link</x18tc:text>
    <x18tc:extLst>
      <ext uri="{F7C98A9C-CBB3-438F-8F68-D28B6AF4A901}">
        <xltc2:checksum/>
        <xltc2:hyperlink startIndex="0" length="85" url="https://drive.google.com/file/d/10VX8qoNTLCa7H6ZGZF_gIwVABL_4Qb46/view?usp=drive_link"/>
      </ext>
    </x18tc:extLst>
  </x18tc:threadedComment>
  <x18tc:threadedComment ref="J365" dT="2025-11-30T01:30:02.00" personId="{d8e4f5ad-b65d-4160-a56f-197530fb7eb1}" id="{373eda1f-f6ce-412b-ac37-b6e22a17577e}" parentId="{2f70b032-7528-4506-b4f1-d8be060fa003}">
    <x18tc:text xml:space="preserve">https://drive.google.com/file/d/1lbyZsrjiM_jwQPipo_6osxrT1C5TWFn9/view?usp=drive_link</x18tc:text>
    <x18tc:extLst>
      <ext uri="{F7C98A9C-CBB3-438F-8F68-D28B6AF4A901}">
        <xltc2:checksum/>
        <xltc2:hyperlink startIndex="0" length="85" url="https://drive.google.com/file/d/1lbyZsrjiM_jwQPipo_6osxrT1C5TWFn9/view?usp=drive_link"/>
      </ext>
    </x18tc:extLst>
  </x18tc:threadedComment>
  <x18tc:threadedComment ref="L145" dT="2025-10-13T19:41:58.00" personId="{d8e4f5ad-b65d-4160-a56f-197530fb7eb1}" id="{65824f0f-06a4-4c7c-aeda-b08e6df0b3f3}" done="0">
    <x18tc:text xml:space="preserve">https://drive.google.com/file/d/1IFDVikgw26U44i_qokQmPXClXIUNISYe/view?usp=drive_link</x18tc:text>
    <x18tc:extLst>
      <ext uri="{F7C98A9C-CBB3-438F-8F68-D28B6AF4A901}">
        <xltc2:checksum/>
        <xltc2:hyperlink startIndex="0" length="85" url="https://drive.google.com/file/d/1IFDVikgw26U44i_qokQmPXClXIUNISYe/view?usp=drive_link"/>
      </ext>
    </x18tc:extLst>
  </x18tc:threadedComment>
  <x18tc:threadedComment ref="W193" dT="2025-08-30T00:33:51.00" personId="{d8e4f5ad-b65d-4160-a56f-197530fb7eb1}" id="{3198bd20-3d17-44ba-a693-5fcbe0505f0c}" done="0">
    <x18tc:text xml:space="preserve">https://drive.google.com/file/d/18gekpNEhF4KkMIJjd9K4pBMs4h8CqIUQ/view?usp=drive_link</x18tc:text>
    <x18tc:extLst>
      <ext uri="{F7C98A9C-CBB3-438F-8F68-D28B6AF4A901}">
        <xltc2:checksum/>
        <xltc2:hyperlink startIndex="0" length="85" url="https://drive.google.com/file/d/18gekpNEhF4KkMIJjd9K4pBMs4h8CqIUQ/view?usp=drive_link"/>
      </ext>
    </x18tc:extLst>
  </x18tc:threadedComment>
  <x18tc:threadedComment ref="J251" dT="2025-10-06T15:57:57.00" personId="{4df2d6c4-e43e-4f2e-b623-d90f458472ff}" id="{6ff000f8-55d8-4f5a-9935-208b3be91ed9}" done="0">
    <x18tc:text xml:space="preserve">https://drive.google.com/file/d/1Mmjb-BOS31h8PwAzliXxbIbw4rQo8UHQ/view?usp=drive_link</x18tc:text>
    <x18tc:extLst>
      <ext uri="{F7C98A9C-CBB3-438F-8F68-D28B6AF4A901}">
        <xltc2:checksum/>
        <xltc2:hyperlink startIndex="0" length="85" url="https://drive.google.com/file/d/1Mmjb-BOS31h8PwAzliXxbIbw4rQo8UHQ/view?usp=drive_link"/>
      </ext>
    </x18tc:extLst>
  </x18tc:threadedComment>
  <x18tc:threadedComment ref="L144" dT="2025-10-13T19:41:53.00" personId="{d8e4f5ad-b65d-4160-a56f-197530fb7eb1}" id="{f379e0eb-ac64-4913-a40f-7a8ef0a9a2c2}" done="0">
    <x18tc:text xml:space="preserve">https://drive.google.com/file/d/1IFDVikgw26U44i_qokQmPXClXIUNISYe/view?usp=drive_link</x18tc:text>
    <x18tc:extLst>
      <ext uri="{F7C98A9C-CBB3-438F-8F68-D28B6AF4A901}">
        <xltc2:checksum/>
        <xltc2:hyperlink startIndex="0" length="85" url="https://drive.google.com/file/d/1IFDVikgw26U44i_qokQmPXClXIUNISYe/view?usp=drive_link"/>
      </ext>
    </x18tc:extLst>
  </x18tc:threadedComment>
  <x18tc:threadedComment ref="L144" dT="2025-10-15T16:49:12.00" personId="{d8e4f5ad-b65d-4160-a56f-197530fb7eb1}" id="{0123630d-cfe6-4fda-88db-463eb0f0285a}" parentId="{f379e0eb-ac64-4913-a40f-7a8ef0a9a2c2}">
    <x18tc:text xml:space="preserve">https://drive.google.com/file/d/1ejIswSzndVxd8qCTC72MAbP0g9bJg_Fs/view?usp=drive_link</x18tc:text>
    <x18tc:extLst>
      <ext uri="{F7C98A9C-CBB3-438F-8F68-D28B6AF4A901}">
        <xltc2:checksum/>
        <xltc2:hyperlink startIndex="0" length="85" url="https://drive.google.com/file/d/1ejIswSzndVxd8qCTC72MAbP0g9bJg_Fs/view?usp=drive_link"/>
      </ext>
    </x18tc:extLst>
  </x18tc:threadedComment>
  <x18tc:threadedComment ref="L144" dT="2025-10-15T16:50:13.00" personId="{d8e4f5ad-b65d-4160-a56f-197530fb7eb1}" id="{703111bb-9bbd-4fc2-8152-84934773a920}" parentId="{f379e0eb-ac64-4913-a40f-7a8ef0a9a2c2}">
    <x18tc:text xml:space="preserve">https://drive.google.com/file/d/1TMleusvJSYbN4FICb6kDYcr2E-z6InXw/view?usp=drive_link</x18tc:text>
    <x18tc:extLst>
      <ext uri="{F7C98A9C-CBB3-438F-8F68-D28B6AF4A901}">
        <xltc2:checksum/>
        <xltc2:hyperlink startIndex="0" length="85" url="https://drive.google.com/file/d/1TMleusvJSYbN4FICb6kDYcr2E-z6InXw/view?usp=drive_link"/>
      </ext>
    </x18tc:extLst>
  </x18tc:threadedComment>
  <x18tc:threadedComment ref="W188" dT="2025-08-30T00:35:12.00" personId="{d8e4f5ad-b65d-4160-a56f-197530fb7eb1}" id="{ad0938db-e1e4-413e-8c1f-bc3d11c8600b}" done="0">
    <x18tc:text xml:space="preserve">https://drive.google.com/file/d/1_PoyOybaWBIQCje4Wv-VUjgqQZR0b7JW/view?usp=drive_link</x18tc:text>
    <x18tc:extLst>
      <ext uri="{F7C98A9C-CBB3-438F-8F68-D28B6AF4A901}">
        <xltc2:checksum/>
        <xltc2:hyperlink startIndex="0" length="85" url="https://drive.google.com/file/d/1_PoyOybaWBIQCje4Wv-VUjgqQZR0b7JW/view?usp=drive_link"/>
      </ext>
    </x18tc:extLst>
  </x18tc:threadedComment>
  <x18tc:threadedComment ref="AF172" dT="2025-08-24T02:49:48.00" personId="{2ddfa542-8116-4937-a057-08470d7abaab}" id="{e26f02c1-a535-4117-975d-37748d006a5d}" done="1">
    <x18tc:text xml:space="preserve">falta voucher final</x18tc:text>
  </x18tc:threadedComment>
  <x18tc:threadedComment ref="J188" dT="2025-08-24T00:24:58.00" personId="{d8e4f5ad-b65d-4160-a56f-197530fb7eb1}" id="{b57e5b69-28b7-49b6-acf8-29cd5f297f7d}" done="0">
    <x18tc:text xml:space="preserve">https://drive.google.com/file/d/16-BF67DGPV493rZ66cm0C1g2r-aBt2JD/view?usp=drive_link</x18tc:text>
    <x18tc:extLst>
      <ext uri="{F7C98A9C-CBB3-438F-8F68-D28B6AF4A901}">
        <xltc2:checksum/>
        <xltc2:hyperlink startIndex="0" length="85" url="https://drive.google.com/file/d/16-BF67DGPV493rZ66cm0C1g2r-aBt2JD/view?usp=drive_link"/>
      </ext>
    </x18tc:extLst>
  </x18tc:threadedComment>
  <x18tc:threadedComment ref="L243" dT="2025-10-13T19:44:16.00" personId="{d8e4f5ad-b65d-4160-a56f-197530fb7eb1}" id="{44565fb9-4628-40fb-b2c5-c81ec5e50b60}" done="0">
    <x18tc:text xml:space="preserve">https://drive.google.com/file/d/1WJ7o9QeyHMx1irVhjTFGg57dmVJfoLCD/view?usp=drive_link</x18tc:text>
    <x18tc:extLst>
      <ext uri="{F7C98A9C-CBB3-438F-8F68-D28B6AF4A901}">
        <xltc2:checksum/>
        <xltc2:hyperlink startIndex="0" length="85" url="https://drive.google.com/file/d/1WJ7o9QeyHMx1irVhjTFGg57dmVJfoLCD/view?usp=drive_link"/>
      </ext>
    </x18tc:extLst>
  </x18tc:threadedComment>
  <x18tc:threadedComment ref="L243" dT="2025-10-15T23:51:48.00" personId="{d8e4f5ad-b65d-4160-a56f-197530fb7eb1}" id="{6eae5a25-8756-4eee-9a1d-bd5114b0d36e}" parentId="{44565fb9-4628-40fb-b2c5-c81ec5e50b60}">
    <x18tc:text xml:space="preserve">https://drive.google.com/file/d/1B7u-p4gwDg_Q2tq0xGsZoYkAnnwqhNyj/view?usp=drive_link</x18tc:text>
    <x18tc:extLst>
      <ext uri="{F7C98A9C-CBB3-438F-8F68-D28B6AF4A901}">
        <xltc2:checksum/>
        <xltc2:hyperlink startIndex="0" length="85" url="https://drive.google.com/file/d/1B7u-p4gwDg_Q2tq0xGsZoYkAnnwqhNyj/view?usp=drive_link"/>
      </ext>
    </x18tc:extLst>
  </x18tc:threadedComment>
  <x18tc:threadedComment ref="C679" dT="2026-04-12T20:07:46.00" personId="{d8e4f5ad-b65d-4160-a56f-197530fb7eb1}" id="{4da3b242-601e-4c0a-b9a8-cf7ed7d28b67}" done="0">
    <x18tc:text xml:space="preserve">https://www.bhphotovideo.com/c/product/1875946-REG/lenovo_83f00008us_15_1_legion_5i_gaming.html</x18tc:text>
    <x18tc:extLst>
      <ext uri="{F7C98A9C-CBB3-438F-8F68-D28B6AF4A901}">
        <xltc2:checksum/>
        <xltc2:hyperlink startIndex="0" length="95" url="https://www.bhphotovideo.com/c/product/1875946-REG/lenovo_83f00008us_15_1_legion_5i_gaming.html"/>
      </ext>
    </x18tc:extLst>
  </x18tc:threadedComment>
  <x18tc:threadedComment ref="F394" dT="2025-12-06T02:14:23.00" personId="{d28ef52a-149c-458c-84f2-6b54860887d5}" id="{7e6047ec-b838-4523-b6ba-d608a9be7e2c}" done="1">
    <x18tc:text xml:space="preserve">@yolinette152@gmail.com falta agregar boleta, resuelve cuando agregaste
Asignada a yolinette152@gmail.com</x18tc:text>
    <x18tc:mentions>
      <x18tc:mention mentionpersonId="{175ceed9-6dd2-4dd9-a576-ccc719bb1072}" mentionId="{1dcbbe51-7fc8-4272-b73d-2204aff23786}" startIndex="0" length="23"/>
    </x18tc:mentions>
  </x18tc:threadedComment>
  <x18tc:threadedComment ref="U194" dT="2025-08-29T22:01:55.00" personId="{d8e4f5ad-b65d-4160-a56f-197530fb7eb1}" id="{49f67cc8-a86c-429d-9346-fd05f4a14c1c}" done="0">
    <x18tc:text xml:space="preserve">https://drive.google.com/file/d/1cTUJr-QyKVjdHUlsPd1HtLL9ablkFmve/view?usp=drive_link</x18tc:text>
    <x18tc:extLst>
      <ext uri="{F7C98A9C-CBB3-438F-8F68-D28B6AF4A901}">
        <xltc2:checksum/>
        <xltc2:hyperlink startIndex="0" length="85" url="https://drive.google.com/file/d/1cTUJr-QyKVjdHUlsPd1HtLL9ablkFmve/view?usp=drive_link"/>
      </ext>
    </x18tc:extLst>
  </x18tc:threadedComment>
  <x18tc:threadedComment ref="K527" dT="2026-03-11T18:15:44.00" personId="{d8e4f5ad-b65d-4160-a56f-197530fb7eb1}" id="{97430a0e-d03d-4a73-a8b6-1d255f62e68d}" done="0">
    <x18tc:text xml:space="preserve">https://drive.google.com/file/d/1JSLwrrtaF2QCy3espDpBl6HCUWNgsQav/view?usp=drive_link</x18tc:text>
    <x18tc:extLst>
      <ext uri="{F7C98A9C-CBB3-438F-8F68-D28B6AF4A901}">
        <xltc2:checksum/>
        <xltc2:hyperlink startIndex="0" length="85" url="https://drive.google.com/file/d/1JSLwrrtaF2QCy3espDpBl6HCUWNgsQav/view?usp=drive_link"/>
      </ext>
    </x18tc:extLst>
  </x18tc:threadedComment>
  <x18tc:threadedComment ref="J204" dT="2025-08-29T23:39:16.00" personId="{a5d43f6d-3c72-4414-b012-8f52ef50acc4}" id="{0bc89830-c0d7-4f1b-a08d-00de384028c8}" done="0">
    <x18tc:text xml:space="preserve">https://drive.google.com/file/d/18BOZmxUllj9b2QtIvhDpp17mj2B42iqU/view?usp=drive_link
https://drive.google.com/file/d/16z_Ob4jXZ6Ji8X-OenqweEuDbXXC7RyM/view?usp=drive_link
https://drive.google.com/file/d/1ifaqewc7MXGq59Avo71bEyrS2DwYIhQQ/view?usp=drive_link</x18tc:text>
    <x18tc:extLst>
      <ext uri="{F7C98A9C-CBB3-438F-8F68-D28B6AF4A901}">
        <xltc2:checksum/>
        <xltc2:hyperlink startIndex="0" length="85" url="https://drive.google.com/file/d/18BOZmxUllj9b2QtIvhDpp17mj2B42iqU/view?usp=drive_link"/>
        <xltc2:hyperlink startIndex="86" length="85" url="https://drive.google.com/file/d/16z_Ob4jXZ6Ji8X-OenqweEuDbXXC7RyM/view?usp=drive_link"/>
        <xltc2:hyperlink startIndex="172" length="85" url="https://drive.google.com/file/d/1ifaqewc7MXGq59Avo71bEyrS2DwYIhQQ/view?usp=drive_link"/>
      </ext>
    </x18tc:extLst>
  </x18tc:threadedComment>
  <x18tc:threadedComment ref="C203" dT="2025-08-29T22:12:10.00" personId="{d8e4f5ad-b65d-4160-a56f-197530fb7eb1}" id="{5c6d64fe-7871-45f9-816e-77706fe76373}" done="0">
    <x18tc:text xml:space="preserve">https://www.costco.com/lenovo-legion-5i-16-gaming-laptop---intel-core-ultra-9-275hx---geforce-rtx-5060---wqxga-2560x1600---windows-11-home---32gb-ram---1tb-ssd.product.4000380973.html</x18tc:text>
    <x18tc:extLst>
      <ext uri="{F7C98A9C-CBB3-438F-8F68-D28B6AF4A901}">
        <xltc2:checksum/>
        <xltc2:hyperlink startIndex="0" length="183" url="https://www.costco.com/lenovo-legion-5i-16-gaming-laptop---intel-core-ultra-9-275hx---geforce-rtx-5060---wqxga-2560x1600---windows-11-home---32gb-ram---1tb-ssd.product.4000380973.html"/>
      </ext>
    </x18tc:extLst>
  </x18tc:threadedComment>
  <x18tc:threadedComment ref="V176" dT="2025-08-24T03:00:50.00" personId="{2ddfa542-8116-4937-a057-08470d7abaab}" id="{fc34c477-45d8-4964-bbda-53adfd8255f6}" done="0">
    <x18tc:text xml:space="preserve">No es necesario</x18tc:text>
  </x18tc:threadedComment>
  <x18tc:threadedComment ref="W228" dT="2025-10-02T02:32:57.00" personId="{4df2d6c4-e43e-4f2e-b623-d90f458472ff}" id="{90e40a5e-0496-44dc-bdfd-91721414de5c}" done="0">
    <x18tc:text xml:space="preserve">https://drive.google.com/file/d/1E3yT9wRvMQxon02Gk8oNKfng_RMFARel/view?usp=drive_link</x18tc:text>
    <x18tc:extLst>
      <ext uri="{F7C98A9C-CBB3-438F-8F68-D28B6AF4A901}">
        <xltc2:checksum/>
        <xltc2:hyperlink startIndex="0" length="85" url="https://drive.google.com/file/d/1E3yT9wRvMQxon02Gk8oNKfng_RMFARel/view?usp=drive_link"/>
      </ext>
    </x18tc:extLst>
  </x18tc:threadedComment>
  <x18tc:threadedComment ref="L228" dT="2025-10-02T02:33:35.00" personId="{4df2d6c4-e43e-4f2e-b623-d90f458472ff}" id="{72446031-9730-4328-96a5-b7277c429945}" done="0">
    <x18tc:text xml:space="preserve">https://drive.google.com/file/d/1cR56z2VmSeNxqLI8H9nKrpzZ8mtPIAud/view?usp=drive_link</x18tc:text>
    <x18tc:extLst>
      <ext uri="{F7C98A9C-CBB3-438F-8F68-D28B6AF4A901}">
        <xltc2:checksum/>
        <xltc2:hyperlink startIndex="0" length="85" url="https://drive.google.com/file/d/1cR56z2VmSeNxqLI8H9nKrpzZ8mtPIAud/view?usp=drive_link"/>
      </ext>
    </x18tc:extLst>
  </x18tc:threadedComment>
  <x18tc:threadedComment ref="J156" dT="2025-08-03T01:15:49.00" personId="{d8e4f5ad-b65d-4160-a56f-197530fb7eb1}" id="{5b406b84-01b7-4180-a7aa-5135f837d86b}" done="0">
    <x18tc:text xml:space="preserve">https://drive.google.com/file/d/1TooK_dhcFljDCFnNCVXIREVcT0veiK9S/view?usp=drive_link</x18tc:text>
    <x18tc:extLst>
      <ext uri="{F7C98A9C-CBB3-438F-8F68-D28B6AF4A901}">
        <xltc2:checksum/>
        <xltc2:hyperlink startIndex="0" length="85" url="https://drive.google.com/file/d/1TooK_dhcFljDCFnNCVXIREVcT0veiK9S/view?usp=drive_link"/>
      </ext>
    </x18tc:extLst>
  </x18tc:threadedComment>
  <x18tc:threadedComment ref="J738" dT="2026-05-08T22:34:40.00" personId="{f9b224d0-ee33-4499-ae47-db5bcd2d0435}" id="{60ffda2a-5d03-4711-b8b7-0f6dd7430a32}" done="0">
    <x18tc:text xml:space="preserve">https://drive.google.com/file/d/1LFKjK8KHSsNvOedI6jnO-7j8R5f2hK7x/view?usp=drive_link</x18tc:text>
    <x18tc:extLst>
      <ext uri="{F7C98A9C-CBB3-438F-8F68-D28B6AF4A901}">
        <xltc2:checksum/>
        <xltc2:hyperlink startIndex="0" length="85" url="https://drive.google.com/file/d/1LFKjK8KHSsNvOedI6jnO-7j8R5f2hK7x/view?usp=drive_link"/>
      </ext>
    </x18tc:extLst>
  </x18tc:threadedComment>
  <x18tc:threadedComment ref="C372" dT="2025-11-29T23:50:28.00" personId="{4df2d6c4-e43e-4f2e-b623-d90f458472ff}" id="{d8927a88-58e9-4730-8394-b2e42dfb0607}" done="0">
    <x18tc:text xml:space="preserve">https://www.ebay.com/itm/326677331843?_skw=laptop+gaming&amp;epid=10084476461&amp;itmmeta=01KAWVZJVE0DNFA95K7C0ET432&amp;hash=item4c0f7c7f83:g:9MAAAeSwkYJpIN7f</x18tc:text>
    <x18tc:extLst>
      <ext uri="{F7C98A9C-CBB3-438F-8F68-D28B6AF4A901}">
        <xltc2:checksum/>
        <xltc2:hyperlink startIndex="0" length="147" url="https://www.ebay.com/itm/326677331843?_skw=laptop+gaming&amp;epid=10084476461&amp;itmmeta=01KAWVZJVE0DNFA95K7C0ET432&amp;hash=item4c0f7c7f83:g:9MAAAeSwkYJpIN7f"/>
      </ext>
    </x18tc:extLst>
  </x18tc:threadedComment>
  <x18tc:threadedComment ref="C738" dT="2026-05-08T22:27:51.00" personId="{f9b224d0-ee33-4499-ae47-db5bcd2d0435}" id="{491717db-6e1a-4638-b33b-5e3140a95b00}"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L241" dT="2025-10-11T14:03:22.00" personId="{a5d43f6d-3c72-4414-b012-8f52ef50acc4}" id="{5ab374f4-4dc1-4203-8e79-5ccdd1b646a8}" done="0">
    <x18tc:text xml:space="preserve">https://drive.google.com/file/d/1aZIdPLumBgzfqdh5GSYt0z26Jrpr_9JA/view?usp=drive_link</x18tc:text>
    <x18tc:extLst>
      <ext uri="{F7C98A9C-CBB3-438F-8F68-D28B6AF4A901}">
        <xltc2:checksum/>
        <xltc2:hyperlink startIndex="0" length="85" url="https://drive.google.com/file/d/1aZIdPLumBgzfqdh5GSYt0z26Jrpr_9JA/view?usp=drive_link"/>
      </ext>
    </x18tc:extLst>
  </x18tc:threadedComment>
  <x18tc:threadedComment ref="AF230" dT="2025-09-28T06:58:17.00" personId="{2ddfa542-8116-4937-a057-08470d7abaab}" id="{7805b5d4-1f96-4cc9-ae54-412f9b5e6463}" done="1">
    <x18tc:text xml:space="preserve">comprobante</x18tc:text>
  </x18tc:threadedComment>
  <x18tc:threadedComment ref="J379" dT="2025-11-30T01:01:46.00" personId="{d8e4f5ad-b65d-4160-a56f-197530fb7eb1}" id="{5649781e-5d39-4cc1-8103-49dc7561ec0a}" done="0">
    <x18tc:text xml:space="preserve">https://drive.google.com/file/d/1-QJ-xMZCfMfSxtdSzUCCh7_Fg41xw1JH/view?usp=drive_link</x18tc:text>
    <x18tc:extLst>
      <ext uri="{F7C98A9C-CBB3-438F-8F68-D28B6AF4A901}">
        <xltc2:checksum/>
        <xltc2:hyperlink startIndex="0" length="85" url="https://drive.google.com/file/d/1-QJ-xMZCfMfSxtdSzUCCh7_Fg41xw1JH/view?usp=drive_link"/>
      </ext>
    </x18tc:extLst>
  </x18tc:threadedComment>
  <x18tc:threadedComment ref="V570" dT="2026-03-03T05:06:48.00" personId="{2ddfa542-8116-4937-a057-08470d7abaab}" id="{b4d6cec3-df31-463a-b130-e01f31f3426c}" done="1">
    <x18tc:text xml:space="preserve">falta llenar nombres y apellidos completos, como en su DNI</x18tc:text>
  </x18tc:threadedComment>
  <x18tc:threadedComment ref="C413" dT="2026-01-01T04:41:37.00" personId="{4df2d6c4-e43e-4f2e-b623-d90f458472ff}" id="{b78d674a-3ff8-4f47-a87c-caac038bc535}" done="0">
    <x18tc:text xml:space="preserve">ESTE CLIENTE PAGO EL ADELNATO DE SU LAPTOP PERO AUN NO ESTA DISPONIBLE PARA COMPRAR , ESTamos esperando que salga en stock</x18tc:text>
  </x18tc:threadedComment>
  <x18tc:threadedComment ref="L119" dT="2025-08-03T01:19:16.00" personId="{d8e4f5ad-b65d-4160-a56f-197530fb7eb1}" id="{c16d6c99-0465-470b-9817-edb780be0c1e}" done="0">
    <x18tc:text xml:space="preserve">https://drive.google.com/file/d/1UG-uhWzbX0k-yXhBvLFhTGKQJ2iSRQ0n/view?usp=drive_link</x18tc:text>
    <x18tc:extLst>
      <ext uri="{F7C98A9C-CBB3-438F-8F68-D28B6AF4A901}">
        <xltc2:checksum/>
        <xltc2:hyperlink startIndex="0" length="85" url="https://drive.google.com/file/d/1UG-uhWzbX0k-yXhBvLFhTGKQJ2iSRQ0n/view?usp=drive_link"/>
      </ext>
    </x18tc:extLst>
  </x18tc:threadedComment>
  <x18tc:threadedComment ref="AF247" dT="2025-09-28T07:04:30.00" personId="{2ddfa542-8116-4937-a057-08470d7abaab}" id="{bc70e71f-bf77-4213-9e81-52e6ffa6a517}" done="1">
    <x18tc:text xml:space="preserve">consultar garantía</x18tc:text>
  </x18tc:threadedComment>
  <x18tc:threadedComment ref="K680" dT="2026-06-21T17:11:48.00" personId="{d8e4f5ad-b65d-4160-a56f-197530fb7eb1}" id="{725111fa-cc97-4d1f-bf82-440a7cc17efc}" done="0">
    <x18tc:text xml:space="preserve">https://drive.google.com/file/d/1CstyWlys8emCOmk-tzZ0LAy_8rRFgH_I/view?usp=drive_link</x18tc:text>
    <x18tc:extLst>
      <ext uri="{F7C98A9C-CBB3-438F-8F68-D28B6AF4A901}">
        <xltc2:checksum/>
        <xltc2:hyperlink startIndex="0" length="85" url="https://drive.google.com/file/d/1CstyWlys8emCOmk-tzZ0LAy_8rRFgH_I/view?usp=drive_link"/>
      </ext>
    </x18tc:extLst>
  </x18tc:threadedComment>
  <x18tc:threadedComment ref="J369" dT="2025-11-30T01:03:42.00" personId="{d8e4f5ad-b65d-4160-a56f-197530fb7eb1}" id="{a2f1d41e-2493-462e-a953-9bcfd93e1e37}" done="0">
    <x18tc:text xml:space="preserve">https://drive.google.com/file/d/1U6IdxE8yWMYf0OMxQ8B_POiehj51LHAH/view?usp=drive_link</x18tc:text>
    <x18tc:extLst>
      <ext uri="{F7C98A9C-CBB3-438F-8F68-D28B6AF4A901}">
        <xltc2:checksum/>
        <xltc2:hyperlink startIndex="0" length="85" url="https://drive.google.com/file/d/1U6IdxE8yWMYf0OMxQ8B_POiehj51LHAH/view?usp=drive_link"/>
      </ext>
    </x18tc:extLst>
  </x18tc:threadedComment>
  <x18tc:threadedComment ref="C669" dT="2026-04-09T23:59:54.00" personId="{d8e4f5ad-b65d-4160-a56f-197530fb7eb1}" id="{0383c0c4-7969-4483-854a-3becfead3c53}"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C383" dT="2025-11-30T03:37:41.00" personId="{a5d43f6d-3c72-4414-b012-8f52ef50acc4}" id="{80584314-3f15-481e-8668-8e8ac7e25d99}"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J155" dT="2025-08-03T01:17:50.00" personId="{d8e4f5ad-b65d-4160-a56f-197530fb7eb1}" id="{52ace6b0-05e9-4872-a781-f16c12e1a805}" done="0">
    <x18tc:text xml:space="preserve">https://drive.google.com/file/d/17LHjqwKcXmaLKw9ocN5NQfbSiNN9-K3i/view?usp=drive_link</x18tc:text>
    <x18tc:extLst>
      <ext uri="{F7C98A9C-CBB3-438F-8F68-D28B6AF4A901}">
        <xltc2:checksum/>
        <xltc2:hyperlink startIndex="0" length="85" url="https://drive.google.com/file/d/17LHjqwKcXmaLKw9ocN5NQfbSiNN9-K3i/view?usp=drive_link"/>
      </ext>
    </x18tc:extLst>
  </x18tc:threadedComment>
  <x18tc:threadedComment ref="AF248" dT="2025-09-28T07:10:39.00" personId="{2ddfa542-8116-4937-a057-08470d7abaab}" id="{9143353c-a9f3-40bb-b699-0c15a1880293}" done="1">
    <x18tc:text xml:space="preserve">Forms</x18tc:text>
  </x18tc:threadedComment>
  <x18tc:threadedComment ref="J368" dT="2025-11-30T01:06:27.00" personId="{d8e4f5ad-b65d-4160-a56f-197530fb7eb1}" id="{d22bf347-57dd-449a-8ce0-6eb93c996f88}" done="0">
    <x18tc:text xml:space="preserve">https://drive.google.com/file/d/1mGlYKct6hOoM4C7Fb0HoaemM9kbSxcJ8/view?usp=drive_link</x18tc:text>
    <x18tc:extLst>
      <ext uri="{F7C98A9C-CBB3-438F-8F68-D28B6AF4A901}">
        <xltc2:checksum/>
        <xltc2:hyperlink startIndex="0" length="85" url="https://drive.google.com/file/d/1mGlYKct6hOoM4C7Fb0HoaemM9kbSxcJ8/view?usp=drive_link"/>
      </ext>
    </x18tc:extLst>
  </x18tc:threadedComment>
  <x18tc:threadedComment ref="V562" dT="2026-03-03T04:23:42.00" personId="{2ddfa542-8116-4937-a057-08470d7abaab}" id="{80f5759d-b5b6-45f5-aa1d-589cb943f7d2}" done="0">
    <x18tc:text xml:space="preserve">faltan los nombres completos</x18tc:text>
  </x18tc:threadedComment>
  <x18tc:threadedComment ref="J383" dT="2025-11-30T03:40:36.00" personId="{a5d43f6d-3c72-4414-b012-8f52ef50acc4}" id="{fea369a8-9e8a-4e9b-937f-c082fd33e401}" done="0">
    <x18tc:text xml:space="preserve">https://drive.google.com/file/d/1ucIv1rscd3k5LRjtnoda9nMv8xm9PHJl/view?usp=drive_link</x18tc:text>
    <x18tc:extLst>
      <ext uri="{F7C98A9C-CBB3-438F-8F68-D28B6AF4A901}">
        <xltc2:checksum/>
        <xltc2:hyperlink startIndex="0" length="85" url="https://drive.google.com/file/d/1ucIv1rscd3k5LRjtnoda9nMv8xm9PHJl/view?usp=drive_link"/>
      </ext>
    </x18tc:extLst>
  </x18tc:threadedComment>
  <x18tc:threadedComment ref="K770" dT="2026-06-24T00:03:20.00" personId="{d8e4f5ad-b65d-4160-a56f-197530fb7eb1}" id="{a43d9182-a4c9-42a5-95f9-6effb974221a}" done="0">
    <x18tc:text xml:space="preserve">https://drive.google.com/file/d/1TS9b4bg855cQ5Ah4G95HTfROPvTIGgN9/view?usp=drive_link</x18tc:text>
    <x18tc:extLst>
      <ext uri="{F7C98A9C-CBB3-438F-8F68-D28B6AF4A901}">
        <xltc2:checksum/>
        <xltc2:hyperlink startIndex="0" length="85" url="https://drive.google.com/file/d/1TS9b4bg855cQ5Ah4G95HTfROPvTIGgN9/view?usp=drive_link"/>
      </ext>
    </x18tc:extLst>
  </x18tc:threadedComment>
  <x18tc:threadedComment ref="L159" dT="2025-08-25T19:38:17.00" personId="{a5d43f6d-3c72-4414-b012-8f52ef50acc4}" id="{24f188a1-e0ca-4501-9220-7f9a68a44c6a}" done="0">
    <x18tc:text xml:space="preserve">https://drive.google.com/file/d/1FHD8eue0-E_4KHYwX2e_eHAOoMBzIJKK/view?usp=drive_link</x18tc:text>
    <x18tc:extLst>
      <ext uri="{F7C98A9C-CBB3-438F-8F68-D28B6AF4A901}">
        <xltc2:checksum/>
        <xltc2:hyperlink startIndex="0" length="85" url="https://drive.google.com/file/d/1FHD8eue0-E_4KHYwX2e_eHAOoMBzIJKK/view?usp=drive_link"/>
      </ext>
    </x18tc:extLst>
  </x18tc:threadedComment>
  <x18tc:threadedComment ref="J364" dT="2025-11-30T01:33:06.00" personId="{d8e4f5ad-b65d-4160-a56f-197530fb7eb1}" id="{eb59e1ac-7af3-48ca-b1b0-45a9856230bd}" done="0">
    <x18tc:text xml:space="preserve">https://drive.google.com/file/d/1UJ6zgNuyHTz41usVwasY4FieRYdhhA-L/view?usp=drive_link</x18tc:text>
    <x18tc:extLst>
      <ext uri="{F7C98A9C-CBB3-438F-8F68-D28B6AF4A901}">
        <xltc2:checksum/>
        <xltc2:hyperlink startIndex="0" length="85" url="https://drive.google.com/file/d/1UJ6zgNuyHTz41usVwasY4FieRYdhhA-L/view?usp=drive_link"/>
      </ext>
    </x18tc:extLst>
  </x18tc:threadedComment>
  <x18tc:threadedComment ref="L180" dT="2025-08-25T19:52:47.00" personId="{a5d43f6d-3c72-4414-b012-8f52ef50acc4}" id="{cc310415-89e0-4b7c-b589-ec9cc205e8a3}" done="0">
    <x18tc:text xml:space="preserve">https://drive.google.com/file/d/1G2VR72p5S1_4v8v3y6Q2cxdQiJ7_o0E9/view?usp=drive_link</x18tc:text>
    <x18tc:extLst>
      <ext uri="{F7C98A9C-CBB3-438F-8F68-D28B6AF4A901}">
        <xltc2:checksum/>
        <xltc2:hyperlink startIndex="0" length="85" url="https://drive.google.com/file/d/1G2VR72p5S1_4v8v3y6Q2cxdQiJ7_o0E9/view?usp=drive_link"/>
      </ext>
    </x18tc:extLst>
  </x18tc:threadedComment>
  <x18tc:threadedComment ref="L127" dT="2025-08-03T01:21:17.00" personId="{d8e4f5ad-b65d-4160-a56f-197530fb7eb1}" id="{f585e650-856a-4887-95fb-b890aea6329a}" done="0">
    <x18tc:text xml:space="preserve">https://drive.google.com/file/d/1Z8kXs67AQSZzKgZrYkJzf2EN3hs5mNLG/view?usp=drive_link</x18tc:text>
    <x18tc:extLst>
      <ext uri="{F7C98A9C-CBB3-438F-8F68-D28B6AF4A901}">
        <xltc2:checksum/>
        <xltc2:hyperlink startIndex="0" length="85" url="https://drive.google.com/file/d/1Z8kXs67AQSZzKgZrYkJzf2EN3hs5mNLG/view?usp=drive_link"/>
      </ext>
    </x18tc:extLst>
  </x18tc:threadedComment>
  <x18tc:threadedComment ref="L127" dT="2025-08-03T01:22:30.00" personId="{d8e4f5ad-b65d-4160-a56f-197530fb7eb1}" id="{b5c99a10-ea08-44c9-9800-e7f605ab78fa}" parentId="{f585e650-856a-4887-95fb-b890aea6329a}">
    <x18tc:text xml:space="preserve">https://drive.google.com/file/d/1Fg_d95pfy0Ggul-NX662OvD3sdzzt4iU/view?usp=drive_link</x18tc:text>
    <x18tc:extLst>
      <ext uri="{F7C98A9C-CBB3-438F-8F68-D28B6AF4A901}">
        <xltc2:checksum/>
        <xltc2:hyperlink startIndex="0" length="85" url="https://drive.google.com/file/d/1Fg_d95pfy0Ggul-NX662OvD3sdzzt4iU/view?usp=drive_link"/>
      </ext>
    </x18tc:extLst>
  </x18tc:threadedComment>
  <x18tc:threadedComment ref="J363" dT="2025-11-30T01:34:29.00" personId="{d8e4f5ad-b65d-4160-a56f-197530fb7eb1}" id="{dc0a57bd-ba3c-4e6a-b89f-eca40072d932}" done="0">
    <x18tc:text xml:space="preserve">https://drive.google.com/file/d/1sgvHiIQtB7VAXQJNfeHx5r1dQNxIWpUw/view?usp=drive_link</x18tc:text>
    <x18tc:extLst>
      <ext uri="{F7C98A9C-CBB3-438F-8F68-D28B6AF4A901}">
        <xltc2:checksum/>
        <xltc2:hyperlink startIndex="0" length="85" url="https://drive.google.com/file/d/1sgvHiIQtB7VAXQJNfeHx5r1dQNxIWpUw/view?usp=drive_link"/>
      </ext>
    </x18tc:extLst>
  </x18tc:threadedComment>
  <x18tc:threadedComment ref="L168" dT="2025-08-25T20:01:06.00" personId="{a5d43f6d-3c72-4414-b012-8f52ef50acc4}" id="{86d8f681-c6c4-4b7e-bda2-f3c1ea08ab9e}" done="0">
    <x18tc:text xml:space="preserve">https://drive.google.com/file/d/1r4LriXTg2Z11WKuRBQMj2pmUc3xd0rpr/view?usp=drive_link
https://drive.google.com/file/d/1yc9llY0StI_EjLvUIuLYKAz2dvZhXOXB/view?usp=drive_link
https://drive.google.com/file/d/17EE1TdtUXNH8g2DTT97_TTXoWdq3JmGh/view?usp=drive_link
https://drive.google.com/file/d/128RdDEz2wK7A9XudebIiF84_0QV1YpMn/view?usp=drive_link</x18tc:text>
    <x18tc:extLst>
      <ext uri="{F7C98A9C-CBB3-438F-8F68-D28B6AF4A901}">
        <xltc2:checksum/>
        <xltc2:hyperlink startIndex="0" length="85" url="https://drive.google.com/file/d/1r4LriXTg2Z11WKuRBQMj2pmUc3xd0rpr/view?usp=drive_link"/>
        <xltc2:hyperlink startIndex="86" length="85" url="https://drive.google.com/file/d/1yc9llY0StI_EjLvUIuLYKAz2dvZhXOXB/view?usp=drive_link"/>
        <xltc2:hyperlink startIndex="172" length="85" url="https://drive.google.com/file/d/17EE1TdtUXNH8g2DTT97_TTXoWdq3JmGh/view?usp=drive_link"/>
        <xltc2:hyperlink startIndex="258" length="85" url="https://drive.google.com/file/d/128RdDEz2wK7A9XudebIiF84_0QV1YpMn/view?usp=drive_link"/>
      </ext>
    </x18tc:extLst>
  </x18tc:threadedComment>
  <x18tc:threadedComment ref="K367" dT="2025-11-29T21:55:46.00" personId="{a5d43f6d-3c72-4414-b012-8f52ef50acc4}" id="{eabd3303-4bf9-4384-b252-31e996a67ff6}" done="0">
    <x18tc:text xml:space="preserve">https://drive.google.com/file/d/18Ot6UmaT9G6ziEBcCAeqo4iIUPd8nOoS/view?usp=drive_link</x18tc:text>
    <x18tc:extLst>
      <ext uri="{F7C98A9C-CBB3-438F-8F68-D28B6AF4A901}">
        <xltc2:checksum/>
        <xltc2:hyperlink startIndex="0" length="85" url="https://drive.google.com/file/d/18Ot6UmaT9G6ziEBcCAeqo4iIUPd8nOoS/view?usp=drive_link"/>
      </ext>
    </x18tc:extLst>
  </x18tc:threadedComment>
  <x18tc:threadedComment ref="L198" dT="2025-10-02T02:37:17.00" personId="{4df2d6c4-e43e-4f2e-b623-d90f458472ff}" id="{1c23e969-019c-4f80-8de5-a4453f419a23}" done="0">
    <x18tc:text xml:space="preserve">https://drive.google.com/file/d/1ogBwWppAnOMUnsYASlNorbfFD4aLa001/view?usp=drive_link</x18tc:text>
    <x18tc:extLst>
      <ext uri="{F7C98A9C-CBB3-438F-8F68-D28B6AF4A901}">
        <xltc2:checksum/>
        <xltc2:hyperlink startIndex="0" length="85" url="https://drive.google.com/file/d/1ogBwWppAnOMUnsYASlNorbfFD4aLa001/view?usp=drive_link"/>
      </ext>
    </x18tc:extLst>
  </x18tc:threadedComment>
  <x18tc:threadedComment ref="W213" dT="2025-10-02T02:02:28.00" personId="{4df2d6c4-e43e-4f2e-b623-d90f458472ff}" id="{c903c62a-62f1-4317-b78e-08886189a880}" done="0">
    <x18tc:text xml:space="preserve">https://drive.google.com/file/d/1Oe7zfBU1T65wkiZswC-w4ZTg21szcM5M/view?usp=drive_link</x18tc:text>
    <x18tc:extLst>
      <ext uri="{F7C98A9C-CBB3-438F-8F68-D28B6AF4A901}">
        <xltc2:checksum/>
        <xltc2:hyperlink startIndex="0" length="85" url="https://drive.google.com/file/d/1Oe7zfBU1T65wkiZswC-w4ZTg21szcM5M/view?usp=drive_link"/>
      </ext>
    </x18tc:extLst>
  </x18tc:threadedComment>
  <x18tc:threadedComment ref="W198" dT="2025-10-02T02:42:00.00" personId="{4df2d6c4-e43e-4f2e-b623-d90f458472ff}" id="{c597c722-98a5-470e-bac5-a5903401f2c1}" done="0">
    <x18tc:text xml:space="preserve">https://drive.google.com/file/d/1ZUa95qPxOusgYozbBz2FnSIgRwJBAF7n/view?usp=drive_link</x18tc:text>
    <x18tc:extLst>
      <ext uri="{F7C98A9C-CBB3-438F-8F68-D28B6AF4A901}">
        <xltc2:checksum/>
        <xltc2:hyperlink startIndex="0" length="85" url="https://drive.google.com/file/d/1ZUa95qPxOusgYozbBz2FnSIgRwJBAF7n/view?usp=drive_link"/>
      </ext>
    </x18tc:extLst>
  </x18tc:threadedComment>
  <x18tc:threadedComment ref="C773" dT="2026-06-01T22:50:24.00" personId="{f9b224d0-ee33-4499-ae47-db5bcd2d0435}" id="{3d4fd4ca-7a37-40ce-8e4c-8d1b83c16efc}" done="0">
    <x18tc:text xml:space="preserve">https://www.ebay.com/itm/306966570935?_skw=msi+vector+16+hx+ai&amp;epid=15088480495&amp;itmmeta=01KT2H3BDH3W9K4DGDZX48Y6Q6&amp;hash=item4778a227b7:g:N6wAAeSwEJpqF1CY&amp;itmprp=enc%3AAQALAAAA0GfYFPkwiKCW4ZNSs2u11xCCxio93d5BSNVbQPjeopLmAbPIXQovylnaN9UKgCM82LEx9y2xLopGonCfdZq9LmzXTbjdykU92%2FenpCAZEL7E%2FpassxzBCCtMrg71C87SfgRpZ5tpmY4N7auEghteS9SElxjbR%2F6pLgCnrP6Cts%2BKvKIuzOSjQ%2Flg33a0uvCrI1L4bce%2FORnIg655YiCsEZptPMxT0g%2F5X1giZFiRbDqryQf1mW30SC%2B3J5Wul5euSJCU9%2BWk4PeectIA7KYf%2FJE%3D%7Ctkp%3ABk9SR5S3jdHQZw</x18tc:text>
    <x18tc:extLst>
      <ext uri="{F7C98A9C-CBB3-438F-8F68-D28B6AF4A901}">
        <xltc2:checksum/>
        <xltc2:hyperlink startIndex="0" length="500" url="https://www.ebay.com/itm/306966570935?_skw=msi+vector+16+hx+ai&amp;epid=15088480495&amp;itmmeta=01KT2H3BDH3W9K4DGDZX48Y6Q6&amp;hash=item4778a227b7:g:N6wAAeSwEJpqF1CY&amp;itmprp=enc%3AAQALAAAA0GfYFPkwiKCW4ZNSs2u11xCCxio93d5BSNVbQPjeopLmAbPIXQovylnaN9UKgCM82LEx9y2xLopGonCfdZq9LmzXTbjdykU92%2FenpCAZEL7E%2FpassxzBCCtMrg71C87SfgRpZ5tpmY4N7auEghteS9SElxjbR%2F6pLgCnrP6Cts%2BKvKIuzOSjQ%2Flg33a0uvCrI1L4bce%2FORnIg655YiCsEZptPMxT0g%2F5X1giZFiRbDqryQf1mW30SC%2B3J5Wul5euSJCU9%2BWk4PeectIA7KYf%2FJE%3D%7Ctkp%3ABk9SR5S3jdHQZw"/>
      </ext>
    </x18tc:extLst>
  </x18tc:threadedComment>
  <x18tc:threadedComment ref="L216" dT="2025-10-02T02:07:17.00" personId="{4df2d6c4-e43e-4f2e-b623-d90f458472ff}" id="{3dd0ba05-543d-4aa7-8195-b7cb58e4415a}" done="0">
    <x18tc:text xml:space="preserve">https://drive.google.com/file/d/1gBdfu_TRqkSOIecELmwMP-szABMjPG7u/view?usp=drive_link</x18tc:text>
    <x18tc:extLst>
      <ext uri="{F7C98A9C-CBB3-438F-8F68-D28B6AF4A901}">
        <xltc2:checksum/>
        <xltc2:hyperlink startIndex="0" length="85" url="https://drive.google.com/file/d/1gBdfu_TRqkSOIecELmwMP-szABMjPG7u/view?usp=drive_link"/>
      </ext>
    </x18tc:extLst>
  </x18tc:threadedComment>
  <x18tc:threadedComment ref="L216" dT="2025-10-02T02:08:09.00" personId="{4df2d6c4-e43e-4f2e-b623-d90f458472ff}" id="{e337f80e-1964-4617-94a1-53c8a9b658e6}" parentId="{3dd0ba05-543d-4aa7-8195-b7cb58e4415a}">
    <x18tc:text xml:space="preserve">https://drive.google.com/file/d/1DXUo_8xfHNqA7hCx4SeRewnE1mxeyrID/view?usp=drive_link</x18tc:text>
    <x18tc:extLst>
      <ext uri="{F7C98A9C-CBB3-438F-8F68-D28B6AF4A901}">
        <xltc2:checksum/>
        <xltc2:hyperlink startIndex="0" length="85" url="https://drive.google.com/file/d/1DXUo_8xfHNqA7hCx4SeRewnE1mxeyrID/view?usp=drive_link"/>
      </ext>
    </x18tc:extLst>
  </x18tc:threadedComment>
  <x18tc:threadedComment ref="J146" dT="2025-07-26T21:57:43.00" personId="{d8e4f5ad-b65d-4160-a56f-197530fb7eb1}" id="{96ad9ced-16d4-4f77-932a-f76dfc381afe}" done="0">
    <x18tc:text xml:space="preserve">https://drive.google.com/file/d/1ESFx11nzfHTet0K-Dz1sVlcoP7v0zmNE/view?usp=drive_link</x18tc:text>
    <x18tc:extLst>
      <ext uri="{F7C98A9C-CBB3-438F-8F68-D28B6AF4A901}">
        <xltc2:checksum/>
        <xltc2:hyperlink startIndex="0" length="85" url="https://drive.google.com/file/d/1ESFx11nzfHTet0K-Dz1sVlcoP7v0zmNE/view?usp=drive_link"/>
      </ext>
    </x18tc:extLst>
  </x18tc:threadedComment>
  <x18tc:threadedComment ref="J380" dT="2025-11-29T23:48:13.00" personId="{d8e4f5ad-b65d-4160-a56f-197530fb7eb1}" id="{1962ec4c-20c2-4210-b6e4-b8b8c2f485de}" done="0">
    <x18tc:text xml:space="preserve">https://drive.google.com/file/d/1uNPQPRX2h_Wkzsf8mhPWy0Cn_lGa-s73/view?usp=drive_link</x18tc:text>
    <x18tc:extLst>
      <ext uri="{F7C98A9C-CBB3-438F-8F68-D28B6AF4A901}">
        <xltc2:checksum/>
        <xltc2:hyperlink startIndex="0" length="85" url="https://drive.google.com/file/d/1uNPQPRX2h_Wkzsf8mhPWy0Cn_lGa-s73/view?usp=drive_link"/>
      </ext>
    </x18tc:extLst>
  </x18tc:threadedComment>
  <x18tc:threadedComment ref="J380" dT="2025-12-31T20:11:39.00" personId="{d8e4f5ad-b65d-4160-a56f-197530fb7eb1}" id="{6aea904f-7b47-40ca-8b45-65ae5bcc81c2}" parentId="{1962ec4c-20c2-4210-b6e4-b8b8c2f485de}">
    <x18tc:text xml:space="preserve">https://drive.google.com/file/d/1DsZVw203eg2UrE9LscEQXEsNXP4Zoysm/view?usp=drive_link</x18tc:text>
    <x18tc:extLst>
      <ext uri="{F7C98A9C-CBB3-438F-8F68-D28B6AF4A901}">
        <xltc2:checksum/>
        <xltc2:hyperlink startIndex="0" length="85" url="https://drive.google.com/file/d/1DsZVw203eg2UrE9LscEQXEsNXP4Zoysm/view?usp=drive_link"/>
      </ext>
    </x18tc:extLst>
  </x18tc:threadedComment>
  <x18tc:threadedComment ref="J380" dT="2025-12-31T20:12:07.00" personId="{d8e4f5ad-b65d-4160-a56f-197530fb7eb1}" id="{b4b8afbb-2bc2-48bd-80fe-4d5a240b728e}" parentId="{1962ec4c-20c2-4210-b6e4-b8b8c2f485de}">
    <x18tc:text xml:space="preserve">https://drive.google.com/file/d/1EGwcOT-nLRjVlc5hZpsH7NDXsYkQSkYb/view?usp=drive_link</x18tc:text>
    <x18tc:extLst>
      <ext uri="{F7C98A9C-CBB3-438F-8F68-D28B6AF4A901}">
        <xltc2:checksum/>
        <xltc2:hyperlink startIndex="0" length="85" url="https://drive.google.com/file/d/1EGwcOT-nLRjVlc5hZpsH7NDXsYkQSkYb/view?usp=drive_link"/>
      </ext>
    </x18tc:extLst>
  </x18tc:threadedComment>
  <x18tc:threadedComment ref="J262" dT="2025-10-06T17:02:07.00" personId="{d8e4f5ad-b65d-4160-a56f-197530fb7eb1}" id="{1b09f39b-1f99-4581-b006-c525e5de0b8a}" done="0">
    <x18tc:text xml:space="preserve">https://drive.google.com/file/d/1ldlc27ZdlHv31qjy8pjdrNGJmXi03cLX/view?usp=drive_link</x18tc:text>
    <x18tc:extLst>
      <ext uri="{F7C98A9C-CBB3-438F-8F68-D28B6AF4A901}">
        <xltc2:checksum/>
        <xltc2:hyperlink startIndex="0" length="85" url="https://drive.google.com/file/d/1ldlc27ZdlHv31qjy8pjdrNGJmXi03cLX/view?usp=drive_link"/>
      </ext>
    </x18tc:extLst>
  </x18tc:threadedComment>
  <x18tc:threadedComment ref="J262" dT="2025-10-06T17:02:22.00" personId="{d8e4f5ad-b65d-4160-a56f-197530fb7eb1}" id="{cd70233a-f5c4-4c7b-a87c-eb5fc7ddb725}" parentId="{1b09f39b-1f99-4581-b006-c525e5de0b8a}">
    <x18tc:text xml:space="preserve">https://drive.google.com/file/d/1bfSqsBSRAYmbzShmVjh4nFPMc-HldMKh/view?usp=drive_link</x18tc:text>
    <x18tc:extLst>
      <ext uri="{F7C98A9C-CBB3-438F-8F68-D28B6AF4A901}">
        <xltc2:checksum/>
        <xltc2:hyperlink startIndex="0" length="85" url="https://drive.google.com/file/d/1bfSqsBSRAYmbzShmVjh4nFPMc-HldMKh/view?usp=drive_link"/>
      </ext>
    </x18tc:extLst>
  </x18tc:threadedComment>
  <x18tc:threadedComment ref="J262" dT="2025-10-06T17:02:38.00" personId="{d8e4f5ad-b65d-4160-a56f-197530fb7eb1}" id="{711641e8-7a15-484a-97d5-d129d2e89e99}" parentId="{1b09f39b-1f99-4581-b006-c525e5de0b8a}">
    <x18tc:text xml:space="preserve">https://drive.google.com/file/d/1UEri_ag7iMa30Lq7OfCjj7bB-mRk1DOT/view?usp=drive_link</x18tc:text>
    <x18tc:extLst>
      <ext uri="{F7C98A9C-CBB3-438F-8F68-D28B6AF4A901}">
        <xltc2:checksum/>
        <xltc2:hyperlink startIndex="0" length="85" url="https://drive.google.com/file/d/1UEri_ag7iMa30Lq7OfCjj7bB-mRk1DOT/view?usp=drive_link"/>
      </ext>
    </x18tc:extLst>
  </x18tc:threadedComment>
  <x18tc:threadedComment ref="W216" dT="2025-10-02T02:15:05.00" personId="{4df2d6c4-e43e-4f2e-b623-d90f458472ff}" id="{e3d0c7c7-9495-44c3-9c0e-ee5a6afafd03}" done="0">
    <x18tc:text xml:space="preserve">https://drive.google.com/file/d/1zfFiPzE30XXTPUvaaEdEwD-Qop4OmGrb/view?usp=drive_link</x18tc:text>
    <x18tc:extLst>
      <ext uri="{F7C98A9C-CBB3-438F-8F68-D28B6AF4A901}">
        <xltc2:checksum/>
        <xltc2:hyperlink startIndex="0" length="85" url="https://drive.google.com/file/d/1zfFiPzE30XXTPUvaaEdEwD-Qop4OmGrb/view?usp=drive_link"/>
      </ext>
    </x18tc:extLst>
  </x18tc:threadedComment>
  <x18tc:threadedComment ref="W230" dT="2025-10-02T02:51:36.00" personId="{4df2d6c4-e43e-4f2e-b623-d90f458472ff}" id="{fb9ef2ed-8f38-46b3-9aaf-0a8ebe833bcf}" done="0">
    <x18tc:text xml:space="preserve">https://drive.google.com/file/d/1-B07j7ToeGYBuNjKRRbe8Jr8frmcPsyU/view?usp=drive_link</x18tc:text>
    <x18tc:extLst>
      <ext uri="{F7C98A9C-CBB3-438F-8F68-D28B6AF4A901}">
        <xltc2:checksum/>
        <xltc2:hyperlink startIndex="0" length="85" url="https://drive.google.com/file/d/1-B07j7ToeGYBuNjKRRbe8Jr8frmcPsyU/view?usp=drive_link"/>
      </ext>
    </x18tc:extLst>
  </x18tc:threadedComment>
  <x18tc:threadedComment ref="J597" dT="2026-03-11T21:31:29.00" personId="{f9b224d0-ee33-4499-ae47-db5bcd2d0435}" id="{133a23c9-b573-4181-b697-7b496b421b98}" done="0">
    <x18tc:text xml:space="preserve">https://drive.google.com/file/d/1lj_OxhhXwJPS0Vr-h_TdOPW2n9K5Kob_/view?usp=drive_link</x18tc:text>
    <x18tc:extLst>
      <ext uri="{F7C98A9C-CBB3-438F-8F68-D28B6AF4A901}">
        <xltc2:checksum/>
        <xltc2:hyperlink startIndex="0" length="85" url="https://drive.google.com/file/d/1lj_OxhhXwJPS0Vr-h_TdOPW2n9K5Kob_/view?usp=drive_link"/>
      </ext>
    </x18tc:extLst>
  </x18tc:threadedComment>
  <x18tc:threadedComment ref="C711" dT="2026-04-25T20:30:37.00" personId="{a5d43f6d-3c72-4414-b012-8f52ef50acc4}" id="{f19d80a8-5a5c-4928-bc5b-82ef47f105cb}"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W285" dT="2025-12-01T04:56:20.00" personId="{2ddfa542-8116-4937-a057-08470d7abaab}" id="{acb62338-646c-4707-92c4-0b3c7dc25351}" done="0">
    <x18tc:text xml:space="preserve">https://drive.google.com/file/d/149d__sPU0RWMAsIf8mEaCZL1jPD26Ldg/view?usp=drive_link</x18tc:text>
    <x18tc:extLst>
      <ext uri="{F7C98A9C-CBB3-438F-8F68-D28B6AF4A901}">
        <xltc2:checksum/>
        <xltc2:hyperlink startIndex="0" length="85" url="https://drive.google.com/file/d/149d__sPU0RWMAsIf8mEaCZL1jPD26Ldg/view?usp=drive_link"/>
      </ext>
    </x18tc:extLst>
  </x18tc:threadedComment>
  <x18tc:threadedComment ref="AF195" dT="2025-09-02T00:43:33.00" personId="{2ddfa542-8116-4937-a057-08470d7abaab}" id="{1496fd94-8bf5-4719-b38c-2bb0438e4f14}" done="1">
    <x18tc:text xml:space="preserve">FINAL: vental final y fixit</x18tc:text>
  </x18tc:threadedComment>
  <x18tc:threadedComment ref="K651" dT="2026-04-25T22:25:38.00" personId="{80195d68-4e9b-4dc7-a031-ca5391c97d0f}" id="{e6a2de06-0575-4354-a1d7-23ae79c5dce1}" done="0">
    <x18tc:text xml:space="preserve">https://drive.google.com/file/d/1cn_pZkK2KB0oFCj4PHgnKk_xeSocdhks/view?usp=drive_link</x18tc:text>
    <x18tc:extLst>
      <ext uri="{F7C98A9C-CBB3-438F-8F68-D28B6AF4A901}">
        <xltc2:checksum/>
        <xltc2:hyperlink startIndex="0" length="85" url="https://drive.google.com/file/d/1cn_pZkK2KB0oFCj4PHgnKk_xeSocdhks/view?usp=drive_link"/>
      </ext>
    </x18tc:extLst>
  </x18tc:threadedComment>
  <x18tc:threadedComment ref="W200" dT="2025-10-02T02:55:22.00" personId="{4df2d6c4-e43e-4f2e-b623-d90f458472ff}" id="{bec06ce8-8f75-4552-ad2d-5f35d1952263}" done="0">
    <x18tc:text xml:space="preserve">https://drive.google.com/file/d/1HL-dGw6cExxjg-qo9f38fMODDqKuboZ1/view?usp=drive_link</x18tc:text>
    <x18tc:extLst>
      <ext uri="{F7C98A9C-CBB3-438F-8F68-D28B6AF4A901}">
        <xltc2:checksum/>
        <xltc2:hyperlink startIndex="0" length="85" url="https://drive.google.com/file/d/1HL-dGw6cExxjg-qo9f38fMODDqKuboZ1/view?usp=drive_link"/>
      </ext>
    </x18tc:extLst>
  </x18tc:threadedComment>
  <x18tc:threadedComment ref="J711" dT="2026-04-25T20:32:37.00" personId="{a5d43f6d-3c72-4414-b012-8f52ef50acc4}" id="{3e7a8cf9-8409-41b7-8cd1-2df6d5b28ce1}" done="0">
    <x18tc:text xml:space="preserve">https://drive.google.com/file/d/1ZtiIw0Esf1u73Cqtotu4rDRVpPTiLtzd/view?usp=drive_link</x18tc:text>
    <x18tc:extLst>
      <ext uri="{F7C98A9C-CBB3-438F-8F68-D28B6AF4A901}">
        <xltc2:checksum/>
        <xltc2:hyperlink startIndex="0" length="85" url="https://drive.google.com/file/d/1ZtiIw0Esf1u73Cqtotu4rDRVpPTiLtzd/view?usp=drive_link"/>
      </ext>
    </x18tc:extLst>
  </x18tc:threadedComment>
  <x18tc:threadedComment ref="A1" dT="2026-02-14T23:16:06.00" personId="{68efe3e3-8b68-4e02-81e2-a29fa228b211}" id="{6d19f92e-b58c-4857-beb2-d36e7ad6fa01}" done="0">
    <x18tc:text xml:space="preserve">https://drive.google.com/file/d/1jiDjc44V5J7O9Nqv6ZzWoOK0wllyTuMf/view?usp=drive_link</x18tc:text>
    <x18tc:extLst>
      <ext uri="{F7C98A9C-CBB3-438F-8F68-D28B6AF4A901}">
        <xltc2:checksum/>
        <xltc2:hyperlink startIndex="0" length="85" url="https://drive.google.com/file/d/1jiDjc44V5J7O9Nqv6ZzWoOK0wllyTuMf/view?usp=drive_link"/>
      </ext>
    </x18tc:extLst>
  </x18tc:threadedComment>
  <x18tc:threadedComment ref="W284" dT="2025-12-01T04:52:32.00" personId="{2ddfa542-8116-4937-a057-08470d7abaab}" id="{d59d5427-fbc3-42b3-a143-4424b5e4b5b4}" done="0">
    <x18tc:text xml:space="preserve">https://drive.google.com/file/d/1UkCNIlOQmoLXaCc8QRAMfGFSnHxUINvv/view?usp=drive_link</x18tc:text>
    <x18tc:extLst>
      <ext uri="{F7C98A9C-CBB3-438F-8F68-D28B6AF4A901}">
        <xltc2:checksum/>
        <xltc2:hyperlink startIndex="0" length="85" url="https://drive.google.com/file/d/1UkCNIlOQmoLXaCc8QRAMfGFSnHxUINvv/view?usp=drive_link"/>
      </ext>
    </x18tc:extLst>
  </x18tc:threadedComment>
  <x18tc:threadedComment ref="AF191" dT="2025-09-02T00:32:00.00" personId="{2ddfa542-8116-4937-a057-08470d7abaab}" id="{abb1f7b8-f176-4c7d-ae52-9a69119002f1}" done="1">
    <x18tc:text xml:space="preserve">falta fixit</x18tc:text>
  </x18tc:threadedComment>
  <x18tc:threadedComment ref="K595" dT="2026-04-25T22:27:23.00" personId="{80195d68-4e9b-4dc7-a031-ca5391c97d0f}" id="{0ce62f26-0234-4c39-9159-723503cd8e81}" done="0">
    <x18tc:text xml:space="preserve">https://drive.google.com/file/d/190bTVszfBRJFaAqILFhV7wXyW7ZrT5-j/view?usp=drive_link</x18tc:text>
    <x18tc:extLst>
      <ext uri="{F7C98A9C-CBB3-438F-8F68-D28B6AF4A901}">
        <xltc2:checksum/>
        <xltc2:hyperlink startIndex="0" length="85" url="https://drive.google.com/file/d/190bTVszfBRJFaAqILFhV7wXyW7ZrT5-j/view?usp=drive_link"/>
      </ext>
    </x18tc:extLst>
  </x18tc:threadedComment>
  <x18tc:threadedComment ref="C381" dT="2025-11-29T23:54:49.00" personId="{a5d43f6d-3c72-4414-b012-8f52ef50acc4}" id="{3057f8a5-6131-4ad3-ac1e-e9cfac70092c}" done="0">
    <x18tc:text xml:space="preserve">https://www.ebay.com/itm/306423604443?_skw=5070&amp;itmmeta=01KB8W4S9GH2PPBWC0WRH18EPD&amp;hash=item47584524db:g:IvYAAeSw5YZpJxRn</x18tc:text>
    <x18tc:extLst>
      <ext uri="{F7C98A9C-CBB3-438F-8F68-D28B6AF4A901}">
        <xltc2:checksum/>
        <xltc2:hyperlink startIndex="0" length="121" url="https://www.ebay.com/itm/306423604443?_skw=5070&amp;itmmeta=01KB8W4S9GH2PPBWC0WRH18EPD&amp;hash=item47584524db:g:IvYAAeSw5YZpJxRn"/>
      </ext>
    </x18tc:extLst>
  </x18tc:threadedComment>
  <x18tc:threadedComment ref="W190" dT="2025-10-02T02:59:13.00" personId="{4df2d6c4-e43e-4f2e-b623-d90f458472ff}" id="{f0dc3de8-5443-49e1-981c-30f9839f7dd3}" done="0">
    <x18tc:text xml:space="preserve">https://drive.google.com/file/d/1W6b3FfxeTsnqLEgFBN7onXfc25COdT5N/view?usp=drive_link</x18tc:text>
    <x18tc:extLst>
      <ext uri="{F7C98A9C-CBB3-438F-8F68-D28B6AF4A901}">
        <xltc2:checksum/>
        <xltc2:hyperlink startIndex="0" length="85" url="https://drive.google.com/file/d/1W6b3FfxeTsnqLEgFBN7onXfc25COdT5N/view?usp=drive_link"/>
      </ext>
    </x18tc:extLst>
  </x18tc:threadedComment>
  <x18tc:threadedComment ref="Q633" dT="2026-04-25T22:14:46.00" personId="{d8e4f5ad-b65d-4160-a56f-197530fb7eb1}" id="{e30482b5-3682-4f4e-9b57-e620f1bf52c2}" done="0">
    <x18tc:text xml:space="preserve">SUMADO KARPERSKI  DE CLIENTE CORPAVET POR FALLAS DE ESET NOD 32</x18tc:text>
  </x18tc:threadedComment>
  <x18tc:threadedComment ref="AF506" dT="2026-02-06T02:18:34.00" personId="{2ddfa542-8116-4937-a057-08470d7abaab}" id="{926039c4-2955-4c00-a462-92fbd8d74ed1}" done="1">
    <x18tc:text xml:space="preserve">fixit, venta final, excedentes</x18tc:text>
  </x18tc:threadedComment>
  <x18tc:threadedComment ref="C393" dT="2025-12-05T15:51:10.00" personId="{d8e4f5ad-b65d-4160-a56f-197530fb7eb1}" id="{451e617d-4ded-43e5-b4cd-18a5e13e69d7}" done="0">
    <x18tc:text xml:space="preserve">https://www.lenovo.com/us/en/p/laptops/legion-laptops/legion-5-series/lenovo-legion-5i-gen-10-(15-inch-intel)/83f00006us</x18tc:text>
    <x18tc:extLst>
      <ext uri="{F7C98A9C-CBB3-438F-8F68-D28B6AF4A901}">
        <xltc2:checksum/>
        <xltc2:hyperlink startIndex="0" length="120" url="https://www.lenovo.com/us/en/p/laptops/legion-laptops/legion-5-series/lenovo-legion-5i-gen-10-(15-inch-intel)/83f00006us"/>
      </ext>
    </x18tc:extLst>
  </x18tc:threadedComment>
  <x18tc:threadedComment ref="K656" dT="2026-05-06T22:31:10.00" personId="{f9b224d0-ee33-4499-ae47-db5bcd2d0435}" id="{8bd7d972-6ee4-4034-a9d6-ec74bf12567d}" done="0">
    <x18tc:text xml:space="preserve">https://drive.google.com/file/d/1FP_6UIqpQ3eoHO9XH4f3w8KPojcA5dor/view?usp=drive_link</x18tc:text>
    <x18tc:extLst>
      <ext uri="{F7C98A9C-CBB3-438F-8F68-D28B6AF4A901}">
        <xltc2:checksum/>
        <xltc2:hyperlink startIndex="0" length="85" url="https://drive.google.com/file/d/1FP_6UIqpQ3eoHO9XH4f3w8KPojcA5dor/view?usp=drive_link"/>
      </ext>
    </x18tc:extLst>
  </x18tc:threadedComment>
  <x18tc:threadedComment ref="C597" dT="2026-03-11T21:19:57.00" personId="{f9b224d0-ee33-4499-ae47-db5bcd2d0435}" id="{5dc46af9-dff2-48b9-92ba-ede5d93847fa}" done="0">
    <x18tc:text xml:space="preserve">https://www.ebay.com/itm/326677331843?_skw=laptop+gaming&amp;itmmeta=01KJS3VX5CGPFXBTWDCAJ0Z1BK&amp;hash=item4c0f7c7f83:g:~B0AAeSwm0dpoAgm</x18tc:text>
    <x18tc:extLst>
      <ext uri="{F7C98A9C-CBB3-438F-8F68-D28B6AF4A901}">
        <xltc2:checksum/>
        <xltc2:hyperlink startIndex="0" length="130" url="https://www.ebay.com/itm/326677331843?_skw=laptop+gaming&amp;itmmeta=01KJS3VX5CGPFXBTWDCAJ0Z1BK&amp;hash=item4c0f7c7f83:g:~B0AAeSwm0dpoAgm"/>
      </ext>
    </x18tc:extLst>
  </x18tc:threadedComment>
  <x18tc:threadedComment ref="K523" dT="2026-03-03T20:23:47.00" personId="{f9b224d0-ee33-4499-ae47-db5bcd2d0435}" id="{42ed37ce-987b-4255-b9ad-13d2d7876b37}" done="0">
    <x18tc:text xml:space="preserve">https://drive.google.com/file/d/1k8d3qbX_xjV9z0iO12P1U7VQ4WmuFvAz/view?usp=drive_link</x18tc:text>
    <x18tc:extLst>
      <ext uri="{F7C98A9C-CBB3-438F-8F68-D28B6AF4A901}">
        <xltc2:checksum/>
        <xltc2:hyperlink startIndex="0" length="85" url="https://drive.google.com/file/d/1k8d3qbX_xjV9z0iO12P1U7VQ4WmuFvAz/view?usp=drive_link"/>
      </ext>
    </x18tc:extLst>
  </x18tc:threadedComment>
  <x18tc:threadedComment ref="C710" dT="2026-04-25T18:40:28.00" personId="{d8e4f5ad-b65d-4160-a56f-197530fb7eb1}" id="{af23f0bf-bf6f-4ece-bbca-1deb6f21823f}"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W294" dT="2025-12-01T04:59:30.00" personId="{2ddfa542-8116-4937-a057-08470d7abaab}" id="{5f597e53-d5a6-48ec-8dfe-73116883e6c1}" done="0">
    <x18tc:text xml:space="preserve">https://drive.google.com/file/d/1vf14mCNtXjkpI8ZvYD15WT4RwWDdMlx3/view?usp=drive_link</x18tc:text>
    <x18tc:extLst>
      <ext uri="{F7C98A9C-CBB3-438F-8F68-D28B6AF4A901}">
        <xltc2:checksum/>
        <xltc2:hyperlink startIndex="0" length="85" url="https://drive.google.com/file/d/1vf14mCNtXjkpI8ZvYD15WT4RwWDdMlx3/view?usp=drive_link"/>
      </ext>
    </x18tc:extLst>
  </x18tc:threadedComment>
  <x18tc:threadedComment ref="W175" dT="2025-10-02T03:02:27.00" personId="{4df2d6c4-e43e-4f2e-b623-d90f458472ff}" id="{8ca1e7a4-26d6-4b67-b1b9-3f620be04f5a}" done="0">
    <x18tc:text xml:space="preserve">https://drive.google.com/file/d/1o_vwVjR-L4L0Ojc6ttNSaB2MMIC-W628/view?usp=drive_link</x18tc:text>
    <x18tc:extLst>
      <ext uri="{F7C98A9C-CBB3-438F-8F68-D28B6AF4A901}">
        <xltc2:checksum/>
        <xltc2:hyperlink startIndex="0" length="85" url="https://drive.google.com/file/d/1o_vwVjR-L4L0Ojc6ttNSaB2MMIC-W628/view?usp=drive_link"/>
      </ext>
    </x18tc:extLst>
  </x18tc:threadedComment>
  <x18tc:threadedComment ref="L176" dT="2025-09-01T23:51:15.00" personId="{a5d43f6d-3c72-4414-b012-8f52ef50acc4}" id="{b7b9241c-a4d2-4005-bfe8-ef14d696f8a6}" done="0">
    <x18tc:text xml:space="preserve">https://drive.google.com/file/d/1RJbYsNt0ekJNxc2AqrzCu1SAFiqr3-U5/view?usp=drive_link</x18tc:text>
    <x18tc:extLst>
      <ext uri="{F7C98A9C-CBB3-438F-8F68-D28B6AF4A901}">
        <xltc2:checksum/>
        <xltc2:hyperlink startIndex="0" length="85" url="https://drive.google.com/file/d/1RJbYsNt0ekJNxc2AqrzCu1SAFiqr3-U5/view?usp=drive_link"/>
      </ext>
    </x18tc:extLst>
  </x18tc:threadedComment>
  <x18tc:threadedComment ref="K673" dT="2026-04-25T22:19:18.00" personId="{80195d68-4e9b-4dc7-a031-ca5391c97d0f}" id="{a85e0922-c7f4-42ef-b82f-915d9621ec62}" done="0">
    <x18tc:text xml:space="preserve">https://drive.google.com/file/d/1BDZX3rXvOn6Zwkp9Uv6SiH-1J0B6MMJd/view?usp=drive_link</x18tc:text>
    <x18tc:extLst>
      <ext uri="{F7C98A9C-CBB3-438F-8F68-D28B6AF4A901}">
        <xltc2:checksum/>
        <xltc2:hyperlink startIndex="0" length="85" url="https://drive.google.com/file/d/1BDZX3rXvOn6Zwkp9Uv6SiH-1J0B6MMJd/view?usp=drive_link"/>
      </ext>
    </x18tc:extLst>
  </x18tc:threadedComment>
  <x18tc:threadedComment ref="AF502" dT="2026-02-06T02:18:25.00" personId="{2ddfa542-8116-4937-a057-08470d7abaab}" id="{8333a70f-db85-47fb-86a7-c1f07ec275bd}" done="1">
    <x18tc:text xml:space="preserve">fixit, venta final, excedentes</x18tc:text>
  </x18tc:threadedComment>
  <x18tc:threadedComment ref="J381" dT="2025-11-29T23:55:41.00" personId="{a5d43f6d-3c72-4414-b012-8f52ef50acc4}" id="{eab3ef77-5643-43af-b3a1-b67725b0a8f8}" done="0">
    <x18tc:text xml:space="preserve">https://drive.google.com/file/d/1E3SlS-siIThzN3BKDDe_xoTTb_EAULPL/view?usp=drive_link</x18tc:text>
    <x18tc:extLst>
      <ext uri="{F7C98A9C-CBB3-438F-8F68-D28B6AF4A901}">
        <xltc2:checksum/>
        <xltc2:hyperlink startIndex="0" length="85" url="https://drive.google.com/file/d/1E3SlS-siIThzN3BKDDe_xoTTb_EAULPL/view?usp=drive_link"/>
      </ext>
    </x18tc:extLst>
  </x18tc:threadedComment>
  <x18tc:threadedComment ref="K655" dT="2026-05-06T22:30:24.00" personId="{f9b224d0-ee33-4499-ae47-db5bcd2d0435}" id="{b2414602-56e3-4a61-950f-3bf00c243dfa}" done="0">
    <x18tc:text xml:space="preserve">https://drive.google.com/file/d/1FP_6UIqpQ3eoHO9XH4f3w8KPojcA5dor/view?usp=drive_link</x18tc:text>
    <x18tc:extLst>
      <ext uri="{F7C98A9C-CBB3-438F-8F68-D28B6AF4A901}">
        <xltc2:checksum/>
        <xltc2:hyperlink startIndex="0" length="85" url="https://drive.google.com/file/d/1FP_6UIqpQ3eoHO9XH4f3w8KPojcA5dor/view?usp=drive_link"/>
      </ext>
    </x18tc:extLst>
  </x18tc:threadedComment>
  <x18tc:threadedComment ref="AF510" dT="2026-02-06T02:20:03.00" personId="{2ddfa542-8116-4937-a057-08470d7abaab}" id="{57accd67-cdb2-4553-baf3-9cbb753da6fa}" done="1">
    <x18tc:text xml:space="preserve">fixit, venta final, excedentes</x18tc:text>
  </x18tc:threadedComment>
  <x18tc:threadedComment ref="J393" dT="2025-12-05T17:42:41.00" personId="{d8e4f5ad-b65d-4160-a56f-197530fb7eb1}" id="{abad99b4-d156-45b8-a80e-1c91f4d2b2ba}" done="0">
    <x18tc:text xml:space="preserve">https://drive.google.com/file/d/1lINrYAw5jnxHzzgajh45qnjYBx4BH63Q/view?usp=drive_link</x18tc:text>
    <x18tc:extLst>
      <ext uri="{F7C98A9C-CBB3-438F-8F68-D28B6AF4A901}">
        <xltc2:checksum/>
        <xltc2:hyperlink startIndex="0" length="85" url="https://drive.google.com/file/d/1lINrYAw5jnxHzzgajh45qnjYBx4BH63Q/view?usp=drive_link"/>
      </ext>
    </x18tc:extLst>
  </x18tc:threadedComment>
  <x18tc:threadedComment ref="U633" dT="2026-04-25T22:13:11.00" personId="{d8e4f5ad-b65d-4160-a56f-197530fb7eb1}" id="{8c20c06c-2879-448e-a36d-3336f90b4927}" done="0">
    <x18tc:text xml:space="preserve">MOUSE + SOPORTE</x18tc:text>
  </x18tc:threadedComment>
  <x18tc:threadedComment ref="AF507" dT="2026-02-06T02:19:15.00" personId="{2ddfa542-8116-4937-a057-08470d7abaab}" id="{a7c9de5c-b9d2-4bde-8667-c1f3415eea85}" done="1">
    <x18tc:text xml:space="preserve">fixit, venta final, excedentes</x18tc:text>
  </x18tc:threadedComment>
  <x18tc:threadedComment ref="C371" dT="2025-11-29T22:34:04.00" personId="{4df2d6c4-e43e-4f2e-b623-d90f458472ff}" id="{2bcb8572-cd71-4920-a86b-c19582bc35f6}" done="0">
    <x18tc:text xml:space="preserve">https://www.bhphotovideo.com/c/product/1875946-REG/lenovo_83f00008us_15_1_legion_5i_gaming.html</x18tc:text>
    <x18tc:extLst>
      <ext uri="{F7C98A9C-CBB3-438F-8F68-D28B6AF4A901}">
        <xltc2:checksum/>
        <xltc2:hyperlink startIndex="0" length="95" url="https://www.bhphotovideo.com/c/product/1875946-REG/lenovo_83f00008us_15_1_legion_5i_gaming.html"/>
      </ext>
    </x18tc:extLst>
  </x18tc:threadedComment>
  <x18tc:threadedComment ref="Q593" dT="2026-04-09T23:03:41.00" personId="{4df2d6c4-e43e-4f2e-b623-d90f458472ff}" id="{501661c4-c3f8-4c1c-9f94-e797931a7a80}" done="0">
    <x18tc:text xml:space="preserve">licencia de este nod para David Teran</x18tc:text>
  </x18tc:threadedComment>
  <x18tc:threadedComment ref="J735" dT="2026-05-06T21:42:41.00" personId="{f9b224d0-ee33-4499-ae47-db5bcd2d0435}" id="{cf7f0638-2564-4316-91a4-6475f97e2312}" done="0">
    <x18tc:text xml:space="preserve">https://drive.google.com/file/d/1GfosAZsGr2R4Hm6L1wScV4jRptMcHZRH/view?usp=drive_link</x18tc:text>
    <x18tc:extLst>
      <ext uri="{F7C98A9C-CBB3-438F-8F68-D28B6AF4A901}">
        <xltc2:checksum/>
        <xltc2:hyperlink startIndex="0" length="85" url="https://drive.google.com/file/d/1GfosAZsGr2R4Hm6L1wScV4jRptMcHZRH/view?usp=drive_link"/>
      </ext>
    </x18tc:extLst>
  </x18tc:threadedComment>
  <x18tc:threadedComment ref="AF447" dT="2026-02-06T02:31:39.00" personId="{2ddfa542-8116-4937-a057-08470d7abaab}" id="{d955f541-4d43-47ba-926a-02ecdc4f2542}" done="0">
    <x18tc:text xml:space="preserve">fixit, venta final, excdentes</x18tc:text>
  </x18tc:threadedComment>
  <x18tc:threadedComment ref="J676" dT="2026-04-25T22:41:15.00" personId="{4df2d6c4-e43e-4f2e-b623-d90f458472ff}" id="{ceb82835-26f3-4ca9-b0e0-abd90821d9d9}" done="0">
    <x18tc:text xml:space="preserve">https://drive.google.com/file/d/1lCZSeEMjcB0JRtOcnjcB7ZIBDmZFXXF1/view?usp=drive_link</x18tc:text>
    <x18tc:extLst>
      <ext uri="{F7C98A9C-CBB3-438F-8F68-D28B6AF4A901}">
        <xltc2:checksum/>
        <xltc2:hyperlink startIndex="0" length="85" url="https://drive.google.com/file/d/1lCZSeEMjcB0JRtOcnjcB7ZIBDmZFXXF1/view?usp=drive_link"/>
      </ext>
    </x18tc:extLst>
  </x18tc:threadedComment>
  <x18tc:threadedComment ref="F638" dT="2026-03-26T01:10:53.00" personId="{2ddfa542-8116-4937-a057-08470d7abaab}" id="{b911e36b-e2ed-4363-998c-dc88792ec637}" done="1">
    <x18tc:text xml:space="preserve">Revisar si la cancelan o no</x18tc:text>
  </x18tc:threadedComment>
  <x18tc:threadedComment ref="F638" dT="2026-03-27T16:14:33.00" personId="{2ddfa542-8116-4937-a057-08470d7abaab}" id="{fdf7b3db-eb8f-49d4-af5d-57ba869bb80b}" parentId="{b911e36b-e2ed-4363-998c-dc88792ec637}">
    <x18tc:text xml:space="preserve">Sale estado en Proceso</x18tc:text>
  </x18tc:threadedComment>
  <x18tc:threadedComment ref="L74" dT="2025-06-16T18:39:56.00" personId="{d8e4f5ad-b65d-4160-a56f-197530fb7eb1}" id="{02f8b93a-7a65-4e9d-8296-388266f75ff8}" done="0">
    <x18tc:text xml:space="preserve">https://drive.google.com/file/d/1yafuO076zLv6cv8yKUK-xwqPT_2T_6vC/view?usp=drive_link</x18tc:text>
    <x18tc:extLst>
      <ext uri="{F7C98A9C-CBB3-438F-8F68-D28B6AF4A901}">
        <xltc2:checksum/>
        <xltc2:hyperlink startIndex="0" length="85" url="https://drive.google.com/file/d/1yafuO076zLv6cv8yKUK-xwqPT_2T_6vC/view?usp=drive_link"/>
      </ext>
    </x18tc:extLst>
  </x18tc:threadedComment>
  <x18tc:threadedComment ref="L74" dT="2025-06-16T18:40:26.00" personId="{d8e4f5ad-b65d-4160-a56f-197530fb7eb1}" id="{911764a6-9f07-43c1-9b94-5d883e7ea514}" parentId="{02f8b93a-7a65-4e9d-8296-388266f75ff8}">
    <x18tc:text xml:space="preserve">https://drive.google.com/file/d/1JawqE3fZvprkLhwp6pDcMtTmhaayJsm3/view?usp=drive_link</x18tc:text>
    <x18tc:extLst>
      <ext uri="{F7C98A9C-CBB3-438F-8F68-D28B6AF4A901}">
        <xltc2:checksum/>
        <xltc2:hyperlink startIndex="0" length="85" url="https://drive.google.com/file/d/1JawqE3fZvprkLhwp6pDcMtTmhaayJsm3/view?usp=drive_link"/>
      </ext>
    </x18tc:extLst>
  </x18tc:threadedComment>
  <x18tc:threadedComment ref="J709" dT="2026-04-25T22:42:30.00" personId="{4df2d6c4-e43e-4f2e-b623-d90f458472ff}" id="{cb91a264-e3a5-46f5-bdd3-8d69ef6445d5}" done="0">
    <x18tc:text xml:space="preserve">https://drive.google.com/file/d/1f2j6QIEW4nADlcyzEz-dcudQEWIgHRdJ/view?usp=drive_link</x18tc:text>
    <x18tc:extLst>
      <ext uri="{F7C98A9C-CBB3-438F-8F68-D28B6AF4A901}">
        <xltc2:checksum/>
        <xltc2:hyperlink startIndex="0" length="85" url="https://drive.google.com/file/d/1f2j6QIEW4nADlcyzEz-dcudQEWIgHRdJ/view?usp=drive_link"/>
      </ext>
    </x18tc:extLst>
  </x18tc:threadedComment>
  <x18tc:threadedComment ref="AF649" dT="2026-04-29T02:36:28.00" personId="{2ddfa542-8116-4937-a057-08470d7abaab}" id="{65327dfd-d7d4-4e5d-8e60-ca65f7fe1150}" done="0">
    <x18tc:text xml:space="preserve">venta final, excedentes, fixit</x18tc:text>
  </x18tc:threadedComment>
  <x18tc:threadedComment ref="L123" dT="2025-08-05T20:14:00.00" personId="{d8e4f5ad-b65d-4160-a56f-197530fb7eb1}" id="{cdba5d8c-9cee-4cd2-8775-cdb5895fe622}" done="0">
    <x18tc:text xml:space="preserve">https://drive.google.com/file/d/1jl310o15iZIKDZK0y00LfYRK66xnra-f/view?usp=drive_link</x18tc:text>
    <x18tc:extLst>
      <ext uri="{F7C98A9C-CBB3-438F-8F68-D28B6AF4A901}">
        <xltc2:checksum/>
        <xltc2:hyperlink startIndex="0" length="85" url="https://drive.google.com/file/d/1jl310o15iZIKDZK0y00LfYRK66xnra-f/view?usp=drive_link"/>
      </ext>
    </x18tc:extLst>
  </x18tc:threadedComment>
  <x18tc:threadedComment ref="L123" dT="2025-08-05T20:14:31.00" personId="{d8e4f5ad-b65d-4160-a56f-197530fb7eb1}" id="{8640bef3-7a80-431e-9046-f6cb5e4de973}" parentId="{cdba5d8c-9cee-4cd2-8775-cdb5895fe622}">
    <x18tc:text xml:space="preserve">https://drive.google.com/file/d/1L1Gdxp4i9ZA7UNs1TG8hc89LTWo8uaGz/view?usp=drive_link</x18tc:text>
    <x18tc:extLst>
      <ext uri="{F7C98A9C-CBB3-438F-8F68-D28B6AF4A901}">
        <xltc2:checksum/>
        <xltc2:hyperlink startIndex="0" length="85" url="https://drive.google.com/file/d/1L1Gdxp4i9ZA7UNs1TG8hc89LTWo8uaGz/view?usp=drive_link"/>
      </ext>
    </x18tc:extLst>
  </x18tc:threadedComment>
  <x18tc:threadedComment ref="J682" dT="2026-04-25T22:39:53.00" personId="{4df2d6c4-e43e-4f2e-b623-d90f458472ff}" id="{eaacb1e5-9478-481a-97bf-8b5e79d16bf5}" done="0">
    <x18tc:text xml:space="preserve">https://drive.google.com/file/d/1EDeuJ6l2HMLEzxKW5Hus6-eJN0VMP9PH/view?usp=drive_link</x18tc:text>
    <x18tc:extLst>
      <ext uri="{F7C98A9C-CBB3-438F-8F68-D28B6AF4A901}">
        <xltc2:checksum/>
        <xltc2:hyperlink startIndex="0" length="85" url="https://drive.google.com/file/d/1EDeuJ6l2HMLEzxKW5Hus6-eJN0VMP9PH/view?usp=drive_link"/>
      </ext>
    </x18tc:extLst>
  </x18tc:threadedComment>
  <x18tc:threadedComment ref="J370" dT="2025-11-29T21:56:41.00" personId="{a5d43f6d-3c72-4414-b012-8f52ef50acc4}" id="{92f976de-123d-4c3b-baee-8c52bf663b9a}" done="0">
    <x18tc:text xml:space="preserve">https://drive.google.com/file/d/1-yuNI6fKpk0kbByhFVTgNuzfW6Md1tTw/view?usp=drive_link</x18tc:text>
    <x18tc:extLst>
      <ext uri="{F7C98A9C-CBB3-438F-8F68-D28B6AF4A901}">
        <xltc2:checksum/>
        <xltc2:hyperlink startIndex="0" length="85" url="https://drive.google.com/file/d/1-yuNI6fKpk0kbByhFVTgNuzfW6Md1tTw/view?usp=drive_link"/>
      </ext>
    </x18tc:extLst>
  </x18tc:threadedComment>
  <x18tc:threadedComment ref="L70" dT="2025-06-16T18:43:46.00" personId="{d8e4f5ad-b65d-4160-a56f-197530fb7eb1}" id="{9370fadf-1729-4519-8e7f-bed1e09eb9f3}" done="0">
    <x18tc:text xml:space="preserve">https://drive.google.com/file/d/1AlwOJdeMaEK9PuYRnhNOzhZd8KQ-5eZV/view?usp=drive_link</x18tc:text>
    <x18tc:extLst>
      <ext uri="{F7C98A9C-CBB3-438F-8F68-D28B6AF4A901}">
        <xltc2:checksum/>
        <xltc2:hyperlink startIndex="0" length="85" url="https://drive.google.com/file/d/1AlwOJdeMaEK9PuYRnhNOzhZd8KQ-5eZV/view?usp=drive_link"/>
      </ext>
    </x18tc:extLst>
  </x18tc:threadedComment>
  <x18tc:threadedComment ref="K383" dT="2025-12-31T01:25:00.00" personId="{a5d43f6d-3c72-4414-b012-8f52ef50acc4}" id="{d7e7aa1c-4e3c-4299-9917-5415be4e73b3}" done="0">
    <x18tc:text xml:space="preserve">https://drive.google.com/file/d/1Bg5VfB3q5VPsA-hyFVRtFRDHPtMXO0uq/view?usp=drive_link
https://drive.google.com/file/d/1o0tzr7GjwWNGElTRFq0s8WRDaGe-3jet/view?usp=drive_link
https://drive.google.com/file/d/1rqzeuImcJP0P1XmSk5G9bx4QlLabJAjn/view?usp=drive_link</x18tc:text>
    <x18tc:extLst>
      <ext uri="{F7C98A9C-CBB3-438F-8F68-D28B6AF4A901}">
        <xltc2:checksum/>
        <xltc2:hyperlink startIndex="0" length="85" url="https://drive.google.com/file/d/1Bg5VfB3q5VPsA-hyFVRtFRDHPtMXO0uq/view?usp=drive_link"/>
        <xltc2:hyperlink startIndex="86" length="85" url="https://drive.google.com/file/d/1o0tzr7GjwWNGElTRFq0s8WRDaGe-3jet/view?usp=drive_link"/>
        <xltc2:hyperlink startIndex="172" length="85" url="https://drive.google.com/file/d/1rqzeuImcJP0P1XmSk5G9bx4QlLabJAjn/view?usp=drive_link"/>
      </ext>
    </x18tc:extLst>
  </x18tc:threadedComment>
  <x18tc:threadedComment ref="C433" dT="2025-12-24T19:48:00.00" personId="{4df2d6c4-e43e-4f2e-b623-d90f458472ff}" id="{56980ee7-fd12-4797-b368-278e0046eb7e}" done="0">
    <x18tc:text xml:space="preserve">https://www.microcenter.com/product/693716/asus-rog-strix-g16-g615lr-ms97-16-gaming-laptop-computer-platinum-collection-eclipse-gray?storeid=185</x18tc:text>
    <x18tc:extLst>
      <ext uri="{F7C98A9C-CBB3-438F-8F68-D28B6AF4A901}">
        <xltc2:checksum/>
        <xltc2:hyperlink startIndex="0" length="144" url="https://www.microcenter.com/product/693716/asus-rog-strix-g16-g615lr-ms97-16-gaming-laptop-computer-platinum-collection-eclipse-gray?storeid=185"/>
      </ext>
    </x18tc:extLst>
  </x18tc:threadedComment>
  <x18tc:threadedComment ref="A1" dT="2025-08-31T17:39:18.00" personId="{d8e4f5ad-b65d-4160-a56f-197530fb7eb1}" id="{2fde6cd5-e309-4335-bea2-813d2ce5b9e1}" done="0">
    <x18tc:text xml:space="preserve">https://drive.google.com/file/d/1LhzIMLNGuX_k_86ikKsbdfOVSYuFNvLm/view?usp=drive_link</x18tc:text>
    <x18tc:extLst>
      <ext uri="{F7C98A9C-CBB3-438F-8F68-D28B6AF4A901}">
        <xltc2:checksum/>
        <xltc2:hyperlink startIndex="0" length="85" url="https://drive.google.com/file/d/1LhzIMLNGuX_k_86ikKsbdfOVSYuFNvLm/view?usp=drive_link"/>
      </ext>
    </x18tc:extLst>
  </x18tc:threadedComment>
  <x18tc:threadedComment ref="A1" dT="2025-08-31T17:39:36.00" personId="{d8e4f5ad-b65d-4160-a56f-197530fb7eb1}" id="{67e41f0a-1472-4a85-9a9d-a3b2a09b942a}" parentId="{2fde6cd5-e309-4335-bea2-813d2ce5b9e1}">
    <x18tc:text xml:space="preserve">https://drive.google.com/file/d/1EuAWAT-G4-0Wuh2_Eqg6axJs98NvtvLR/view?usp=drive_link</x18tc:text>
    <x18tc:extLst>
      <ext uri="{F7C98A9C-CBB3-438F-8F68-D28B6AF4A901}">
        <xltc2:checksum/>
        <xltc2:hyperlink startIndex="0" length="85" url="https://drive.google.com/file/d/1EuAWAT-G4-0Wuh2_Eqg6axJs98NvtvLR/view?usp=drive_link"/>
      </ext>
    </x18tc:extLst>
  </x18tc:threadedComment>
  <x18tc:threadedComment ref="T733" dT="2026-06-18T18:08:24.00" personId="{f9b224d0-ee33-4499-ae47-db5bcd2d0435}" id="{11e7a96c-d812-42d3-ad0e-b4bc11ddbde8}" done="0">
    <x18tc:text xml:space="preserve">Comisión al pagar en Puno</x18tc:text>
  </x18tc:threadedComment>
  <x18tc:threadedComment ref="J697" dT="2026-04-25T22:38:40.00" personId="{4df2d6c4-e43e-4f2e-b623-d90f458472ff}" id="{ac3d7f5e-10cb-4713-9915-27ce2321a2f7}" done="0">
    <x18tc:text xml:space="preserve">https://drive.google.com/file/d/1QnzIeQSbyNG8c3Y8NKr4JBxI7VveLwNo/view?usp=drive_link</x18tc:text>
    <x18tc:extLst>
      <ext uri="{F7C98A9C-CBB3-438F-8F68-D28B6AF4A901}">
        <xltc2:checksum/>
        <xltc2:hyperlink startIndex="0" length="85" url="https://drive.google.com/file/d/1QnzIeQSbyNG8c3Y8NKr4JBxI7VveLwNo/view?usp=drive_link"/>
      </ext>
    </x18tc:extLst>
  </x18tc:threadedComment>
  <x18tc:threadedComment ref="AF224" dT="2025-09-26T07:06:46.00" personId="{2ddfa542-8116-4937-a057-08470d7abaab}" id="{2d926281-08a6-49e4-abba-5a44e6c00b83}" done="1">
    <x18tc:text xml:space="preserve">precio</x18tc:text>
  </x18tc:threadedComment>
  <x18tc:threadedComment ref="J668" dT="2026-04-09T20:35:43.00" personId="{d8e4f5ad-b65d-4160-a56f-197530fb7eb1}" id="{fbec217e-70c0-401d-bb76-15b74f89a266}" done="0">
    <x18tc:text xml:space="preserve">https://drive.google.com/file/d/1WcKa27qMKAqNCeEVUow_yqc7HMichJ2V/view?usp=drive_link</x18tc:text>
    <x18tc:extLst>
      <ext uri="{F7C98A9C-CBB3-438F-8F68-D28B6AF4A901}">
        <xltc2:checksum/>
        <xltc2:hyperlink startIndex="0" length="85" url="https://drive.google.com/file/d/1WcKa27qMKAqNCeEVUow_yqc7HMichJ2V/view?usp=drive_link"/>
      </ext>
    </x18tc:extLst>
  </x18tc:threadedComment>
  <x18tc:threadedComment ref="J668" dT="2026-04-09T20:40:13.00" personId="{d8e4f5ad-b65d-4160-a56f-197530fb7eb1}" id="{360eea97-e717-43e5-a3f7-ab00913811c8}" parentId="{fbec217e-70c0-401d-bb76-15b74f89a266}">
    <x18tc:text xml:space="preserve">SE COBRO UNA COMISION 14.24</x18tc:text>
  </x18tc:threadedComment>
  <x18tc:threadedComment ref="S264" dT="2025-10-11T03:05:35.00" personId="{a5d43f6d-3c72-4414-b012-8f52ef50acc4}" id="{19690d97-5847-4873-8f15-9290b578a9c7}" done="0">
    <x18tc:text xml:space="preserve">https://drive.google.com/file/d/1qcgrM7e1t5_BSWaYdj6fH-xyVwr2Rem2/view?usp=drive_link</x18tc:text>
    <x18tc:extLst>
      <ext uri="{F7C98A9C-CBB3-438F-8F68-D28B6AF4A901}">
        <xltc2:checksum/>
        <xltc2:hyperlink startIndex="0" length="85" url="https://drive.google.com/file/d/1qcgrM7e1t5_BSWaYdj6fH-xyVwr2Rem2/view?usp=drive_link"/>
      </ext>
    </x18tc:extLst>
  </x18tc:threadedComment>
  <x18tc:threadedComment ref="C734" dT="2026-05-05T15:50:56.00" personId="{80195d68-4e9b-4dc7-a031-ca5391c97d0f}" id="{28f66fbc-9afe-420e-bd0d-95dcd798c634}" done="0">
    <x18tc:text xml:space="preserve">https://www.bhphotovideo.com/c/product/1875946-REG/lenovo_83f00008us_15_1_legion_5i_gaming.html/specs</x18tc:text>
    <x18tc:extLst>
      <ext uri="{F7C98A9C-CBB3-438F-8F68-D28B6AF4A901}">
        <xltc2:checksum/>
        <xltc2:hyperlink startIndex="0" length="101" url="https://www.bhphotovideo.com/c/product/1875946-REG/lenovo_83f00008us_15_1_legion_5i_gaming.html/specs"/>
      </ext>
    </x18tc:extLst>
  </x18tc:threadedComment>
  <x18tc:threadedComment ref="L682" dT="2026-04-25T22:39:43.00" personId="{4df2d6c4-e43e-4f2e-b623-d90f458472ff}" id="{fa1d2821-34ad-4d6d-975e-d8a544c2e6f4}" done="1">
    <x18tc:text xml:space="preserve">https://drive.google.com/file/d/1EDeuJ6l2HMLEzxKW5Hus6-eJN0VMP9PH/view?usp=drive_link</x18tc:text>
    <x18tc:extLst>
      <ext uri="{F7C98A9C-CBB3-438F-8F68-D28B6AF4A901}">
        <xltc2:checksum/>
        <xltc2:hyperlink startIndex="0" length="85" url="https://drive.google.com/file/d/1EDeuJ6l2HMLEzxKW5Hus6-eJN0VMP9PH/view?usp=drive_link"/>
      </ext>
    </x18tc:extLst>
  </x18tc:threadedComment>
  <x18tc:threadedComment ref="AF222" dT="2025-09-26T07:01:05.00" personId="{2ddfa542-8116-4937-a057-08470d7abaab}" id="{35c0ff9f-52f5-4a15-aadb-fd865e67eb20}" done="1">
    <x18tc:text xml:space="preserve">fixit</x18tc:text>
  </x18tc:threadedComment>
  <x18tc:threadedComment ref="J667" dT="2026-04-09T20:34:29.00" personId="{d8e4f5ad-b65d-4160-a56f-197530fb7eb1}" id="{18fe3369-b409-4133-96b8-030918156be4}" done="0">
    <x18tc:text xml:space="preserve">https://drive.google.com/file/d/1ZnHzM4Yi3EQM4K-zb4BKbY_I7JlelzTu/view?usp=drive_link</x18tc:text>
    <x18tc:extLst>
      <ext uri="{F7C98A9C-CBB3-438F-8F68-D28B6AF4A901}">
        <xltc2:checksum/>
        <xltc2:hyperlink startIndex="0" length="85" url="https://drive.google.com/file/d/1ZnHzM4Yi3EQM4K-zb4BKbY_I7JlelzTu/view?usp=drive_link"/>
      </ext>
    </x18tc:extLst>
  </x18tc:threadedComment>
  <x18tc:threadedComment ref="L120" dT="2025-07-30T16:11:38.00" personId="{a5d43f6d-3c72-4414-b012-8f52ef50acc4}" id="{3d5a1438-e56c-460a-9f1b-3e0c4b5dc4bd}" done="0">
    <x18tc:text xml:space="preserve">https://drive.google.com/file/d/18GvwwQ-V88uxGvC4Tt3IQ58owJTGokQE/view?usp=drive_link</x18tc:text>
    <x18tc:extLst>
      <ext uri="{F7C98A9C-CBB3-438F-8F68-D28B6AF4A901}">
        <xltc2:checksum/>
        <xltc2:hyperlink startIndex="0" length="85" url="https://drive.google.com/file/d/18GvwwQ-V88uxGvC4Tt3IQ58owJTGokQE/view?usp=drive_link"/>
      </ext>
    </x18tc:extLst>
  </x18tc:threadedComment>
  <x18tc:threadedComment ref="K733" dT="2026-06-18T18:06:34.00" personId="{f9b224d0-ee33-4499-ae47-db5bcd2d0435}" id="{4a46cc2d-269d-4534-b2c5-0c8ee9f6afa7}" done="0">
    <x18tc:text xml:space="preserve">https://drive.google.com/file/d/14F5UlVFl5GJitr1PJgrvZikcXC1wVsGB/view?usp=drive_link</x18tc:text>
    <x18tc:extLst>
      <ext uri="{F7C98A9C-CBB3-438F-8F68-D28B6AF4A901}">
        <xltc2:checksum/>
        <xltc2:hyperlink startIndex="0" length="85" url="https://drive.google.com/file/d/14F5UlVFl5GJitr1PJgrvZikcXC1wVsGB/view?usp=drive_link"/>
      </ext>
    </x18tc:extLst>
  </x18tc:threadedComment>
  <x18tc:threadedComment ref="K733" dT="2026-06-22T04:23:57.00" personId="{2ddfa542-8116-4937-a057-08470d7abaab}" id="{2a74eb5d-f188-41ae-9fbe-3d636bab39b8}" parentId="{4a46cc2d-269d-4534-b2c5-0c8ee9f6afa7}">
    <x18tc:text xml:space="preserve">incluye el envio de Olva</x18tc:text>
  </x18tc:threadedComment>
  <x18tc:threadedComment ref="K677" dT="2026-04-25T22:34:57.00" personId="{a5d43f6d-3c72-4414-b012-8f52ef50acc4}" id="{d38e0fd3-e1ce-4749-b336-40e5a92025eb}" done="0">
    <x18tc:text xml:space="preserve">https://drive.google.com/file/d/1Ikxv76u9-V9sPcBgml9lwToeINmdIbH5/view?usp=drive_link</x18tc:text>
    <x18tc:extLst>
      <ext uri="{F7C98A9C-CBB3-438F-8F68-D28B6AF4A901}">
        <xltc2:checksum/>
        <xltc2:hyperlink startIndex="0" length="85" url="https://drive.google.com/file/d/1Ikxv76u9-V9sPcBgml9lwToeINmdIbH5/view?usp=drive_link"/>
      </ext>
    </x18tc:extLst>
  </x18tc:threadedComment>
  <x18tc:threadedComment ref="J669" dT="2026-04-09T20:33:49.00" personId="{d8e4f5ad-b65d-4160-a56f-197530fb7eb1}" id="{79188e82-1ba4-44dc-adba-abb25ae465ef}" done="0">
    <x18tc:text xml:space="preserve">https://drive.google.com/file/d/1KifnDPiLopPB9WACceCr2wVvI4PxAsXE/view?usp=drive_link</x18tc:text>
    <x18tc:extLst>
      <ext uri="{F7C98A9C-CBB3-438F-8F68-D28B6AF4A901}">
        <xltc2:checksum/>
        <xltc2:hyperlink startIndex="0" length="85" url="https://drive.google.com/file/d/1KifnDPiLopPB9WACceCr2wVvI4PxAsXE/view?usp=drive_link"/>
      </ext>
    </x18tc:extLst>
  </x18tc:threadedComment>
  <x18tc:threadedComment ref="L265" dT="2025-10-11T03:05:27.00" personId="{a5d43f6d-3c72-4414-b012-8f52ef50acc4}" id="{bdc466d0-f7e7-4994-8a5f-d9b6e5ceedfb}" done="1">
    <x18tc:text xml:space="preserve">https://drive.google.com/file/d/1qcgrM7e1t5_BSWaYdj6fH-xyVwr2Rem2/view?usp=drive_link</x18tc:text>
    <x18tc:extLst>
      <ext uri="{F7C98A9C-CBB3-438F-8F68-D28B6AF4A901}">
        <xltc2:checksum/>
        <xltc2:hyperlink startIndex="0" length="85" url="https://drive.google.com/file/d/1qcgrM7e1t5_BSWaYdj6fH-xyVwr2Rem2/view?usp=drive_link"/>
      </ext>
    </x18tc:extLst>
  </x18tc:threadedComment>
  <x18tc:threadedComment ref="J148" dT="2025-08-06T01:36:16.00" personId="{4df2d6c4-e43e-4f2e-b623-d90f458472ff}" id="{6564bc41-1ad0-46fc-a183-598c73b8abb2}" done="0">
    <x18tc:text xml:space="preserve">https://drive.google.com/file/d/1ZYVQdkLCGqY3aMQqsVybv8ofXPW4EqsE/view?usp=drive_link</x18tc:text>
    <x18tc:extLst>
      <ext uri="{F7C98A9C-CBB3-438F-8F68-D28B6AF4A901}">
        <xltc2:checksum/>
        <xltc2:hyperlink startIndex="0" length="85" url="https://drive.google.com/file/d/1ZYVQdkLCGqY3aMQqsVybv8ofXPW4EqsE/view?usp=drive_link"/>
      </ext>
    </x18tc:extLst>
  </x18tc:threadedComment>
  <x18tc:threadedComment ref="L122" dT="2025-07-30T16:49:16.00" personId="{a5d43f6d-3c72-4414-b012-8f52ef50acc4}" id="{b5f9fc12-4ad3-4130-a075-9c68a638826f}" done="0">
    <x18tc:text xml:space="preserve">https://drive.google.com/file/d/1QXZko0vzDH0JtaYmGwKLEb03UZuXGC53/view?usp=drive_link</x18tc:text>
    <x18tc:extLst>
      <ext uri="{F7C98A9C-CBB3-438F-8F68-D28B6AF4A901}">
        <xltc2:checksum/>
        <xltc2:hyperlink startIndex="0" length="85" url="https://drive.google.com/file/d/1QXZko0vzDH0JtaYmGwKLEb03UZuXGC53/view?usp=drive_link"/>
      </ext>
    </x18tc:extLst>
  </x18tc:threadedComment>
  <x18tc:threadedComment ref="Q711" dT="2026-04-25T20:33:11.00" personId="{a5d43f6d-3c72-4414-b012-8f52ef50acc4}" id="{39686b43-7c4f-4211-b983-1cf6ab44a9d5}" done="0">
    <x18tc:text xml:space="preserve">Configuración inicial con formateo + eset nod + office 2024</x18tc:text>
  </x18tc:threadedComment>
  <x18tc:threadedComment ref="C570" dT="2026-02-26T21:55:11.00" personId="{68efe3e3-8b68-4e02-81e2-a29fa228b211}" id="{104da6be-026b-480b-a261-47a01e2cdd55}" done="0">
    <x18tc:text xml:space="preserve">https://www.ebay.com/itm/326655425561?_skw=laptop+gaming&amp;itmmeta=01KJ7E3GBT8730A38PT6JSANEZ&amp;hash=item4c0e2e3c19:g:ibQAAeSwPwFpmr4u</x18tc:text>
    <x18tc:extLst>
      <ext uri="{F7C98A9C-CBB3-438F-8F68-D28B6AF4A901}">
        <xltc2:checksum/>
        <xltc2:hyperlink startIndex="0" length="130" url="https://www.ebay.com/itm/326655425561?_skw=laptop+gaming&amp;itmmeta=01KJ7E3GBT8730A38PT6JSANEZ&amp;hash=item4c0e2e3c19:g:ibQAAeSwPwFpmr4u"/>
      </ext>
    </x18tc:extLst>
  </x18tc:threadedComment>
  <x18tc:threadedComment ref="Y286" dT="2025-11-02T16:29:36.00" personId="{2ddfa542-8116-4937-a057-08470d7abaab}" id="{32f8c942-aac6-4ed4-8226-01ab71ed1a4a}" done="1">
    <x18tc:text xml:space="preserve">MENOR DE EDAD</x18tc:text>
  </x18tc:threadedComment>
  <x18tc:threadedComment ref="L131" dT="2025-08-05T23:35:31.00" personId="{4df2d6c4-e43e-4f2e-b623-d90f458472ff}" id="{aa626c0b-63fe-486c-a99a-455aa0bb8dd9}" done="0">
    <x18tc:text xml:space="preserve">https://drive.google.com/file/d/18Cu9PJGlMwcSuWh1tHgVHWe3DpWdjpcr/view?usp=drive_link</x18tc:text>
    <x18tc:extLst>
      <ext uri="{F7C98A9C-CBB3-438F-8F68-D28B6AF4A901}">
        <xltc2:checksum/>
        <xltc2:hyperlink startIndex="0" length="85" url="https://drive.google.com/file/d/18Cu9PJGlMwcSuWh1tHgVHWe3DpWdjpcr/view?usp=drive_link"/>
      </ext>
    </x18tc:extLst>
  </x18tc:threadedComment>
  <x18tc:threadedComment ref="L131" dT="2025-08-05T23:36:54.00" personId="{4df2d6c4-e43e-4f2e-b623-d90f458472ff}" id="{27d78230-8e15-4b8a-8beb-051c2071f941}" parentId="{aa626c0b-63fe-486c-a99a-455aa0bb8dd9}">
    <x18tc:text xml:space="preserve">https://drive.google.com/file/d/1CnGSvg1E6ohnLMBj30olRU26hdVZqBxw/view?usp=drive_link</x18tc:text>
    <x18tc:extLst>
      <ext uri="{F7C98A9C-CBB3-438F-8F68-D28B6AF4A901}">
        <xltc2:checksum/>
        <xltc2:hyperlink startIndex="0" length="85" url="https://drive.google.com/file/d/1CnGSvg1E6ohnLMBj30olRU26hdVZqBxw/view?usp=drive_link"/>
      </ext>
    </x18tc:extLst>
  </x18tc:threadedComment>
  <x18tc:threadedComment ref="J710" dT="2026-04-25T21:24:00.00" personId="{d8e4f5ad-b65d-4160-a56f-197530fb7eb1}" id="{c5bc244f-27c7-4a53-ba3d-2155feea3d96}" done="0">
    <x18tc:text xml:space="preserve">https://drive.google.com/file/d/1m8_dssXlwWq5p_32Op9t55VrOl05K7sG/view?usp=drive_link</x18tc:text>
    <x18tc:extLst>
      <ext uri="{F7C98A9C-CBB3-438F-8F68-D28B6AF4A901}">
        <xltc2:checksum/>
        <xltc2:hyperlink startIndex="0" length="85" url="https://drive.google.com/file/d/1m8_dssXlwWq5p_32Op9t55VrOl05K7sG/view?usp=drive_link"/>
      </ext>
    </x18tc:extLst>
  </x18tc:threadedComment>
  <x18tc:threadedComment ref="Q567" dT="2026-02-26T21:53:42.00" personId="{80195d68-4e9b-4dc7-a031-ca5391c97d0f}" id="{f78ba00a-02b4-40ec-b2f4-13a222dd69a6}" done="0">
    <x18tc:text xml:space="preserve">Eset nod 32+ apertura+config inicial+licencia autocad+licencia civil 3d+ licencia revit</x18tc:text>
  </x18tc:threadedComment>
  <x18tc:threadedComment ref="J620" dT="2026-04-08T17:08:07.00" personId="{4df2d6c4-e43e-4f2e-b623-d90f458472ff}" id="{b59932ea-573f-4de4-a7c8-227db1bc4532}" done="0">
    <x18tc:text xml:space="preserve">https://drive.google.com/file/d/1jodo8-E-AsVeu6QU1ZskOEwb_KxYT4Uq/view?usp=drive_link</x18tc:text>
    <x18tc:extLst>
      <ext uri="{F7C98A9C-CBB3-438F-8F68-D28B6AF4A901}">
        <xltc2:checksum/>
        <xltc2:hyperlink startIndex="0" length="85" url="https://drive.google.com/file/d/1jodo8-E-AsVeu6QU1ZskOEwb_KxYT4Uq/view?usp=drive_link"/>
      </ext>
    </x18tc:extLst>
  </x18tc:threadedComment>
  <x18tc:threadedComment ref="J309" dT="2025-11-26T23:02:58.00" personId="{4df2d6c4-e43e-4f2e-b623-d90f458472ff}" id="{7aea4ebf-6ab8-4525-9ebb-e0e938f8cd18}" done="0">
    <x18tc:text xml:space="preserve">https://drive.google.com/file/d/1SaOMMEP56G_s_PPWdznEsQ5JzEjeMAHY/view?usp=drive_link</x18tc:text>
    <x18tc:extLst>
      <ext uri="{F7C98A9C-CBB3-438F-8F68-D28B6AF4A901}">
        <xltc2:checksum/>
        <xltc2:hyperlink startIndex="0" length="85" url="https://drive.google.com/file/d/1SaOMMEP56G_s_PPWdznEsQ5JzEjeMAHY/view?usp=drive_link"/>
      </ext>
    </x18tc:extLst>
  </x18tc:threadedComment>
  <x18tc:threadedComment ref="Q568" dT="2026-02-26T21:52:53.00" personId="{80195d68-4e9b-4dc7-a031-ca5391c97d0f}" id="{e3203cd9-013b-478d-98fd-5d0733f7b849}" done="0">
    <x18tc:text xml:space="preserve">configuración inicial+antivirus+licencia autocad+licencia navisworks</x18tc:text>
  </x18tc:threadedComment>
  <x18tc:threadedComment ref="J308" dT="2025-11-26T23:02:53.00" personId="{4df2d6c4-e43e-4f2e-b623-d90f458472ff}" id="{c7d24508-85ce-4384-a67e-28cb8f611e56}" done="0">
    <x18tc:text xml:space="preserve">https://drive.google.com/file/d/1SaOMMEP56G_s_PPWdznEsQ5JzEjeMAHY/view?usp=drive_link</x18tc:text>
    <x18tc:extLst>
      <ext uri="{F7C98A9C-CBB3-438F-8F68-D28B6AF4A901}">
        <xltc2:checksum/>
        <xltc2:hyperlink startIndex="0" length="85" url="https://drive.google.com/file/d/1SaOMMEP56G_s_PPWdznEsQ5JzEjeMAHY/view?usp=drive_link"/>
      </ext>
    </x18tc:extLst>
  </x18tc:threadedComment>
  <x18tc:threadedComment ref="J569" dT="2026-02-26T18:03:18.00" personId="{a5d43f6d-3c72-4414-b012-8f52ef50acc4}" id="{9b8c138e-efc3-4087-a9dd-3788f7431c65}" done="0">
    <x18tc:text xml:space="preserve">https://drive.google.com/file/d/198kCZJCD-Qf2aWd5-lNU3iqrMiffhIqF/view?usp=drive_link</x18tc:text>
    <x18tc:extLst>
      <ext uri="{F7C98A9C-CBB3-438F-8F68-D28B6AF4A901}">
        <xltc2:checksum/>
        <xltc2:hyperlink startIndex="0" length="85" url="https://drive.google.com/file/d/198kCZJCD-Qf2aWd5-lNU3iqrMiffhIqF/view?usp=drive_link"/>
      </ext>
    </x18tc:extLst>
  </x18tc:threadedComment>
  <x18tc:threadedComment ref="N229" dT="2025-09-26T07:10:49.00" personId="{2ddfa542-8116-4937-a057-08470d7abaab}" id="{0d1adfcd-eb31-4e7f-9248-10a1c545573b}" done="1">
    <x18tc:text xml:space="preserve">CONFIRMAR PRECIO DOLARES</x18tc:text>
  </x18tc:threadedComment>
  <x18tc:threadedComment ref="J177" dT="2025-08-18T20:09:11.00" personId="{d8e4f5ad-b65d-4160-a56f-197530fb7eb1}" id="{58e11ce5-a6e4-4832-a82c-8e2d2bca5ac4}" done="0">
    <x18tc:text xml:space="preserve">https://drive.google.com/file/d/1MjNkqq-3RGM4UuOod8g4IkFDXljm7eSg/view?usp=drive_link</x18tc:text>
    <x18tc:extLst>
      <ext uri="{F7C98A9C-CBB3-438F-8F68-D28B6AF4A901}">
        <xltc2:checksum/>
        <xltc2:hyperlink startIndex="0" length="85" url="https://drive.google.com/file/d/1MjNkqq-3RGM4UuOod8g4IkFDXljm7eSg/view?usp=drive_link"/>
      </ext>
    </x18tc:extLst>
  </x18tc:threadedComment>
  <x18tc:threadedComment ref="Q297" dT="2025-11-26T22:42:20.00" personId="{4df2d6c4-e43e-4f2e-b623-d90f458472ff}" id="{fc62a783-5c17-446d-9b6c-86b8c1c0aebf}" done="0">
    <x18tc:text xml:space="preserve">en su pago final , dio 120 soles mas por dos licencias</x18tc:text>
  </x18tc:threadedComment>
  <x18tc:threadedComment ref="K766" dT="2026-06-18T18:59:20.00" personId="{d8e4f5ad-b65d-4160-a56f-197530fb7eb1}" id="{996bfbcd-f65e-4b1d-9f5b-22de5d710f08}" done="0">
    <x18tc:text xml:space="preserve">https://drive.google.com/file/d/11eQ_vIZBmLiR27Vd2zjw4XVzzXtV_YIi/view?usp=drive_link</x18tc:text>
    <x18tc:extLst>
      <ext uri="{F7C98A9C-CBB3-438F-8F68-D28B6AF4A901}">
        <xltc2:checksum/>
        <xltc2:hyperlink startIndex="0" length="85" url="https://drive.google.com/file/d/11eQ_vIZBmLiR27Vd2zjw4XVzzXtV_YIi/view?usp=drive_link"/>
      </ext>
    </x18tc:extLst>
  </x18tc:threadedComment>
  <x18tc:threadedComment ref="J766" dT="2026-05-27T23:56:40.00" personId="{d8e4f5ad-b65d-4160-a56f-197530fb7eb1}" id="{00d0fe5d-51f4-48c6-a362-23a63a0270ef}" done="0">
    <x18tc:text xml:space="preserve">https://drive.google.com/file/d/1-v_2MLcnsAq0kZWdBfBM0Ecw0iMEz0ZY/view?usp=drive_link</x18tc:text>
    <x18tc:extLst>
      <ext uri="{F7C98A9C-CBB3-438F-8F68-D28B6AF4A901}">
        <xltc2:checksum/>
        <xltc2:hyperlink startIndex="0" length="85" url="https://drive.google.com/file/d/1-v_2MLcnsAq0kZWdBfBM0Ecw0iMEz0ZY/view?usp=drive_link"/>
      </ext>
    </x18tc:extLst>
  </x18tc:threadedComment>
  <x18tc:threadedComment ref="O71" dT="2025-05-25T02:05:12.00" personId="{4df2d6c4-e43e-4f2e-b623-d90f458472ff}" id="{24606991-3b06-4738-9cd6-997dc04319c6}" done="0">
    <x18tc:text xml:space="preserve">resta 182 soles que son los 50 dolares para regresar el equipo mal, quedaria 138 de execedente</x18tc:text>
  </x18tc:threadedComment>
  <x18tc:threadedComment ref="J774" dT="2026-06-03T00:09:13.00" personId="{f9b224d0-ee33-4499-ae47-db5bcd2d0435}" id="{7518b737-ab5b-432d-a4af-72698f25c4d0}" done="0">
    <x18tc:text xml:space="preserve">https://drive.google.com/file/d/1EmOHJ6MOn_Bx3MkD6L30LnsZrEacFCRl/view?usp=drive_link</x18tc:text>
    <x18tc:extLst>
      <ext uri="{F7C98A9C-CBB3-438F-8F68-D28B6AF4A901}">
        <xltc2:checksum/>
        <xltc2:hyperlink startIndex="0" length="85" url="https://drive.google.com/file/d/1EmOHJ6MOn_Bx3MkD6L30LnsZrEacFCRl/view?usp=drive_link"/>
      </ext>
    </x18tc:extLst>
  </x18tc:threadedComment>
  <x18tc:threadedComment ref="K646" dT="2026-04-30T20:56:02.00" personId="{d8e4f5ad-b65d-4160-a56f-197530fb7eb1}" id="{26cab21c-9690-4cd7-bc0d-53af9e665a39}" done="0">
    <x18tc:text xml:space="preserve">https://drive.google.com/file/d/118GSc5ZpMO7mJ1qhyNfPlggfGfagByKE/view?usp=drive_link</x18tc:text>
    <x18tc:extLst>
      <ext uri="{F7C98A9C-CBB3-438F-8F68-D28B6AF4A901}">
        <xltc2:checksum/>
        <xltc2:hyperlink startIndex="0" length="85" url="https://drive.google.com/file/d/118GSc5ZpMO7mJ1qhyNfPlggfGfagByKE/view?usp=drive_link"/>
      </ext>
    </x18tc:extLst>
  </x18tc:threadedComment>
  <x18tc:threadedComment ref="L151" dT="2025-08-05T21:47:13.00" personId="{a5d43f6d-3c72-4414-b012-8f52ef50acc4}" id="{7c5b3000-1893-4391-8842-5a2b1e032842}" done="0">
    <x18tc:text xml:space="preserve">https://drive.google.com/file/d/1hG9ysrahwSy2DXFfyvNA18rZNKmvJUki/view?usp=drive_link</x18tc:text>
    <x18tc:extLst>
      <ext uri="{F7C98A9C-CBB3-438F-8F68-D28B6AF4A901}">
        <xltc2:checksum/>
        <xltc2:hyperlink startIndex="0" length="85" url="https://drive.google.com/file/d/1hG9ysrahwSy2DXFfyvNA18rZNKmvJUki/view?usp=drive_link"/>
      </ext>
    </x18tc:extLst>
  </x18tc:threadedComment>
  <x18tc:threadedComment ref="C667" dT="2026-04-09T12:50:32.00" personId="{d8e4f5ad-b65d-4160-a56f-197530fb7eb1}" id="{7a063a3e-459c-4802-82c6-9550a6df7774}"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AF211" dT="2025-09-26T06:01:43.00" personId="{2ddfa542-8116-4937-a057-08470d7abaab}" id="{3938943e-016a-4b4b-986e-4774de7ebd4e}" done="1">
    <x18tc:text xml:space="preserve">Solo BOLETA</x18tc:text>
  </x18tc:threadedComment>
  <x18tc:threadedComment ref="J747" dT="2026-05-27T23:59:14.00" personId="{d8e4f5ad-b65d-4160-a56f-197530fb7eb1}" id="{e00d39c5-c0a1-4566-a2c7-a71124675a53}" done="0">
    <x18tc:text xml:space="preserve">https://drive.google.com/file/d/1tFgLpuGYqhVFobHKvVOarz4QtWH_IZPk/view?usp=drive_link</x18tc:text>
    <x18tc:extLst>
      <ext uri="{F7C98A9C-CBB3-438F-8F68-D28B6AF4A901}">
        <xltc2:checksum/>
        <xltc2:hyperlink startIndex="0" length="85" url="https://drive.google.com/file/d/1tFgLpuGYqhVFobHKvVOarz4QtWH_IZPk/view?usp=drive_link"/>
      </ext>
    </x18tc:extLst>
  </x18tc:threadedComment>
  <x18tc:threadedComment ref="L18" dT="2025-05-24T20:46:22.00" personId="{d8e4f5ad-b65d-4160-a56f-197530fb7eb1}" id="{eb78fce3-d783-4b5b-b944-db1bbe4c020e}" done="0">
    <x18tc:text xml:space="preserve">https://drive.google.com/file/d/1gjVtnbtSUys223mD9EOw7r2q6LH7FmsX/view?usp=drive_link</x18tc:text>
    <x18tc:extLst>
      <ext uri="{F7C98A9C-CBB3-438F-8F68-D28B6AF4A901}">
        <xltc2:checksum/>
        <xltc2:hyperlink startIndex="0" length="85" url="https://drive.google.com/file/d/1gjVtnbtSUys223mD9EOw7r2q6LH7FmsX/view?usp=drive_link"/>
      </ext>
    </x18tc:extLst>
  </x18tc:threadedComment>
  <x18tc:threadedComment ref="J765" dT="2026-05-27T23:57:00.00" personId="{d8e4f5ad-b65d-4160-a56f-197530fb7eb1}" id="{fc94081e-acc0-419e-a53f-e4691bdeb7a0}" done="0">
    <x18tc:text xml:space="preserve">https://drive.google.com/file/d/1Dy28tMlmZAYU-7Vbb7CyizW-uD0arzqW/view?usp=drive_link</x18tc:text>
    <x18tc:extLst>
      <ext uri="{F7C98A9C-CBB3-438F-8F68-D28B6AF4A901}">
        <xltc2:checksum/>
        <xltc2:hyperlink startIndex="0" length="85" url="https://drive.google.com/file/d/1Dy28tMlmZAYU-7Vbb7CyizW-uD0arzqW/view?usp=drive_link"/>
      </ext>
    </x18tc:extLst>
  </x18tc:threadedComment>
  <x18tc:threadedComment ref="J570" dT="2026-02-26T22:00:43.00" personId="{68efe3e3-8b68-4e02-81e2-a29fa228b211}" id="{abf9b654-bfd0-4e14-a6ce-bf728333ce0f}" done="0">
    <x18tc:text xml:space="preserve">https://drive.google.com/file/d/1GIT18ACaMJebqJpZ3lon46T43pQcGcNG/view?usp=drive_link</x18tc:text>
    <x18tc:extLst>
      <ext uri="{F7C98A9C-CBB3-438F-8F68-D28B6AF4A901}">
        <xltc2:checksum/>
        <xltc2:hyperlink startIndex="0" length="85" url="https://drive.google.com/file/d/1GIT18ACaMJebqJpZ3lon46T43pQcGcNG/view?usp=drive_link"/>
      </ext>
    </x18tc:extLst>
  </x18tc:threadedComment>
  <x18tc:threadedComment ref="J70" dT="2025-05-24T20:48:55.00" personId="{d8e4f5ad-b65d-4160-a56f-197530fb7eb1}" id="{021ff332-6fba-42c8-9c82-46031a14d5c2}" done="0">
    <x18tc:text xml:space="preserve">https://drive.google.com/file/d/15u1kbCfRWy54OMemecBA9PTugDgwbD-N/view?usp=drive_link</x18tc:text>
    <x18tc:extLst>
      <ext uri="{F7C98A9C-CBB3-438F-8F68-D28B6AF4A901}">
        <xltc2:checksum/>
        <xltc2:hyperlink startIndex="0" length="85" url="https://drive.google.com/file/d/15u1kbCfRWy54OMemecBA9PTugDgwbD-N/view?usp=drive_link"/>
      </ext>
    </x18tc:extLst>
  </x18tc:threadedComment>
  <x18tc:threadedComment ref="J310" dT="2025-11-26T23:08:14.00" personId="{4df2d6c4-e43e-4f2e-b623-d90f458472ff}" id="{81bd0dd1-39ad-432f-b4ca-0e98a931ab30}" done="0">
    <x18tc:text xml:space="preserve">https://drive.google.com/file/d/16RcuGeXOLuXdoytHA3JOKbU0PxBZX3Dv/view?usp=drive_link</x18tc:text>
    <x18tc:extLst>
      <ext uri="{F7C98A9C-CBB3-438F-8F68-D28B6AF4A901}">
        <xltc2:checksum/>
        <xltc2:hyperlink startIndex="0" length="85" url="https://drive.google.com/file/d/16RcuGeXOLuXdoytHA3JOKbU0PxBZX3Dv/view?usp=drive_link"/>
      </ext>
    </x18tc:extLst>
  </x18tc:threadedComment>
  <x18tc:threadedComment ref="J571" dT="2026-02-26T23:06:59.00" personId="{a5d43f6d-3c72-4414-b012-8f52ef50acc4}" id="{e4e73d01-e359-4823-a691-fc6df6f4df88}" done="0">
    <x18tc:text xml:space="preserve">https://drive.google.com/file/d/1Zhl1ivwsjXDsRC8ELZsxsJ4LImWPiX7N/view?usp=drive_link</x18tc:text>
    <x18tc:extLst>
      <ext uri="{F7C98A9C-CBB3-438F-8F68-D28B6AF4A901}">
        <xltc2:checksum/>
        <xltc2:hyperlink startIndex="0" length="85" url="https://drive.google.com/file/d/1Zhl1ivwsjXDsRC8ELZsxsJ4LImWPiX7N/view?usp=drive_link"/>
      </ext>
    </x18tc:extLst>
  </x18tc:threadedComment>
  <x18tc:threadedComment ref="C735" dT="2026-05-06T21:36:16.00" personId="{f9b224d0-ee33-4499-ae47-db5bcd2d0435}" id="{a8e4bac0-bd67-408c-a883-18ccd454bacc}" done="0">
    <x18tc:text xml:space="preserve">https://www.ebay.com/itm/326685495041</x18tc:text>
    <x18tc:extLst>
      <ext uri="{F7C98A9C-CBB3-438F-8F68-D28B6AF4A901}">
        <xltc2:checksum/>
        <xltc2:hyperlink startIndex="0" length="37" url="https://www.ebay.com/itm/326685495041"/>
      </ext>
    </x18tc:extLst>
  </x18tc:threadedComment>
  <x18tc:threadedComment ref="J265" dT="2025-10-11T03:04:59.00" personId="{a5d43f6d-3c72-4414-b012-8f52ef50acc4}" id="{dc57ca54-e8c3-4d8b-828d-97b306afd195}" done="0">
    <x18tc:text xml:space="preserve">https://drive.google.com/file/d/1IRSBMDTLb0gwtsWk0IJvFIFt-28gKN8B/view?usp=sharing</x18tc:text>
    <x18tc:extLst>
      <ext uri="{F7C98A9C-CBB3-438F-8F68-D28B6AF4A901}">
        <xltc2:checksum/>
        <xltc2:hyperlink startIndex="0" length="82" url="https://drive.google.com/file/d/1IRSBMDTLb0gwtsWk0IJvFIFt-28gKN8B/view?usp=sharing"/>
      </ext>
    </x18tc:extLst>
  </x18tc:threadedComment>
  <x18tc:threadedComment ref="C791" dT="2026-06-18T17:49:35.00" personId="{d8e4f5ad-b65d-4160-a56f-197530fb7eb1}" id="{e5b89fbd-701d-486d-92dd-0a9b0b093e4b}"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D571" dT="2026-02-26T23:05:53.00" personId="{a5d43f6d-3c72-4414-b012-8f52ef50acc4}" id="{84f6c699-ab3b-40e9-a067-62d1e981c8f8}" done="0">
    <x18tc:text xml:space="preserve">75460315</x18tc:text>
  </x18tc:threadedComment>
  <x18tc:threadedComment ref="AF229" dT="2025-09-26T07:13:40.00" personId="{2ddfa542-8116-4937-a057-08470d7abaab}" id="{bf5b4a87-5858-47fb-b1a6-2d3903d4b020}" done="1">
    <x18tc:text xml:space="preserve">Voucher, precio dolares</x18tc:text>
  </x18tc:threadedComment>
  <x18tc:threadedComment ref="K577" dT="2026-03-11T19:42:55.00" personId="{d8e4f5ad-b65d-4160-a56f-197530fb7eb1}" id="{c5a31819-e88b-45c0-9a89-9c515c7eab13}" done="0">
    <x18tc:text xml:space="preserve">https://drive.google.com/file/d/13loh89Q3OBcCcv-QYz7p5prZqfRah5-S/view?usp=drive_link</x18tc:text>
    <x18tc:extLst>
      <ext uri="{F7C98A9C-CBB3-438F-8F68-D28B6AF4A901}">
        <xltc2:checksum/>
        <xltc2:hyperlink startIndex="0" length="85" url="https://drive.google.com/file/d/13loh89Q3OBcCcv-QYz7p5prZqfRah5-S/view?usp=drive_link"/>
      </ext>
    </x18tc:extLst>
  </x18tc:threadedComment>
  <x18tc:threadedComment ref="K577" dT="2026-03-11T22:28:13.00" personId="{d8e4f5ad-b65d-4160-a56f-197530fb7eb1}" id="{133c5dc2-ba8c-4596-926a-4967099cb4af}" parentId="{c5a31819-e88b-45c0-9a89-9c515c7eab13}">
    <x18tc:text xml:space="preserve">https://drive.google.com/file/d/1yykoEFGILdmj5nWYpPTKjMnaa9cnklKh/view?usp=drive_link</x18tc:text>
    <x18tc:extLst>
      <ext uri="{F7C98A9C-CBB3-438F-8F68-D28B6AF4A901}">
        <xltc2:checksum/>
        <xltc2:hyperlink startIndex="0" length="85" url="https://drive.google.com/file/d/1yykoEFGILdmj5nWYpPTKjMnaa9cnklKh/view?usp=drive_link"/>
      </ext>
    </x18tc:extLst>
  </x18tc:threadedComment>
  <x18tc:threadedComment ref="K577" dT="2026-03-12T17:24:58.00" personId="{d8e4f5ad-b65d-4160-a56f-197530fb7eb1}" id="{21d30bf8-1183-4b2d-9938-58c7d5d86a1a}" parentId="{c5a31819-e88b-45c0-9a89-9c515c7eab13}">
    <x18tc:text xml:space="preserve">https://drive.google.com/file/d/17bSvfuM2W7N8-5RaEZKtVE6qG0paaNfU/view?usp=drive_link</x18tc:text>
    <x18tc:extLst>
      <ext uri="{F7C98A9C-CBB3-438F-8F68-D28B6AF4A901}">
        <xltc2:checksum/>
        <xltc2:hyperlink startIndex="0" length="85" url="https://drive.google.com/file/d/17bSvfuM2W7N8-5RaEZKtVE6qG0paaNfU/view?usp=drive_link"/>
      </ext>
    </x18tc:extLst>
  </x18tc:threadedComment>
  <x18tc:threadedComment ref="W376" dT="2025-12-03T00:27:54.00" personId="{4df2d6c4-e43e-4f2e-b623-d90f458472ff}" id="{e6cdbbae-8097-42ef-812b-8e5160c5eed0}" done="0">
    <x18tc:text xml:space="preserve">https://drive.google.com/file/d/1pj0TpSvWq1bEQgtdCzcBZD98C-WhIazR/view?usp=drive_link</x18tc:text>
    <x18tc:extLst>
      <ext uri="{F7C98A9C-CBB3-438F-8F68-D28B6AF4A901}">
        <xltc2:checksum/>
        <xltc2:hyperlink startIndex="0" length="85" url="https://drive.google.com/file/d/1pj0TpSvWq1bEQgtdCzcBZD98C-WhIazR/view?usp=drive_link"/>
      </ext>
    </x18tc:extLst>
  </x18tc:threadedComment>
  <x18tc:threadedComment ref="K629" dT="2026-04-25T22:42:56.00" personId="{4df2d6c4-e43e-4f2e-b623-d90f458472ff}" id="{298204a1-aabf-4496-98fb-b79de2a8adca}" done="0">
    <x18tc:text xml:space="preserve">https://drive.google.com/file/d/14VHSw7lqFI0awm8FrMj35YjaEIPNY8do/view?usp=drive_link</x18tc:text>
    <x18tc:extLst>
      <ext uri="{F7C98A9C-CBB3-438F-8F68-D28B6AF4A901}">
        <xltc2:checksum/>
        <xltc2:hyperlink startIndex="0" length="85" url="https://drive.google.com/file/d/14VHSw7lqFI0awm8FrMj35YjaEIPNY8do/view?usp=drive_link"/>
      </ext>
    </x18tc:extLst>
  </x18tc:threadedComment>
  <x18tc:threadedComment ref="L148" dT="2025-08-06T01:35:55.00" personId="{4df2d6c4-e43e-4f2e-b623-d90f458472ff}" id="{ab3a2720-4079-4686-8406-51c7d9ac6a27}" done="0">
    <x18tc:text xml:space="preserve">https://drive.google.com/file/d/1rj5ucFEbmDymm0_ZpSBiBqu_2ncxwWk8/view?usp=drive_link</x18tc:text>
    <x18tc:extLst>
      <ext uri="{F7C98A9C-CBB3-438F-8F68-D28B6AF4A901}">
        <xltc2:checksum/>
        <xltc2:hyperlink startIndex="0" length="85" url="https://drive.google.com/file/d/1rj5ucFEbmDymm0_ZpSBiBqu_2ncxwWk8/view?usp=drive_link"/>
      </ext>
    </x18tc:extLst>
  </x18tc:threadedComment>
  <x18tc:threadedComment ref="C770" dT="2026-05-31T02:40:23.00" personId="{d8e4f5ad-b65d-4160-a56f-197530fb7eb1}" id="{354fe2f3-d8f7-4400-98d6-b63326e4d388}" done="0">
    <x18tc:text xml:space="preserve">https://www.bhphotovideo.com/c/product/1875949-REG/lenovo_83f50052us_16_legion_pro_7.html</x18tc:text>
    <x18tc:extLst>
      <ext uri="{F7C98A9C-CBB3-438F-8F68-D28B6AF4A901}">
        <xltc2:checksum/>
        <xltc2:hyperlink startIndex="0" length="89" url="https://www.bhphotovideo.com/c/product/1875949-REG/lenovo_83f50052us_16_legion_pro_7.html"/>
      </ext>
    </x18tc:extLst>
  </x18tc:threadedComment>
  <x18tc:threadedComment ref="J592" dT="2026-04-08T17:01:53.00" personId="{4df2d6c4-e43e-4f2e-b623-d90f458472ff}" id="{3c8f7b9b-7eae-459e-aabe-e2224e3a5997}" done="0">
    <x18tc:text xml:space="preserve">https://drive.google.com/file/d/1_o3jXzaT3ZXQ-u2CRzXIhrNVmYwVwldF/view?usp=drive_link</x18tc:text>
    <x18tc:extLst>
      <ext uri="{F7C98A9C-CBB3-438F-8F68-D28B6AF4A901}">
        <xltc2:checksum/>
        <xltc2:hyperlink startIndex="0" length="85" url="https://drive.google.com/file/d/1_o3jXzaT3ZXQ-u2CRzXIhrNVmYwVwldF/view?usp=drive_link"/>
      </ext>
    </x18tc:extLst>
  </x18tc:threadedComment>
  <x18tc:threadedComment ref="AF233" dT="2025-09-26T07:26:49.00" personId="{2ddfa542-8116-4937-a057-08470d7abaab}" id="{63f2449e-0cd1-4907-9869-01c809493c20}" done="1">
    <x18tc:text xml:space="preserve">Precio</x18tc:text>
  </x18tc:threadedComment>
  <x18tc:threadedComment ref="A1" dT="2026-02-06T02:15:30.00" personId="{2ddfa542-8116-4937-a057-08470d7abaab}" id="{e3fc76c5-0edf-4932-9054-b94febdf4f65}" done="0">
    <x18tc:text xml:space="preserve">fixit, venta final, excedentes</x18tc:text>
  </x18tc:threadedComment>
  <x18tc:threadedComment ref="AF232" dT="2025-09-26T07:23:34.00" personId="{2ddfa542-8116-4937-a057-08470d7abaab}" id="{edeacdc9-c65c-4684-a30b-c294169cf9fd}" done="1">
    <x18tc:text xml:space="preserve">comprobante</x18tc:text>
  </x18tc:threadedComment>
  <x18tc:threadedComment ref="L148" dT="2025-08-06T01:35:38.00" personId="{4df2d6c4-e43e-4f2e-b623-d90f458472ff}" id="{80822388-fe92-47f6-9f2c-ba2e1e7dbb07}" done="1">
    <x18tc:text xml:space="preserve">k-e-04-13145-70539</x18tc:text>
  </x18tc:threadedComment>
  <x18tc:threadedComment ref="K549" dT="2026-03-11T18:12:29.00" personId="{d8e4f5ad-b65d-4160-a56f-197530fb7eb1}" id="{9a8163ad-fbbd-4139-ba17-f02930856503}" done="0">
    <x18tc:text xml:space="preserve">https://drive.google.com/file/d/1uHyvRr3vJPPxCKx08d1Uu5d-lyLF-cMf/view?usp=drive_link</x18tc:text>
    <x18tc:extLst>
      <ext uri="{F7C98A9C-CBB3-438F-8F68-D28B6AF4A901}">
        <xltc2:checksum/>
        <xltc2:hyperlink startIndex="0" length="85" url="https://drive.google.com/file/d/1uHyvRr3vJPPxCKx08d1Uu5d-lyLF-cMf/view?usp=drive_link"/>
      </ext>
    </x18tc:extLst>
  </x18tc:threadedComment>
  <x18tc:threadedComment ref="K549" dT="2026-03-11T18:12:44.00" personId="{d8e4f5ad-b65d-4160-a56f-197530fb7eb1}" id="{7bd8edf6-e19e-447d-a8c5-5132f24e6d9a}" parentId="{9a8163ad-fbbd-4139-ba17-f02930856503}">
    <x18tc:text xml:space="preserve">https://drive.google.com/file/d/13HlBhrdNijtwkgjIcl_0FLBJxm-e9k4b/view?usp=drive_link</x18tc:text>
    <x18tc:extLst>
      <ext uri="{F7C98A9C-CBB3-438F-8F68-D28B6AF4A901}">
        <xltc2:checksum/>
        <xltc2:hyperlink startIndex="0" length="85" url="https://drive.google.com/file/d/13HlBhrdNijtwkgjIcl_0FLBJxm-e9k4b/view?usp=drive_link"/>
      </ext>
    </x18tc:extLst>
  </x18tc:threadedComment>
  <x18tc:threadedComment ref="K704" dT="2026-04-25T21:24:25.00" personId="{a5d43f6d-3c72-4414-b012-8f52ef50acc4}" id="{513ec1c6-1a99-453b-8934-74dd436896c4}" done="0">
    <x18tc:text xml:space="preserve">https://drive.google.com/file/d/1Yk2gVa11F6vbUGL7hd4Ba4l6N8khpgSM/view?usp=drive_link</x18tc:text>
    <x18tc:extLst>
      <ext uri="{F7C98A9C-CBB3-438F-8F68-D28B6AF4A901}">
        <xltc2:checksum/>
        <xltc2:hyperlink startIndex="0" length="85" url="https://drive.google.com/file/d/1Yk2gVa11F6vbUGL7hd4Ba4l6N8khpgSM/view?usp=drive_link"/>
      </ext>
    </x18tc:extLst>
  </x18tc:threadedComment>
  <x18tc:threadedComment ref="K627" dT="2026-04-08T17:05:41.00" personId="{4df2d6c4-e43e-4f2e-b623-d90f458472ff}" id="{d5767a1a-a309-4dc7-869d-93d0bf4e56a8}" done="0">
    <x18tc:text xml:space="preserve">https://drive.google.com/file/d/1x7EZF2Yb7I_QImqiXAhBekvT934R4TN3/view?usp=drive_link</x18tc:text>
    <x18tc:extLst>
      <ext uri="{F7C98A9C-CBB3-438F-8F68-D28B6AF4A901}">
        <xltc2:checksum/>
        <xltc2:hyperlink startIndex="0" length="85" url="https://drive.google.com/file/d/1x7EZF2Yb7I_QImqiXAhBekvT934R4TN3/view?usp=drive_link"/>
      </ext>
    </x18tc:extLst>
  </x18tc:threadedComment>
  <x18tc:threadedComment ref="K627" dT="2026-04-08T17:06:09.00" personId="{4df2d6c4-e43e-4f2e-b623-d90f458472ff}" id="{cb94cec7-7aef-4d34-9fc7-932d630e506a}" parentId="{d5767a1a-a309-4dc7-869d-93d0bf4e56a8}">
    <x18tc:text xml:space="preserve">https://drive.google.com/file/d/1qWTouQILpgybd58aayc5e7JNVvZuyTOv/view?usp=drive_link</x18tc:text>
    <x18tc:extLst>
      <ext uri="{F7C98A9C-CBB3-438F-8F68-D28B6AF4A901}">
        <xltc2:checksum/>
        <xltc2:hyperlink startIndex="0" length="85" url="https://drive.google.com/file/d/1qWTouQILpgybd58aayc5e7JNVvZuyTOv/view?usp=drive_link"/>
      </ext>
    </x18tc:extLst>
  </x18tc:threadedComment>
  <x18tc:threadedComment ref="J596" dT="2026-03-11T20:34:50.00" personId="{d8e4f5ad-b65d-4160-a56f-197530fb7eb1}" id="{37106a73-1a84-49cc-a100-4548c6a462fb}" done="0">
    <x18tc:text xml:space="preserve">https://drive.google.com/file/d/1_tWRw1w1Bf-iDCN4klKsM3zynxIiqx2x/view?usp=drive_link</x18tc:text>
    <x18tc:extLst>
      <ext uri="{F7C98A9C-CBB3-438F-8F68-D28B6AF4A901}">
        <xltc2:checksum/>
        <xltc2:hyperlink startIndex="0" length="85" url="https://drive.google.com/file/d/1_tWRw1w1Bf-iDCN4klKsM3zynxIiqx2x/view?usp=drive_link"/>
      </ext>
    </x18tc:extLst>
  </x18tc:threadedComment>
  <x18tc:threadedComment ref="J528" dT="2026-02-09T17:48:34.00" personId="{a5d43f6d-3c72-4414-b012-8f52ef50acc4}" id="{a698c1db-0c08-4597-9620-1f31dbbf2122}" done="0">
    <x18tc:text xml:space="preserve">https://drive.google.com/file/d/1xKUsGdI53vNmO6yrhD7-xKIgm4BLAwyw/view?usp=drive_link</x18tc:text>
    <x18tc:extLst>
      <ext uri="{F7C98A9C-CBB3-438F-8F68-D28B6AF4A901}">
        <xltc2:checksum/>
        <xltc2:hyperlink startIndex="0" length="85" url="https://drive.google.com/file/d/1xKUsGdI53vNmO6yrhD7-xKIgm4BLAwyw/view?usp=drive_link"/>
      </ext>
    </x18tc:extLst>
  </x18tc:threadedComment>
  <x18tc:threadedComment ref="O213" dT="2025-09-26T06:12:46.00" personId="{2ddfa542-8116-4937-a057-08470d7abaab}" id="{7672c09f-b9c7-436e-85f5-478babe785e0}" done="1">
    <x18tc:text xml:space="preserve">no concuerda con los 185.00</x18tc:text>
  </x18tc:threadedComment>
  <x18tc:threadedComment ref="J138" dT="2025-08-05T23:38:06.00" personId="{4df2d6c4-e43e-4f2e-b623-d90f458472ff}" id="{f7e115e4-e389-4150-89af-8a96cbee3bcc}" done="0">
    <x18tc:text xml:space="preserve">https://drive.google.com/file/d/1ns6jsa_Rum0VTj5zKAavKILKSCkwhp0h/view?usp=drive_link</x18tc:text>
    <x18tc:extLst>
      <ext uri="{F7C98A9C-CBB3-438F-8F68-D28B6AF4A901}">
        <xltc2:checksum/>
        <xltc2:hyperlink startIndex="0" length="85" url="https://drive.google.com/file/d/1ns6jsa_Rum0VTj5zKAavKILKSCkwhp0h/view?usp=drive_link"/>
      </ext>
    </x18tc:extLst>
  </x18tc:threadedComment>
  <x18tc:threadedComment ref="Q571" dT="2026-02-26T23:07:38.00" personId="{a5d43f6d-3c72-4414-b012-8f52ef50acc4}" id="{6e16a527-ccfc-455f-8322-7381e8192898}" done="0">
    <x18tc:text xml:space="preserve">apertura + configuración iniical con formateo + eset nod 32 + windows 11 pro + office 2024</x18tc:text>
  </x18tc:threadedComment>
  <x18tc:threadedComment ref="AF197" dT="2025-09-02T00:45:16.00" personId="{2ddfa542-8116-4937-a057-08470d7abaab}" id="{2b2f701d-6b51-4751-b3f9-475a3d0e4a0b}" done="1">
    <x18tc:text xml:space="preserve">Falta solo DNI
FINAL: vental final y fixit</x18tc:text>
  </x18tc:threadedComment>
  <x18tc:threadedComment ref="AF230" dT="2025-09-26T07:16:29.00" personId="{2ddfa542-8116-4937-a057-08470d7abaab}" id="{6b84d865-4992-44df-9da3-a9ca4e7056d2}" done="1">
    <x18tc:text xml:space="preserve">Voucher: Faltan 350</x18tc:text>
  </x18tc:threadedComment>
  <x18tc:threadedComment ref="Q528" dT="2026-02-09T17:49:08.00" personId="{a5d43f6d-3c72-4414-b012-8f52ef50acc4}" id="{f7588713-5675-4187-bf70-985eb367c50c}" done="0">
    <x18tc:text xml:space="preserve">office 2024 + eset nod 32 + windows 11 pro + apertura con configuración inicial con formateo</x18tc:text>
  </x18tc:threadedComment>
  <x18tc:threadedComment ref="K621" dT="2026-03-31T00:47:33.00" personId="{80195d68-4e9b-4dc7-a031-ca5391c97d0f}" id="{3d51677b-0dca-4a38-b81a-6f1c02fd5487}" done="0">
    <x18tc:text xml:space="preserve">https://drive.google.com/file/d/16-WLTHBpFM4YdoYF1kka7zqX3qF4bZWw/view?usp=drive_link</x18tc:text>
    <x18tc:extLst>
      <ext uri="{F7C98A9C-CBB3-438F-8F68-D28B6AF4A901}">
        <xltc2:checksum/>
        <xltc2:hyperlink startIndex="0" length="85" url="https://drive.google.com/file/d/16-WLTHBpFM4YdoYF1kka7zqX3qF4bZWw/view?usp=drive_link"/>
      </ext>
    </x18tc:extLst>
  </x18tc:threadedComment>
  <x18tc:threadedComment ref="M195" dT="2025-08-27T19:06:32.00" personId="{a5d43f6d-3c72-4414-b012-8f52ef50acc4}" id="{9294f541-02b3-4a94-874b-1df59708d984}" done="0">
    <x18tc:text xml:space="preserve">se va a poner según en qué tienda se compre</x18tc:text>
  </x18tc:threadedComment>
  <x18tc:threadedComment ref="AI726" dT="2026-05-30T21:52:26.00" personId="{7d9bea4b-cfe7-4c29-b483-8e83a1c4f52a}" id="{d014bb46-14e9-4d15-9f6c-80fabcc7e49b}" done="0">
    <x18tc:text xml:space="preserve">https://drive.google.com/file/d/1jfiYQO4Hj18fyJc4e2fh2J1s0q57KUEi/view?usp=drive_link</x18tc:text>
    <x18tc:extLst>
      <ext uri="{F7C98A9C-CBB3-438F-8F68-D28B6AF4A901}">
        <xltc2:checksum/>
        <xltc2:hyperlink startIndex="0" length="85" url="https://drive.google.com/file/d/1jfiYQO4Hj18fyJc4e2fh2J1s0q57KUEi/view?usp=drive_link"/>
      </ext>
    </x18tc:extLst>
  </x18tc:threadedComment>
  <x18tc:threadedComment ref="A1" dT="2026-06-18T17:44:03.00" personId="{d8e4f5ad-b65d-4160-a56f-197530fb7eb1}" id="{bcb344ee-2a43-43f2-ae40-b1dea0014d80}" done="0">
    <x18tc:text xml:space="preserve">https://www.microcenter.com/product/691610/lenovo-legion-pro-7-16iax10h-oled-16-gaming-laptop-computer-eclipse-black</x18tc:text>
    <x18tc:extLst>
      <ext uri="{F7C98A9C-CBB3-438F-8F68-D28B6AF4A901}">
        <xltc2:checksum/>
        <xltc2:hyperlink startIndex="0" length="116" url="https://www.microcenter.com/product/691610/lenovo-legion-pro-7-16iax10h-oled-16-gaming-laptop-computer-eclipse-black"/>
      </ext>
    </x18tc:extLst>
  </x18tc:threadedComment>
  <x18tc:threadedComment ref="C195" dT="2025-08-27T19:06:48.00" personId="{a5d43f6d-3c72-4414-b012-8f52ef50acc4}" id="{e7c39c32-40d7-4157-8993-31e4f89c94d3}" done="0">
    <x18tc:text xml:space="preserve">https://www.microcenter.com/product/695522/dell-alienware-18-area-51-aa18250-18-gaming-laptop-computer-liquid-teal</x18tc:text>
    <x18tc:extLst>
      <ext uri="{F7C98A9C-CBB3-438F-8F68-D28B6AF4A901}">
        <xltc2:checksum/>
        <xltc2:hyperlink startIndex="0" length="114" url="https://www.microcenter.com/product/695522/dell-alienware-18-area-51-aa18250-18-gaming-laptop-computer-liquid-teal"/>
      </ext>
    </x18tc:extLst>
  </x18tc:threadedComment>
  <x18tc:threadedComment ref="K612" dT="2026-03-31T00:01:42.00" personId="{80195d68-4e9b-4dc7-a031-ca5391c97d0f}" id="{eec6dab9-c0c1-4404-842e-5962dd04a96c}" done="0">
    <x18tc:text xml:space="preserve">https://drive.google.com/file/d/17oXyJdBYcYlQbofpuiB2Wiy4Px637A1_/view?usp=drive_link</x18tc:text>
    <x18tc:extLst>
      <ext uri="{F7C98A9C-CBB3-438F-8F68-D28B6AF4A901}">
        <xltc2:checksum/>
        <xltc2:hyperlink startIndex="0" length="85" url="https://drive.google.com/file/d/17oXyJdBYcYlQbofpuiB2Wiy4Px637A1_/view?usp=drive_link"/>
      </ext>
    </x18tc:extLst>
  </x18tc:threadedComment>
  <x18tc:threadedComment ref="AF697" dT="2026-04-26T02:35:01.00" personId="{2ddfa542-8116-4937-a057-08470d7abaab}" id="{96ec8675-4053-401c-bda4-7c4f85afd76a}" done="1">
    <x18tc:text xml:space="preserve">Fixit</x18tc:text>
  </x18tc:threadedComment>
  <x18tc:threadedComment ref="J456" dT="2026-01-01T04:19:29.00" personId="{a5d43f6d-3c72-4414-b012-8f52ef50acc4}" id="{ce7332de-19de-4a0f-bfdc-ba92c967352d}" done="0">
    <x18tc:text xml:space="preserve">https://drive.google.com/file/d/1Lg3HOdb5qSYY2BS79cg8UyNd1R6oUydg/view?usp=drive_link</x18tc:text>
    <x18tc:extLst>
      <ext uri="{F7C98A9C-CBB3-438F-8F68-D28B6AF4A901}">
        <xltc2:checksum/>
        <xltc2:hyperlink startIndex="0" length="85" url="https://drive.google.com/file/d/1Lg3HOdb5qSYY2BS79cg8UyNd1R6oUydg/view?usp=drive_link"/>
      </ext>
    </x18tc:extLst>
  </x18tc:threadedComment>
  <x18tc:threadedComment ref="W350" dT="2025-11-26T22:38:27.00" personId="{2ddfa542-8116-4937-a057-08470d7abaab}" id="{24a679f8-5542-4589-b13b-5aeb6c0c740b}" done="0">
    <x18tc:text xml:space="preserve">https://drive.google.com/file/d/1HZaM2BWozENZpXkamQB2395NyR0xQq4f/view?usp=drive_link</x18tc:text>
    <x18tc:extLst>
      <ext uri="{F7C98A9C-CBB3-438F-8F68-D28B6AF4A901}">
        <xltc2:checksum/>
        <xltc2:hyperlink startIndex="0" length="85" url="https://drive.google.com/file/d/1HZaM2BWozENZpXkamQB2395NyR0xQq4f/view?usp=drive_link"/>
      </ext>
    </x18tc:extLst>
  </x18tc:threadedComment>
  <x18tc:threadedComment ref="W350" dT="2025-12-03T00:27:40.00" personId="{2ddfa542-8116-4937-a057-08470d7abaab}" id="{cc95d281-cbdd-4021-ab14-9363704331d3}" parentId="{24a679f8-5542-4589-b13b-5aeb6c0c740b}">
    <x18tc:text xml:space="preserve">https://drive.google.com/file/d/191vWYA9zuvKaC-0aWnxyw2pm7O3Wohxl/view?usp=drive_link</x18tc:text>
    <x18tc:extLst>
      <ext uri="{F7C98A9C-CBB3-438F-8F68-D28B6AF4A901}">
        <xltc2:checksum/>
        <xltc2:hyperlink startIndex="0" length="85" url="https://drive.google.com/file/d/191vWYA9zuvKaC-0aWnxyw2pm7O3Wohxl/view?usp=drive_link"/>
      </ext>
    </x18tc:extLst>
  </x18tc:threadedComment>
  <x18tc:threadedComment ref="AF704" dT="2026-04-26T02:36:19.00" personId="{2ddfa542-8116-4937-a057-08470d7abaab}" id="{10c938cc-e106-4868-90ae-60f7e1c57559}" done="1">
    <x18tc:text xml:space="preserve">fixit</x18tc:text>
  </x18tc:threadedComment>
  <x18tc:threadedComment ref="J195" dT="2025-08-27T19:06:06.00" personId="{a5d43f6d-3c72-4414-b012-8f52ef50acc4}" id="{b3c886b2-bc8f-4d99-9c89-3a390f6ec205}" done="0">
    <x18tc:text xml:space="preserve">https://drive.google.com/file/d/1Ht1qA_BiXe29_EldLKMsmF3dEPlSO_7t/view?usp=drive_link</x18tc:text>
    <x18tc:extLst>
      <ext uri="{F7C98A9C-CBB3-438F-8F68-D28B6AF4A901}">
        <xltc2:checksum/>
        <xltc2:hyperlink startIndex="0" length="85" url="https://drive.google.com/file/d/1Ht1qA_BiXe29_EldLKMsmF3dEPlSO_7t/view?usp=drive_link"/>
      </ext>
    </x18tc:extLst>
  </x18tc:threadedComment>
  <x18tc:threadedComment ref="K297" dT="2025-11-26T22:35:33.00" personId="{4df2d6c4-e43e-4f2e-b623-d90f458472ff}" id="{19e199ba-557a-42cd-9360-e7cba608b177}" done="0">
    <x18tc:text xml:space="preserve">https://drive.google.com/file/d/10G-Pys1yBRedB5vv4QSgEtaMT81nx8QM/view?usp=drive_link</x18tc:text>
    <x18tc:extLst>
      <ext uri="{F7C98A9C-CBB3-438F-8F68-D28B6AF4A901}">
        <xltc2:checksum/>
        <xltc2:hyperlink startIndex="0" length="85" url="https://drive.google.com/file/d/10G-Pys1yBRedB5vv4QSgEtaMT81nx8QM/view?usp=drive_link"/>
      </ext>
    </x18tc:extLst>
  </x18tc:threadedComment>
  <x18tc:threadedComment ref="J323" dT="2025-11-26T23:38:04.00" personId="{4df2d6c4-e43e-4f2e-b623-d90f458472ff}" id="{568af988-ebf2-4ea9-8de6-5c6f63699e66}" done="0">
    <x18tc:text xml:space="preserve">https://drive.google.com/file/d/10eOD6LPSIaeTRj3GX7_aAMUndxnt_ABB/view?usp=drive_link</x18tc:text>
    <x18tc:extLst>
      <ext uri="{F7C98A9C-CBB3-438F-8F68-D28B6AF4A901}">
        <xltc2:checksum/>
        <xltc2:hyperlink startIndex="0" length="85" url="https://drive.google.com/file/d/10eOD6LPSIaeTRj3GX7_aAMUndxnt_ABB/view?usp=drive_link"/>
      </ext>
    </x18tc:extLst>
  </x18tc:threadedComment>
  <x18tc:threadedComment ref="C754" dT="2026-05-20T23:05:42.00" personId="{80195d68-4e9b-4dc7-a031-ca5391c97d0f}" id="{54e15c94-1365-432f-9f33-a2f644ff7333}" done="0">
    <x18tc:text xml:space="preserve">https://www.ebay.com/itm/205567890136</x18tc:text>
    <x18tc:extLst>
      <ext uri="{F7C98A9C-CBB3-438F-8F68-D28B6AF4A901}">
        <xltc2:checksum/>
        <xltc2:hyperlink startIndex="0" length="37" url="https://www.ebay.com/itm/205567890136"/>
      </ext>
    </x18tc:extLst>
  </x18tc:threadedComment>
  <x18tc:threadedComment ref="AF652" dT="2026-04-26T02:53:27.00" personId="{2ddfa542-8116-4937-a057-08470d7abaab}" id="{8e098fc4-7390-45a8-ae60-1460ef81237a}" done="1">
    <x18tc:text xml:space="preserve">fixit</x18tc:text>
  </x18tc:threadedComment>
  <x18tc:threadedComment ref="C528" dT="2026-02-09T16:59:39.00" personId="{a5d43f6d-3c72-4414-b012-8f52ef50acc4}" id="{d6639508-efe3-4c40-b63e-2e50220a5d7c}" done="0">
    <x18tc:text xml:space="preserve">https://www.microcenter.com/product/698178/lenovo-legion-5-15ahp10-153-gaming-laptop-computer-eclipse-black?storeid=185</x18tc:text>
    <x18tc:extLst>
      <ext uri="{F7C98A9C-CBB3-438F-8F68-D28B6AF4A901}">
        <xltc2:checksum/>
        <xltc2:hyperlink startIndex="0" length="119" url="https://www.microcenter.com/product/698178/lenovo-legion-5-15ahp10-153-gaming-laptop-computer-eclipse-black?storeid=185"/>
      </ext>
    </x18tc:extLst>
  </x18tc:threadedComment>
  <x18tc:threadedComment ref="K641" dT="2026-04-13T22:25:22.00" personId="{d8e4f5ad-b65d-4160-a56f-197530fb7eb1}" id="{7dd0dfa1-68c3-4275-8d3c-052acf77bdb8}" done="0">
    <x18tc:text xml:space="preserve">https://drive.google.com/file/d/1l6VBrThFXox73yZRSgQApXZ6GT5mepJz/view?usp=drive_link</x18tc:text>
    <x18tc:extLst>
      <ext uri="{F7C98A9C-CBB3-438F-8F68-D28B6AF4A901}">
        <xltc2:checksum/>
        <xltc2:hyperlink startIndex="0" length="85" url="https://drive.google.com/file/d/1l6VBrThFXox73yZRSgQApXZ6GT5mepJz/view?usp=drive_link"/>
      </ext>
    </x18tc:extLst>
  </x18tc:threadedComment>
  <x18tc:threadedComment ref="K641" dT="2026-04-13T22:25:34.00" personId="{d8e4f5ad-b65d-4160-a56f-197530fb7eb1}" id="{d3ccf446-25ed-4e72-9bee-bd96f14ec030}" parentId="{7dd0dfa1-68c3-4275-8d3c-052acf77bdb8}">
    <x18tc:text xml:space="preserve">https://drive.google.com/file/d/1D20oO_KmRJbSjXWZyxlPIkXj3ncOUzfK/view?usp=drive_link</x18tc:text>
    <x18tc:extLst>
      <ext uri="{F7C98A9C-CBB3-438F-8F68-D28B6AF4A901}">
        <xltc2:checksum/>
        <xltc2:hyperlink startIndex="0" length="85" url="https://drive.google.com/file/d/1D20oO_KmRJbSjXWZyxlPIkXj3ncOUzfK/view?usp=drive_link"/>
      </ext>
    </x18tc:extLst>
  </x18tc:threadedComment>
  <x18tc:threadedComment ref="J297" dT="2025-11-26T22:33:57.00" personId="{4df2d6c4-e43e-4f2e-b623-d90f458472ff}" id="{1c90285b-9938-4e28-a2c0-ec47be1d6686}" done="0">
    <x18tc:text xml:space="preserve">https://drive.google.com/file/d/1cIUEVCG_ZKZBj6K7NoEvniApzLZFuYw4/view?usp=drive_link</x18tc:text>
    <x18tc:extLst>
      <ext uri="{F7C98A9C-CBB3-438F-8F68-D28B6AF4A901}">
        <xltc2:checksum/>
        <xltc2:hyperlink startIndex="0" length="85" url="https://drive.google.com/file/d/1cIUEVCG_ZKZBj6K7NoEvniApzLZFuYw4/view?usp=drive_link"/>
      </ext>
    </x18tc:extLst>
  </x18tc:threadedComment>
  <x18tc:threadedComment ref="Q782" dT="2026-06-26T21:18:51.00" personId="{2ddfa542-8116-4937-a057-08470d7abaab}" id="{6deae992-955f-45e2-9a14-67bc633b8a48}" done="0">
    <x18tc:text xml:space="preserve">se considera 120 de mano de obra y 100 de apertura + configuracion</x18tc:text>
  </x18tc:threadedComment>
  <x18tc:threadedComment ref="AI733" dT="2026-06-19T21:58:35.00" personId="{7d9bea4b-cfe7-4c29-b483-8e83a1c4f52a}" id="{9592bd1a-c9eb-45d6-b2a3-2d2c00522701}" done="0">
    <x18tc:text xml:space="preserve">https://drive.google.com/file/d/1CM5kXAt1Bw9qijJXT0lPIDdmBmjqmnB0/view?usp=drive_link</x18tc:text>
    <x18tc:extLst>
      <ext uri="{F7C98A9C-CBB3-438F-8F68-D28B6AF4A901}">
        <xltc2:checksum/>
        <xltc2:hyperlink startIndex="0" length="85" url="https://drive.google.com/file/d/1CM5kXAt1Bw9qijJXT0lPIDdmBmjqmnB0/view?usp=drive_link"/>
      </ext>
    </x18tc:extLst>
  </x18tc:threadedComment>
  <x18tc:threadedComment ref="J322" dT="2025-11-26T23:23:26.00" personId="{4df2d6c4-e43e-4f2e-b623-d90f458472ff}" id="{0e22d132-c626-4f17-a554-abedb5f66df3}" done="0">
    <x18tc:text xml:space="preserve">https://drive.google.com/file/d/15IxSKCc0i6pT_I5Y4zKIVCrsHADe6sXf/view?usp=drive_link</x18tc:text>
    <x18tc:extLst>
      <ext uri="{F7C98A9C-CBB3-438F-8F68-D28B6AF4A901}">
        <xltc2:checksum/>
        <xltc2:hyperlink startIndex="0" length="85" url="https://drive.google.com/file/d/15IxSKCc0i6pT_I5Y4zKIVCrsHADe6sXf/view?usp=drive_link"/>
      </ext>
    </x18tc:extLst>
  </x18tc:threadedComment>
  <x18tc:threadedComment ref="J97" dT="2025-06-23T21:54:35.00" personId="{d8e4f5ad-b65d-4160-a56f-197530fb7eb1}" id="{1519e88e-3bdd-41c0-a13b-52e0de96305a}" done="0">
    <x18tc:text xml:space="preserve">https://drive.google.com/file/d/1WFbBXCUi3cu9jrsqXyGYOPbYY_lP4FyI/view?usp=drive_link</x18tc:text>
    <x18tc:extLst>
      <ext uri="{F7C98A9C-CBB3-438F-8F68-D28B6AF4A901}">
        <xltc2:checksum/>
        <xltc2:hyperlink startIndex="0" length="85" url="https://drive.google.com/file/d/1WFbBXCUi3cu9jrsqXyGYOPbYY_lP4FyI/view?usp=drive_link"/>
      </ext>
    </x18tc:extLst>
  </x18tc:threadedComment>
  <x18tc:threadedComment ref="AF659" dT="2026-04-26T02:54:20.00" personId="{2ddfa542-8116-4937-a057-08470d7abaab}" id="{9525bc3c-b5e1-4752-b67c-4e9a5878e58f}" done="1">
    <x18tc:text xml:space="preserve">Fixit</x18tc:text>
  </x18tc:threadedComment>
  <x18tc:threadedComment ref="AF306" dT="2025-12-03T01:18:24.00" personId="{2ddfa542-8116-4937-a057-08470d7abaab}" id="{c10d5518-b8d2-4146-a667-eea0375d7c80}" done="1">
    <x18tc:text xml:space="preserve">solo forms</x18tc:text>
  </x18tc:threadedComment>
  <x18tc:threadedComment ref="J680" dT="2026-04-13T22:24:42.00" personId="{d8e4f5ad-b65d-4160-a56f-197530fb7eb1}" id="{983df107-c15d-4add-8c5e-747a872547cf}" done="0">
    <x18tc:text xml:space="preserve">https://drive.google.com/file/d/1pbDaTxKjfO_2Lje_AXItRUZu-pP878aD/view?usp=drive_link</x18tc:text>
    <x18tc:extLst>
      <ext uri="{F7C98A9C-CBB3-438F-8F68-D28B6AF4A901}">
        <xltc2:checksum/>
        <xltc2:hyperlink startIndex="0" length="85" url="https://drive.google.com/file/d/1pbDaTxKjfO_2Lje_AXItRUZu-pP878aD/view?usp=drive_link"/>
      </ext>
    </x18tc:extLst>
  </x18tc:threadedComment>
  <x18tc:threadedComment ref="K296" dT="2025-11-26T22:30:54.00" personId="{4df2d6c4-e43e-4f2e-b623-d90f458472ff}" id="{7e4e6802-b15a-4d13-8caf-d47c2a8258dd}" done="0">
    <x18tc:text xml:space="preserve">https://drive.google.com/file/d/1YdrsXpEKVjTv0MfZgMqj1SfTNda13ypI/view?usp=drive_link</x18tc:text>
    <x18tc:extLst>
      <ext uri="{F7C98A9C-CBB3-438F-8F68-D28B6AF4A901}">
        <xltc2:checksum/>
        <xltc2:hyperlink startIndex="0" length="85" url="https://drive.google.com/file/d/1YdrsXpEKVjTv0MfZgMqj1SfTNda13ypI/view?usp=drive_link"/>
      </ext>
    </x18tc:extLst>
  </x18tc:threadedComment>
  <x18tc:threadedComment ref="J321" dT="2025-11-26T23:23:05.00" personId="{4df2d6c4-e43e-4f2e-b623-d90f458472ff}" id="{ec9704ab-19a3-4c00-b9c0-a914e077f715}" done="0">
    <x18tc:text xml:space="preserve">https://drive.google.com/file/d/17sUw0IXMT7yxkQbrSXcU3XFO57AyeJwU/view?usp=drive_link</x18tc:text>
    <x18tc:extLst>
      <ext uri="{F7C98A9C-CBB3-438F-8F68-D28B6AF4A901}">
        <xltc2:checksum/>
        <xltc2:hyperlink startIndex="0" length="85" url="https://drive.google.com/file/d/17sUw0IXMT7yxkQbrSXcU3XFO57AyeJwU/view?usp=drive_link"/>
      </ext>
    </x18tc:extLst>
  </x18tc:threadedComment>
  <x18tc:threadedComment ref="J296" dT="2025-11-26T22:30:15.00" personId="{4df2d6c4-e43e-4f2e-b623-d90f458472ff}" id="{012b3aa5-5733-42f0-aaa0-61f9c10d4b75}" done="0">
    <x18tc:text xml:space="preserve">https://drive.google.com/file/d/1D7oFXdpSGX-UQJZXw4vSJvjipr415s4b/view?usp=drive_link</x18tc:text>
    <x18tc:extLst>
      <ext uri="{F7C98A9C-CBB3-438F-8F68-D28B6AF4A901}">
        <xltc2:checksum/>
        <xltc2:hyperlink startIndex="0" length="85" url="https://drive.google.com/file/d/1D7oFXdpSGX-UQJZXw4vSJvjipr415s4b/view?usp=drive_link"/>
      </ext>
    </x18tc:extLst>
  </x18tc:threadedComment>
  <x18tc:threadedComment ref="J311" dT="2025-11-26T23:08:19.00" personId="{4df2d6c4-e43e-4f2e-b623-d90f458472ff}" id="{a3830d5a-c301-4fb9-9709-1978a314e8cf}" done="0">
    <x18tc:text xml:space="preserve">https://drive.google.com/file/d/16RcuGeXOLuXdoytHA3JOKbU0PxBZX3Dv/view?usp=drive_link</x18tc:text>
    <x18tc:extLst>
      <ext uri="{F7C98A9C-CBB3-438F-8F68-D28B6AF4A901}">
        <xltc2:checksum/>
        <xltc2:hyperlink startIndex="0" length="85" url="https://drive.google.com/file/d/16RcuGeXOLuXdoytHA3JOKbU0PxBZX3Dv/view?usp=drive_link"/>
      </ext>
    </x18tc:extLst>
  </x18tc:threadedComment>
  <x18tc:threadedComment ref="J568" dT="2026-02-26T17:52:33.00" personId="{80195d68-4e9b-4dc7-a031-ca5391c97d0f}" id="{b243210c-d63b-4f3b-b685-80d3264349b4}" done="0">
    <x18tc:text xml:space="preserve">https://drive.google.com/file/d/1nq8XuawQNN-PQZ9F8rp0MKnLKJzEq0LK/view?usp=drive_link</x18tc:text>
    <x18tc:extLst>
      <ext uri="{F7C98A9C-CBB3-438F-8F68-D28B6AF4A901}">
        <xltc2:checksum/>
        <xltc2:hyperlink startIndex="0" length="85" url="https://drive.google.com/file/d/1nq8XuawQNN-PQZ9F8rp0MKnLKJzEq0LK/view?usp=drive_link"/>
      </ext>
    </x18tc:extLst>
  </x18tc:threadedComment>
  <x18tc:threadedComment ref="AI766" dT="2026-06-19T22:00:25.00" personId="{7d9bea4b-cfe7-4c29-b483-8e83a1c4f52a}" id="{e50c7d05-258c-4482-9ce7-bd569094c4d9}" done="0">
    <x18tc:text xml:space="preserve">https://drive.google.com/file/d/1Pq-HTxIbzY7TD8p_XeFcj1C3-7PIympb/view?usp=drive_link</x18tc:text>
    <x18tc:extLst>
      <ext uri="{F7C98A9C-CBB3-438F-8F68-D28B6AF4A901}">
        <xltc2:checksum/>
        <xltc2:hyperlink startIndex="0" length="85" url="https://drive.google.com/file/d/1Pq-HTxIbzY7TD8p_XeFcj1C3-7PIympb/view?usp=drive_link"/>
      </ext>
    </x18tc:extLst>
  </x18tc:threadedComment>
  <x18tc:threadedComment ref="J437" dT="2026-01-01T04:32:05.00" personId="{4df2d6c4-e43e-4f2e-b623-d90f458472ff}" id="{d63c4779-ac2d-4512-a5f9-fcef4d16c2ef}" done="0">
    <x18tc:text xml:space="preserve">https://drive.google.com/file/d/1ZyURc7C-C8vKwPbe7BBLTnIpCKIYUFoX/view?usp=drive_link</x18tc:text>
    <x18tc:extLst>
      <ext uri="{F7C98A9C-CBB3-438F-8F68-D28B6AF4A901}">
        <xltc2:checksum/>
        <xltc2:hyperlink startIndex="0" length="85" url="https://drive.google.com/file/d/1ZyURc7C-C8vKwPbe7BBLTnIpCKIYUFoX/view?usp=drive_link"/>
      </ext>
    </x18tc:extLst>
  </x18tc:threadedComment>
  <x18tc:threadedComment ref="J458" dT="2026-01-01T04:19:01.00" personId="{a5d43f6d-3c72-4414-b012-8f52ef50acc4}" id="{866b985b-42d8-4881-8b15-c6c18147e6f6}" done="1">
    <x18tc:text xml:space="preserve">https://drive.google.com/file/d/1oUyCMlozqGw2uxIqnRmh3EiA67HuGi8Z/view?usp=drive_link</x18tc:text>
    <x18tc:extLst>
      <ext uri="{F7C98A9C-CBB3-438F-8F68-D28B6AF4A901}">
        <xltc2:checksum/>
        <xltc2:hyperlink startIndex="0" length="85" url="https://drive.google.com/file/d/1oUyCMlozqGw2uxIqnRmh3EiA67HuGi8Z/view?usp=drive_link"/>
      </ext>
    </x18tc:extLst>
  </x18tc:threadedComment>
  <x18tc:threadedComment ref="J567" dT="2026-02-26T17:51:10.00" personId="{80195d68-4e9b-4dc7-a031-ca5391c97d0f}" id="{0b6f304c-9fc5-4c69-aa5c-d52d0d30a559}" done="0">
    <x18tc:text xml:space="preserve">https://drive.google.com/file/d/1dftxCqHc0FHaEVHZvAtnVaGyvPbLas11/view?usp=drive_link</x18tc:text>
    <x18tc:extLst>
      <ext uri="{F7C98A9C-CBB3-438F-8F68-D28B6AF4A901}">
        <xltc2:checksum/>
        <xltc2:hyperlink startIndex="0" length="85" url="https://drive.google.com/file/d/1dftxCqHc0FHaEVHZvAtnVaGyvPbLas11/view?usp=drive_link"/>
      </ext>
    </x18tc:extLst>
  </x18tc:threadedComment>
  <x18tc:threadedComment ref="J433" dT="2026-01-01T04:30:03.00" personId="{4df2d6c4-e43e-4f2e-b623-d90f458472ff}" id="{c2d5d531-9d10-4bff-9944-e48ba2462359}" done="0">
    <x18tc:text xml:space="preserve">https://drive.google.com/file/d/1JVwW5bNk79SOo35kPvvNfgtsWwjnX34A/view?usp=drive_link</x18tc:text>
    <x18tc:extLst>
      <ext uri="{F7C98A9C-CBB3-438F-8F68-D28B6AF4A901}">
        <xltc2:checksum/>
        <xltc2:hyperlink startIndex="0" length="85" url="https://drive.google.com/file/d/1JVwW5bNk79SOo35kPvvNfgtsWwjnX34A/view?usp=drive_link"/>
      </ext>
    </x18tc:extLst>
  </x18tc:threadedComment>
  <x18tc:threadedComment ref="J408" dT="2026-01-01T04:14:43.00" personId="{4df2d6c4-e43e-4f2e-b623-d90f458472ff}" id="{21ff70d2-5a3f-40f8-9530-bdf02d59272a}" done="0">
    <x18tc:text xml:space="preserve">https://drive.google.com/file/d/14q_NUZOo92KB7tcZkPkT8NrrodA8HADo/view?usp=drive_link</x18tc:text>
    <x18tc:extLst>
      <ext uri="{F7C98A9C-CBB3-438F-8F68-D28B6AF4A901}">
        <xltc2:checksum/>
        <xltc2:hyperlink startIndex="0" length="85" url="https://drive.google.com/file/d/14q_NUZOo92KB7tcZkPkT8NrrodA8HADo/view?usp=drive_link"/>
      </ext>
    </x18tc:extLst>
  </x18tc:threadedComment>
  <x18tc:threadedComment ref="W301" dT="2025-12-01T05:51:53.00" personId="{2ddfa542-8116-4937-a057-08470d7abaab}" id="{5042c1c9-6419-49f4-bb0d-740d95d9ba16}" done="0">
    <x18tc:text xml:space="preserve">https://drive.google.com/file/d/1wfq9zc1NJiwtp7-0DGWVdokQ5phU2cUj/view?usp=drive_link</x18tc:text>
    <x18tc:extLst>
      <ext uri="{F7C98A9C-CBB3-438F-8F68-D28B6AF4A901}">
        <xltc2:checksum/>
        <xltc2:hyperlink startIndex="0" length="85" url="https://drive.google.com/file/d/1wfq9zc1NJiwtp7-0DGWVdokQ5phU2cUj/view?usp=drive_link"/>
      </ext>
    </x18tc:extLst>
  </x18tc:threadedComment>
  <x18tc:threadedComment ref="L29" dT="2025-04-25T16:15:30.00" personId="{d8e4f5ad-b65d-4160-a56f-197530fb7eb1}" id="{8c6516cd-bf95-4dd7-9c15-4a77b1368cd5}" done="0">
    <x18tc:text xml:space="preserve">https://drive.google.com/file/d/1QDiIeZgobViuAO-bE0L1pLpJzPv_V201/view?usp=drive_link</x18tc:text>
    <x18tc:extLst>
      <ext uri="{F7C98A9C-CBB3-438F-8F68-D28B6AF4A901}">
        <xltc2:checksum/>
        <xltc2:hyperlink startIndex="0" length="85" url="https://drive.google.com/file/d/1QDiIeZgobViuAO-bE0L1pLpJzPv_V201/view?usp=drive_link"/>
      </ext>
    </x18tc:extLst>
  </x18tc:threadedComment>
  <x18tc:threadedComment ref="C568" dT="2026-02-26T17:49:20.00" personId="{80195d68-4e9b-4dc7-a031-ca5391c97d0f}" id="{2f17522d-7648-48bd-9300-210a8187cdfc}"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J797" dT="2026-06-19T22:07:26.00" personId="{d8e4f5ad-b65d-4160-a56f-197530fb7eb1}" id="{b4959f1c-1dba-4b04-8330-93eb755b1c41}" done="0">
    <x18tc:text xml:space="preserve">https://drive.google.com/file/d/1b530tTrAEHeYYVkIDUEImDIz1b6sRhYp/view?usp=drive_link</x18tc:text>
    <x18tc:extLst>
      <ext uri="{F7C98A9C-CBB3-438F-8F68-D28B6AF4A901}">
        <xltc2:checksum/>
        <xltc2:hyperlink startIndex="0" length="85" url="https://drive.google.com/file/d/1b530tTrAEHeYYVkIDUEImDIz1b6sRhYp/view?usp=drive_link"/>
      </ext>
    </x18tc:extLst>
  </x18tc:threadedComment>
  <x18tc:threadedComment ref="C600" dT="2026-03-12T22:55:56.00" personId="{f9b224d0-ee33-4499-ae47-db5bcd2d0435}" id="{ddb68a8a-38f1-4751-8363-b13d28bd405d}" done="0">
    <x18tc:text xml:space="preserve">https://www.microcenter.com/product/698178/lenovo-legion-5-15ahp10-153-gaming-laptop-computer-eclipse-black</x18tc:text>
    <x18tc:extLst>
      <ext uri="{F7C98A9C-CBB3-438F-8F68-D28B6AF4A901}">
        <xltc2:checksum/>
        <xltc2:hyperlink startIndex="0" length="107" url="https://www.microcenter.com/product/698178/lenovo-legion-5-15ahp10-153-gaming-laptop-computer-eclipse-black"/>
      </ext>
    </x18tc:extLst>
  </x18tc:threadedComment>
  <x18tc:threadedComment ref="W373" dT="2025-12-03T02:44:29.00" personId="{4df2d6c4-e43e-4f2e-b623-d90f458472ff}" id="{95213926-23d8-4ff5-ac0f-65ed90f17a59}" done="0">
    <x18tc:text xml:space="preserve">https://drive.google.com/file/d/1abhTI55FQB8CvWXFfUEkRCfI0i-12OjS/view?usp=drive_link</x18tc:text>
    <x18tc:extLst>
      <ext uri="{F7C98A9C-CBB3-438F-8F68-D28B6AF4A901}">
        <xltc2:checksum/>
        <xltc2:hyperlink startIndex="0" length="85" url="https://drive.google.com/file/d/1abhTI55FQB8CvWXFfUEkRCfI0i-12OjS/view?usp=drive_link"/>
      </ext>
    </x18tc:extLst>
  </x18tc:threadedComment>
  <x18tc:threadedComment ref="J679" dT="2026-04-13T22:24:25.00" personId="{d8e4f5ad-b65d-4160-a56f-197530fb7eb1}" id="{dae9c46a-2bc8-4f81-bc23-a0a20e3064e8}" done="0">
    <x18tc:text xml:space="preserve">https://drive.google.com/file/d/13P1JkAzabzkpPTq3arMw7bbd9a00Km5A/view?usp=drive_link</x18tc:text>
    <x18tc:extLst>
      <ext uri="{F7C98A9C-CBB3-438F-8F68-D28B6AF4A901}">
        <xltc2:checksum/>
        <xltc2:hyperlink startIndex="0" length="85" url="https://drive.google.com/file/d/13P1JkAzabzkpPTq3arMw7bbd9a00Km5A/view?usp=drive_link"/>
      </ext>
    </x18tc:extLst>
  </x18tc:threadedComment>
  <x18tc:threadedComment ref="C456" dT="2026-01-01T03:26:56.00" personId="{a5d43f6d-3c72-4414-b012-8f52ef50acc4}" id="{431bb418-f3de-469d-9bf9-aca4dc309b15}" done="0">
    <x18tc:text xml:space="preserve">https://www.ebay.com/itm/227080330017</x18tc:text>
    <x18tc:extLst>
      <ext uri="{F7C98A9C-CBB3-438F-8F68-D28B6AF4A901}">
        <xltc2:checksum/>
        <xltc2:hyperlink startIndex="0" length="37" url="https://www.ebay.com/itm/227080330017"/>
      </ext>
    </x18tc:extLst>
  </x18tc:threadedComment>
  <x18tc:threadedComment ref="K344" dT="2025-12-19T00:51:32.00" personId="{d8e4f5ad-b65d-4160-a56f-197530fb7eb1}" id="{29adb16d-0c1e-4645-babc-3b96e0c4604f}" done="0">
    <x18tc:text xml:space="preserve">https://drive.google.com/file/d/1NJPkAfp_HaHyi8ipfYfRbglmay0TpJUl/view?usp=drive_link</x18tc:text>
    <x18tc:extLst>
      <ext uri="{F7C98A9C-CBB3-438F-8F68-D28B6AF4A901}">
        <xltc2:checksum/>
        <xltc2:hyperlink startIndex="0" length="85" url="https://drive.google.com/file/d/1NJPkAfp_HaHyi8ipfYfRbglmay0TpJUl/view?usp=drive_link"/>
      </ext>
    </x18tc:extLst>
  </x18tc:threadedComment>
  <x18tc:threadedComment ref="J414" dT="2026-01-01T04:25:17.00" personId="{4df2d6c4-e43e-4f2e-b623-d90f458472ff}" id="{b93dea92-fdfb-4ebe-b7d4-06ff385fd168}" done="0">
    <x18tc:text xml:space="preserve">https://drive.google.com/file/d/1-OHMJjOKqWq9hgEuTwg8_Hj8bOsCuuCE/view?usp=drive_link</x18tc:text>
    <x18tc:extLst>
      <ext uri="{F7C98A9C-CBB3-438F-8F68-D28B6AF4A901}">
        <xltc2:checksum/>
        <xltc2:hyperlink startIndex="0" length="85" url="https://drive.google.com/file/d/1-OHMJjOKqWq9hgEuTwg8_Hj8bOsCuuCE/view?usp=drive_link"/>
      </ext>
    </x18tc:extLst>
  </x18tc:threadedComment>
  <x18tc:threadedComment ref="J414" dT="2026-01-01T04:25:48.00" personId="{4df2d6c4-e43e-4f2e-b623-d90f458472ff}" id="{5ca0551d-5a07-445e-bcb3-c086a1667b4b}" parentId="{b93dea92-fdfb-4ebe-b7d4-06ff385fd168}">
    <x18tc:text xml:space="preserve">https://drive.google.com/file/d/1awyF8NqC2Vn7rhsHxDB2Wk_jO-t2wUfH/view?usp=drive_link</x18tc:text>
    <x18tc:extLst>
      <ext uri="{F7C98A9C-CBB3-438F-8F68-D28B6AF4A901}">
        <xltc2:checksum/>
        <xltc2:hyperlink startIndex="0" length="85" url="https://drive.google.com/file/d/1awyF8NqC2Vn7rhsHxDB2Wk_jO-t2wUfH/view?usp=drive_link"/>
      </ext>
    </x18tc:extLst>
  </x18tc:threadedComment>
  <x18tc:threadedComment ref="J414" dT="2026-01-01T04:26:01.00" personId="{4df2d6c4-e43e-4f2e-b623-d90f458472ff}" id="{f0663d57-4f37-401f-b098-ac87a40e4294}" parentId="{b93dea92-fdfb-4ebe-b7d4-06ff385fd168}">
    <x18tc:text xml:space="preserve">https://drive.google.com/file/d/1T5IArb-6pTwD9h6JuqU81tIGS0s24WFf/view?usp=drive_link</x18tc:text>
    <x18tc:extLst>
      <ext uri="{F7C98A9C-CBB3-438F-8F68-D28B6AF4A901}">
        <xltc2:checksum/>
        <xltc2:hyperlink startIndex="0" length="85" url="https://drive.google.com/file/d/1T5IArb-6pTwD9h6JuqU81tIGS0s24WFf/view?usp=drive_link"/>
      </ext>
    </x18tc:extLst>
  </x18tc:threadedComment>
  <x18tc:threadedComment ref="J340" dT="2025-11-27T00:23:50.00" personId="{4df2d6c4-e43e-4f2e-b623-d90f458472ff}" id="{dc0f6c78-bec7-4458-bf77-cf3e955c49bf}" done="0">
    <x18tc:text xml:space="preserve">https://drive.google.com/open?id=1VNCSfrZoaZG0_RhICeSFKuaXtRQFrvbs&amp;usp=drive_copy</x18tc:text>
    <x18tc:extLst>
      <ext uri="{F7C98A9C-CBB3-438F-8F68-D28B6AF4A901}">
        <xltc2:checksum/>
        <xltc2:hyperlink startIndex="0" length="81" url="https://drive.google.com/open?id=1VNCSfrZoaZG0_RhICeSFKuaXtRQFrvbs&amp;usp=drive_copy"/>
      </ext>
    </x18tc:extLst>
  </x18tc:threadedComment>
  <x18tc:threadedComment ref="J340" dT="2025-11-27T00:24:11.00" personId="{4df2d6c4-e43e-4f2e-b623-d90f458472ff}" id="{48cb3c4e-772e-47d9-b7f6-6c0914bb61d0}" parentId="{dc0f6c78-bec7-4458-bf77-cf3e955c49bf}">
    <x18tc:text xml:space="preserve">https://drive.google.com/file/d/1Mb31Ce2gJbK0Jn3eG4IIqQ-AnYBu0hbd/view?usp=drive_link</x18tc:text>
    <x18tc:extLst>
      <ext uri="{F7C98A9C-CBB3-438F-8F68-D28B6AF4A901}">
        <xltc2:checksum/>
        <xltc2:hyperlink startIndex="0" length="85" url="https://drive.google.com/file/d/1Mb31Ce2gJbK0Jn3eG4IIqQ-AnYBu0hbd/view?usp=drive_link"/>
      </ext>
    </x18tc:extLst>
  </x18tc:threadedComment>
  <x18tc:threadedComment ref="J340" dT="2025-11-27T00:24:29.00" personId="{4df2d6c4-e43e-4f2e-b623-d90f458472ff}" id="{ce15c508-ad0a-4e95-aa86-264974db97b2}" parentId="{dc0f6c78-bec7-4458-bf77-cf3e955c49bf}">
    <x18tc:text xml:space="preserve">https://drive.google.com/file/d/1p5Lzmgwuz3xQDRpleowZEszjAbgNCp1R/view?usp=drive_link</x18tc:text>
    <x18tc:extLst>
      <ext uri="{F7C98A9C-CBB3-438F-8F68-D28B6AF4A901}">
        <xltc2:checksum/>
        <xltc2:hyperlink startIndex="0" length="85" url="https://drive.google.com/file/d/1p5Lzmgwuz3xQDRpleowZEszjAbgNCp1R/view?usp=drive_link"/>
      </ext>
    </x18tc:extLst>
  </x18tc:threadedComment>
  <x18tc:threadedComment ref="L156" dT="2025-08-05T16:14:49.00" personId="{d8e4f5ad-b65d-4160-a56f-197530fb7eb1}" id="{8a45787c-3a65-4bdd-8734-8924cb9e845d}" done="0">
    <x18tc:text xml:space="preserve">https://drive.google.com/file/d/1pHKAF16bT5ozFQj6lwTO1lASHHrPKyvY/view?usp=drive_link</x18tc:text>
    <x18tc:extLst>
      <ext uri="{F7C98A9C-CBB3-438F-8F68-D28B6AF4A901}">
        <xltc2:checksum/>
        <xltc2:hyperlink startIndex="0" length="85" url="https://drive.google.com/file/d/1pHKAF16bT5ozFQj6lwTO1lASHHrPKyvY/view?usp=drive_link"/>
      </ext>
    </x18tc:extLst>
  </x18tc:threadedComment>
  <x18tc:threadedComment ref="F417" dT="2025-12-19T00:53:37.00" personId="{6afbe8df-a68a-4403-9951-ca8c0d21ef43}" id="{0b32227d-8212-4454-babc-5c5b5022c2c3}" done="0">
    <x18tc:text xml:space="preserve">@yolinette152@gmail.com revisar si mañana no lo cancelan</x18tc:text>
    <x18tc:mentions>
      <x18tc:mention mentionpersonId="{175ceed9-6dd2-4dd9-a576-ccc719bb1072}" mentionId="{d02ffbe4-92e1-4d0b-8caf-acc4d0a2a0bf}" startIndex="0" length="23"/>
    </x18tc:mentions>
  </x18tc:threadedComment>
  <x18tc:threadedComment ref="F417" dT="2025-12-19T16:49:27.00" personId="{2ddfa542-8116-4937-a057-08470d7abaab}" id="{9b23a486-44d9-4706-b811-63b9d8d933d4}" parentId="{0b32227d-8212-4454-babc-5c5b5022c2c3}">
    <x18tc:text xml:space="preserve">No la cancelaron, está en camino</x18tc:text>
  </x18tc:threadedComment>
  <x18tc:threadedComment ref="Q569" dT="2026-02-26T18:00:20.00" personId="{a5d43f6d-3c72-4414-b012-8f52ef50acc4}" id="{7545b35b-7caa-44d4-a58f-0cfa0a52198f}" done="0">
    <x18tc:text xml:space="preserve">cconfiguración inicial + office 2024</x18tc:text>
  </x18tc:threadedComment>
  <x18tc:threadedComment ref="K257" dT="2025-12-02T22:35:36.00" personId="{d8e4f5ad-b65d-4160-a56f-197530fb7eb1}" id="{925a6e63-2ce2-418d-b46a-bd0d9f96dcca}" done="0">
    <x18tc:text xml:space="preserve">https://drive.google.com/file/d/1GK3BYH-hWOruckz5lxFAneBcYaOkqfE1/view?usp=drive_link</x18tc:text>
    <x18tc:extLst>
      <ext uri="{F7C98A9C-CBB3-438F-8F68-D28B6AF4A901}">
        <xltc2:checksum/>
        <xltc2:hyperlink startIndex="0" length="85" url="https://drive.google.com/file/d/1GK3BYH-hWOruckz5lxFAneBcYaOkqfE1/view?usp=drive_link"/>
      </ext>
    </x18tc:extLst>
  </x18tc:threadedComment>
  <x18tc:threadedComment ref="J542" dT="2026-02-14T23:19:23.00" personId="{68efe3e3-8b68-4e02-81e2-a29fa228b211}" id="{9c5291d0-d347-4616-8fa5-547a86884a1f}" done="0">
    <x18tc:text xml:space="preserve">https://drive.google.com/file/d/1jiDjc44V5J7O9Nqv6ZzWoOK0wllyTuMf/view?usp=drive_link</x18tc:text>
    <x18tc:extLst>
      <ext uri="{F7C98A9C-CBB3-438F-8F68-D28B6AF4A901}">
        <xltc2:checksum/>
        <xltc2:hyperlink startIndex="0" length="85" url="https://drive.google.com/file/d/1jiDjc44V5J7O9Nqv6ZzWoOK0wllyTuMf/view?usp=drive_link"/>
      </ext>
    </x18tc:extLst>
  </x18tc:threadedComment>
  <x18tc:threadedComment ref="J417" dT="2026-01-01T04:27:57.00" personId="{4df2d6c4-e43e-4f2e-b623-d90f458472ff}" id="{ceb1ef0b-0e5b-40b6-be6f-509a89f7e4b6}" done="0">
    <x18tc:text xml:space="preserve">https://drive.google.com/file/d/17BHfrUmR-3QJsZovCiVGzZBDDRAJcwUr/view?usp=drive_link</x18tc:text>
    <x18tc:extLst>
      <ext uri="{F7C98A9C-CBB3-438F-8F68-D28B6AF4A901}">
        <xltc2:checksum/>
        <xltc2:hyperlink startIndex="0" length="85" url="https://drive.google.com/file/d/17BHfrUmR-3QJsZovCiVGzZBDDRAJcwUr/view?usp=drive_link"/>
      </ext>
    </x18tc:extLst>
  </x18tc:threadedComment>
  <x18tc:threadedComment ref="J325" dT="2025-11-26T23:47:40.00" personId="{4df2d6c4-e43e-4f2e-b623-d90f458472ff}" id="{fa4d6787-083f-472a-81c8-daed2d0e3a81}" done="0">
    <x18tc:text xml:space="preserve">https://drive.google.com/file/d/1_8tdAFtZw8CfXiK8QFlRP6regAmiCtUZ/view?usp=drive_link</x18tc:text>
    <x18tc:extLst>
      <ext uri="{F7C98A9C-CBB3-438F-8F68-D28B6AF4A901}">
        <xltc2:checksum/>
        <xltc2:hyperlink startIndex="0" length="85" url="https://drive.google.com/file/d/1_8tdAFtZw8CfXiK8QFlRP6regAmiCtUZ/view?usp=drive_link"/>
      </ext>
    </x18tc:extLst>
  </x18tc:threadedComment>
  <x18tc:threadedComment ref="J406" dT="2026-01-01T04:13:28.00" personId="{4df2d6c4-e43e-4f2e-b623-d90f458472ff}" id="{50ceb176-87bc-4e7d-acc7-1b7cea564d7b}" done="0">
    <x18tc:text xml:space="preserve">https://drive.google.com/file/d/1KIBH3C94-vjLItvPy_V9Pm3C8r6WkK2z/view?usp=drive_link</x18tc:text>
    <x18tc:extLst>
      <ext uri="{F7C98A9C-CBB3-438F-8F68-D28B6AF4A901}">
        <xltc2:checksum/>
        <xltc2:hyperlink startIndex="0" length="85" url="https://drive.google.com/file/d/1KIBH3C94-vjLItvPy_V9Pm3C8r6WkK2z/view?usp=drive_link"/>
      </ext>
    </x18tc:extLst>
  </x18tc:threadedComment>
  <x18tc:threadedComment ref="D569" dT="2026-02-26T17:58:44.00" personId="{a5d43f6d-3c72-4414-b012-8f52ef50acc4}" id="{22343445-fb35-4f51-862c-1924cd77a983}" done="0">
    <x18tc:text xml:space="preserve">Perez Romero Axhel Rose Treicy
70743624
935291423
Axhelrosetreicyperezromero@gmail.com</x18tc:text>
  </x18tc:threadedComment>
  <x18tc:threadedComment ref="K503" dT="2026-02-14T23:18:28.00" personId="{a5d43f6d-3c72-4414-b012-8f52ef50acc4}" id="{be75d311-64d1-4b44-ad58-ddfc26bede41}" done="0">
    <x18tc:text xml:space="preserve">https://drive.google.com/file/d/1H5g04vviDOkG8COmlqxsOxUl3u1zJjp2/view?usp=drive_link</x18tc:text>
    <x18tc:extLst>
      <ext uri="{F7C98A9C-CBB3-438F-8F68-D28B6AF4A901}">
        <xltc2:checksum/>
        <xltc2:hyperlink startIndex="0" length="85" url="https://drive.google.com/file/d/1H5g04vviDOkG8COmlqxsOxUl3u1zJjp2/view?usp=drive_link"/>
      </ext>
    </x18tc:extLst>
  </x18tc:threadedComment>
  <x18tc:threadedComment ref="J316" dT="2025-11-26T23:39:58.00" personId="{4df2d6c4-e43e-4f2e-b623-d90f458472ff}" id="{eb482d47-d344-4ff3-9d64-92db992ec619}" done="0">
    <x18tc:text xml:space="preserve">https://drive.google.com/file/d/1_BNX-6xexpVfxreia2gwEQVyFKESh5lC/view?usp=drive_link</x18tc:text>
    <x18tc:extLst>
      <ext uri="{F7C98A9C-CBB3-438F-8F68-D28B6AF4A901}">
        <xltc2:checksum/>
        <xltc2:hyperlink startIndex="0" length="85" url="https://drive.google.com/file/d/1_BNX-6xexpVfxreia2gwEQVyFKESh5lC/view?usp=drive_link"/>
      </ext>
    </x18tc:extLst>
  </x18tc:threadedComment>
  <x18tc:threadedComment ref="C457" dT="2026-01-01T03:29:01.00" personId="{a5d43f6d-3c72-4414-b012-8f52ef50acc4}" id="{c62433f3-aa46-4979-83e6-557f8d96c2ff}" done="0">
    <x18tc:text xml:space="preserve">https://www.amazon.com/-/es/Port%C3%A1til-juegos-pantalla-Nebula-pulgadas/dp/B0F1C665XL/ref=sr_1_4?__mk_es_US=%C3%85M%C3%85%C5%BD%C3%95%C3%91&amp;crid=20JCFXWCLJNW4&amp;dib=eyJ2IjoiMSJ9.YhHbHzCnqanTh_gNopTAybRXaYG0-J42gzaSzwwc-HFeEYlWh6yhyvuyCUGAri0gI7mNBYP_h1-v0AlXUm4UnYkHmPPVu1RAnZHCKtZ02WpbcK9or2JZQ9OPlVLNLhQnlSGvazyKTHo8g9uq0s06jCKArX7kV-IduWSN5tGCGvptsm-7cWNq2dJxGn2quPRDGITkxw_fJhWlgpTmnfYEF_D6eb7ZVQNb-Qzgavp2bTI.v7cVuEiCqe_P-1KnEkAEAWeLnMMB_Ax1lj_RxqJ3afc&amp;dib_tag=se&amp;keywords=laptop%2Bgaming&amp;qid=1767061992&amp;sprefix=laptop%2Bgami%2Caps%2C297&amp;sr=8-4&amp;th=1</x18tc:text>
    <x18tc:extLst>
      <ext uri="{F7C98A9C-CBB3-438F-8F68-D28B6AF4A901}">
        <xltc2:checksum/>
        <xltc2:hyperlink startIndex="0" length="554" url="https://www.amazon.com/-/es/Port%C3%A1til-juegos-pantalla-Nebula-pulgadas/dp/B0F1C665XL/ref=sr_1_4?__mk_es_US=%C3%85M%C3%85%C5%BD%C3%95%C3%91&amp;crid=20JCFXWCLJNW4&amp;dib=eyJ2IjoiMSJ9.YhHbHzCnqanTh_gNopTAybRXaYG0-J42gzaSzwwc-HFeEYlWh6yhyvuyCUGAri0gI7mNBYP_h1-v0AlXUm4UnYkHmPPVu1RAnZHCKtZ02WpbcK9or2JZQ9OPlVLNLhQnlSGvazyKTHo8g9uq0s06jCKArX7kV-IduWSN5tGCGvptsm-7cWNq2dJxGn2quPRDGITkxw_fJhWlgpTmnfYEF_D6eb7ZVQNb-Qzgavp2bTI.v7cVuEiCqe_P-1KnEkAEAWeLnMMB_Ax1lj_RxqJ3afc&amp;dib_tag=se&amp;keywords=laptop%2Bgaming&amp;qid=1767061992&amp;sprefix=laptop%2Bgami%2Caps%2C297&amp;sr=8-4&amp;th=1"/>
      </ext>
    </x18tc:extLst>
  </x18tc:threadedComment>
  <x18tc:threadedComment ref="J418" dT="2025-12-19T00:51:00.00" personId="{d8e4f5ad-b65d-4160-a56f-197530fb7eb1}" id="{a888e1ab-ee85-45af-935e-e7238568729e}" done="0">
    <x18tc:text xml:space="preserve">https://drive.google.com/file/d/1YukOJd7U4xvkJ7sIn_uerf347I-MB2CN/view?usp=drive_link</x18tc:text>
    <x18tc:extLst>
      <ext uri="{F7C98A9C-CBB3-438F-8F68-D28B6AF4A901}">
        <xltc2:checksum/>
        <xltc2:hyperlink startIndex="0" length="85" url="https://drive.google.com/file/d/1YukOJd7U4xvkJ7sIn_uerf347I-MB2CN/view?usp=drive_link"/>
      </ext>
    </x18tc:extLst>
  </x18tc:threadedComment>
  <x18tc:threadedComment ref="K557" dT="2026-03-30T22:58:08.00" personId="{d8e4f5ad-b65d-4160-a56f-197530fb7eb1}" id="{7bdf2cd2-fa70-4a1a-a6a7-88ea2db4cba4}" done="0">
    <x18tc:text xml:space="preserve">https://drive.google.com/file/d/1FWCP0m2Hcy3i8-9Wt_z3J9ciNPLQeTfd/view?usp=drive_link</x18tc:text>
    <x18tc:extLst>
      <ext uri="{F7C98A9C-CBB3-438F-8F68-D28B6AF4A901}">
        <xltc2:checksum/>
        <xltc2:hyperlink startIndex="0" length="85" url="https://drive.google.com/file/d/1FWCP0m2Hcy3i8-9Wt_z3J9ciNPLQeTfd/view?usp=drive_link"/>
      </ext>
    </x18tc:extLst>
  </x18tc:threadedComment>
  <x18tc:threadedComment ref="Q604" dT="2026-03-14T17:19:15.00" personId="{80195d68-4e9b-4dc7-a031-ca5391c97d0f}" id="{38c4b089-e4f6-4e8f-a925-91f03649f6c5}" done="0">
    <x18tc:text xml:space="preserve">config inicial+apertura+antivirus</x18tc:text>
  </x18tc:threadedComment>
  <x18tc:threadedComment ref="W319" dT="2025-12-01T05:22:30.00" personId="{2ddfa542-8116-4937-a057-08470d7abaab}" id="{aea48335-d316-4f16-a0b4-4a87327e6019}" done="0">
    <x18tc:text xml:space="preserve">https://drive.google.com/file/d/1GApoycQ8dZQ5TBN1sA63pCFNGPb61pH7/view?usp=drive_link</x18tc:text>
    <x18tc:extLst>
      <ext uri="{F7C98A9C-CBB3-438F-8F68-D28B6AF4A901}">
        <xltc2:checksum/>
        <xltc2:hyperlink startIndex="0" length="85" url="https://drive.google.com/file/d/1GApoycQ8dZQ5TBN1sA63pCFNGPb61pH7/view?usp=drive_link"/>
      </ext>
    </x18tc:extLst>
  </x18tc:threadedComment>
  <x18tc:threadedComment ref="L98" dT="2025-06-24T21:10:57.00" personId="{d8e4f5ad-b65d-4160-a56f-197530fb7eb1}" id="{8442322f-3bf6-4513-8ef2-bb7a53b2b711}" done="0">
    <x18tc:text xml:space="preserve">https://drive.google.com/file/d/1_NCDYxofRKRYMBLnJB43K-saQ_kRMZ8f/view?usp=drive_link</x18tc:text>
    <x18tc:extLst>
      <ext uri="{F7C98A9C-CBB3-438F-8F68-D28B6AF4A901}">
        <xltc2:checksum/>
        <xltc2:hyperlink startIndex="0" length="85" url="https://drive.google.com/file/d/1_NCDYxofRKRYMBLnJB43K-saQ_kRMZ8f/view?usp=drive_link"/>
      </ext>
    </x18tc:extLst>
  </x18tc:threadedComment>
  <x18tc:threadedComment ref="C603" dT="2026-03-14T16:39:33.00" personId="{d8e4f5ad-b65d-4160-a56f-197530fb7eb1}" id="{636078b1-e047-4312-a835-79e1628cb2ee}" done="0">
    <x18tc:text xml:space="preserve">https://www.microcenter.com/product/704047/msi-vector-16-hx-ai-a2xwig-420us-16-gaming-laptop-computer-cosmo-gray</x18tc:text>
    <x18tc:extLst>
      <ext uri="{F7C98A9C-CBB3-438F-8F68-D28B6AF4A901}">
        <xltc2:checksum/>
        <xltc2:hyperlink startIndex="0" length="112" url="https://www.microcenter.com/product/704047/msi-vector-16-hx-ai-a2xwig-420us-16-gaming-laptop-computer-cosmo-gray"/>
      </ext>
    </x18tc:extLst>
  </x18tc:threadedComment>
  <x18tc:threadedComment ref="W316" dT="2025-12-01T05:19:37.00" personId="{2ddfa542-8116-4937-a057-08470d7abaab}" id="{bfcefc98-dd61-4435-b79d-9344f9c9eb1a}" done="0">
    <x18tc:text xml:space="preserve">https://drive.google.com/file/d/1QtZKA-RoJNrlkQdgCKHwR3Kd-Lee_ZAn/view?usp=drive_link</x18tc:text>
    <x18tc:extLst>
      <ext uri="{F7C98A9C-CBB3-438F-8F68-D28B6AF4A901}">
        <xltc2:checksum/>
        <xltc2:hyperlink startIndex="0" length="85" url="https://drive.google.com/file/d/1QtZKA-RoJNrlkQdgCKHwR3Kd-Lee_ZAn/view?usp=drive_link"/>
      </ext>
    </x18tc:extLst>
  </x18tc:threadedComment>
  <x18tc:threadedComment ref="C543" dT="2026-02-15T00:19:44.00" personId="{68efe3e3-8b68-4e02-81e2-a29fa228b211}" id="{fb48bd94-507b-4660-a1fd-3d979343fd1f}" done="0">
    <x18tc:text xml:space="preserve">https://www.ebay.com/itm/297282597330?_skw=laptop+gaming&amp;itmmeta=01KGGK41R2TSCDJH29KB4H2A00&amp;hash=item45376c71d2:g:MpIAAeSw8PNoJCUU</x18tc:text>
    <x18tc:extLst>
      <ext uri="{F7C98A9C-CBB3-438F-8F68-D28B6AF4A901}">
        <xltc2:checksum/>
        <xltc2:hyperlink startIndex="0" length="130" url="https://www.ebay.com/itm/297282597330?_skw=laptop+gaming&amp;itmmeta=01KGGK41R2TSCDJH29KB4H2A00&amp;hash=item45376c71d2:g:MpIAAeSw8PNoJCUU"/>
      </ext>
    </x18tc:extLst>
  </x18tc:threadedComment>
  <x18tc:threadedComment ref="W347" dT="2025-12-01T05:27:09.00" personId="{2ddfa542-8116-4937-a057-08470d7abaab}" id="{22e18b83-0171-41ce-a047-0b6371d37c95}" done="0">
    <x18tc:text xml:space="preserve">https://drive.google.com/file/d/1xuhXoMvgh7wjp_rl8ySX7XVhd9hijiGU/view?usp=drive_link</x18tc:text>
    <x18tc:extLst>
      <ext uri="{F7C98A9C-CBB3-438F-8F68-D28B6AF4A901}">
        <xltc2:checksum/>
        <xltc2:hyperlink startIndex="0" length="85" url="https://drive.google.com/file/d/1xuhXoMvgh7wjp_rl8ySX7XVhd9hijiGU/view?usp=drive_link"/>
      </ext>
    </x18tc:extLst>
  </x18tc:threadedComment>
  <x18tc:threadedComment ref="K402" dT="2025-12-23T22:23:12.00" personId="{a5d43f6d-3c72-4414-b012-8f52ef50acc4}" id="{ee9f68af-2358-483a-a2ea-356dcb536bf5}" done="0">
    <x18tc:text xml:space="preserve">100 dolares del express, la srta sofía no me dijo cuánto le cobraron https://drive.google.com/file/d/1M9mgmzfZWG9y1DN-fddl_kROWh6qLXl9/view?usp=drive_link
https://drive.google.com/file/d/1YLtbgwlJqy3jjw-VjsZjpGk0rchoBXHP/view?usp=drive_link</x18tc:text>
    <x18tc:extLst>
      <ext uri="{F7C98A9C-CBB3-438F-8F68-D28B6AF4A901}">
        <xltc2:checksum/>
        <xltc2:hyperlink startIndex="69" length="85" url="https://drive.google.com/file/d/1M9mgmzfZWG9y1DN-fddl_kROWh6qLXl9/view?usp=drive_link"/>
        <xltc2:hyperlink startIndex="155" length="85" url="https://drive.google.com/file/d/1YLtbgwlJqy3jjw-VjsZjpGk0rchoBXHP/view?usp=drive_link"/>
      </ext>
    </x18tc:extLst>
  </x18tc:threadedComment>
  <x18tc:threadedComment ref="K625" dT="2026-03-30T22:34:54.00" personId="{d8e4f5ad-b65d-4160-a56f-197530fb7eb1}" id="{d405c10a-ec3e-4126-9840-548db119b72d}" done="0">
    <x18tc:text xml:space="preserve">https://drive.google.com/file/d/1Zc3lzVFcuji8DJn0nTg_W8IRywCHK8vs/view?usp=drive_link</x18tc:text>
    <x18tc:extLst>
      <ext uri="{F7C98A9C-CBB3-438F-8F68-D28B6AF4A901}">
        <xltc2:checksum/>
        <xltc2:hyperlink startIndex="0" length="85" url="https://drive.google.com/file/d/1Zc3lzVFcuji8DJn0nTg_W8IRywCHK8vs/view?usp=drive_link"/>
      </ext>
    </x18tc:extLst>
  </x18tc:threadedComment>
  <x18tc:threadedComment ref="W366" dT="2025-12-01T05:35:20.00" personId="{2ddfa542-8116-4937-a057-08470d7abaab}" id="{a996885b-3221-4c83-a904-431539810d0b}" done="0">
    <x18tc:text xml:space="preserve">https://drive.google.com/file/d/1_o2WqrM8zXiKYCEy972AL6nvw43zOb3j/view?usp=drive_link</x18tc:text>
    <x18tc:extLst>
      <ext uri="{F7C98A9C-CBB3-438F-8F68-D28B6AF4A901}">
        <xltc2:checksum/>
        <xltc2:hyperlink startIndex="0" length="85" url="https://drive.google.com/file/d/1_o2WqrM8zXiKYCEy972AL6nvw43zOb3j/view?usp=drive_link"/>
      </ext>
    </x18tc:extLst>
  </x18tc:threadedComment>
  <x18tc:threadedComment ref="P429" dT="2025-12-23T22:24:34.00" personId="{a5d43f6d-3c72-4414-b012-8f52ef50acc4}" id="{38fd9321-6d08-4c44-a6e2-a0006bf13199}" done="0">
    <x18tc:text xml:space="preserve">no te olvides joselyn del kit de regalos &gt;-&lt;</x18tc:text>
  </x18tc:threadedComment>
  <x18tc:threadedComment ref="L63" dT="2025-06-16T18:44:45.00" personId="{d8e4f5ad-b65d-4160-a56f-197530fb7eb1}" id="{10b0e1d0-7ccf-4a85-a1b5-8d2266d144ef}" done="0">
    <x18tc:text xml:space="preserve">https://drive.google.com/file/d/1NbkvNuOCGvORpfRXN3CBB8yH4fbDuewj/view?usp=drive_link</x18tc:text>
    <x18tc:extLst>
      <ext uri="{F7C98A9C-CBB3-438F-8F68-D28B6AF4A901}">
        <xltc2:checksum/>
        <xltc2:hyperlink startIndex="0" length="85" url="https://drive.google.com/file/d/1NbkvNuOCGvORpfRXN3CBB8yH4fbDuewj/view?usp=drive_link"/>
      </ext>
    </x18tc:extLst>
  </x18tc:threadedComment>
  <x18tc:threadedComment ref="J600" dT="2026-03-12T23:06:29.00" personId="{f9b224d0-ee33-4499-ae47-db5bcd2d0435}" id="{b4fdf31a-917c-42d3-9585-9eeb5c2ce036}" done="0">
    <x18tc:text xml:space="preserve">https://drive.google.com/file/d/1oqxehFq3qgPsqxZCvVHv3SQfPzOu-wrS/view?usp=drive_link
https://drive.google.com/file/d/1pgw478xu8V9AfVLIaqoE_Pbsn9ZeBrEE/view?usp=drive_link</x18tc:text>
    <x18tc:extLst>
      <ext uri="{F7C98A9C-CBB3-438F-8F68-D28B6AF4A901}">
        <xltc2:checksum/>
        <xltc2:hyperlink startIndex="0" length="85" url="https://drive.google.com/file/d/1oqxehFq3qgPsqxZCvVHv3SQfPzOu-wrS/view?usp=drive_link"/>
        <xltc2:hyperlink startIndex="86" length="85" url="https://drive.google.com/file/d/1pgw478xu8V9AfVLIaqoE_Pbsn9ZeBrEE/view?usp=drive_link"/>
      </ext>
    </x18tc:extLst>
  </x18tc:threadedComment>
  <x18tc:threadedComment ref="W365" dT="2025-12-01T05:31:52.00" personId="{2ddfa542-8116-4937-a057-08470d7abaab}" id="{65633110-1bb5-4f5d-ade7-3313c4b8f7f4}" done="0">
    <x18tc:text xml:space="preserve">https://drive.google.com/file/d/1U1qMGvpCHsLtHFEdYBvTM9PpeF09K8iW/view?usp=drive_link</x18tc:text>
    <x18tc:extLst>
      <ext uri="{F7C98A9C-CBB3-438F-8F68-D28B6AF4A901}">
        <xltc2:checksum/>
        <xltc2:hyperlink startIndex="0" length="85" url="https://drive.google.com/file/d/1U1qMGvpCHsLtHFEdYBvTM9PpeF09K8iW/view?usp=drive_link"/>
      </ext>
    </x18tc:extLst>
  </x18tc:threadedComment>
  <x18tc:threadedComment ref="C431" dT="2025-12-23T22:54:54.00" personId="{d8e4f5ad-b65d-4160-a56f-197530fb7eb1}" id="{ee1591e4-b650-4a4c-b65b-cf4655109604}" done="0">
    <x18tc:text xml:space="preserve">https://us-store.msi.com/msi-Vector-16-HX-AI-A2XWIG-050US?search=5080&amp;page=3</x18tc:text>
    <x18tc:extLst>
      <ext uri="{F7C98A9C-CBB3-438F-8F68-D28B6AF4A901}">
        <xltc2:checksum/>
        <xltc2:hyperlink startIndex="0" length="76" url="https://us-store.msi.com/msi-Vector-16-HX-AI-A2XWIG-050US?search=5080&amp;page=3"/>
      </ext>
    </x18tc:extLst>
  </x18tc:threadedComment>
  <x18tc:threadedComment ref="W348" dT="2025-12-01T05:44:52.00" personId="{2ddfa542-8116-4937-a057-08470d7abaab}" id="{0a0015ce-64e0-4c31-b19a-12f6c4bab04f}" done="0">
    <x18tc:text xml:space="preserve">https://drive.google.com/file/d/1uk3dKtSI3cTGcBKhJVmAIX384N8x4F1u/view?usp=drive_link</x18tc:text>
    <x18tc:extLst>
      <ext uri="{F7C98A9C-CBB3-438F-8F68-D28B6AF4A901}">
        <xltc2:checksum/>
        <xltc2:hyperlink startIndex="0" length="85" url="https://drive.google.com/file/d/1uk3dKtSI3cTGcBKhJVmAIX384N8x4F1u/view?usp=drive_link"/>
      </ext>
    </x18tc:extLst>
  </x18tc:threadedComment>
  <x18tc:threadedComment ref="W369" dT="2025-12-01T05:38:02.00" personId="{2ddfa542-8116-4937-a057-08470d7abaab}" id="{4e682ac6-180e-48e5-b450-cef6a765ca45}" done="0">
    <x18tc:text xml:space="preserve">https://drive.google.com/file/d/1mX0QfYkLj1VqW597soiFl4ePekEug0rU/view?usp=drive_link</x18tc:text>
    <x18tc:extLst>
      <ext uri="{F7C98A9C-CBB3-438F-8F68-D28B6AF4A901}">
        <xltc2:checksum/>
        <xltc2:hyperlink startIndex="0" length="85" url="https://drive.google.com/file/d/1mX0QfYkLj1VqW597soiFl4ePekEug0rU/view?usp=drive_link"/>
      </ext>
    </x18tc:extLst>
  </x18tc:threadedComment>
  <x18tc:threadedComment ref="W364" dT="2025-12-19T22:51:55.00" personId="{2ddfa542-8116-4937-a057-08470d7abaab}" id="{558353cc-49eb-4c11-953a-92de5fc8b141}" done="0">
    <x18tc:text xml:space="preserve">https://drive.google.com/file/d/1w2ktJ8o1PQ0ZHvoDXltnGqV1TTc1nZsN/view?usp=drive_link</x18tc:text>
    <x18tc:extLst>
      <ext uri="{F7C98A9C-CBB3-438F-8F68-D28B6AF4A901}">
        <xltc2:checksum/>
        <xltc2:hyperlink startIndex="0" length="85" url="https://drive.google.com/file/d/1w2ktJ8o1PQ0ZHvoDXltnGqV1TTc1nZsN/view?usp=drive_link"/>
      </ext>
    </x18tc:extLst>
  </x18tc:threadedComment>
  <x18tc:threadedComment ref="U726" dT="2026-05-30T21:37:00.00" personId="{d8e4f5ad-b65d-4160-a56f-197530fb7eb1}" id="{4cd6bcbc-8061-4880-b29f-153e0e26e4a3}" done="0">
    <x18tc:text xml:space="preserve">mouse+soporte + audifonos</x18tc:text>
  </x18tc:threadedComment>
  <x18tc:threadedComment ref="C53" dT="2025-05-15T22:41:48.00" personId="{d8e4f5ad-b65d-4160-a56f-197530fb7eb1}" id="{9ef1b886-83dd-4200-bcf8-59f09f4741db}" done="0">
    <x18tc:text xml:space="preserve">https://www.ebay.com/itm/286494223493?_skw=Paquete+Surface+Pro+11&amp;itmmeta=01JTXQH2TPMS0PZW5VQ7A7D9Z4&amp;hash=item42b462ec85:g:ZDkAAOSwJLRnl~2R&amp;itmprp=enc%3AAQAKAAAA8FkggFvd1GGDu0w3yXCmi1euDbNwq9CFbf62BdXqDSR5QcDntUBl9yzDUYspeb4qh29%2Fln39wCfFHaaIjjSlqtz0q0DDmnFwSoLS7euODP%2B84IwYxgu%2FYQ%2BP1387QSzYwG0mkZL4s1NHr7tY4JVKsXpoLiqkZatyMXz6iSJUHZPJdbnmUpzg4E%2BZqiZ%2BIh8Nfy7rp6IjzjMAcZYZX%2BnkqtxWM5ZDfW2vkn7u8%2Bg%2ByxlhF%2BfGw2aO5l4t8rMebDGRNmwwQt2Lq8ijxc99mcjY%2FEuUzGBZbLYOuzT9s4EikkXI%2BKziSNGkvfJHD3ieZEU7Mw%3D%3D%7Ctkp%3ABk9SR76txLfXZQ</x18tc:text>
    <x18tc:extLst>
      <ext uri="{F7C98A9C-CBB3-438F-8F68-D28B6AF4A901}">
        <xltc2:checksum/>
        <xltc2:hyperlink startIndex="0" length="536" url="https://www.ebay.com/itm/286494223493?_skw=Paquete+Surface+Pro+11&amp;itmmeta=01JTXQH2TPMS0PZW5VQ7A7D9Z4&amp;hash=item42b462ec85:g:ZDkAAOSwJLRnl~2R&amp;itmprp=enc%3AAQAKAAAA8FkggFvd1GGDu0w3yXCmi1euDbNwq9CFbf62BdXqDSR5QcDntUBl9yzDUYspeb4qh29%2Fln39wCfFHaaIjjSlqtz0q0DDmnFwSoLS7euODP%2B84IwYxgu%2FYQ%2BP1387QSzYwG0mkZL4s1NHr7tY4JVKsXpoLiqkZatyMXz6iSJUHZPJdbnmUpzg4E%2BZqiZ%2BIh8Nfy7rp6IjzjMAcZYZX%2BnkqtxWM5ZDfW2vkn7u8%2Bg%2ByxlhF%2BfGw2aO5l4t8rMebDGRNmwwQt2Lq8ijxc99mcjY%2FEuUzGBZbLYOuzT9s4EikkXI%2BKziSNGkvfJHD3ieZEU7Mw%3D%3D%7Ctkp%3ABk9SR76txLfXZQ"/>
      </ext>
    </x18tc:extLst>
  </x18tc:threadedComment>
  <x18tc:threadedComment ref="J458" dT="2026-01-01T04:19:14.00" personId="{a5d43f6d-3c72-4414-b012-8f52ef50acc4}" id="{d9dfba87-9c9b-4a08-81e9-a4fd5b5f285e}" done="0">
    <x18tc:text xml:space="preserve">https://drive.google.com/file/d/1-ziFm5S9pA-PtdR5k-2Mq51LG32e8-vm/view?usp=drive_link</x18tc:text>
    <x18tc:extLst>
      <ext uri="{F7C98A9C-CBB3-438F-8F68-D28B6AF4A901}">
        <xltc2:checksum/>
        <xltc2:hyperlink startIndex="0" length="85" url="https://drive.google.com/file/d/1-ziFm5S9pA-PtdR5k-2Mq51LG32e8-vm/view?usp=drive_link"/>
      </ext>
    </x18tc:extLst>
  </x18tc:threadedComment>
  <x18tc:threadedComment ref="C783" dT="2026-06-10T15:20:24.00" personId="{80195d68-4e9b-4dc7-a031-ca5391c97d0f}" id="{0dd7b8a8-67c9-4a46-ab36-5f9402abba3e}" done="0">
    <x18tc:text xml:space="preserve">https://www.costco.com/p/-/asus-rog-strix-g18-18-gaming-laptop-intel-core-ultra-9-processor-275hx-geforce-rtx-5060-25k-240hz3ms-nebula-display-32gb-ram-1tb-ssd-windows-11/4000373098?langId=-1</x18tc:text>
    <x18tc:extLst>
      <ext uri="{F7C98A9C-CBB3-438F-8F68-D28B6AF4A901}">
        <xltc2:checksum/>
        <xltc2:hyperlink startIndex="0" length="191" url="https://www.costco.com/p/-/asus-rog-strix-g18-18-gaming-laptop-intel-core-ultra-9-processor-275hx-geforce-rtx-5060-25k-240hz3ms-nebula-display-32gb-ram-1tb-ssd-windows-11/4000373098?langId=-1"/>
      </ext>
    </x18tc:extLst>
  </x18tc:threadedComment>
  <x18tc:threadedComment ref="C420" dT="2025-12-19T22:53:54.00" personId="{a5d43f6d-3c72-4414-b012-8f52ef50acc4}" id="{a8e0e3ea-b2b4-4df6-9afd-3bdeb4f40d2b}" done="0">
    <x18tc:text xml:space="preserve">https://www.microcenter.com/product/693716/asus-rog-strix-g16-g615lr-ms97-16-gaming-laptop-computer-platinum-collection-eclipse-gray?ob=1</x18tc:text>
    <x18tc:extLst>
      <ext uri="{F7C98A9C-CBB3-438F-8F68-D28B6AF4A901}">
        <xltc2:checksum/>
        <xltc2:hyperlink startIndex="0" length="137" url="https://www.microcenter.com/product/693716/asus-rog-strix-g16-g615lr-ms97-16-gaming-laptop-computer-platinum-collection-eclipse-gray?ob=1"/>
      </ext>
    </x18tc:extLst>
  </x18tc:threadedComment>
  <x18tc:threadedComment ref="J53" dT="2025-05-15T22:45:53.00" personId="{d8e4f5ad-b65d-4160-a56f-197530fb7eb1}" id="{1233e890-7c31-46a0-8d68-4f41acd33aa7}" done="0">
    <x18tc:text xml:space="preserve">https://drive.google.com/file/d/13Z4ompX68fkfapRp8fjP1KTj-MkZt-h5/view?usp=drive_link</x18tc:text>
    <x18tc:extLst>
      <ext uri="{F7C98A9C-CBB3-438F-8F68-D28B6AF4A901}">
        <xltc2:checksum/>
        <xltc2:hyperlink startIndex="0" length="85" url="https://drive.google.com/file/d/13Z4ompX68fkfapRp8fjP1KTj-MkZt-h5/view?usp=drive_link"/>
      </ext>
    </x18tc:extLst>
  </x18tc:threadedComment>
  <x18tc:threadedComment ref="J457" dT="2026-01-01T04:19:08.00" personId="{a5d43f6d-3c72-4414-b012-8f52ef50acc4}" id="{eb1d11a4-09ca-472f-af0c-67329f82afcf}" done="0">
    <x18tc:text xml:space="preserve">https://drive.google.com/file/d/1oUyCMlozqGw2uxIqnRmh3EiA67HuGi8Z/view?usp=drive_link
https://drive.google.com/file/d/1JqQJOpU7Kg1TGsyyqLVNH8cJce7mJelu/view?usp=drive_link</x18tc:text>
    <x18tc:extLst>
      <ext uri="{F7C98A9C-CBB3-438F-8F68-D28B6AF4A901}">
        <xltc2:checksum/>
        <xltc2:hyperlink startIndex="0" length="85" url="https://drive.google.com/file/d/1oUyCMlozqGw2uxIqnRmh3EiA67HuGi8Z/view?usp=drive_link"/>
        <xltc2:hyperlink startIndex="86" length="85" url="https://drive.google.com/file/d/1JqQJOpU7Kg1TGsyyqLVNH8cJce7mJelu/view?usp=drive_link"/>
      </ext>
    </x18tc:extLst>
  </x18tc:threadedComment>
  <x18tc:threadedComment ref="L108" dT="2025-07-30T16:53:37.00" personId="{a5d43f6d-3c72-4414-b012-8f52ef50acc4}" id="{ede23ecc-b34d-4437-892f-4566c7abfb68}" done="0">
    <x18tc:text xml:space="preserve">https://drive.google.com/file/d/1zod8Z4tkPSs_YTdTw07U0Dy9ZcpxpI9p/view?usp=drive_link</x18tc:text>
    <x18tc:extLst>
      <ext uri="{F7C98A9C-CBB3-438F-8F68-D28B6AF4A901}">
        <xltc2:checksum/>
        <xltc2:hyperlink startIndex="0" length="85" url="https://drive.google.com/file/d/1zod8Z4tkPSs_YTdTw07U0Dy9ZcpxpI9p/view?usp=drive_link"/>
      </ext>
    </x18tc:extLst>
  </x18tc:threadedComment>
  <x18tc:threadedComment ref="J420" dT="2025-12-19T22:54:31.00" personId="{a5d43f6d-3c72-4414-b012-8f52ef50acc4}" id="{154b8ba8-80e8-45b3-ab63-7f82a1909b88}" done="0">
    <x18tc:text xml:space="preserve">https://drive.google.com/file/d/179raI_V--fUJ9FJEEefVHB-3Dn39C641/view?usp=drive_link</x18tc:text>
    <x18tc:extLst>
      <ext uri="{F7C98A9C-CBB3-438F-8F68-D28B6AF4A901}">
        <xltc2:checksum/>
        <xltc2:hyperlink startIndex="0" length="85" url="https://drive.google.com/file/d/179raI_V--fUJ9FJEEefVHB-3Dn39C641/view?usp=drive_link"/>
      </ext>
    </x18tc:extLst>
  </x18tc:threadedComment>
  <x18tc:threadedComment ref="O414" dT="2025-12-19T00:58:36.00" personId="{4df2d6c4-e43e-4f2e-b623-d90f458472ff}" id="{101a2f75-c63f-437a-af2d-214add9a6c5c}" done="0">
    <x18tc:text xml:space="preserve">168 para el viajero  soles ya que la perosna uq ecompro la laptop compro 50 solares mas</x18tc:text>
  </x18tc:threadedComment>
  <x18tc:threadedComment ref="C29" dT="2025-04-25T16:10:23.00" personId="{d8e4f5ad-b65d-4160-a56f-197530fb7eb1}" id="{dbf19675-dc57-48a1-8fcf-e9c487c643ba}" done="0">
    <x18tc:text xml:space="preserve">https://www.microcenter.com/product/687888/asus-rog-strix-g16-g614jir-ms96-16-gaming-laptop-computer-eclipse-gray</x18tc:text>
    <x18tc:extLst>
      <ext uri="{F7C98A9C-CBB3-438F-8F68-D28B6AF4A901}">
        <xltc2:checksum/>
        <xltc2:hyperlink startIndex="0" length="113" url="https://www.microcenter.com/product/687888/asus-rog-strix-g16-g614jir-ms96-16-gaming-laptop-computer-eclipse-gray"/>
      </ext>
    </x18tc:extLst>
  </x18tc:threadedComment>
  <x18tc:threadedComment ref="J429" dT="2025-12-23T22:18:22.00" personId="{a5d43f6d-3c72-4414-b012-8f52ef50acc4}" id="{fb4d3d72-b261-4e03-8823-d363041fcd8d}" done="0">
    <x18tc:text xml:space="preserve">https://drive.google.com/file/d/1qCej_Art9_rA_Ji1IBZhyR1J9T_gPQyG/view?usp=drive_link</x18tc:text>
    <x18tc:extLst>
      <ext uri="{F7C98A9C-CBB3-438F-8F68-D28B6AF4A901}">
        <xltc2:checksum/>
        <xltc2:hyperlink startIndex="0" length="85" url="https://drive.google.com/file/d/1qCej_Art9_rA_Ji1IBZhyR1J9T_gPQyG/view?usp=drive_link"/>
      </ext>
    </x18tc:extLst>
  </x18tc:threadedComment>
  <x18tc:threadedComment ref="J421" dT="2025-12-19T23:58:17.00" personId="{d8e4f5ad-b65d-4160-a56f-197530fb7eb1}" id="{95f4c1ee-7b8f-42d1-b766-fe2fa0d716a4}" done="0">
    <x18tc:text xml:space="preserve">https://drive.google.com/file/d/1Hm2L8pqDs43nvWQPB-Np2WhQEFh7p-5g/view?usp=drive_link</x18tc:text>
    <x18tc:extLst>
      <ext uri="{F7C98A9C-CBB3-438F-8F68-D28B6AF4A901}">
        <xltc2:checksum/>
        <xltc2:hyperlink startIndex="0" length="85" url="https://drive.google.com/file/d/1Hm2L8pqDs43nvWQPB-Np2WhQEFh7p-5g/view?usp=drive_link"/>
      </ext>
    </x18tc:extLst>
  </x18tc:threadedComment>
  <x18tc:threadedComment ref="J543" dT="2026-02-15T00:20:56.00" personId="{68efe3e3-8b68-4e02-81e2-a29fa228b211}" id="{61d6d5c7-b6bc-4007-b851-a613bda1016c}" done="0">
    <x18tc:text xml:space="preserve">https://drive.google.com/file/d/1kvOL3oHBPzscG3BaJW5CSPc1VHQYtiEi/view?usp=drive_link</x18tc:text>
    <x18tc:extLst>
      <ext uri="{F7C98A9C-CBB3-438F-8F68-D28B6AF4A901}">
        <xltc2:checksum/>
        <xltc2:hyperlink startIndex="0" length="85" url="https://drive.google.com/file/d/1kvOL3oHBPzscG3BaJW5CSPc1VHQYtiEi/view?usp=drive_link"/>
      </ext>
    </x18tc:extLst>
  </x18tc:threadedComment>
  <x18tc:threadedComment ref="AF365" dT="2025-12-03T02:20:19.00" personId="{2ddfa542-8116-4937-a057-08470d7abaab}" id="{377509f3-f031-4c0d-9195-60935d882697}" done="1">
    <x18tc:text xml:space="preserve">solo forms</x18tc:text>
  </x18tc:threadedComment>
  <x18tc:threadedComment ref="AF575" dT="2026-03-05T20:14:44.00" personId="{2ddfa542-8116-4937-a057-08470d7abaab}" id="{1005b58a-cbc3-4931-9c25-60f9d36179f3}" done="1">
    <x18tc:text xml:space="preserve">fixit, excedentes, vental final</x18tc:text>
  </x18tc:threadedComment>
  <x18tc:threadedComment ref="C541" dT="2026-02-14T22:48:53.00" personId="{68efe3e3-8b68-4e02-81e2-a29fa228b211}" id="{a783df39-8506-4f1b-a5ba-c32bd40da8eb}" done="0">
    <x18tc:text xml:space="preserve">https://www.ebay.com/itm/326655425561?_skw=laptop+gaming&amp;itmmeta=01KH37KYA760Z21A1PCK00FZ0K&amp;hash=item4c0e2e3c19:g:lSsAAeSwwJdpe5j1</x18tc:text>
    <x18tc:extLst>
      <ext uri="{F7C98A9C-CBB3-438F-8F68-D28B6AF4A901}">
        <xltc2:checksum/>
        <xltc2:hyperlink startIndex="0" length="130" url="https://www.ebay.com/itm/326655425561?_skw=laptop+gaming&amp;itmmeta=01KH37KYA760Z21A1PCK00FZ0K&amp;hash=item4c0e2e3c19:g:lSsAAeSwwJdpe5j1"/>
      </ext>
    </x18tc:extLst>
  </x18tc:threadedComment>
  <x18tc:threadedComment ref="W296" dT="2025-12-01T05:07:58.00" personId="{2ddfa542-8116-4937-a057-08470d7abaab}" id="{a578718c-7311-472f-915e-4e2290402c91}" done="0">
    <x18tc:text xml:space="preserve">https://drive.google.com/file/d/1AyvlPZ2ZXbEK7JU8tLTmSCV2fjFv0H6E/view?usp=drive_link</x18tc:text>
    <x18tc:extLst>
      <ext uri="{F7C98A9C-CBB3-438F-8F68-D28B6AF4A901}">
        <xltc2:checksum/>
        <xltc2:hyperlink startIndex="0" length="85" url="https://drive.google.com/file/d/1AyvlPZ2ZXbEK7JU8tLTmSCV2fjFv0H6E/view?usp=drive_link"/>
      </ext>
    </x18tc:extLst>
  </x18tc:threadedComment>
  <x18tc:threadedComment ref="W374" dT="2025-12-03T02:42:16.00" personId="{4df2d6c4-e43e-4f2e-b623-d90f458472ff}" id="{d59df334-6258-40df-865c-1e49c3d79da8}" done="0">
    <x18tc:text xml:space="preserve">https://drive.google.com/file/d/18PYtDiE1VB8oR8pD6ypxmMW4jT3cF0QG/view?usp=drive_link</x18tc:text>
    <x18tc:extLst>
      <ext uri="{F7C98A9C-CBB3-438F-8F68-D28B6AF4A901}">
        <xltc2:checksum/>
        <xltc2:hyperlink startIndex="0" length="85" url="https://drive.google.com/file/d/18PYtDiE1VB8oR8pD6ypxmMW4jT3cF0QG/view?usp=drive_link"/>
      </ext>
    </x18tc:extLst>
  </x18tc:threadedComment>
  <x18tc:threadedComment ref="K364" dT="2025-12-19T00:54:44.00" personId="{d8e4f5ad-b65d-4160-a56f-197530fb7eb1}" id="{93109488-07b5-4ea8-8ba1-ee91b0331391}" done="0">
    <x18tc:text xml:space="preserve">https://drive.google.com/file/d/17G5raj2Jev78sJ6YycQ4kCvLjY31_SDS/view?usp=drive_link</x18tc:text>
    <x18tc:extLst>
      <ext uri="{F7C98A9C-CBB3-438F-8F68-D28B6AF4A901}">
        <xltc2:checksum/>
        <xltc2:hyperlink startIndex="0" length="85" url="https://drive.google.com/file/d/17G5raj2Jev78sJ6YycQ4kCvLjY31_SDS/view?usp=drive_link"/>
      </ext>
    </x18tc:extLst>
  </x18tc:threadedComment>
  <x18tc:threadedComment ref="L117" dT="2025-07-30T16:06:10.00" personId="{a5d43f6d-3c72-4414-b012-8f52ef50acc4}" id="{a2d8f2fb-02bf-42e1-b871-04d384626884}" done="0">
    <x18tc:text xml:space="preserve">https://drive.google.com/file/d/18vKCoG5E2ZFFid4nQrMMLrlIGgGireGr/view?usp=drive_link</x18tc:text>
    <x18tc:extLst>
      <ext uri="{F7C98A9C-CBB3-438F-8F68-D28B6AF4A901}">
        <xltc2:checksum/>
        <xltc2:hyperlink startIndex="0" length="85" url="https://drive.google.com/file/d/18vKCoG5E2ZFFid4nQrMMLrlIGgGireGr/view?usp=drive_link"/>
      </ext>
    </x18tc:extLst>
  </x18tc:threadedComment>
  <x18tc:threadedComment ref="AF567" dT="2026-03-05T20:26:27.00" personId="{2ddfa542-8116-4937-a057-08470d7abaab}" id="{a927a5d3-e5bd-4af4-996b-b2176e21dcd9}" done="0">
    <x18tc:text xml:space="preserve">fixit, excedentes, vental final</x18tc:text>
  </x18tc:threadedComment>
  <x18tc:threadedComment ref="W295" dT="2025-12-01T05:03:53.00" personId="{2ddfa542-8116-4937-a057-08470d7abaab}" id="{35d6c150-1392-475c-ad39-5d1c6d4fe514}" done="0">
    <x18tc:text xml:space="preserve">https://drive.google.com/file/d/1bHDVF0w3GDa8n8wueBEVsYmBF81SAoXh/view?usp=drive_link</x18tc:text>
    <x18tc:extLst>
      <ext uri="{F7C98A9C-CBB3-438F-8F68-D28B6AF4A901}">
        <xltc2:checksum/>
        <xltc2:hyperlink startIndex="0" length="85" url="https://drive.google.com/file/d/1bHDVF0w3GDa8n8wueBEVsYmBF81SAoXh/view?usp=drive_link"/>
      </ext>
    </x18tc:extLst>
  </x18tc:threadedComment>
  <x18tc:threadedComment ref="AF563" dT="2026-03-05T20:14:36.00" personId="{2ddfa542-8116-4937-a057-08470d7abaab}" id="{ab9e3ff4-a333-453d-b220-5557f462dab9}" done="1">
    <x18tc:text xml:space="preserve">fixit, excedentes, vental final</x18tc:text>
  </x18tc:threadedComment>
  <x18tc:threadedComment ref="C542" dT="2026-02-14T23:15:21.00" personId="{68efe3e3-8b68-4e02-81e2-a29fa228b211}" id="{83915b4a-d5ea-421d-b6f2-cbd624888357}" done="0">
    <x18tc:text xml:space="preserve">https://www.amazon.com/Apple-Laptop-MacBook-2025-pulgadas/dp/B0DZDC3WW5/ref=sr_1_1_sspa?__mk_es_US=%C3%85M%C3%85%C5%BD%C3%95%C3%91&amp;crid=432011WKUNZU&amp;dib=eyJ2IjoiMSJ9.g-RiYkT6xiQ5tgpw21X-wr40yqXqckOOdZxqwVk6L1sCvh-uo9SBalvA5hz7HBJUkWTEhPbXalemTw2_lVOXCyBco_kbjjGWeNTHu4F9NlyMBwFLK1zOQhGjuEQEIcZdkS7j4Ae6TL-qLZtUhmcoSglXgv62FekelTyEba-wo3Q3XJcplhhqoEqjkd2H8KuEEF8zloA8oCGSrVMbMZFnzfxbaqIpqz18QQnKoUG2fyI.Fq5U092RK5mIZt6t-qrUDipjKMU3RB8VBQ_XYYX2nqw&amp;dib_tag=se&amp;keywords=mac%2B13&amp;qid=1771110333&amp;sprefix=mac%2B13%2B%2Caps%2C423&amp;sr=8-1-spons&amp;sp_csd=d2lkZ2V0TmFtZT1zcF9hdGY&amp;th=1</x18tc:text>
    <x18tc:extLst>
      <ext uri="{F7C98A9C-CBB3-438F-8F68-D28B6AF4A901}">
        <xltc2:checksum/>
        <xltc2:hyperlink startIndex="0" length="570" url="https://www.amazon.com/Apple-Laptop-MacBook-2025-pulgadas/dp/B0DZDC3WW5/ref=sr_1_1_sspa?__mk_es_US=%C3%85M%C3%85%C5%BD%C3%95%C3%91&amp;crid=432011WKUNZU&amp;dib=eyJ2IjoiMSJ9.g-RiYkT6xiQ5tgpw21X-wr40yqXqckOOdZxqwVk6L1sCvh-uo9SBalvA5hz7HBJUkWTEhPbXalemTw2_lVOXCyBco_kbjjGWeNTHu4F9NlyMBwFLK1zOQhGjuEQEIcZdkS7j4Ae6TL-qLZtUhmcoSglXgv62FekelTyEba-wo3Q3XJcplhhqoEqjkd2H8KuEEF8zloA8oCGSrVMbMZFnzfxbaqIpqz18QQnKoUG2fyI.Fq5U092RK5mIZt6t-qrUDipjKMU3RB8VBQ_XYYX2nqw&amp;dib_tag=se&amp;keywords=mac%2B13&amp;qid=1771110333&amp;sprefix=mac%2B13%2B%2Caps%2C423&amp;sr=8-1-spons&amp;sp_csd=d2lkZ2V0TmFtZT1zcF9hdGY&amp;th=1"/>
      </ext>
    </x18tc:extLst>
  </x18tc:threadedComment>
  <x18tc:threadedComment ref="W305" dT="2025-12-01T05:15:31.00" personId="{2ddfa542-8116-4937-a057-08470d7abaab}" id="{6ebc47b2-dff0-4718-9694-447fd9e48614}" done="0">
    <x18tc:text xml:space="preserve">https://drive.google.com/file/d/1jICwSoKx89JATZxT5Y5VM3LTAyvXdbAN/view?usp=drive_link</x18tc:text>
    <x18tc:extLst>
      <ext uri="{F7C98A9C-CBB3-438F-8F68-D28B6AF4A901}">
        <xltc2:checksum/>
        <xltc2:hyperlink startIndex="0" length="85" url="https://drive.google.com/file/d/1jICwSoKx89JATZxT5Y5VM3LTAyvXdbAN/view?usp=drive_link"/>
      </ext>
    </x18tc:extLst>
  </x18tc:threadedComment>
  <x18tc:threadedComment ref="W362" dT="2025-12-19T22:46:55.00" personId="{2ddfa542-8116-4937-a057-08470d7abaab}" id="{d79a02b3-b410-46c9-9cbb-432aae2a0b33}" done="0">
    <x18tc:text xml:space="preserve">https://drive.google.com/file/d/1Wzk5Au7_YRB4mCnyElv-63mFby5c5LO7/view?usp=drive_link</x18tc:text>
    <x18tc:extLst>
      <ext uri="{F7C98A9C-CBB3-438F-8F68-D28B6AF4A901}">
        <xltc2:checksum/>
        <xltc2:hyperlink startIndex="0" length="85" url="https://drive.google.com/file/d/1Wzk5Au7_YRB4mCnyElv-63mFby5c5LO7/view?usp=drive_link"/>
      </ext>
    </x18tc:extLst>
  </x18tc:threadedComment>
  <x18tc:threadedComment ref="AF571" dT="2026-03-05T20:14:41.00" personId="{2ddfa542-8116-4937-a057-08470d7abaab}" id="{4db414f9-e654-4011-a9e5-03fc1e918aee}" done="1">
    <x18tc:text xml:space="preserve">fixit, excedentes, vental final</x18tc:text>
  </x18tc:threadedComment>
  <x18tc:threadedComment ref="J541" dT="2026-02-14T22:58:55.00" personId="{68efe3e3-8b68-4e02-81e2-a29fa228b211}" id="{262676e1-7291-400e-a8a1-83daca59cae9}" done="0">
    <x18tc:text xml:space="preserve">https://drive.google.com/file/d/1jiDjc44V5J7O9Nqv6ZzWoOK0wllyTuMf/view?usp=drive_link</x18tc:text>
    <x18tc:extLst>
      <ext uri="{F7C98A9C-CBB3-438F-8F68-D28B6AF4A901}">
        <xltc2:checksum/>
        <xltc2:hyperlink startIndex="0" length="85" url="https://drive.google.com/file/d/1jiDjc44V5J7O9Nqv6ZzWoOK0wllyTuMf/view?usp=drive_link"/>
      </ext>
    </x18tc:extLst>
  </x18tc:threadedComment>
  <x18tc:threadedComment ref="W303" dT="2025-12-01T05:12:04.00" personId="{2ddfa542-8116-4937-a057-08470d7abaab}" id="{958ba752-9571-411a-8549-b5622fa99995}" done="0">
    <x18tc:text xml:space="preserve">https://drive.google.com/file/d/1Imj0ixrVaz736icWUOumaml_YMitbe4Z/view?usp=drive_link</x18tc:text>
    <x18tc:extLst>
      <ext uri="{F7C98A9C-CBB3-438F-8F68-D28B6AF4A901}">
        <xltc2:checksum/>
        <xltc2:hyperlink startIndex="0" length="85" url="https://drive.google.com/file/d/1Imj0ixrVaz736icWUOumaml_YMitbe4Z/view?usp=drive_link"/>
      </ext>
    </x18tc:extLst>
  </x18tc:threadedComment>
  <x18tc:threadedComment ref="C11" dT="2025-04-25T14:42:10.00" personId="{6afbe8df-a68a-4403-9951-ca8c0d21ef43}" id="{687851fa-e389-42d1-9cf3-95a0779814aa}" done="0">
    <x18tc:text xml:space="preserve">CAMBIO DE LAPTOP</x18tc:text>
  </x18tc:threadedComment>
  <x18tc:threadedComment ref="Q716" dT="2026-05-25T11:15:07.00" personId="{2ddfa542-8116-4937-a057-08470d7abaab}" id="{283316a7-c10d-4c11-a605-2ff598ae6719}" done="0">
    <x18tc:text xml:space="preserve">FILA 707</x18tc:text>
  </x18tc:threadedComment>
  <x18tc:threadedComment ref="Q716" dT="2026-06-22T04:04:20.00" personId="{2ddfa542-8116-4937-a057-08470d7abaab}" id="{1fdc6cf6-9070-4f3d-a180-9f6076b65b1c}" parentId="{283316a7-c10d-4c11-a605-2ff598ae6719}">
    <x18tc:text xml:space="preserve">esta en mayo y junio, total 200, pero esta separado 100 aca y 100 en la fila 707</x18tc:text>
  </x18tc:threadedComment>
  <x18tc:threadedComment ref="C484" dT="2026-01-14T01:56:04.00" personId="{a5d43f6d-3c72-4414-b012-8f52ef50acc4}" id="{f4853a7b-01a7-4b6f-804e-eaef29be9a97}" done="0">
    <x18tc:text xml:space="preserve">https://www.bestbuy.com/product/asus-rog-strix-g18-18-fhd-144hz-gaming-laptop-amd-ryzen-9-8940hx-16gb-memory-nvidia-geforce-rtx-5050-1tb-ssd-eclipse-gray/JJGGLH8W4G</x18tc:text>
    <x18tc:extLst>
      <ext uri="{F7C98A9C-CBB3-438F-8F68-D28B6AF4A901}">
        <xltc2:checksum/>
        <xltc2:hyperlink startIndex="0" length="164" url="https://www.bestbuy.com/product/asus-rog-strix-g18-18-fhd-144hz-gaming-laptop-amd-ryzen-9-8940hx-16gb-memory-nvidia-geforce-rtx-5050-1tb-ssd-eclipse-gray/JJGGLH8W4G"/>
      </ext>
    </x18tc:extLst>
  </x18tc:threadedComment>
  <x18tc:threadedComment ref="P187" dT="2025-09-18T22:32:09.00" personId="{a5d43f6d-3c72-4414-b012-8f52ef50acc4}" id="{4552792e-c8c8-4e99-b1d4-eb753fbd7567}" done="0">
    <x18tc:text xml:space="preserve">agregar mouse y soporte de regalo</x18tc:text>
  </x18tc:threadedComment>
  <x18tc:threadedComment ref="Q484" dT="2026-01-14T02:00:41.00" personId="{a5d43f6d-3c72-4414-b012-8f52ef50acc4}" id="{37b6eb5b-086d-4469-9d42-0e496922d219}" done="1">
    <x18tc:text xml:space="preserve">configuracion inicial con formateo y apertura</x18tc:text>
  </x18tc:threadedComment>
  <x18tc:threadedComment ref="L250" dT="2025-10-03T20:43:02.00" personId="{d8e4f5ad-b65d-4160-a56f-197530fb7eb1}" id="{bd9ab271-9651-4e3a-a291-84f5fc2a9ca3}" done="0">
    <x18tc:text xml:space="preserve">https://drive.google.com/file/d/1kWVOPAlDTUXJj2j7LYnMd2eyi3U4OcGe/view?usp=drive_link</x18tc:text>
    <x18tc:extLst>
      <ext uri="{F7C98A9C-CBB3-438F-8F68-D28B6AF4A901}">
        <xltc2:checksum/>
        <xltc2:hyperlink startIndex="0" length="85" url="https://drive.google.com/file/d/1kWVOPAlDTUXJj2j7LYnMd2eyi3U4OcGe/view?usp=drive_link"/>
      </ext>
    </x18tc:extLst>
  </x18tc:threadedComment>
  <x18tc:threadedComment ref="C762" dT="2026-05-26T22:08:36.00" personId="{f9b224d0-ee33-4499-ae47-db5bcd2d0435}" id="{2f2ed814-8646-4e46-aea7-a4753c022110}" done="0">
    <x18tc:text xml:space="preserve">https://www.ebay.com/itm/205579362723</x18tc:text>
    <x18tc:extLst>
      <ext uri="{F7C98A9C-CBB3-438F-8F68-D28B6AF4A901}">
        <xltc2:checksum/>
        <xltc2:hyperlink startIndex="0" length="37" url="https://www.ebay.com/itm/205579362723"/>
      </ext>
    </x18tc:extLst>
  </x18tc:threadedComment>
  <x18tc:threadedComment ref="J484" dT="2026-01-14T02:00:10.00" personId="{a5d43f6d-3c72-4414-b012-8f52ef50acc4}" id="{72e6a907-d597-4a21-8b92-be41d5a67746}" done="0">
    <x18tc:text xml:space="preserve">https://drive.google.com/file/d/1t8-m2vaK9jNzSQJ07zF_PRPk9fxV_A5p/view?usp=drive_link</x18tc:text>
    <x18tc:extLst>
      <ext uri="{F7C98A9C-CBB3-438F-8F68-D28B6AF4A901}">
        <xltc2:checksum/>
        <xltc2:hyperlink startIndex="0" length="85" url="https://drive.google.com/file/d/1t8-m2vaK9jNzSQJ07zF_PRPk9fxV_A5p/view?usp=drive_link"/>
      </ext>
    </x18tc:extLst>
  </x18tc:threadedComment>
  <x18tc:threadedComment ref="J476" dT="2026-02-05T20:43:04.00" personId="{4df2d6c4-e43e-4f2e-b623-d90f458472ff}" id="{36d649a4-bf18-42f0-abb7-5f69ce11f051}" done="0">
    <x18tc:text xml:space="preserve">https://drive.google.com/file/d/1bMDmWTAyVWrmExZmKetVE3OdaS5T2Fil/view?usp=drive_link</x18tc:text>
    <x18tc:extLst>
      <ext uri="{F7C98A9C-CBB3-438F-8F68-D28B6AF4A901}">
        <xltc2:checksum/>
        <xltc2:hyperlink startIndex="0" length="85" url="https://drive.google.com/file/d/1bMDmWTAyVWrmExZmKetVE3OdaS5T2Fil/view?usp=drive_link"/>
      </ext>
    </x18tc:extLst>
  </x18tc:threadedComment>
  <x18tc:threadedComment ref="W265" dT="2025-11-02T06:31:25.00" personId="{a5d43f6d-3c72-4414-b012-8f52ef50acc4}" id="{63f070cc-0de6-4613-a95b-0679b542b1f6}" done="0">
    <x18tc:text xml:space="preserve">https://drive.google.com/file/d/1HSIX6eU2gUkvej-gXGqRqHg4eEAgwq1u/view?usp=drive_link</x18tc:text>
    <x18tc:extLst>
      <ext uri="{F7C98A9C-CBB3-438F-8F68-D28B6AF4A901}">
        <xltc2:checksum/>
        <xltc2:hyperlink startIndex="0" length="85" url="https://drive.google.com/file/d/1HSIX6eU2gUkvej-gXGqRqHg4eEAgwq1u/view?usp=drive_link"/>
      </ext>
    </x18tc:extLst>
  </x18tc:threadedComment>
  <x18tc:threadedComment ref="L280" dT="2025-11-02T06:35:18.00" personId="{a5d43f6d-3c72-4414-b012-8f52ef50acc4}" id="{eddfb354-299e-4622-95b8-febe1c1c4cf0}" done="0">
    <x18tc:text xml:space="preserve">https://drive.google.com/file/d/1dljhOcBOBHwPK4KupukysP_a7dBlloQd/view?usp=drive_link</x18tc:text>
    <x18tc:extLst>
      <ext uri="{F7C98A9C-CBB3-438F-8F68-D28B6AF4A901}">
        <xltc2:checksum/>
        <xltc2:hyperlink startIndex="0" length="85" url="https://drive.google.com/file/d/1dljhOcBOBHwPK4KupukysP_a7dBlloQd/view?usp=drive_link"/>
      </ext>
    </x18tc:extLst>
  </x18tc:threadedComment>
  <x18tc:threadedComment ref="W263" dT="2025-11-02T06:18:46.00" personId="{a5d43f6d-3c72-4414-b012-8f52ef50acc4}" id="{89af6e57-6f53-45b6-b09a-7e60a055e09f}" done="0">
    <x18tc:text xml:space="preserve">https://drive.google.com/file/d/1TcECUYUDkqhj8NpECxwS1yX8lO_Wal_Y/view?usp=drive_link</x18tc:text>
    <x18tc:extLst>
      <ext uri="{F7C98A9C-CBB3-438F-8F68-D28B6AF4A901}">
        <xltc2:checksum/>
        <xltc2:hyperlink startIndex="0" length="85" url="https://drive.google.com/file/d/1TcECUYUDkqhj8NpECxwS1yX8lO_Wal_Y/view?usp=drive_link"/>
      </ext>
    </x18tc:extLst>
  </x18tc:threadedComment>
  <x18tc:threadedComment ref="J405" dT="2026-01-06T16:05:35.00" personId="{4df2d6c4-e43e-4f2e-b623-d90f458472ff}" id="{52f085e0-120f-440b-854a-5b14a2deccaa}" done="0">
    <x18tc:text xml:space="preserve">https://drive.google.com/file/d/1fZpmOYRYz1lJ_T5AI1D7zZizCcU9k6U0/view?usp=drive_link</x18tc:text>
    <x18tc:extLst>
      <ext uri="{F7C98A9C-CBB3-438F-8F68-D28B6AF4A901}">
        <xltc2:checksum/>
        <xltc2:hyperlink startIndex="0" length="85" url="https://drive.google.com/file/d/1fZpmOYRYz1lJ_T5AI1D7zZizCcU9k6U0/view?usp=drive_link"/>
      </ext>
    </x18tc:extLst>
  </x18tc:threadedComment>
  <x18tc:threadedComment ref="L265" dT="2025-11-02T06:27:01.00" personId="{a5d43f6d-3c72-4414-b012-8f52ef50acc4}" id="{8409dabf-6c66-44f0-8598-1fe783bcb379}" done="0">
    <x18tc:text xml:space="preserve">https://drive.google.com/file/d/126X1P29HBHD-_Mv5SNsbidlYHBrG9oJW/view?usp=drive_link</x18tc:text>
    <x18tc:extLst>
      <ext uri="{F7C98A9C-CBB3-438F-8F68-D28B6AF4A901}">
        <xltc2:checksum/>
        <xltc2:hyperlink startIndex="0" length="85" url="https://drive.google.com/file/d/126X1P29HBHD-_Mv5SNsbidlYHBrG9oJW/view?usp=drive_link"/>
      </ext>
    </x18tc:extLst>
  </x18tc:threadedComment>
  <x18tc:threadedComment ref="W297" dT="2025-11-28T23:31:51.00" personId="{4df2d6c4-e43e-4f2e-b623-d90f458472ff}" id="{1f533a2a-1665-4810-8196-86b084c2398d}" done="0">
    <x18tc:text xml:space="preserve">https://drive.google.com/file/d/1o9ukr1TpSgFBwGOrY9VqnKuMapPUlzqx/view?usp=drive_link</x18tc:text>
    <x18tc:extLst>
      <ext uri="{F7C98A9C-CBB3-438F-8F68-D28B6AF4A901}">
        <xltc2:checksum/>
        <xltc2:hyperlink startIndex="0" length="85" url="https://drive.google.com/file/d/1o9ukr1TpSgFBwGOrY9VqnKuMapPUlzqx/view?usp=drive_link"/>
      </ext>
    </x18tc:extLst>
  </x18tc:threadedComment>
  <x18tc:threadedComment ref="J504" dT="2026-02-05T20:48:40.00" personId="{4df2d6c4-e43e-4f2e-b623-d90f458472ff}" id="{ca1473f4-09a9-444c-98cd-6ce04c710a46}" done="0">
    <x18tc:text xml:space="preserve">https://drive.google.com/file/d/1kUX1Pwe3qwyV9GgCi7xnV51a0lAsUvsr/view?usp=drive_link</x18tc:text>
    <x18tc:extLst>
      <ext uri="{F7C98A9C-CBB3-438F-8F68-D28B6AF4A901}">
        <xltc2:checksum/>
        <xltc2:hyperlink startIndex="0" length="85" url="https://drive.google.com/file/d/1kUX1Pwe3qwyV9GgCi7xnV51a0lAsUvsr/view?usp=drive_link"/>
      </ext>
    </x18tc:extLst>
  </x18tc:threadedComment>
  <x18tc:threadedComment ref="W300" dT="2025-11-29T16:32:02.00" personId="{2ddfa542-8116-4937-a057-08470d7abaab}" id="{d193e880-bd45-43be-b2c6-a57e06deb8ec}" done="0">
    <x18tc:text xml:space="preserve">https://drive.google.com/file/d/1VxabFo83BskitoQQuxZbsxNQbYhYCzOk/view?usp=drive_link</x18tc:text>
    <x18tc:extLst>
      <ext uri="{F7C98A9C-CBB3-438F-8F68-D28B6AF4A901}">
        <xltc2:checksum/>
        <xltc2:hyperlink startIndex="0" length="85" url="https://drive.google.com/file/d/1VxabFo83BskitoQQuxZbsxNQbYhYCzOk/view?usp=drive_link"/>
      </ext>
    </x18tc:extLst>
  </x18tc:threadedComment>
  <x18tc:threadedComment ref="W258" dT="2025-11-02T06:02:39.00" personId="{a5d43f6d-3c72-4414-b012-8f52ef50acc4}" id="{a7b1256e-d477-4e7d-b926-7b21a4cb6b10}" done="0">
    <x18tc:text xml:space="preserve">https://drive.google.com/file/d/1XBDNk9ScU9nznrowPeVq1jujdcL5Jwpp/view?usp=drive_link</x18tc:text>
    <x18tc:extLst>
      <ext uri="{F7C98A9C-CBB3-438F-8F68-D28B6AF4A901}">
        <xltc2:checksum/>
        <xltc2:hyperlink startIndex="0" length="85" url="https://drive.google.com/file/d/1XBDNk9ScU9nznrowPeVq1jujdcL5Jwpp/view?usp=drive_link"/>
      </ext>
    </x18tc:extLst>
  </x18tc:threadedComment>
  <x18tc:threadedComment ref="J470" dT="2026-02-05T20:36:51.00" personId="{4df2d6c4-e43e-4f2e-b623-d90f458472ff}" id="{d8ff4a47-f9ac-4598-b833-af0c39acc258}" done="0">
    <x18tc:text xml:space="preserve">https://drive.google.com/file/d/1cKxMke9k-jELxgYkplzAdLSIuOvY51wa/view?usp=drive_link</x18tc:text>
    <x18tc:extLst>
      <ext uri="{F7C98A9C-CBB3-438F-8F68-D28B6AF4A901}">
        <xltc2:checksum/>
        <xltc2:hyperlink startIndex="0" length="85" url="https://drive.google.com/file/d/1cKxMke9k-jELxgYkplzAdLSIuOvY51wa/view?usp=drive_link"/>
      </ext>
    </x18tc:extLst>
  </x18tc:threadedComment>
  <x18tc:threadedComment ref="W261" dT="2025-10-15T16:31:20.00" personId="{d8e4f5ad-b65d-4160-a56f-197530fb7eb1}" id="{3b22cee5-0ade-46c3-b33a-925fe9fb8e45}" done="0">
    <x18tc:text xml:space="preserve">https://drive.google.com/file/d/1v549beGpFcIs9waFKcxYOUlPzmqN8i_6/view?usp=drive_link</x18tc:text>
    <x18tc:extLst>
      <ext uri="{F7C98A9C-CBB3-438F-8F68-D28B6AF4A901}">
        <xltc2:checksum/>
        <xltc2:hyperlink startIndex="0" length="85" url="https://drive.google.com/file/d/1v549beGpFcIs9waFKcxYOUlPzmqN8i_6/view?usp=drive_link"/>
      </ext>
    </x18tc:extLst>
  </x18tc:threadedComment>
  <x18tc:threadedComment ref="J494" dT="2026-02-05T20:49:25.00" personId="{4df2d6c4-e43e-4f2e-b623-d90f458472ff}" id="{b467852f-08ce-447a-9c6f-d3b6a4c6f019}" done="0">
    <x18tc:text xml:space="preserve">https://drive.google.com/file/d/1ldu1E572GPdeiQxpYJcAqDSmk8OrfBHq/view?usp=drive_link</x18tc:text>
    <x18tc:extLst>
      <ext uri="{F7C98A9C-CBB3-438F-8F68-D28B6AF4A901}">
        <xltc2:checksum/>
        <xltc2:hyperlink startIndex="0" length="85" url="https://drive.google.com/file/d/1ldu1E572GPdeiQxpYJcAqDSmk8OrfBHq/view?usp=drive_link"/>
      </ext>
    </x18tc:extLst>
  </x18tc:threadedComment>
  <x18tc:threadedComment ref="AF398" dT="2026-01-06T16:46:32.00" personId="{2ddfa542-8116-4937-a057-08470d7abaab}" id="{2681a6d5-14a4-475f-9d92-9d5f57a90cfa}" done="1">
    <x18tc:text xml:space="preserve">VENTA FINAL, FIXIT, EXCEDENTES</x18tc:text>
  </x18tc:threadedComment>
  <x18tc:threadedComment ref="J353" dT="2025-11-28T16:04:01.00" personId="{a5d43f6d-3c72-4414-b012-8f52ef50acc4}" id="{3f9dd424-50aa-4be8-963b-c79e56ef075e}" done="0">
    <x18tc:text xml:space="preserve">https://drive.google.com/file/d/1FLtX4wr23Higlwk3dVoU34TbsifiYQWt/view?usp=drive_link
https://drive.google.com/file/d/1Zr1G5Df0xYcPz0QJtK6afpUv3BmUy7Z6/view?usp=drive_link
https://drive.google.com/file/d/1jKJuXQmsoLXWS3onE5l7_mznywBGCS-Y/view?usp=drive_link
https://drive.google.com/file/d/1uQ-FhlWDVy22GPPoOu7Xoq5q-9sX4UnR/view?usp=drive_link</x18tc:text>
    <x18tc:extLst>
      <ext uri="{F7C98A9C-CBB3-438F-8F68-D28B6AF4A901}">
        <xltc2:checksum/>
        <xltc2:hyperlink startIndex="0" length="85" url="https://drive.google.com/file/d/1FLtX4wr23Higlwk3dVoU34TbsifiYQWt/view?usp=drive_link"/>
        <xltc2:hyperlink startIndex="86" length="85" url="https://drive.google.com/file/d/1Zr1G5Df0xYcPz0QJtK6afpUv3BmUy7Z6/view?usp=drive_link"/>
        <xltc2:hyperlink startIndex="172" length="85" url="https://drive.google.com/file/d/1jKJuXQmsoLXWS3onE5l7_mznywBGCS-Y/view?usp=drive_link"/>
        <xltc2:hyperlink startIndex="258" length="85" url="https://drive.google.com/file/d/1uQ-FhlWDVy22GPPoOu7Xoq5q-9sX4UnR/view?usp=drive_link"/>
      </ext>
    </x18tc:extLst>
  </x18tc:threadedComment>
  <x18tc:threadedComment ref="J475" dT="2026-02-05T20:37:18.00" personId="{4df2d6c4-e43e-4f2e-b623-d90f458472ff}" id="{a94e9c46-0fc1-400b-97c9-12b62c3f4ffb}" done="0">
    <x18tc:text xml:space="preserve">https://drive.google.com/file/d/1XXxhMZbKx3ihF6OnTC_ANZj_1NONGQAQ/view?usp=drive_link</x18tc:text>
    <x18tc:extLst>
      <ext uri="{F7C98A9C-CBB3-438F-8F68-D28B6AF4A901}">
        <xltc2:checksum/>
        <xltc2:hyperlink startIndex="0" length="85" url="https://drive.google.com/file/d/1XXxhMZbKx3ihF6OnTC_ANZj_1NONGQAQ/view?usp=drive_link"/>
      </ext>
    </x18tc:extLst>
  </x18tc:threadedComment>
  <x18tc:threadedComment ref="L261" dT="2025-10-15T16:32:32.00" personId="{d8e4f5ad-b65d-4160-a56f-197530fb7eb1}" id="{6cc0bca4-59cc-468b-869b-641bc855039c}" done="0">
    <x18tc:text xml:space="preserve">https://drive.google.com/file/d/19APiR-P44jaz5giWIvCSOOmPvus6T8oM/view?usp=drive_link</x18tc:text>
    <x18tc:extLst>
      <ext uri="{F7C98A9C-CBB3-438F-8F68-D28B6AF4A901}">
        <xltc2:checksum/>
        <xltc2:hyperlink startIndex="0" length="85" url="https://drive.google.com/file/d/19APiR-P44jaz5giWIvCSOOmPvus6T8oM/view?usp=drive_link"/>
      </ext>
    </x18tc:extLst>
  </x18tc:threadedComment>
  <x18tc:threadedComment ref="K470" dT="2026-02-05T20:50:38.00" personId="{4df2d6c4-e43e-4f2e-b623-d90f458472ff}" id="{3459a5af-01da-41aa-91f4-f66a55067c62}" done="0">
    <x18tc:text xml:space="preserve">https://drive.google.com/file/d/1h97JLnJRGk_YZh2YrBq46pLbJWwofG5M/view?usp=drive_link</x18tc:text>
    <x18tc:extLst>
      <ext uri="{F7C98A9C-CBB3-438F-8F68-D28B6AF4A901}">
        <xltc2:checksum/>
        <xltc2:hyperlink startIndex="0" length="85" url="https://drive.google.com/file/d/1h97JLnJRGk_YZh2YrBq46pLbJWwofG5M/view?usp=drive_link"/>
      </ext>
    </x18tc:extLst>
  </x18tc:threadedComment>
  <x18tc:threadedComment ref="D353" dT="2025-11-28T16:02:44.00" personId="{a5d43f6d-3c72-4414-b012-8f52ef50acc4}" id="{9a0ab713-be9f-401b-bc78-fc7b80d97771}" done="0">
    <x18tc:text xml:space="preserve">Nombres: Jesús Martín Ordinola Carreño.
Dni: 45954667
Celular: 979704708
Correo: martin.ordi98@gmail.com</x18tc:text>
  </x18tc:threadedComment>
  <x18tc:threadedComment ref="W256" dT="2025-11-02T05:47:41.00" personId="{a5d43f6d-3c72-4414-b012-8f52ef50acc4}" id="{611757e6-201e-4c02-92f6-984ae37e622f}" done="0">
    <x18tc:text xml:space="preserve">https://drive.google.com/file/d/15-ziLeAmAIptrY4B1Mq3EOfX-07GpZux/view?usp=drive_link</x18tc:text>
    <x18tc:extLst>
      <ext uri="{F7C98A9C-CBB3-438F-8F68-D28B6AF4A901}">
        <xltc2:checksum/>
        <xltc2:hyperlink startIndex="0" length="85" url="https://drive.google.com/file/d/15-ziLeAmAIptrY4B1Mq3EOfX-07GpZux/view?usp=drive_link"/>
      </ext>
    </x18tc:extLst>
  </x18tc:threadedComment>
  <x18tc:threadedComment ref="J469" dT="2026-02-05T20:38:06.00" personId="{4df2d6c4-e43e-4f2e-b623-d90f458472ff}" id="{94fdc2cb-9f07-4c10-a231-6b4e51e75fdb}" done="0">
    <x18tc:text xml:space="preserve">https://drive.google.com/file/d/1Wdc_5hvra9dPQPerAauBa7UAIUON6dqB/view?usp=drive_link</x18tc:text>
    <x18tc:extLst>
      <ext uri="{F7C98A9C-CBB3-438F-8F68-D28B6AF4A901}">
        <xltc2:checksum/>
        <xltc2:hyperlink startIndex="0" length="85" url="https://drive.google.com/file/d/1Wdc_5hvra9dPQPerAauBa7UAIUON6dqB/view?usp=drive_link"/>
      </ext>
    </x18tc:extLst>
  </x18tc:threadedComment>
  <x18tc:threadedComment ref="AF352" dT="2026-01-06T15:39:04.00" personId="{2ddfa542-8116-4937-a057-08470d7abaab}" id="{0547fcfe-5d4b-4290-abb0-1213741f2f3e}" done="0">
    <x18tc:text xml:space="preserve">VENTA FINAL, FIXIT, EXCEDENTES</x18tc:text>
  </x18tc:threadedComment>
  <x18tc:threadedComment ref="M264" dT="2025-11-02T05:53:34.00" personId="{a5d43f6d-3c72-4414-b012-8f52ef50acc4}" id="{da23172a-d3f0-47f6-89b8-f65b9c77b19d}" done="0">
    <x18tc:text xml:space="preserve">incluye garantia</x18tc:text>
  </x18tc:threadedComment>
  <x18tc:threadedComment ref="L244" dT="2025-11-02T03:43:37.00" personId="{a5d43f6d-3c72-4414-b012-8f52ef50acc4}" id="{fb06b37b-3ff6-4a3c-b5e3-a5a7fd78ceb8}" done="0">
    <x18tc:text xml:space="preserve">https://drive.google.com/file/d/1CU6uyabaZfPObOAew3IgHNuTVCStC41c/view?usp=drive_link</x18tc:text>
    <x18tc:extLst>
      <ext uri="{F7C98A9C-CBB3-438F-8F68-D28B6AF4A901}">
        <xltc2:checksum/>
        <xltc2:hyperlink startIndex="0" length="85" url="https://drive.google.com/file/d/1CU6uyabaZfPObOAew3IgHNuTVCStC41c/view?usp=drive_link"/>
      </ext>
    </x18tc:extLst>
  </x18tc:threadedComment>
  <x18tc:threadedComment ref="AF380" dT="2026-01-06T15:41:44.00" personId="{2ddfa542-8116-4937-a057-08470d7abaab}" id="{080d5bd0-646d-4c74-8979-99af3a1c3a02}" done="0">
    <x18tc:text xml:space="preserve">VENTA FINAL, PRECIO FINAL POR COBRAR, FIXIT, EXCEDENTES</x18tc:text>
  </x18tc:threadedComment>
  <x18tc:threadedComment ref="J82" dT="2025-06-03T17:21:52.00" personId="{a5d43f6d-3c72-4414-b012-8f52ef50acc4}" id="{6a6f82e0-e14f-46fe-8a30-395b33d0c856}" done="0">
    <x18tc:text xml:space="preserve">https://drive.google.com/file/d/1ASlW69MvLDaW4-blt4KLR-SCXLiRxann/view?usp=drive_link</x18tc:text>
    <x18tc:extLst>
      <ext uri="{F7C98A9C-CBB3-438F-8F68-D28B6AF4A901}">
        <xltc2:checksum/>
        <xltc2:hyperlink startIndex="0" length="85" url="https://drive.google.com/file/d/1ASlW69MvLDaW4-blt4KLR-SCXLiRxann/view?usp=drive_link"/>
      </ext>
    </x18tc:extLst>
  </x18tc:threadedComment>
  <x18tc:threadedComment ref="C693" dT="2026-04-22T00:25:12.00" personId="{80195d68-4e9b-4dc7-a031-ca5391c97d0f}" id="{211bf0d3-a584-42a3-8c24-f51c5dfef01b}"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W244" dT="2025-11-02T03:58:45.00" personId="{a5d43f6d-3c72-4414-b012-8f52ef50acc4}" id="{51ed271a-11c2-4193-9dd6-92bbd5c3e22b}" done="0">
    <x18tc:text xml:space="preserve">https://drive.google.com/file/d/1XfELjRi-YD7Bm7OShYTyMcaGj2vkGSa6/view?usp=drive_link</x18tc:text>
    <x18tc:extLst>
      <ext uri="{F7C98A9C-CBB3-438F-8F68-D28B6AF4A901}">
        <xltc2:checksum/>
        <xltc2:hyperlink startIndex="0" length="85" url="https://drive.google.com/file/d/1XfELjRi-YD7Bm7OShYTyMcaGj2vkGSa6/view?usp=drive_link"/>
      </ext>
    </x18tc:extLst>
  </x18tc:threadedComment>
  <x18tc:threadedComment ref="W251" dT="2025-11-01T16:43:19.00" personId="{4df2d6c4-e43e-4f2e-b623-d90f458472ff}" id="{8b0c4c50-5a55-4d97-b1b2-5ece332c1945}" done="0">
    <x18tc:text xml:space="preserve">https://drive.google.com/file/d/1Fpy7w3G0pUYIxiioKAzqeiX_s6VO2o2-/view?usp=drive_link</x18tc:text>
    <x18tc:extLst>
      <ext uri="{F7C98A9C-CBB3-438F-8F68-D28B6AF4A901}">
        <xltc2:checksum/>
        <xltc2:hyperlink startIndex="0" length="85" url="https://drive.google.com/file/d/1Fpy7w3G0pUYIxiioKAzqeiX_s6VO2o2-/view?usp=drive_link"/>
      </ext>
    </x18tc:extLst>
  </x18tc:threadedComment>
  <x18tc:threadedComment ref="Q687" dT="2026-05-25T11:11:47.00" personId="{2ddfa542-8116-4937-a057-08470d7abaab}" id="{e1a39e6f-b38b-41d6-908b-70d2e2a84365}" done="0">
    <x18tc:text xml:space="preserve">FILA 668</x18tc:text>
  </x18tc:threadedComment>
  <x18tc:threadedComment ref="Q687" dT="2026-05-25T20:01:37.00" personId="{2ddfa542-8116-4937-a057-08470d7abaab}" id="{24fa6f52-a26b-49bb-824e-1842b41a1ba4}" parentId="{e1a39e6f-b38b-41d6-908b-70d2e2a84365}">
    <x18tc:text xml:space="preserve">2 programas crackeados se le dara a parte con estos 50</x18tc:text>
  </x18tc:threadedComment>
  <x18tc:threadedComment ref="AF393" dT="2026-01-06T15:43:06.00" personId="{2ddfa542-8116-4937-a057-08470d7abaab}" id="{060cecc5-083e-4dc8-b434-e40b8e3614f6}" done="1">
    <x18tc:text xml:space="preserve">VENTA FINAL, FIXIT, EXCEDENTES</x18tc:text>
  </x18tc:threadedComment>
  <x18tc:threadedComment ref="K353" dT="2025-12-12T22:32:48.00" personId="{a5d43f6d-3c72-4414-b012-8f52ef50acc4}" id="{1b3af884-5883-4bfa-b51f-e83206f3be24}" done="0">
    <x18tc:text xml:space="preserve">https://drive.google.com/file/d/1L9VUqEaZhfsFY0FZRTxzrlKhZ-eVGut7/view?usp=drive_link</x18tc:text>
    <x18tc:extLst>
      <ext uri="{F7C98A9C-CBB3-438F-8F68-D28B6AF4A901}">
        <xltc2:checksum/>
        <xltc2:hyperlink startIndex="0" length="85" url="https://drive.google.com/file/d/1L9VUqEaZhfsFY0FZRTxzrlKhZ-eVGut7/view?usp=drive_link"/>
      </ext>
    </x18tc:extLst>
  </x18tc:threadedComment>
  <x18tc:threadedComment ref="C82" dT="2025-06-03T17:23:06.00" personId="{a5d43f6d-3c72-4414-b012-8f52ef50acc4}" id="{561f4a77-8d00-474b-8090-4974cbfb5bde}" done="0">
    <x18tc:text xml:space="preserve">https://www.bestbuy.com/site/asus-rog-zephyrus-g16-16-oled-2-5k-240hz-gaming-laptop-intel-core-ultra-9-32gb-ram-nvidia-rtx-5070-ti-1tb-ssd-eclipse-gray/6617485.p?skuId=6617485</x18tc:text>
    <x18tc:extLst>
      <ext uri="{F7C98A9C-CBB3-438F-8F68-D28B6AF4A901}">
        <xltc2:checksum/>
        <xltc2:hyperlink startIndex="0" length="175" url="https://www.bestbuy.com/site/asus-rog-zephyrus-g16-16-oled-2-5k-240hz-gaming-laptop-intel-core-ultra-9-32gb-ram-nvidia-rtx-5070-ti-1tb-ssd-eclipse-gray/6617485.p?skuId=6617485"/>
      </ext>
    </x18tc:extLst>
  </x18tc:threadedComment>
  <x18tc:threadedComment ref="Q710" dT="2026-05-25T11:13:58.00" personId="{2ddfa542-8116-4937-a057-08470d7abaab}" id="{ddbf6cf0-77ab-4025-8d4e-64ed5896645c}" done="0">
    <x18tc:text xml:space="preserve">fila 695</x18tc:text>
  </x18tc:threadedComment>
  <x18tc:threadedComment ref="L238" dT="2025-11-02T03:40:54.00" personId="{a5d43f6d-3c72-4414-b012-8f52ef50acc4}" id="{94b07ced-147a-4a4c-a3ab-f585a6c6eb12}" done="0">
    <x18tc:text xml:space="preserve">https://drive.google.com/file/d/1RWISIVOiIZrxe92tRXm-hS6IC3TB6NC9/view?usp=drive_link</x18tc:text>
    <x18tc:extLst>
      <ext uri="{F7C98A9C-CBB3-438F-8F68-D28B6AF4A901}">
        <xltc2:checksum/>
        <xltc2:hyperlink startIndex="0" length="85" url="https://drive.google.com/file/d/1RWISIVOiIZrxe92tRXm-hS6IC3TB6NC9/view?usp=drive_link"/>
      </ext>
    </x18tc:extLst>
  </x18tc:threadedComment>
  <x18tc:threadedComment ref="Q726" dT="2026-05-25T11:14:44.00" personId="{2ddfa542-8116-4937-a057-08470d7abaab}" id="{d1e4dc22-57d0-44d8-a6fa-8cf93739ab0f}" done="0">
    <x18tc:text xml:space="preserve">FILA 703</x18tc:text>
  </x18tc:threadedComment>
  <x18tc:threadedComment ref="AF397" dT="2026-01-06T15:50:21.00" personId="{2ddfa542-8116-4937-a057-08470d7abaab}" id="{bf191971-e4ac-4756-b871-f46510b29f66}" done="1">
    <x18tc:text xml:space="preserve">VENTA FINAL, FIXIT, EXCEDENTES</x18tc:text>
  </x18tc:threadedComment>
  <x18tc:threadedComment ref="W238" dT="2025-11-02T03:18:48.00" personId="{a5d43f6d-3c72-4414-b012-8f52ef50acc4}" id="{ea96bbbd-0146-45da-85fb-0136bf88c85a}" done="0">
    <x18tc:text xml:space="preserve">https://drive.google.com/file/d/17Jg_M3mIuZihn6n_0AU36EcQSn0VM9EH/view?usp=drive_link</x18tc:text>
    <x18tc:extLst>
      <ext uri="{F7C98A9C-CBB3-438F-8F68-D28B6AF4A901}">
        <xltc2:checksum/>
        <xltc2:hyperlink startIndex="0" length="85" url="https://drive.google.com/file/d/17Jg_M3mIuZihn6n_0AU36EcQSn0VM9EH/view?usp=drive_link"/>
      </ext>
    </x18tc:extLst>
  </x18tc:threadedComment>
  <x18tc:threadedComment ref="AF406" dT="2026-01-06T15:53:45.00" personId="{2ddfa542-8116-4937-a057-08470d7abaab}" id="{b228cbed-c65e-4d56-8896-f6779fb9d11e}" done="1">
    <x18tc:text xml:space="preserve">VENTA FINAL, FIXIT, EXCEDENTES</x18tc:text>
  </x18tc:threadedComment>
  <x18tc:threadedComment ref="C260" dT="2025-10-03T20:44:23.00" personId="{d8e4f5ad-b65d-4160-a56f-197530fb7eb1}" id="{e281ee05-338b-4e73-9c78-202ffff394b6}" done="0">
    <x18tc:text xml:space="preserve">https://us-store.msi.com/Titan-18-HX-Dragon-Edition-Norse-Myth-A2XWJG?search=TITAN</x18tc:text>
    <x18tc:extLst>
      <ext uri="{F7C98A9C-CBB3-438F-8F68-D28B6AF4A901}">
        <xltc2:checksum/>
        <xltc2:hyperlink startIndex="0" length="82" url="https://us-store.msi.com/Titan-18-HX-Dragon-Edition-Norse-Myth-A2XWJG?search=TITAN"/>
      </ext>
    </x18tc:extLst>
  </x18tc:threadedComment>
  <x18tc:threadedComment ref="W283" dT="2025-11-02T03:34:02.00" personId="{a5d43f6d-3c72-4414-b012-8f52ef50acc4}" id="{666b563c-6a34-4189-9676-e75057ec3c8a}" done="0">
    <x18tc:text xml:space="preserve">https://drive.google.com/file/d/1Cl2-X7P4_Xi0ACFD0GroH-4wDmj1GISt/view?usp=drive_link</x18tc:text>
    <x18tc:extLst>
      <ext uri="{F7C98A9C-CBB3-438F-8F68-D28B6AF4A901}">
        <xltc2:checksum/>
        <xltc2:hyperlink startIndex="0" length="85" url="https://drive.google.com/file/d/1Cl2-X7P4_Xi0ACFD0GroH-4wDmj1GISt/view?usp=drive_link"/>
      </ext>
    </x18tc:extLst>
  </x18tc:threadedComment>
  <x18tc:threadedComment ref="AF408" dT="2026-01-06T15:56:55.00" personId="{2ddfa542-8116-4937-a057-08470d7abaab}" id="{b98a8015-798c-4952-a499-53d13b52a1b5}" done="1">
    <x18tc:text xml:space="preserve">VENTA FINAL, FIXIT, EXCEDENTES</x18tc:text>
  </x18tc:threadedComment>
  <x18tc:threadedComment ref="J336" dT="2025-11-28T16:19:36.00" personId="{a5d43f6d-3c72-4414-b012-8f52ef50acc4}" id="{fcb03a84-21b0-49b0-8462-1a0e2b0bd66f}" done="0">
    <x18tc:text xml:space="preserve">https://drive.google.com/file/d/14jA0EO5hPj7J1eFRpLeGEVkFuOc5H1hn/view?usp=drive_link</x18tc:text>
    <x18tc:extLst>
      <ext uri="{F7C98A9C-CBB3-438F-8F68-D28B6AF4A901}">
        <xltc2:checksum/>
        <xltc2:hyperlink startIndex="0" length="85" url="https://drive.google.com/file/d/14jA0EO5hPj7J1eFRpLeGEVkFuOc5H1hn/view?usp=drive_link"/>
      </ext>
    </x18tc:extLst>
  </x18tc:threadedComment>
  <x18tc:threadedComment ref="K732" dT="2026-06-02T23:36:12.00" personId="{f9b224d0-ee33-4499-ae47-db5bcd2d0435}" id="{ccee0136-92b3-47cb-b47a-bce8cfe32b4d}" done="0">
    <x18tc:text xml:space="preserve">https://drive.google.com/file/d/1g6xncaFXkawJUIRLP-WS6aSw1aLyODTu/view?usp=drive_link</x18tc:text>
    <x18tc:extLst>
      <ext uri="{F7C98A9C-CBB3-438F-8F68-D28B6AF4A901}">
        <xltc2:checksum/>
        <xltc2:hyperlink startIndex="0" length="85" url="https://drive.google.com/file/d/1g6xncaFXkawJUIRLP-WS6aSw1aLyODTu/view?usp=drive_link"/>
      </ext>
    </x18tc:extLst>
  </x18tc:threadedComment>
  <x18tc:threadedComment ref="K732" dT="2026-06-02T23:36:40.00" personId="{f9b224d0-ee33-4499-ae47-db5bcd2d0435}" id="{0360762b-a487-49bd-be92-d70105b37256}" parentId="{ccee0136-92b3-47cb-b47a-bce8cfe32b4d}">
    <x18tc:text xml:space="preserve">https://drive.google.com/file/d/1aFuNGbebl_9h-uJZ5Fqt1qLSrQvqzNWc/view?usp=drive_link</x18tc:text>
    <x18tc:extLst>
      <ext uri="{F7C98A9C-CBB3-438F-8F68-D28B6AF4A901}">
        <xltc2:checksum/>
        <xltc2:hyperlink startIndex="0" length="85" url="https://drive.google.com/file/d/1aFuNGbebl_9h-uJZ5Fqt1qLSrQvqzNWc/view?usp=drive_link"/>
      </ext>
    </x18tc:extLst>
  </x18tc:threadedComment>
  <x18tc:threadedComment ref="W264" dT="2025-11-02T03:07:59.00" personId="{a5d43f6d-3c72-4414-b012-8f52ef50acc4}" id="{9ca6d869-f02e-4c48-9b6f-3e09f7f29677}" done="0">
    <x18tc:text xml:space="preserve">https://drive.google.com/file/d/1w_OoTM_yNaNIXBwT-jDw6QaKQ5IG-xjh/view?usp=drive_link</x18tc:text>
    <x18tc:extLst>
      <ext uri="{F7C98A9C-CBB3-438F-8F68-D28B6AF4A901}">
        <xltc2:checksum/>
        <xltc2:hyperlink startIndex="0" length="85" url="https://drive.google.com/file/d/1w_OoTM_yNaNIXBwT-jDw6QaKQ5IG-xjh/view?usp=drive_link"/>
      </ext>
    </x18tc:extLst>
  </x18tc:threadedComment>
  <x18tc:threadedComment ref="J200" dT="2025-08-28T23:41:43.00" personId="{4df2d6c4-e43e-4f2e-b623-d90f458472ff}" id="{e21f144c-11f5-430f-a46f-7f8630a52e61}" done="0">
    <x18tc:text xml:space="preserve">https://drive.google.com/file/d/1U1q2OwNAlsQXPYQq6yyMH-BWxCau1QKS/view?usp=drive_link</x18tc:text>
    <x18tc:extLst>
      <ext uri="{F7C98A9C-CBB3-438F-8F68-D28B6AF4A901}">
        <xltc2:checksum/>
        <xltc2:hyperlink startIndex="0" length="85" url="https://drive.google.com/file/d/1U1q2OwNAlsQXPYQq6yyMH-BWxCau1QKS/view?usp=drive_link"/>
      </ext>
    </x18tc:extLst>
  </x18tc:threadedComment>
  <x18tc:threadedComment ref="K746" dT="2026-06-17T16:27:13.00" personId="{f9b224d0-ee33-4499-ae47-db5bcd2d0435}" id="{4346502a-c84e-4685-bbd1-d58826f28761}" done="0">
    <x18tc:text xml:space="preserve">https://drive.google.com/file/d/1GdUpdIrIPsw2PR5MTlPouNR3hpq-FQYJ/view?usp=drive_link</x18tc:text>
    <x18tc:extLst>
      <ext uri="{F7C98A9C-CBB3-438F-8F68-D28B6AF4A901}">
        <xltc2:checksum/>
        <xltc2:hyperlink startIndex="0" length="85" url="https://drive.google.com/file/d/1GdUpdIrIPsw2PR5MTlPouNR3hpq-FQYJ/view?usp=drive_link"/>
      </ext>
    </x18tc:extLst>
  </x18tc:threadedComment>
  <x18tc:threadedComment ref="J695" dT="2026-04-22T00:06:44.00" personId="{d8e4f5ad-b65d-4160-a56f-197530fb7eb1}" id="{e878d09d-9db2-49b5-88b4-be55116a316b}" done="0">
    <x18tc:text xml:space="preserve">https://drive.google.com/file/d/1OHnqPnBiyqBzm2fJFDjy5rfnNYKQl3Wb/view?usp=drive_link</x18tc:text>
    <x18tc:extLst>
      <ext uri="{F7C98A9C-CBB3-438F-8F68-D28B6AF4A901}">
        <xltc2:checksum/>
        <xltc2:hyperlink startIndex="0" length="85" url="https://drive.google.com/file/d/1OHnqPnBiyqBzm2fJFDjy5rfnNYKQl3Wb/view?usp=drive_link"/>
      </ext>
    </x18tc:extLst>
  </x18tc:threadedComment>
  <x18tc:threadedComment ref="K738" dT="2026-06-17T16:39:51.00" personId="{f9b224d0-ee33-4499-ae47-db5bcd2d0435}" id="{74f73382-c5fc-4e51-a387-5831246844a1}" done="0">
    <x18tc:text xml:space="preserve">https://drive.google.com/file/d/18pGT_vl_mmfsg8pzJxMgt_gIimNcB_JH/view?usp=drive_link</x18tc:text>
    <x18tc:extLst>
      <ext uri="{F7C98A9C-CBB3-438F-8F68-D28B6AF4A901}">
        <xltc2:checksum/>
        <xltc2:hyperlink startIndex="0" length="85" url="https://drive.google.com/file/d/18pGT_vl_mmfsg8pzJxMgt_gIimNcB_JH/view?usp=drive_link"/>
      </ext>
    </x18tc:extLst>
  </x18tc:threadedComment>
  <x18tc:threadedComment ref="J468" dT="2026-02-05T20:38:37.00" personId="{4df2d6c4-e43e-4f2e-b623-d90f458472ff}" id="{e8f1a5d0-12a3-48f8-bbe4-4c0b13be7a77}" done="0">
    <x18tc:text xml:space="preserve">https://drive.google.com/file/d/1v9orWCQV7f8O0hVDRRehPeR0YK_aYxGn/view?usp=drive_link</x18tc:text>
    <x18tc:extLst>
      <ext uri="{F7C98A9C-CBB3-438F-8F68-D28B6AF4A901}">
        <xltc2:checksum/>
        <xltc2:hyperlink startIndex="0" length="85" url="https://drive.google.com/file/d/1v9orWCQV7f8O0hVDRRehPeR0YK_aYxGn/view?usp=drive_link"/>
      </ext>
    </x18tc:extLst>
  </x18tc:threadedComment>
  <x18tc:threadedComment ref="J398" dT="2026-01-06T15:58:41.00" personId="{a5d43f6d-3c72-4414-b012-8f52ef50acc4}" id="{8e064aa2-4d8d-4982-9d50-50286035c93c}" done="1">
    <x18tc:text xml:space="preserve">https://drive.google.com/file/d/13DJN_Wrc3DaC7Yt97Qx1MHsuirB6gRw5/view?usp=drivesdk</x18tc:text>
    <x18tc:extLst>
      <ext uri="{F7C98A9C-CBB3-438F-8F68-D28B6AF4A901}">
        <xltc2:checksum/>
        <xltc2:hyperlink startIndex="0" length="83" url="https://drive.google.com/file/d/13DJN_Wrc3DaC7Yt97Qx1MHsuirB6gRw5/view?usp=drivesdk"/>
      </ext>
    </x18tc:extLst>
  </x18tc:threadedComment>
  <x18tc:threadedComment ref="J465" dT="2026-02-05T20:39:47.00" personId="{4df2d6c4-e43e-4f2e-b623-d90f458472ff}" id="{7344c17f-67aa-4790-b4cf-9b8d127c722b}" done="0">
    <x18tc:text xml:space="preserve">https://drive.google.com/file/d/1jXS6JjaJpLZoyRceXlfHx7ZuAZOqsqCM/view?usp=drive_link</x18tc:text>
    <x18tc:extLst>
      <ext uri="{F7C98A9C-CBB3-438F-8F68-D28B6AF4A901}">
        <xltc2:checksum/>
        <xltc2:hyperlink startIndex="0" length="85" url="https://drive.google.com/file/d/1jXS6JjaJpLZoyRceXlfHx7ZuAZOqsqCM/view?usp=drive_link"/>
      </ext>
    </x18tc:extLst>
  </x18tc:threadedComment>
  <x18tc:threadedComment ref="AF405" dT="2026-01-06T17:00:54.00" personId="{2ddfa542-8116-4937-a057-08470d7abaab}" id="{9eba02c9-3f6a-4001-aa94-bd2237e4264d}" done="1">
    <x18tc:text xml:space="preserve">VENTA FINAL, FIXIT, EXCEDENTES</x18tc:text>
  </x18tc:threadedComment>
  <x18tc:threadedComment ref="J463" dT="2026-02-05T20:40:48.00" personId="{4df2d6c4-e43e-4f2e-b623-d90f458472ff}" id="{9966dc84-d8ef-4dea-b5b4-756e1a31a075}" done="0">
    <x18tc:text xml:space="preserve">https://drive.google.com/file/d/1Fn0G5GJzxuFAyoS3hBhqenH_wAgQYX_g/view?usp=drive_link</x18tc:text>
    <x18tc:extLst>
      <ext uri="{F7C98A9C-CBB3-438F-8F68-D28B6AF4A901}">
        <xltc2:checksum/>
        <xltc2:hyperlink startIndex="0" length="85" url="https://drive.google.com/file/d/1Fn0G5GJzxuFAyoS3hBhqenH_wAgQYX_g/view?usp=drive_link"/>
      </ext>
    </x18tc:extLst>
  </x18tc:threadedComment>
  <x18tc:threadedComment ref="K450" dT="2026-01-03T15:53:22.00" personId="{d8e4f5ad-b65d-4160-a56f-197530fb7eb1}" id="{12421b78-6ff0-40ad-9552-054d5cde533b}" done="0">
    <x18tc:text xml:space="preserve">https://drive.google.com/file/d/1EVqQe7mJsZiuvwiRSBrfPcDLX9d7Dt2P/view?usp=drive_link</x18tc:text>
    <x18tc:extLst>
      <ext uri="{F7C98A9C-CBB3-438F-8F68-D28B6AF4A901}">
        <xltc2:checksum/>
        <xltc2:hyperlink startIndex="0" length="85" url="https://drive.google.com/file/d/1EVqQe7mJsZiuvwiRSBrfPcDLX9d7Dt2P/view?usp=drive_link"/>
      </ext>
    </x18tc:extLst>
  </x18tc:threadedComment>
  <x18tc:threadedComment ref="K450" dT="2026-01-03T20:12:52.00" personId="{d8e4f5ad-b65d-4160-a56f-197530fb7eb1}" id="{23a702e2-45c5-4490-8d54-5722511b46e4}" parentId="{12421b78-6ff0-40ad-9552-054d5cde533b}">
    <x18tc:text xml:space="preserve">https://drive.google.com/file/d/1DYQhWfGsJ8M1lwar70xGNSmpg1Ei5gXa/view?usp=drive_link</x18tc:text>
    <x18tc:extLst>
      <ext uri="{F7C98A9C-CBB3-438F-8F68-D28B6AF4A901}">
        <xltc2:checksum/>
        <xltc2:hyperlink startIndex="0" length="85" url="https://drive.google.com/file/d/1DYQhWfGsJ8M1lwar70xGNSmpg1Ei5gXa/view?usp=drive_link"/>
      </ext>
    </x18tc:extLst>
  </x18tc:threadedComment>
  <x18tc:threadedComment ref="V306" dT="2025-11-28T23:44:16.00" personId="{2ddfa542-8116-4937-a057-08470d7abaab}" id="{8a84a3e0-0f0e-4c01-85b3-251f8d9c4af9}" done="1">
    <x18tc:text xml:space="preserve">no se sabe el nombre de la persona que hizo el form</x18tc:text>
  </x18tc:threadedComment>
  <x18tc:threadedComment ref="J201" dT="2025-08-29T18:20:38.00" personId="{a5d43f6d-3c72-4414-b012-8f52ef50acc4}" id="{0d0ecc55-fe32-4ae4-adad-58552f06ade2}" done="0">
    <x18tc:text xml:space="preserve">https://drive.google.com/file/d/1MiDKspRtyCOGlzfBO8O2Yf5Q-EY-hlo-/view?usp=drive_link</x18tc:text>
    <x18tc:extLst>
      <ext uri="{F7C98A9C-CBB3-438F-8F68-D28B6AF4A901}">
        <xltc2:checksum/>
        <xltc2:hyperlink startIndex="0" length="85" url="https://drive.google.com/file/d/1MiDKspRtyCOGlzfBO8O2Yf5Q-EY-hlo-/view?usp=drive_link"/>
      </ext>
    </x18tc:extLst>
  </x18tc:threadedComment>
  <x18tc:threadedComment ref="J398" dT="2026-01-06T16:02:05.00" personId="{a5d43f6d-3c72-4414-b012-8f52ef50acc4}" id="{7cdb4a71-a03f-423d-be87-db200aaf3d5b}" done="0">
    <x18tc:text xml:space="preserve">https://drive.google.com/file/d/13DJN_Wrc3DaC7Yt97Qx1MHsuirB6gRw5/view?usp=drive_link</x18tc:text>
    <x18tc:extLst>
      <ext uri="{F7C98A9C-CBB3-438F-8F68-D28B6AF4A901}">
        <xltc2:checksum/>
        <xltc2:hyperlink startIndex="0" length="85" url="https://drive.google.com/file/d/13DJN_Wrc3DaC7Yt97Qx1MHsuirB6gRw5/view?usp=drive_link"/>
      </ext>
    </x18tc:extLst>
  </x18tc:threadedComment>
  <x18tc:threadedComment ref="J696" dT="2026-04-21T23:03:17.00" personId="{a5d43f6d-3c72-4414-b012-8f52ef50acc4}" id="{3dea6c2a-b587-4c01-8569-feb69832c263}" done="0">
    <x18tc:text xml:space="preserve">https://drive.google.com/file/d/1jVbY_sNa2ftFHTBOSAeK_Inb85B3LL81/view?usp=drive_link</x18tc:text>
    <x18tc:extLst>
      <ext uri="{F7C98A9C-CBB3-438F-8F68-D28B6AF4A901}">
        <xltc2:checksum/>
        <xltc2:hyperlink startIndex="0" length="85" url="https://drive.google.com/file/d/1jVbY_sNa2ftFHTBOSAeK_Inb85B3LL81/view?usp=drive_link"/>
      </ext>
    </x18tc:extLst>
  </x18tc:threadedComment>
  <x18tc:threadedComment ref="AF411" dT="2026-01-06T17:25:09.00" personId="{2ddfa542-8116-4937-a057-08470d7abaab}" id="{e946b09f-d608-41d4-94b3-aed1af3e2621}" done="1">
    <x18tc:text xml:space="preserve">VENTA FINAL, FIXIT, EXCEDENTES</x18tc:text>
  </x18tc:threadedComment>
  <x18tc:threadedComment ref="C201" dT="2025-08-29T18:19:21.00" personId="{a5d43f6d-3c72-4414-b012-8f52ef50acc4}" id="{a6b224ad-b556-4f77-a078-00212ef3072f}" done="0">
    <x18tc:text xml:space="preserve">https://www.ebay.com/itm/376459134161?</x18tc:text>
    <x18tc:extLst>
      <ext uri="{F7C98A9C-CBB3-438F-8F68-D28B6AF4A901}">
        <xltc2:checksum/>
        <xltc2:hyperlink startIndex="0" length="37" url="https://www.ebay.com/itm/376459134161"/>
      </ext>
    </x18tc:extLst>
  </x18tc:threadedComment>
  <x18tc:threadedComment ref="K316" dT="2025-11-28T21:52:14.00" personId="{4df2d6c4-e43e-4f2e-b623-d90f458472ff}" id="{81ded95c-fe23-416c-8b4c-6241aa660493}" done="0">
    <x18tc:text xml:space="preserve">https://drive.google.com/file/d/1a-Mo3VZMdNSERT9Rigclc0ahGzRR1TBP/view?usp=drive_link</x18tc:text>
    <x18tc:extLst>
      <ext uri="{F7C98A9C-CBB3-438F-8F68-D28B6AF4A901}">
        <xltc2:checksum/>
        <xltc2:hyperlink startIndex="0" length="85" url="https://drive.google.com/file/d/1a-Mo3VZMdNSERT9Rigclc0ahGzRR1TBP/view?usp=drive_link"/>
      </ext>
    </x18tc:extLst>
  </x18tc:threadedComment>
  <x18tc:threadedComment ref="Q696" dT="2026-04-21T23:04:00.00" personId="{a5d43f6d-3c72-4414-b012-8f52ef50acc4}" id="{dbf17e0d-470d-4a3b-beb4-210287145d20}" done="0">
    <x18tc:text xml:space="preserve">Configuración inicial con formateo + eset nod + office 2024</x18tc:text>
  </x18tc:threadedComment>
  <x18tc:threadedComment ref="AF412" dT="2026-01-06T17:27:14.00" personId="{2ddfa542-8116-4937-a057-08470d7abaab}" id="{cb8cb070-1e20-481d-bf03-a3475ff4e2e8}" done="1">
    <x18tc:text xml:space="preserve">VENTA FINAL, FIXIT, EXCEDENTES</x18tc:text>
  </x18tc:threadedComment>
  <x18tc:threadedComment ref="C758" dT="2026-06-11T19:11:08.00" personId="{d8e4f5ad-b65d-4160-a56f-197530fb7eb1}" id="{955a17bd-3091-4810-a8d8-bd880249ac1f}"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C364" dT="2025-11-29T00:34:31.00" personId="{d8e4f5ad-b65d-4160-a56f-197530fb7eb1}" id="{6f408bca-dfc2-4e6a-bbbb-d5ebd6a15804}" done="0">
    <x18tc:text xml:space="preserve">https://www.bhphotovideo.com/c/product/1875949-REG/lenovo_83f50052us_16_legion_pro_7.html</x18tc:text>
    <x18tc:extLst>
      <ext uri="{F7C98A9C-CBB3-438F-8F68-D28B6AF4A901}">
        <xltc2:checksum/>
        <xltc2:hyperlink startIndex="0" length="89" url="https://www.bhphotovideo.com/c/product/1875949-REG/lenovo_83f50052us_16_legion_pro_7.html"/>
      </ext>
    </x18tc:extLst>
  </x18tc:threadedComment>
  <x18tc:threadedComment ref="AI746" dT="2026-06-17T16:55:59.00" personId="{7d9bea4b-cfe7-4c29-b483-8e83a1c4f52a}" id="{48ee59ab-3ef4-4f66-9f76-6cb183b87f8d}" done="0">
    <x18tc:text xml:space="preserve">https://drive.google.com/file/d/1ehxzQhmMiuRV_7hRUL_iKurD1ejNLRlZ/view?usp=drive_link</x18tc:text>
    <x18tc:extLst>
      <ext uri="{F7C98A9C-CBB3-438F-8F68-D28B6AF4A901}">
        <xltc2:checksum/>
        <xltc2:hyperlink startIndex="0" length="85" url="https://drive.google.com/file/d/1ehxzQhmMiuRV_7hRUL_iKurD1ejNLRlZ/view?usp=drive_link"/>
      </ext>
    </x18tc:extLst>
  </x18tc:threadedComment>
  <x18tc:threadedComment ref="V308" dT="2025-11-29T00:12:54.00" personId="{2ddfa542-8116-4937-a057-08470d7abaab}" id="{b277f59e-defb-4940-a7c0-4bcce7827fe6}" done="0">
    <x18tc:text xml:space="preserve">esta a nombre de LUIS PINEDO</x18tc:text>
  </x18tc:threadedComment>
  <x18tc:threadedComment ref="C363" dT="2025-11-29T00:09:49.00" personId="{d8e4f5ad-b65d-4160-a56f-197530fb7eb1}" id="{2d5a9bf6-4e6e-4f92-abc1-e2a9979ea64f}" done="0">
    <x18tc:text xml:space="preserve">https://www.microcenter.com/product/695521/dell-alienware-16-area-51-aa16250-16-gaming-laptop-computer-liquid-teal?storeid=185</x18tc:text>
    <x18tc:extLst>
      <ext uri="{F7C98A9C-CBB3-438F-8F68-D28B6AF4A901}">
        <xltc2:checksum/>
        <xltc2:hyperlink startIndex="0" length="126" url="https://www.microcenter.com/product/695521/dell-alienware-16-area-51-aa16250-16-gaming-laptop-computer-liquid-teal?storeid=185"/>
      </ext>
    </x18tc:extLst>
  </x18tc:threadedComment>
  <x18tc:threadedComment ref="C796" dT="2026-06-19T00:06:13.00" personId="{f9b224d0-ee33-4499-ae47-db5bcd2d0435}" id="{482a0635-262c-4872-9ede-2f3c8036908f}" done="0">
    <x18tc:text xml:space="preserve">https://shop.asus.com/us/30939-us-cnf-auto.html?config=90NR0K11-M00020</x18tc:text>
    <x18tc:extLst>
      <ext uri="{F7C98A9C-CBB3-438F-8F68-D28B6AF4A901}">
        <xltc2:checksum/>
        <xltc2:hyperlink startIndex="0" length="70" url="https://shop.asus.com/us/30939-us-cnf-auto.html?config=90NR0K11-M00020"/>
      </ext>
    </x18tc:extLst>
  </x18tc:threadedComment>
  <x18tc:threadedComment ref="K781" dT="2026-06-11T19:40:32.00" personId="{d8e4f5ad-b65d-4160-a56f-197530fb7eb1}" id="{b14445aa-6654-476d-86d2-87ab891e9d78}" done="0">
    <x18tc:text xml:space="preserve">https://drive.google.com/file/d/1UJxObhHDFGmcH_2NlrDD4oQnfzrtszeh/view?usp=drive_link</x18tc:text>
    <x18tc:extLst>
      <ext uri="{F7C98A9C-CBB3-438F-8F68-D28B6AF4A901}">
        <xltc2:checksum/>
        <xltc2:hyperlink startIndex="0" length="85" url="https://drive.google.com/file/d/1UJxObhHDFGmcH_2NlrDD4oQnfzrtszeh/view?usp=drive_link"/>
      </ext>
    </x18tc:extLst>
  </x18tc:threadedComment>
  <x18tc:threadedComment ref="K781" dT="2026-06-11T19:40:53.00" personId="{d8e4f5ad-b65d-4160-a56f-197530fb7eb1}" id="{37ec9dff-f68c-40d5-9541-105f29d492e2}" parentId="{b14445aa-6654-476d-86d2-87ab891e9d78}">
    <x18tc:text xml:space="preserve">https://drive.google.com/file/d/1jwl4RoNVbwKKXrM8NsoubXVlo8CIiqDq/view?usp=drive_link</x18tc:text>
    <x18tc:extLst>
      <ext uri="{F7C98A9C-CBB3-438F-8F68-D28B6AF4A901}">
        <xltc2:checksum/>
        <xltc2:hyperlink startIndex="0" length="85" url="https://drive.google.com/file/d/1jwl4RoNVbwKKXrM8NsoubXVlo8CIiqDq/view?usp=drive_link"/>
      </ext>
    </x18tc:extLst>
  </x18tc:threadedComment>
  <x18tc:threadedComment ref="AF416" dT="2026-01-06T17:46:22.00" personId="{2ddfa542-8116-4937-a057-08470d7abaab}" id="{a61675df-9fef-46e6-92bc-55240efe3147}" done="1">
    <x18tc:text xml:space="preserve">FIXIT</x18tc:text>
  </x18tc:threadedComment>
  <x18tc:threadedComment ref="L264" dT="2025-10-10T18:50:53.00" personId="{a5d43f6d-3c72-4414-b012-8f52ef50acc4}" id="{5640b008-ca4c-4252-a0e2-2cf65edc2e72}" done="0">
    <x18tc:text xml:space="preserve">https://drive.google.com/file/d/1YKZUllR60m2KUqByNcgwvbinffQyN5nj/view?usp=drive_link</x18tc:text>
    <x18tc:extLst>
      <ext uri="{F7C98A9C-CBB3-438F-8F68-D28B6AF4A901}">
        <xltc2:checksum/>
        <xltc2:hyperlink startIndex="0" length="85" url="https://drive.google.com/file/d/1YKZUllR60m2KUqByNcgwvbinffQyN5nj/view?usp=drive_link"/>
      </ext>
    </x18tc:extLst>
  </x18tc:threadedComment>
  <x18tc:threadedComment ref="L173" dT="2025-08-25T22:19:46.00" personId="{a5d43f6d-3c72-4414-b012-8f52ef50acc4}" id="{c0f971eb-fe57-4a0a-a130-e12ce63040aa}" done="0">
    <x18tc:text xml:space="preserve">https://drive.google.com/file/d/1lkiPLjx8V2do9nvtcqFw089EywA9JK1b/view?usp=drive_link</x18tc:text>
    <x18tc:extLst>
      <ext uri="{F7C98A9C-CBB3-438F-8F68-D28B6AF4A901}">
        <xltc2:checksum/>
        <xltc2:hyperlink startIndex="0" length="85" url="https://drive.google.com/file/d/1lkiPLjx8V2do9nvtcqFw089EywA9JK1b/view?usp=drive_link"/>
      </ext>
    </x18tc:extLst>
  </x18tc:threadedComment>
  <x18tc:threadedComment ref="AF417" dT="2026-01-06T17:48:50.00" personId="{2ddfa542-8116-4937-a057-08470d7abaab}" id="{900de2a9-a71f-4f14-8b44-1b232ace5fbd}" done="0">
    <x18tc:text xml:space="preserve">VENTA FINAL, FIXIT, EXCEDENTES</x18tc:text>
  </x18tc:threadedComment>
  <x18tc:threadedComment ref="J77" dT="2025-05-30T16:45:56.00" personId="{a5d43f6d-3c72-4414-b012-8f52ef50acc4}" id="{944b2454-baf1-4346-afad-89cdd7bd0418}" done="0">
    <x18tc:text xml:space="preserve">https://drive.google.com/file/d/1Zl9J5_wsnDkv1hOvvVZ2ZGRnh0mAug71/view?usp=drive_link</x18tc:text>
    <x18tc:extLst>
      <ext uri="{F7C98A9C-CBB3-438F-8F68-D28B6AF4A901}">
        <xltc2:checksum/>
        <xltc2:hyperlink startIndex="0" length="85" url="https://drive.google.com/file/d/1Zl9J5_wsnDkv1hOvvVZ2ZGRnh0mAug71/view?usp=drive_link"/>
      </ext>
    </x18tc:extLst>
  </x18tc:threadedComment>
  <x18tc:threadedComment ref="J796" dT="2026-06-19T00:07:17.00" personId="{f9b224d0-ee33-4499-ae47-db5bcd2d0435}" id="{65193ddd-ca0c-483f-9a7c-a38282e7eb1b}" done="0">
    <x18tc:text xml:space="preserve">https://drive.google.com/file/d/1U_QaR5NgvPXPB-y1z89C6i-ubRTMy-NU/view?usp=drive_link</x18tc:text>
    <x18tc:extLst>
      <ext uri="{F7C98A9C-CBB3-438F-8F68-D28B6AF4A901}">
        <xltc2:checksum/>
        <xltc2:hyperlink startIndex="0" length="85" url="https://drive.google.com/file/d/1U_QaR5NgvPXPB-y1z89C6i-ubRTMy-NU/view?usp=drive_link"/>
      </ext>
    </x18tc:extLst>
  </x18tc:threadedComment>
  <x18tc:threadedComment ref="C284" dT="2025-11-03T17:19:24.00" personId="{a5d43f6d-3c72-4414-b012-8f52ef50acc4}" id="{75d10b28-53f6-40a6-bef3-4ebe1da35324}" done="0">
    <x18tc:text xml:space="preserve">https://www.bhphotovideo.com/c/product/1875948-REG/lenovo_83f5001bus_16_legion_pro_7i.html</x18tc:text>
    <x18tc:extLst>
      <ext uri="{F7C98A9C-CBB3-438F-8F68-D28B6AF4A901}">
        <xltc2:checksum/>
        <xltc2:hyperlink startIndex="0" length="90" url="https://www.bhphotovideo.com/c/product/1875948-REG/lenovo_83f5001bus_16_legion_pro_7i.html"/>
      </ext>
    </x18tc:extLst>
  </x18tc:threadedComment>
  <x18tc:threadedComment ref="K731" dT="2026-05-14T22:56:14.00" personId="{f9b224d0-ee33-4499-ae47-db5bcd2d0435}" id="{f119da51-7207-48b2-bcf3-2b8af26c5d08}" done="0">
    <x18tc:text xml:space="preserve">https://drive.google.com/file/d/1KKvbcjlkMlyswLuPT5eT_17W5mtnmLMD/view?usp=drive_link</x18tc:text>
    <x18tc:extLst>
      <ext uri="{F7C98A9C-CBB3-438F-8F68-D28B6AF4A901}">
        <xltc2:checksum/>
        <xltc2:hyperlink startIndex="0" length="85" url="https://drive.google.com/file/d/1KKvbcjlkMlyswLuPT5eT_17W5mtnmLMD/view?usp=drive_link"/>
      </ext>
    </x18tc:extLst>
  </x18tc:threadedComment>
  <x18tc:threadedComment ref="K731" dT="2026-05-14T23:00:21.00" personId="{f9b224d0-ee33-4499-ae47-db5bcd2d0435}" id="{e34697ae-100f-40fe-a478-06c0ca46f88b}" parentId="{f119da51-7207-48b2-bcf3-2b8af26c5d08}">
    <x18tc:text xml:space="preserve">https://drive.google.com/file/d/1BRL2obbEPfcGrvOD51QN4O95Yinhhvq9/view?usp=drive_link</x18tc:text>
    <x18tc:extLst>
      <ext uri="{F7C98A9C-CBB3-438F-8F68-D28B6AF4A901}">
        <xltc2:checksum/>
        <xltc2:hyperlink startIndex="0" length="85" url="https://drive.google.com/file/d/1BRL2obbEPfcGrvOD51QN4O95Yinhhvq9/view?usp=drive_link"/>
      </ext>
    </x18tc:extLst>
  </x18tc:threadedComment>
  <x18tc:threadedComment ref="S420" dT="2025-12-31T00:42:01.00" personId="{a5d43f6d-3c72-4414-b012-8f52ef50acc4}" id="{ac0330d4-f39d-4e6c-99b3-166da6ee8993}" done="0">
    <x18tc:text xml:space="preserve">https://drive.google.com/file/d/1vRB8HUGlfJzrIbuhqJaQ3aI2IgG-Y40R/view?usp=drive_link</x18tc:text>
    <x18tc:extLst>
      <ext uri="{F7C98A9C-CBB3-438F-8F68-D28B6AF4A901}">
        <xltc2:checksum/>
        <xltc2:hyperlink startIndex="0" length="85" url="https://drive.google.com/file/d/1vRB8HUGlfJzrIbuhqJaQ3aI2IgG-Y40R/view?usp=drive_link"/>
      </ext>
    </x18tc:extLst>
  </x18tc:threadedComment>
  <x18tc:threadedComment ref="C175" dT="2025-08-16T19:36:57.00" personId="{4df2d6c4-e43e-4f2e-b623-d90f458472ff}" id="{2a40f67e-500c-4aaf-bb77-717760e21917}" done="0">
    <x18tc:text xml:space="preserve">https://www.ebay.com/itm/388165827342?_skw=rtx&amp;epid=13079624892&amp;itmmeta=01K2F1G8M5E3KMTENT3CMZYV8A&amp;hash=item5a607c7b0e%3Ag%3AEUkAAeSwEbJn581h&amp;LH_ItemCondition=1000</x18tc:text>
    <x18tc:extLst>
      <ext uri="{F7C98A9C-CBB3-438F-8F68-D28B6AF4A901}">
        <xltc2:checksum/>
        <xltc2:hyperlink startIndex="0" length="163" url="https://www.ebay.com/itm/388165827342?_skw=rtx&amp;epid=13079624892&amp;itmmeta=01K2F1G8M5E3KMTENT3CMZYV8A&amp;hash=item5a607c7b0e%3Ag%3AEUkAAeSwEbJn581h&amp;LH_ItemCondition=1000"/>
      </ext>
    </x18tc:extLst>
  </x18tc:threadedComment>
  <x18tc:threadedComment ref="K422" dT="2026-01-10T23:57:28.00" personId="{a5d43f6d-3c72-4414-b012-8f52ef50acc4}" id="{4f0ae0e8-5ac8-42a6-b5af-b9561ffe43c7}" done="0">
    <x18tc:text xml:space="preserve">https://drive.google.com/file/d/1O02i-ZtfzhZf7L2VxkiDpRLCI9gep95K/view?usp=drive_link
https://drive.google.com/file/d/1B5Q-uvHBo6riElg_MHLLcIJhZTjNdsvV/view?usp=drive_link</x18tc:text>
    <x18tc:extLst>
      <ext uri="{F7C98A9C-CBB3-438F-8F68-D28B6AF4A901}">
        <xltc2:checksum/>
        <xltc2:hyperlink startIndex="0" length="85" url="https://drive.google.com/file/d/1O02i-ZtfzhZf7L2VxkiDpRLCI9gep95K/view?usp=drive_link"/>
        <xltc2:hyperlink startIndex="86" length="85" url="https://drive.google.com/file/d/1B5Q-uvHBo6riElg_MHLLcIJhZTjNdsvV/view?usp=drive_link"/>
      </ext>
    </x18tc:extLst>
  </x18tc:threadedComment>
  <x18tc:threadedComment ref="J174" dT="2025-08-16T19:33:41.00" personId="{4df2d6c4-e43e-4f2e-b623-d90f458472ff}" id="{d52e2077-7e81-471f-9a1e-bc344312dca1}" done="0">
    <x18tc:text xml:space="preserve">https://drive.google.com/file/d/1KwWGjNSm41jB2PHo7Yel7bCI55tXYV0k/view?usp=drive_link</x18tc:text>
    <x18tc:extLst>
      <ext uri="{F7C98A9C-CBB3-438F-8F68-D28B6AF4A901}">
        <xltc2:checksum/>
        <xltc2:hyperlink startIndex="0" length="85" url="https://drive.google.com/file/d/1KwWGjNSm41jB2PHo7Yel7bCI55tXYV0k/view?usp=drive_link"/>
      </ext>
    </x18tc:extLst>
  </x18tc:threadedComment>
  <x18tc:threadedComment ref="J149" dT="2025-07-27T17:11:28.00" personId="{d8e4f5ad-b65d-4160-a56f-197530fb7eb1}" id="{ff180c5e-dda2-4a51-af93-5eef6f6d7102}" done="0">
    <x18tc:text xml:space="preserve">https://drive.google.com/file/d/1giMZZ4GAkrFU_WM1OKAyLy5g24bg1t6q/view?usp=drive_link</x18tc:text>
    <x18tc:extLst>
      <ext uri="{F7C98A9C-CBB3-438F-8F68-D28B6AF4A901}">
        <xltc2:checksum/>
        <xltc2:hyperlink startIndex="0" length="85" url="https://drive.google.com/file/d/1giMZZ4GAkrFU_WM1OKAyLy5g24bg1t6q/view?usp=drive_link"/>
      </ext>
    </x18tc:extLst>
  </x18tc:threadedComment>
  <x18tc:threadedComment ref="Q478" dT="2026-01-10T22:10:02.00" personId="{a5d43f6d-3c72-4414-b012-8f52ef50acc4}" id="{f35ea625-18d6-404c-9306-866718ec13ae}" done="0">
    <x18tc:text xml:space="preserve">apertura + configuración inicial con formateo + eset nod 32 + windows 11 pro + office profesional plus 2024</x18tc:text>
  </x18tc:threadedComment>
  <x18tc:threadedComment ref="K686" dT="2026-05-13T18:52:46.00" personId="{d8e4f5ad-b65d-4160-a56f-197530fb7eb1}" id="{d2640a92-aea5-402d-af5a-a771842b5685}" done="0">
    <x18tc:text xml:space="preserve">https://drive.google.com/file/d/1CJcaBwKjwbUMiptlQQHc7RWUoLTfLo3v/view?usp=drive_link</x18tc:text>
    <x18tc:extLst>
      <ext uri="{F7C98A9C-CBB3-438F-8F68-D28B6AF4A901}">
        <xltc2:checksum/>
        <xltc2:hyperlink startIndex="0" length="85" url="https://drive.google.com/file/d/1CJcaBwKjwbUMiptlQQHc7RWUoLTfLo3v/view?usp=drive_link"/>
      </ext>
    </x18tc:extLst>
  </x18tc:threadedComment>
  <x18tc:threadedComment ref="Z478" dT="2026-01-10T22:10:53.00" personId="{a5d43f6d-3c72-4414-b012-8f52ef50acc4}" id="{4b1d2b11-52b5-43b1-a3ef-12f6fd8c0b1d}" done="0">
    <x18tc:text xml:space="preserve">Razón social: G&amp;I Representaciones S.R.L.
Ruc: 20358211713
Cel: 984007200
Correo: jefrei.paucar@gmail.com</x18tc:text>
  </x18tc:threadedComment>
  <x18tc:threadedComment ref="L205" dT="2025-09-11T21:07:29.00" personId="{a5d43f6d-3c72-4414-b012-8f52ef50acc4}" id="{d3277751-9b4a-4771-b362-680ab8a4b076}" done="0">
    <x18tc:text xml:space="preserve">https://drive.google.com/file/d/1vUbZ3x19Ew0d6ZKjsos2AcrS7XJOa-0W/view?usp=drive_link
https://drive.google.com/file/d/1m7EYe_4lRIZTtNmaohh4hJmh4FYQo0Sl/view?usp=drive_link</x18tc:text>
    <x18tc:extLst>
      <ext uri="{F7C98A9C-CBB3-438F-8F68-D28B6AF4A901}">
        <xltc2:checksum/>
        <xltc2:hyperlink startIndex="0" length="85" url="https://drive.google.com/file/d/1vUbZ3x19Ew0d6ZKjsos2AcrS7XJOa-0W/view?usp=drive_link"/>
        <xltc2:hyperlink startIndex="86" length="85" url="https://drive.google.com/file/d/1m7EYe_4lRIZTtNmaohh4hJmh4FYQo0Sl/view?usp=drive_link"/>
      </ext>
    </x18tc:extLst>
  </x18tc:threadedComment>
  <x18tc:threadedComment ref="C665" dT="2026-04-07T22:18:37.00" personId="{80195d68-4e9b-4dc7-a031-ca5391c97d0f}" id="{51786da7-60d6-4cc4-a31a-65d1bb3999b3}" done="0">
    <x18tc:text xml:space="preserve">https://www.ebay.com/itm/297282597330?_skw=antonline&amp;itmmeta=01KNMXFKDQVQ473XQGPVTEH1SW&amp;hash=item45376c71d2:g:MpIAAeSw8PNoJCUU&amp;itmprp=enc%3AAQALAAAA4GfYFPkwiKCW4ZNSs2u11xDUsSPR8Hpd%2FRtbwOHD8HdvjnWN8VCDeVJV4XRpvjxg3RrWOFm4YZlCJg6z3fMN5ClcJL6d9%2FKqi2N1frwQao0ON2WYLYZT%2F9VazX2w5hDy7uNXCk%2BIZjQbQwRA5jc4Rg5n7uqshVSx8WO%2BkE0DfOjPBX0SEqEZn8Lh8NGM2vkp3EhWRI3nZIDwKvJ%2FW7VjQ8G%2BXwqa%2FcE2IEg8lroYQIH26CmKzoDSyd3WqGHIrKenwpBffjN%2BIjRfWjcT%2Bjy7fLrXGVJwVshaJbEq9Y78Z9hB%7Ctkp%3ABFBMjre-na1n</x18tc:text>
    <x18tc:extLst>
      <ext uri="{F7C98A9C-CBB3-438F-8F68-D28B6AF4A901}">
        <xltc2:checksum/>
        <xltc2:hyperlink startIndex="0" length="489" url="https://www.ebay.com/itm/297282597330?_skw=antonline&amp;itmmeta=01KNMXFKDQVQ473XQGPVTEH1SW&amp;hash=item45376c71d2:g:MpIAAeSw8PNoJCUU&amp;itmprp=enc%3AAQALAAAA4GfYFPkwiKCW4ZNSs2u11xDUsSPR8Hpd%2FRtbwOHD8HdvjnWN8VCDeVJV4XRpvjxg3RrWOFm4YZlCJg6z3fMN5ClcJL6d9%2FKqi2N1frwQao0ON2WYLYZT%2F9VazX2w5hDy7uNXCk%2BIZjQbQwRA5jc4Rg5n7uqshVSx8WO%2BkE0DfOjPBX0SEqEZn8Lh8NGM2vkp3EhWRI3nZIDwKvJ%2FW7VjQ8G%2BXwqa%2FcE2IEg8lroYQIH26CmKzoDSyd3WqGHIrKenwpBffjN%2BIjRfWjcT%2Bjy7fLrXGVJwVshaJbEq9Y78Z9hB%7Ctkp%3ABFBMjre-na1n"/>
      </ext>
    </x18tc:extLst>
  </x18tc:threadedComment>
  <x18tc:threadedComment ref="C145" dT="2025-07-26T17:43:27.00" personId="{d8e4f5ad-b65d-4160-a56f-197530fb7eb1}" id="{d854e2e6-18c0-4f78-946a-73dea8ae101a}" done="0">
    <x18tc:text xml:space="preserve">https://www.ebay.com/itm/127152151087?_skw=scar+18+5090&amp;itmmeta=01K07B74KJTNVVK4EW54SKD9TG&amp;hash=item1d9adbda2f%3Ag%3ASuEAAOSwLf1oSfus&amp;itmprp=enc%3AAQAKAAAA0FkggFvd1GGDu0w3yXCmi1e5MZ8jIdve6y9h31opGAh2f5MQRECCPUThpqxRdH%2F5hIORgkOkM3M%2FAVQkzJ3rsluPTyqXNCU4cve9iPuQZ%2Bk5jJ2huLDWWFYAw8mgv%2F6Q4kvPusizA6xkQLGbxc8HzixWAhd3arVj7y24l%2B2B11I7C4es8VoCwjAHlUBk79DdMeUjST1XyjrdxiqOGcHijowKWOKorIomPAvr7pf1Mz2GLvY75uhF%2FMErPDfTvLjCUPNPjaLZILhfd2Biou1X3Hw%3D%7Ctkp%3ABk9SR-DKnOuBZg&amp;LH_ItemCondition=3</x18tc:text>
    <x18tc:extLst>
      <ext uri="{F7C98A9C-CBB3-438F-8F68-D28B6AF4A901}">
        <xltc2:checksum/>
        <xltc2:hyperlink startIndex="0" length="491" url="https://www.ebay.com/itm/127152151087?_skw=scar+18+5090&amp;itmmeta=01K07B74KJTNVVK4EW54SKD9TG&amp;hash=item1d9adbda2f%3Ag%3ASuEAAOSwLf1oSfus&amp;itmprp=enc%3AAQAKAAAA0FkggFvd1GGDu0w3yXCmi1e5MZ8jIdve6y9h31opGAh2f5MQRECCPUThpqxRdH%2F5hIORgkOkM3M%2FAVQkzJ3rsluPTyqXNCU4cve9iPuQZ%2Bk5jJ2huLDWWFYAw8mgv%2F6Q4kvPusizA6xkQLGbxc8HzixWAhd3arVj7y24l%2B2B11I7C4es8VoCwjAHlUBk79DdMeUjST1XyjrdxiqOGcHijowKWOKorIomPAvr7pf1Mz2GLvY75uhF%2FMErPDfTvLjCUPNPjaLZILhfd2Biou1X3Hw%3D%7Ctkp%3ABk9SR-DKnOuBZg&amp;LH_ItemCondition=3"/>
      </ext>
    </x18tc:extLst>
  </x18tc:threadedComment>
  <x18tc:threadedComment ref="L157" dT="2025-08-15T00:16:00.00" personId="{4df2d6c4-e43e-4f2e-b623-d90f458472ff}" id="{5f87d1b1-c0ba-41e5-85aa-758dc53a75e7}" done="0">
    <x18tc:text xml:space="preserve">https://drive.google.com/file/d/1UeSmne3SOZtdYe7Ff4loR2yRCIoejoxE/view?usp=drive_link</x18tc:text>
    <x18tc:extLst>
      <ext uri="{F7C98A9C-CBB3-438F-8F68-D28B6AF4A901}">
        <xltc2:checksum/>
        <xltc2:hyperlink startIndex="0" length="85" url="https://drive.google.com/file/d/1UeSmne3SOZtdYe7Ff4loR2yRCIoejoxE/view?usp=drive_link"/>
      </ext>
    </x18tc:extLst>
  </x18tc:threadedComment>
  <x18tc:threadedComment ref="C144" dT="2025-07-26T17:43:20.00" personId="{d8e4f5ad-b65d-4160-a56f-197530fb7eb1}" id="{77d75d2d-c86e-477e-87bf-523d5d4639fa}" done="0">
    <x18tc:text xml:space="preserve">https://www.ebay.com/itm/127152151087?_skw=scar+18+5090&amp;itmmeta=01K07B74KJTNVVK4EW54SKD9TG&amp;hash=item1d9adbda2f%3Ag%3ASuEAAOSwLf1oSfus&amp;itmprp=enc%3AAQAKAAAA0FkggFvd1GGDu0w3yXCmi1e5MZ8jIdve6y9h31opGAh2f5MQRECCPUThpqxRdH%2F5hIORgkOkM3M%2FAVQkzJ3rsluPTyqXNCU4cve9iPuQZ%2Bk5jJ2huLDWWFYAw8mgv%2F6Q4kvPusizA6xkQLGbxc8HzixWAhd3arVj7y24l%2B2B11I7C4es8VoCwjAHlUBk79DdMeUjST1XyjrdxiqOGcHijowKWOKorIomPAvr7pf1Mz2GLvY75uhF%2FMErPDfTvLjCUPNPjaLZILhfd2Biou1X3Hw%3D%7Ctkp%3ABk9SR-DKnOuBZg&amp;LH_ItemCondition=3</x18tc:text>
    <x18tc:extLst>
      <ext uri="{F7C98A9C-CBB3-438F-8F68-D28B6AF4A901}">
        <xltc2:checksum/>
        <xltc2:hyperlink startIndex="0" length="491" url="https://www.ebay.com/itm/127152151087?_skw=scar+18+5090&amp;itmmeta=01K07B74KJTNVVK4EW54SKD9TG&amp;hash=item1d9adbda2f%3Ag%3ASuEAAOSwLf1oSfus&amp;itmprp=enc%3AAQAKAAAA0FkggFvd1GGDu0w3yXCmi1e5MZ8jIdve6y9h31opGAh2f5MQRECCPUThpqxRdH%2F5hIORgkOkM3M%2FAVQkzJ3rsluPTyqXNCU4cve9iPuQZ%2Bk5jJ2huLDWWFYAw8mgv%2F6Q4kvPusizA6xkQLGbxc8HzixWAhd3arVj7y24l%2B2B11I7C4es8VoCwjAHlUBk79DdMeUjST1XyjrdxiqOGcHijowKWOKorIomPAvr7pf1Mz2GLvY75uhF%2FMErPDfTvLjCUPNPjaLZILhfd2Biou1X3Hw%3D%7Ctkp%3ABk9SR-DKnOuBZg&amp;LH_ItemCondition=3"/>
      </ext>
    </x18tc:extLst>
  </x18tc:threadedComment>
  <x18tc:threadedComment ref="J612" dT="2026-04-07T19:56:31.00" personId="{80195d68-4e9b-4dc7-a031-ca5391c97d0f}" id="{6361f10c-30de-4853-96db-8ed96972e808}" done="0">
    <x18tc:text xml:space="preserve">https://drive.google.com/file/d/1DbQO7y9ylAa0zZYbIlxsSeB_mdu-AmuL/view?usp=drive_link</x18tc:text>
    <x18tc:extLst>
      <ext uri="{F7C98A9C-CBB3-438F-8F68-D28B6AF4A901}">
        <xltc2:checksum/>
        <xltc2:hyperlink startIndex="0" length="85" url="https://drive.google.com/file/d/1DbQO7y9ylAa0zZYbIlxsSeB_mdu-AmuL/view?usp=drive_link"/>
      </ext>
    </x18tc:extLst>
  </x18tc:threadedComment>
  <x18tc:threadedComment ref="J324" dT="2025-11-28T22:00:20.00" personId="{a5d43f6d-3c72-4414-b012-8f52ef50acc4}" id="{59c17503-18b3-4334-b9aa-5eaadad5d73e}" done="0">
    <x18tc:text xml:space="preserve">https://drive.google.com/file/d/135S0HfARTEb2Ms5ALn5Izf9EqjVvg7Wy/view?usp=drive_link</x18tc:text>
    <x18tc:extLst>
      <ext uri="{F7C98A9C-CBB3-438F-8F68-D28B6AF4A901}">
        <xltc2:checksum/>
        <xltc2:hyperlink startIndex="0" length="85" url="https://drive.google.com/file/d/135S0HfARTEb2Ms5ALn5Izf9EqjVvg7Wy/view?usp=drive_link"/>
      </ext>
    </x18tc:extLst>
  </x18tc:threadedComment>
  <x18tc:threadedComment ref="D227" dT="2025-10-18T01:12:38.00" personId="{a5d43f6d-3c72-4414-b012-8f52ef50acc4}" id="{06e14f4a-26cf-42a5-8c4c-b6cb45711d94}" done="0">
    <x18tc:text xml:space="preserve">Heyser Israel Castañeda Romero 
DNI: 71331332
Cel: 991995683
castanedaromeroh@gmail.com</x18tc:text>
  </x18tc:threadedComment>
  <x18tc:threadedComment ref="K538" dT="2026-02-20T16:42:09.00" personId="{a5d43f6d-3c72-4414-b012-8f52ef50acc4}" id="{80f20800-e8ef-4447-adad-df5e6793e22d}" done="0">
    <x18tc:text xml:space="preserve">https://drive.google.com/file/d/1jpFkoEu3AMSAAKkyQh4SqYXDjSEgwUnb/view?usp=drive_link</x18tc:text>
    <x18tc:extLst>
      <ext uri="{F7C98A9C-CBB3-438F-8F68-D28B6AF4A901}">
        <xltc2:checksum/>
        <xltc2:hyperlink startIndex="0" length="85" url="https://drive.google.com/file/d/1jpFkoEu3AMSAAKkyQh4SqYXDjSEgwUnb/view?usp=drive_link"/>
      </ext>
    </x18tc:extLst>
  </x18tc:threadedComment>
  <x18tc:threadedComment ref="C478" dT="2026-01-10T22:08:04.00" personId="{a5d43f6d-3c72-4414-b012-8f52ef50acc4}" id="{fc0ebbd3-b847-468c-afa7-481e4d4066d4}" done="0">
    <x18tc:text xml:space="preserve">https://us-store.msi.com/Laptops/Gaming-Series/Vector-16-HX-AI-A2XWIG-420US</x18tc:text>
    <x18tc:extLst>
      <ext uri="{F7C98A9C-CBB3-438F-8F68-D28B6AF4A901}">
        <xltc2:checksum/>
        <xltc2:hyperlink startIndex="0" length="75" url="https://us-store.msi.com/Laptops/Gaming-Series/Vector-16-HX-AI-A2XWIG-420US"/>
      </ext>
    </x18tc:extLst>
  </x18tc:threadedComment>
  <x18tc:threadedComment ref="J474" dT="2026-01-08T19:08:19.00" personId="{a5d43f6d-3c72-4414-b012-8f52ef50acc4}" id="{a5963141-d5c3-4c23-8fe6-c675c29f1f84}" done="0">
    <x18tc:text xml:space="preserve">https://drive.google.com/file/d/1pz7omHPSyMltZ2kJNZca_3oTUVp1nQkI/view?usp=drive_link</x18tc:text>
    <x18tc:extLst>
      <ext uri="{F7C98A9C-CBB3-438F-8F68-D28B6AF4A901}">
        <xltc2:checksum/>
        <xltc2:hyperlink startIndex="0" length="85" url="https://drive.google.com/file/d/1pz7omHPSyMltZ2kJNZca_3oTUVp1nQkI/view?usp=drive_link"/>
      </ext>
    </x18tc:extLst>
  </x18tc:threadedComment>
  <x18tc:threadedComment ref="L210" dT="2025-09-26T17:10:26.00" personId="{a5d43f6d-3c72-4414-b012-8f52ef50acc4}" id="{36d795b7-1476-4cf0-9db1-ff9b107b3f1e}" done="0">
    <x18tc:text xml:space="preserve">https://drive.google.com/file/d/1xxrD9qLkVXMjK45HnysAPNWpGAfPzOWB/view?usp=drive_link</x18tc:text>
    <x18tc:extLst>
      <ext uri="{F7C98A9C-CBB3-438F-8F68-D28B6AF4A901}">
        <xltc2:checksum/>
        <xltc2:hyperlink startIndex="0" length="85" url="https://drive.google.com/file/d/1xxrD9qLkVXMjK45HnysAPNWpGAfPzOWB/view?usp=drive_link"/>
      </ext>
    </x18tc:extLst>
  </x18tc:threadedComment>
  <x18tc:threadedComment ref="J720" dT="2026-04-30T00:40:41.00" personId="{a5d43f6d-3c72-4414-b012-8f52ef50acc4}" id="{a6778df2-0635-4fd4-abdf-1f985397451e}" done="0">
    <x18tc:text xml:space="preserve">va a pagar 1000 soles más su familiar el martes
https://drive.google.com/file/d/19YJHI5pjCot5ViFw4ZGnHHqyIaXEDX67/view?usp=drive_link</x18tc:text>
    <x18tc:extLst>
      <ext uri="{F7C98A9C-CBB3-438F-8F68-D28B6AF4A901}">
        <xltc2:checksum/>
        <xltc2:hyperlink startIndex="48" length="85" url="https://drive.google.com/file/d/19YJHI5pjCot5ViFw4ZGnHHqyIaXEDX67/view?usp=drive_link"/>
      </ext>
    </x18tc:extLst>
  </x18tc:threadedComment>
  <x18tc:threadedComment ref="J720" dT="2026-05-25T04:43:15.00" personId="{2ddfa542-8116-4937-a057-08470d7abaab}" id="{b4af15d3-5539-4ebd-bb8e-c503e9e6f670}" parentId="{a6778df2-0635-4fd4-abdf-1f985397451e}">
    <x18tc:text xml:space="preserve">Verificado, esta en su grupo de wspp 2 vouchers de 500</x18tc:text>
  </x18tc:threadedComment>
  <x18tc:threadedComment ref="F469" dT="2026-01-08T17:02:38.00" personId="{2ddfa542-8116-4937-a057-08470d7abaab}" id="{cc8a415c-2d00-41b7-931a-ede80e716a12}" done="0">
    <x18tc:text xml:space="preserve">Sigue procesando</x18tc:text>
  </x18tc:threadedComment>
  <x18tc:threadedComment ref="J478" dT="2026-01-10T22:08:58.00" personId="{a5d43f6d-3c72-4414-b012-8f52ef50acc4}" id="{64f00cea-04ba-4394-841e-bb63b1858733}" done="0">
    <x18tc:text xml:space="preserve">https://drive.google.com/file/d/1O02i-ZtfzhZf7L2VxkiDpRLCI9gep95K/view?usp=drive_link</x18tc:text>
    <x18tc:extLst>
      <ext uri="{F7C98A9C-CBB3-438F-8F68-D28B6AF4A901}">
        <xltc2:checksum/>
        <xltc2:hyperlink startIndex="0" length="85" url="https://drive.google.com/file/d/1O02i-ZtfzhZf7L2VxkiDpRLCI9gep95K/view?usp=drive_link"/>
      </ext>
    </x18tc:extLst>
  </x18tc:threadedComment>
  <x18tc:threadedComment ref="C474" dT="2026-01-08T19:05:33.00" personId="{a5d43f6d-3c72-4414-b012-8f52ef50acc4}" id="{7c074979-57f4-42e8-9daf-efaf5c6477cc}" done="0">
    <x18tc:text xml:space="preserve">https://www.ebay.com/itm/297282597330</x18tc:text>
    <x18tc:extLst>
      <ext uri="{F7C98A9C-CBB3-438F-8F68-D28B6AF4A901}">
        <xltc2:checksum/>
        <xltc2:hyperlink startIndex="0" length="37" url="https://www.ebay.com/itm/297282597330"/>
      </ext>
    </x18tc:extLst>
  </x18tc:threadedComment>
  <x18tc:threadedComment ref="C149" dT="2025-07-27T17:13:17.00" personId="{d8e4f5ad-b65d-4160-a56f-197530fb7eb1}" id="{e9686d70-8cb9-45e7-a57d-ff3d87efd47e}" done="0">
    <x18tc:text xml:space="preserve">https://www.ebay.com/itm/336083372223?_skw=ACER+PREDATOR+NEO+16&amp;itmmeta=01K13YZNBE6Z8Y0C9Y9PS1BHV2&amp;hash=item4e402148bf:g:1ioAAeSwv4Fof5MQ&amp;itmprp=enc%3AAQAKAAAA0FkggFvd1GGDu0w3yXCmi1es2z3eG%2FnaTNXFfZfqStyDhLMSLqf4nJ01AfpxT700cfkuDyxO56Xmz50HE2zvouD5VGHPGggh%2Bhdy2LrHgK2jts0%2B2qOM7K%2BpIj%2FttqQDOqlQOCMSAIeHIlZKulVqKd0Wxpi3yGdxdcAkVOjHSgN9ka4uQY15hVGFRbiis%2FHRm%2FpDqc4dPSaB7TejPsUFcw1NAlIA3rnrkwc1x8%2BPeRCFEEbYoR00XNm0WTh7uY3uA2TI5sRNDc4IKiI5b4kTax4%3D%7Ctkp%3ABk9SR_7V_v6IZg</x18tc:text>
    <x18tc:extLst>
      <ext uri="{F7C98A9C-CBB3-438F-8F68-D28B6AF4A901}">
        <xltc2:checksum/>
        <xltc2:hyperlink startIndex="0" length="480" url="https://www.ebay.com/itm/336083372223?_skw=ACER+PREDATOR+NEO+16&amp;itmmeta=01K13YZNBE6Z8Y0C9Y9PS1BHV2&amp;hash=item4e402148bf:g:1ioAAeSwv4Fof5MQ&amp;itmprp=enc%3AAQAKAAAA0FkggFvd1GGDu0w3yXCmi1es2z3eG%2FnaTNXFfZfqStyDhLMSLqf4nJ01AfpxT700cfkuDyxO56Xmz50HE2zvouD5VGHPGggh%2Bhdy2LrHgK2jts0%2B2qOM7K%2BpIj%2FttqQDOqlQOCMSAIeHIlZKulVqKd0Wxpi3yGdxdcAkVOjHSgN9ka4uQY15hVGFRbiis%2FHRm%2FpDqc4dPSaB7TejPsUFcw1NAlIA3rnrkwc1x8%2BPeRCFEEbYoR00XNm0WTh7uY3uA2TI5sRNDc4IKiI5b4kTax4%3D%7Ctkp%3ABk9SR_7V_v6IZg"/>
      </ext>
    </x18tc:extLst>
  </x18tc:threadedComment>
  <x18tc:threadedComment ref="AI762" dT="2026-06-18T15:43:29.00" personId="{7d9bea4b-cfe7-4c29-b483-8e83a1c4f52a}" id="{7bc9ba8f-0220-48ac-ab08-f34a1cffe02d}" done="0">
    <x18tc:text xml:space="preserve">https://drive.google.com/file/d/1DyLgfH8S2Z2HAdzkknv5WG3xlVilyvzm/view?usp=drive_link</x18tc:text>
    <x18tc:extLst>
      <ext uri="{F7C98A9C-CBB3-438F-8F68-D28B6AF4A901}">
        <xltc2:checksum/>
        <xltc2:hyperlink startIndex="0" length="85" url="https://drive.google.com/file/d/1DyLgfH8S2Z2HAdzkknv5WG3xlVilyvzm/view?usp=drive_link"/>
      </ext>
    </x18tc:extLst>
  </x18tc:threadedComment>
  <x18tc:threadedComment ref="W241" dT="2025-10-18T01:32:02.00" personId="{a5d43f6d-3c72-4414-b012-8f52ef50acc4}" id="{3ce44d4d-5eb0-4b35-9d28-e71e5532248e}" done="0">
    <x18tc:text xml:space="preserve">https://drive.google.com/file/d/159KgQUaHuTiPT5kH0rMTXxsb17qa2LJg/view?usp=drive_link</x18tc:text>
    <x18tc:extLst>
      <ext uri="{F7C98A9C-CBB3-438F-8F68-D28B6AF4A901}">
        <xltc2:checksum/>
        <xltc2:hyperlink startIndex="0" length="85" url="https://drive.google.com/file/d/159KgQUaHuTiPT5kH0rMTXxsb17qa2LJg/view?usp=drive_link"/>
      </ext>
    </x18tc:extLst>
  </x18tc:threadedComment>
  <x18tc:threadedComment ref="K472" dT="2026-02-21T00:23:05.00" personId="{a5d43f6d-3c72-4414-b012-8f52ef50acc4}" id="{8725de4d-643d-462e-8a15-71cde00cfd51}" done="0">
    <x18tc:text xml:space="preserve">https://drive.google.com/file/d/1gsLSS-tBkYG1Q1W2MEgPYvgO_2U1UMSA/view?usp=drive_link</x18tc:text>
    <x18tc:extLst>
      <ext uri="{F7C98A9C-CBB3-438F-8F68-D28B6AF4A901}">
        <xltc2:checksum/>
        <xltc2:hyperlink startIndex="0" length="85" url="https://drive.google.com/file/d/1gsLSS-tBkYG1Q1W2MEgPYvgO_2U1UMSA/view?usp=drive_link"/>
      </ext>
    </x18tc:extLst>
  </x18tc:threadedComment>
  <x18tc:threadedComment ref="J42" dT="2025-05-27T00:11:37.00" personId="{a5d43f6d-3c72-4414-b012-8f52ef50acc4}" id="{21b30284-e946-44a5-b99c-06b9df2664a0}" done="0">
    <x18tc:text xml:space="preserve">https://drive.google.com/file/d/1ocXCTXeZHKE76Dk_n_1PJy5rqFE7Jt-a/view?usp=drive_link</x18tc:text>
    <x18tc:extLst>
      <ext uri="{F7C98A9C-CBB3-438F-8F68-D28B6AF4A901}">
        <xltc2:checksum/>
        <xltc2:hyperlink startIndex="0" length="85" url="https://drive.google.com/file/d/1ocXCTXeZHKE76Dk_n_1PJy5rqFE7Jt-a/view?usp=drive_link"/>
      </ext>
    </x18tc:extLst>
  </x18tc:threadedComment>
  <x18tc:threadedComment ref="W227" dT="2025-10-18T01:22:11.00" personId="{a5d43f6d-3c72-4414-b012-8f52ef50acc4}" id="{fe3a8a7d-1c13-4bcb-80ae-335d5648fae6}" done="0">
    <x18tc:text xml:space="preserve">https://drive.google.com/file/d/1yhcqaeu2lfWrztuzWWj-h6a550uN2nQo/view?usp=drive_link</x18tc:text>
    <x18tc:extLst>
      <ext uri="{F7C98A9C-CBB3-438F-8F68-D28B6AF4A901}">
        <xltc2:checksum/>
        <xltc2:hyperlink startIndex="0" length="85" url="https://drive.google.com/file/d/1yhcqaeu2lfWrztuzWWj-h6a550uN2nQo/view?usp=drive_link"/>
      </ext>
    </x18tc:extLst>
  </x18tc:threadedComment>
  <x18tc:threadedComment ref="C559" dT="2026-02-21T00:40:54.00" personId="{a5d43f6d-3c72-4414-b012-8f52ef50acc4}" id="{8925a6b0-5489-4d12-ae5f-c77351db7a65}"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C473" dT="2026-01-08T18:44:08.00" personId="{d8e4f5ad-b65d-4160-a56f-197530fb7eb1}" id="{c80c8b54-1df6-4683-a1dc-f92c8cf55cca}" done="0">
    <x18tc:text xml:space="preserve">https://www.bhphotovideo.com/c/product/1875947-REG/lenovo_83f50018us_16_legion_pro_7i.html</x18tc:text>
    <x18tc:extLst>
      <ext uri="{F7C98A9C-CBB3-438F-8F68-D28B6AF4A901}">
        <xltc2:checksum/>
        <xltc2:hyperlink startIndex="0" length="90" url="https://www.bhphotovideo.com/c/product/1875947-REG/lenovo_83f50018us_16_legion_pro_7i.html"/>
      </ext>
    </x18tc:extLst>
  </x18tc:threadedComment>
  <x18tc:threadedComment ref="C174" dT="2025-08-16T19:30:47.00" personId="{4df2d6c4-e43e-4f2e-b623-d90f458472ff}" id="{61038fd7-e61c-4464-bf2d-0ee9d691ed54}" done="0">
    <x18tc:text xml:space="preserve">https://www.amazon.com/-/es/Zenbook-WQXGA-Notebook-Graphics-Inkwell/dp/B0CRD6PJDF?th=1</x18tc:text>
    <x18tc:extLst>
      <ext uri="{F7C98A9C-CBB3-438F-8F68-D28B6AF4A901}">
        <xltc2:checksum/>
        <xltc2:hyperlink startIndex="0" length="86" url="https://www.amazon.com/-/es/Zenbook-WQXGA-Notebook-Graphics-Inkwell/dp/B0CRD6PJDF?th=1"/>
      </ext>
    </x18tc:extLst>
  </x18tc:threadedComment>
  <x18tc:threadedComment ref="Q721" dT="2026-04-30T01:45:26.00" personId="{a5d43f6d-3c72-4414-b012-8f52ef50acc4}" id="{61f7433a-ee0c-45b8-8be6-e4921b584604}" done="0">
    <x18tc:text xml:space="preserve">se lleva la laptop sellada sin configuración inicial, a menos de que él quiera pagar el extra</x18tc:text>
  </x18tc:threadedComment>
  <x18tc:threadedComment ref="Q704" dT="2026-04-30T00:57:51.00" personId="{a5d43f6d-3c72-4414-b012-8f52ef50acc4}" id="{79f54d79-417d-459c-994b-e9b011a17718}" done="0">
    <x18tc:text xml:space="preserve">Configuración inicial con formateo + eset nod + office 2024</x18tc:text>
  </x18tc:threadedComment>
  <x18tc:threadedComment ref="J477" dT="2026-01-10T17:04:36.00" personId="{a5d43f6d-3c72-4414-b012-8f52ef50acc4}" id="{b27dfe2c-ce58-430e-b819-fa8bda735b42}" done="0">
    <x18tc:text xml:space="preserve">https://drive.google.com/file/d/1QQhw60qEN8A37P-AGHw1s5jy2Bd-p9XC/view?usp=drive_link</x18tc:text>
    <x18tc:extLst>
      <ext uri="{F7C98A9C-CBB3-438F-8F68-D28B6AF4A901}">
        <xltc2:checksum/>
        <xltc2:hyperlink startIndex="0" length="85" url="https://drive.google.com/file/d/1QQhw60qEN8A37P-AGHw1s5jy2Bd-p9XC/view?usp=drive_link"/>
      </ext>
    </x18tc:extLst>
  </x18tc:threadedComment>
  <x18tc:threadedComment ref="C595" dT="2026-03-11T00:24:06.00" personId="{80195d68-4e9b-4dc7-a031-ca5391c97d0f}" id="{2e650c7e-49a2-4289-95f8-9af92bee6a3e}" done="0">
    <x18tc:text xml:space="preserve">https://www.bhphotovideo.com/c/product/1883233-REG/lenovo_83f0001uus_15_1_legion_5i_gaming.html/specs</x18tc:text>
    <x18tc:extLst>
      <ext uri="{F7C98A9C-CBB3-438F-8F68-D28B6AF4A901}">
        <xltc2:checksum/>
        <xltc2:hyperlink startIndex="0" length="101" url="https://www.bhphotovideo.com/c/product/1883233-REG/lenovo_83f0001uus_15_1_legion_5i_gaming.html/specs"/>
      </ext>
    </x18tc:extLst>
  </x18tc:threadedComment>
  <x18tc:threadedComment ref="K412" dT="2026-01-10T21:06:30.00" personId="{d8e4f5ad-b65d-4160-a56f-197530fb7eb1}" id="{21f3e3ad-caac-4690-81cb-e055933eba55}" done="0">
    <x18tc:text xml:space="preserve">https://drive.google.com/file/d/1LMuS-dv2JzZa0CYPjgealNBCLxIKYsC_/view?usp=drive_link</x18tc:text>
    <x18tc:extLst>
      <ext uri="{F7C98A9C-CBB3-438F-8F68-D28B6AF4A901}">
        <xltc2:checksum/>
        <xltc2:hyperlink startIndex="0" length="85" url="https://drive.google.com/file/d/1LMuS-dv2JzZa0CYPjgealNBCLxIKYsC_/view?usp=drive_link"/>
      </ext>
    </x18tc:extLst>
  </x18tc:threadedComment>
  <x18tc:threadedComment ref="K412" dT="2026-01-10T21:06:47.00" personId="{d8e4f5ad-b65d-4160-a56f-197530fb7eb1}" id="{3362426d-f509-4836-bf53-6037a14b5d86}" parentId="{21f3e3ad-caac-4690-81cb-e055933eba55}">
    <x18tc:text xml:space="preserve">https://drive.google.com/file/d/1mReLzBaxYszfdX3Z2H0KdwSLRhoApcx5/view?usp=drive_link</x18tc:text>
    <x18tc:extLst>
      <ext uri="{F7C98A9C-CBB3-438F-8F68-D28B6AF4A901}">
        <xltc2:checksum/>
        <xltc2:hyperlink startIndex="0" length="85" url="https://drive.google.com/file/d/1mReLzBaxYszfdX3Z2H0KdwSLRhoApcx5/view?usp=drive_link"/>
      </ext>
    </x18tc:extLst>
  </x18tc:threadedComment>
  <x18tc:threadedComment ref="J721" dT="2026-04-30T01:37:00.00" personId="{a5d43f6d-3c72-4414-b012-8f52ef50acc4}" id="{0e3ca3fb-e976-4c60-874e-b2843a6c852d}" done="0">
    <x18tc:text xml:space="preserve">https://drive.google.com/file/d/1acm2wf5aocZ4r5ZW396M7jR5remtxZA6/view?usp=drive_link</x18tc:text>
    <x18tc:extLst>
      <ext uri="{F7C98A9C-CBB3-438F-8F68-D28B6AF4A901}">
        <xltc2:checksum/>
        <xltc2:hyperlink startIndex="0" length="85" url="https://drive.google.com/file/d/1acm2wf5aocZ4r5ZW396M7jR5remtxZA6/view?usp=drive_link"/>
      </ext>
    </x18tc:extLst>
  </x18tc:threadedComment>
  <x18tc:threadedComment ref="W227" dT="2025-10-18T01:02:20.00" personId="{a5d43f6d-3c72-4414-b012-8f52ef50acc4}" id="{faebd9b9-8632-4368-acab-d40c0171dace}" done="1">
    <x18tc:text xml:space="preserve">https://drive.google.com/file/d/1r4W9szD1sWvUoFztazMggUlkOxgm9woI/view?usp=drive_link</x18tc:text>
    <x18tc:extLst>
      <ext uri="{F7C98A9C-CBB3-438F-8F68-D28B6AF4A901}">
        <xltc2:checksum/>
        <xltc2:hyperlink startIndex="0" length="85" url="https://drive.google.com/file/d/1r4W9szD1sWvUoFztazMggUlkOxgm9woI/view?usp=drive_link"/>
      </ext>
    </x18tc:extLst>
  </x18tc:threadedComment>
  <x18tc:threadedComment ref="Q720" dT="2026-04-30T00:43:10.00" personId="{a5d43f6d-3c72-4414-b012-8f52ef50acc4}" id="{4bbd1f09-7486-4e9e-bae6-18ab82b75482}" done="0">
    <x18tc:text xml:space="preserve">Configuración inicial con formateo + eset nod + office 2024</x18tc:text>
  </x18tc:threadedComment>
  <x18tc:threadedComment ref="C721" dT="2026-04-30T01:38:39.00" personId="{a5d43f6d-3c72-4414-b012-8f52ef50acc4}" id="{f1142398-328d-496d-b471-d4fb3c1ad028}" done="0">
    <x18tc:text xml:space="preserve">https://www.amazon.com/ASUS-ROG-Strix-Gaming-Laptop/dp/B0DZZWMB2L/</x18tc:text>
    <x18tc:extLst>
      <ext uri="{F7C98A9C-CBB3-438F-8F68-D28B6AF4A901}">
        <xltc2:checksum/>
        <xltc2:hyperlink startIndex="0" length="66" url="https://www.amazon.com/ASUS-ROG-Strix-Gaming-Laptop/dp/B0DZZWMB2L/"/>
      </ext>
    </x18tc:extLst>
  </x18tc:threadedComment>
  <x18tc:threadedComment ref="P633" dT="2026-04-30T00:57:03.00" personId="{d8e4f5ad-b65d-4160-a56f-197530fb7eb1}" id="{82d49831-dd9c-4387-93c9-70995fc478ec}" done="0">
    <x18tc:text xml:space="preserve">de este excedente descontar para cubrir los 2 clientes de LEGION que colocaron mal el precio</x18tc:text>
  </x18tc:threadedComment>
  <x18tc:threadedComment ref="C666" dT="2026-04-08T01:27:45.00" personId="{80195d68-4e9b-4dc7-a031-ca5391c97d0f}" id="{ed86c921-4c17-4861-8db7-ed304202317f}" done="0">
    <x18tc:text xml:space="preserve">https://www.costco.com/p/-/asus-rog-strix-g18-18-gaming-laptop-intel-core-ultra-9-processor-275hx-geforce-rtx-5070ti-25k-240hz3ms-nebula-display-32gb-ram-2tb-ssd-windows-11-home/4000369199?langId=-1</x18tc:text>
    <x18tc:extLst>
      <ext uri="{F7C98A9C-CBB3-438F-8F68-D28B6AF4A901}">
        <xltc2:checksum/>
        <xltc2:hyperlink startIndex="0" length="198" url="https://www.costco.com/p/-/asus-rog-strix-g18-18-gaming-laptop-intel-core-ultra-9-processor-275hx-geforce-rtx-5070ti-25k-240hz3ms-nebula-display-32gb-ram-2tb-ssd-windows-11-home/4000369199?langId=-1"/>
      </ext>
    </x18tc:extLst>
  </x18tc:threadedComment>
  <x18tc:threadedComment ref="K515" dT="2026-02-20T16:37:36.00" personId="{68efe3e3-8b68-4e02-81e2-a29fa228b211}" id="{12517ef4-01c2-4722-990d-ed8f967d85a5}" done="0">
    <x18tc:text xml:space="preserve">https://drive.google.com/file/d/10r3ZovJECGlKgjbdSLKcipBm0bwpua9Z/view?usp=drive_link</x18tc:text>
    <x18tc:extLst>
      <ext uri="{F7C98A9C-CBB3-438F-8F68-D28B6AF4A901}">
        <xltc2:checksum/>
        <xltc2:hyperlink startIndex="0" length="85" url="https://drive.google.com/file/d/10r3ZovJECGlKgjbdSLKcipBm0bwpua9Z/view?usp=drive_link"/>
      </ext>
    </x18tc:extLst>
  </x18tc:threadedComment>
  <x18tc:threadedComment ref="Q477" dT="2026-01-10T17:03:22.00" personId="{a5d43f6d-3c72-4414-b012-8f52ef50acc4}" id="{3fc2a19c-40e8-498f-89a2-638f287da31c}" done="0">
    <x18tc:text xml:space="preserve">apertura +  configuración inicial con formateo + eset nod 32 + windows 11 pro + office profesional plus 2024</x18tc:text>
  </x18tc:threadedComment>
  <x18tc:threadedComment ref="U669" dT="2026-05-09T18:58:55.00" personId="{d8e4f5ad-b65d-4160-a56f-197530fb7eb1}" id="{3e0536c4-8aa0-4768-bcbb-0450d86faff2}" done="0">
    <x18tc:text xml:space="preserve">mouse + soporte</x18tc:text>
  </x18tc:threadedComment>
  <x18tc:threadedComment ref="C416" dT="2025-12-18T02:54:36.00" personId="{a5d43f6d-3c72-4414-b012-8f52ef50acc4}" id="{690a0607-5309-4f08-b69b-decf8735666e}"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K531" dT="2026-02-20T20:20:03.00" personId="{d8e4f5ad-b65d-4160-a56f-197530fb7eb1}" id="{5c7a8cd9-2d96-424c-9b74-7e69a74c84fc}" done="0">
    <x18tc:text xml:space="preserve">https://drive.google.com/file/d/17aTTxAQ2_KsJCBb2b7wQqx7mGzRKXGxG/view?usp=drive_link</x18tc:text>
    <x18tc:extLst>
      <ext uri="{F7C98A9C-CBB3-438F-8F68-D28B6AF4A901}">
        <xltc2:checksum/>
        <xltc2:hyperlink startIndex="0" length="85" url="https://drive.google.com/file/d/17aTTxAQ2_KsJCBb2b7wQqx7mGzRKXGxG/view?usp=drive_link"/>
      </ext>
    </x18tc:extLst>
  </x18tc:threadedComment>
  <x18tc:threadedComment ref="K531" dT="2026-02-20T20:20:28.00" personId="{d8e4f5ad-b65d-4160-a56f-197530fb7eb1}" id="{18f6ae62-cc18-4732-bf2e-a1d57465e979}" parentId="{5c7a8cd9-2d96-424c-9b74-7e69a74c84fc}">
    <x18tc:text xml:space="preserve">https://drive.google.com/file/d/1O4pjbB7SuPlzKYE7Eswy_lgw5Zi4Iuci/view?usp=drive_link</x18tc:text>
    <x18tc:extLst>
      <ext uri="{F7C98A9C-CBB3-438F-8F68-D28B6AF4A901}">
        <xltc2:checksum/>
        <xltc2:hyperlink startIndex="0" length="85" url="https://drive.google.com/file/d/1O4pjbB7SuPlzKYE7Eswy_lgw5Zi4Iuci/view?usp=drive_link"/>
      </ext>
    </x18tc:extLst>
  </x18tc:threadedComment>
  <x18tc:threadedComment ref="K531" dT="2026-02-20T20:20:49.00" personId="{d8e4f5ad-b65d-4160-a56f-197530fb7eb1}" id="{7f06c0c7-aed8-4519-912a-ad9b6deee61a}" parentId="{5c7a8cd9-2d96-424c-9b74-7e69a74c84fc}">
    <x18tc:text xml:space="preserve">https://drive.google.com/file/d/1mpikdN0BH112h7WG6g0WXJ1Fqcly1r9q/view?usp=drive_link</x18tc:text>
    <x18tc:extLst>
      <ext uri="{F7C98A9C-CBB3-438F-8F68-D28B6AF4A901}">
        <xltc2:checksum/>
        <xltc2:hyperlink startIndex="0" length="85" url="https://drive.google.com/file/d/1mpikdN0BH112h7WG6g0WXJ1Fqcly1r9q/view?usp=drive_link"/>
      </ext>
    </x18tc:extLst>
  </x18tc:threadedComment>
  <x18tc:threadedComment ref="J662" dT="2026-04-07T18:02:30.00" personId="{d8e4f5ad-b65d-4160-a56f-197530fb7eb1}" id="{a2af83fe-8621-47ea-b3cf-38d74c9702e4}" done="0">
    <x18tc:text xml:space="preserve">https://drive.google.com/file/d/10Wb-efOUstpAxsPQV9862tDNA-A5ayvi/view?usp=drive_link</x18tc:text>
    <x18tc:extLst>
      <ext uri="{F7C98A9C-CBB3-438F-8F68-D28B6AF4A901}">
        <xltc2:checksum/>
        <xltc2:hyperlink startIndex="0" length="85" url="https://drive.google.com/file/d/10Wb-efOUstpAxsPQV9862tDNA-A5ayvi/view?usp=drive_link"/>
      </ext>
    </x18tc:extLst>
  </x18tc:threadedComment>
  <x18tc:threadedComment ref="J662" dT="2026-04-07T18:02:45.00" personId="{d8e4f5ad-b65d-4160-a56f-197530fb7eb1}" id="{330ca764-92a5-46c6-a534-508d91d90e09}" parentId="{a2af83fe-8621-47ea-b3cf-38d74c9702e4}">
    <x18tc:text xml:space="preserve">https://drive.google.com/file/d/1cc9kRyhq11_fIdIMRej9zNWJXt6Ie9we/view?usp=drive_link</x18tc:text>
    <x18tc:extLst>
      <ext uri="{F7C98A9C-CBB3-438F-8F68-D28B6AF4A901}">
        <xltc2:checksum/>
        <xltc2:hyperlink startIndex="0" length="85" url="https://drive.google.com/file/d/1cc9kRyhq11_fIdIMRej9zNWJXt6Ie9we/view?usp=drive_link"/>
      </ext>
    </x18tc:extLst>
  </x18tc:threadedComment>
  <x18tc:threadedComment ref="AI751" dT="2026-06-22T23:02:22.00" personId="{7d9bea4b-cfe7-4c29-b483-8e83a1c4f52a}" id="{487381c9-92b7-4d56-b8d3-04a7b10bb709}" done="0">
    <x18tc:text xml:space="preserve">https://drive.google.com/file/d/1RBiDX-2A3l9t8TxbDhqgdfDFS2aJMwhm/view?usp=drive_link</x18tc:text>
    <x18tc:extLst>
      <ext uri="{F7C98A9C-CBB3-438F-8F68-D28B6AF4A901}">
        <xltc2:checksum/>
        <xltc2:hyperlink startIndex="0" length="85" url="https://drive.google.com/file/d/1RBiDX-2A3l9t8TxbDhqgdfDFS2aJMwhm/view?usp=drive_link"/>
      </ext>
    </x18tc:extLst>
  </x18tc:threadedComment>
  <x18tc:threadedComment ref="W449" dT="2025-12-30T23:21:27.00" personId="{d8e4f5ad-b65d-4160-a56f-197530fb7eb1}" id="{6e18dded-0cf5-424b-8f7d-bf177b7cea2c}" done="0">
    <x18tc:text xml:space="preserve">RUC 20489570646</x18tc:text>
  </x18tc:threadedComment>
  <x18tc:threadedComment ref="W449" dT="2025-12-31T16:49:14.00" personId="{2ddfa542-8116-4937-a057-08470d7abaab}" id="{36a3ee72-064f-41c3-8b8e-7db52e7d3923}" parentId="{6e18dded-0cf5-424b-8f7d-bf177b7cea2c}">
    <x18tc:text xml:space="preserve">https://drive.google.com/file/d/1XJHHzXpxcei1hL4KhHUQNrr9tV2E0jV7/view?usp=drive_link</x18tc:text>
    <x18tc:extLst>
      <ext uri="{F7C98A9C-CBB3-438F-8F68-D28B6AF4A901}">
        <xltc2:checksum/>
        <xltc2:hyperlink startIndex="0" length="85" url="https://drive.google.com/file/d/1XJHHzXpxcei1hL4KhHUQNrr9tV2E0jV7/view?usp=drive_link"/>
      </ext>
    </x18tc:extLst>
  </x18tc:threadedComment>
  <x18tc:threadedComment ref="D468" dT="2026-01-08T19:35:30.00" personId="{4df2d6c4-e43e-4f2e-b623-d90f458472ff}" id="{aa837fda-48ba-47f2-a01f-e9ad0ca7db01}" done="0">
    <x18tc:text xml:space="preserve">yoli este es el cliente que dio miedito</x18tc:text>
  </x18tc:threadedComment>
  <x18tc:threadedComment ref="J448" dT="2025-12-31T00:45:47.00" personId="{d8e4f5ad-b65d-4160-a56f-197530fb7eb1}" id="{464957d4-8aea-4f58-b914-ded19c7e257f}" done="0">
    <x18tc:text xml:space="preserve">https://drive.google.com/file/d/1ktwt0e3h9IbD838-ldzkCRBbuyVOlohR/view?usp=drive_link</x18tc:text>
    <x18tc:extLst>
      <ext uri="{F7C98A9C-CBB3-438F-8F68-D28B6AF4A901}">
        <xltc2:checksum/>
        <xltc2:hyperlink startIndex="0" length="85" url="https://drive.google.com/file/d/1ktwt0e3h9IbD838-ldzkCRBbuyVOlohR/view?usp=drive_link"/>
      </ext>
    </x18tc:extLst>
  </x18tc:threadedComment>
  <x18tc:threadedComment ref="C664" dT="2026-04-07T21:13:03.00" personId="{d8e4f5ad-b65d-4160-a56f-197530fb7eb1}" id="{f39c4d7b-9e90-4147-94f1-c6a93c5b4fb1}"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K420" dT="2025-12-30T23:52:17.00" personId="{a5d43f6d-3c72-4414-b012-8f52ef50acc4}" id="{a162af07-6a71-4a95-8226-dfff2ac074c4}" done="0">
    <x18tc:text xml:space="preserve">https://drive.google.com/file/d/1V6cLnKAgC_3jrhMglcONF_WC2pFtbpPS/view?usp=drive_link</x18tc:text>
    <x18tc:extLst>
      <ext uri="{F7C98A9C-CBB3-438F-8F68-D28B6AF4A901}">
        <xltc2:checksum/>
        <xltc2:hyperlink startIndex="0" length="85" url="https://drive.google.com/file/d/1V6cLnKAgC_3jrhMglcONF_WC2pFtbpPS/view?usp=drive_link"/>
      </ext>
    </x18tc:extLst>
  </x18tc:threadedComment>
  <x18tc:threadedComment ref="AI754" dT="2026-06-22T23:20:45.00" personId="{7d9bea4b-cfe7-4c29-b483-8e83a1c4f52a}" id="{a0889989-8ae5-4b53-859a-a5e54b74627b}" done="0">
    <x18tc:text xml:space="preserve">https://drive.google.com/file/d/1XCnPezEEkHCf088eF4SbEleMZI-29yYK/view?usp=drive_link</x18tc:text>
    <x18tc:extLst>
      <ext uri="{F7C98A9C-CBB3-438F-8F68-D28B6AF4A901}">
        <xltc2:checksum/>
        <xltc2:hyperlink startIndex="0" length="85" url="https://drive.google.com/file/d/1XCnPezEEkHCf088eF4SbEleMZI-29yYK/view?usp=drive_link"/>
      </ext>
    </x18tc:extLst>
  </x18tc:threadedComment>
  <x18tc:threadedComment ref="K390" dT="2025-12-31T00:47:31.00" personId="{d8e4f5ad-b65d-4160-a56f-197530fb7eb1}" id="{21c1b7a5-10b9-4735-9a1e-e0a755cb1fcb}" done="0">
    <x18tc:text xml:space="preserve">https://drive.google.com/file/d/1vLwbMaX0DGAn45KON7hbhUqfbQ98QwlH/view?usp=drive_link</x18tc:text>
    <x18tc:extLst>
      <ext uri="{F7C98A9C-CBB3-438F-8F68-D28B6AF4A901}">
        <xltc2:checksum/>
        <xltc2:hyperlink startIndex="0" length="85" url="https://drive.google.com/file/d/1vLwbMaX0DGAn45KON7hbhUqfbQ98QwlH/view?usp=drive_link"/>
      </ext>
    </x18tc:extLst>
  </x18tc:threadedComment>
  <x18tc:threadedComment ref="K458" dT="2026-01-15T21:37:00.00" personId="{a5d43f6d-3c72-4414-b012-8f52ef50acc4}" id="{23a7c228-d5fb-4454-8826-946d4293e4a3}" done="0">
    <x18tc:text xml:space="preserve">https://drive.google.com/file/d/1UBfZPnPorPLjeADTTit1xffVwlRCp0G5/view?usp=drive_link</x18tc:text>
    <x18tc:extLst>
      <ext uri="{F7C98A9C-CBB3-438F-8F68-D28B6AF4A901}">
        <xltc2:checksum/>
        <xltc2:hyperlink startIndex="0" length="85" url="https://drive.google.com/file/d/1UBfZPnPorPLjeADTTit1xffVwlRCp0G5/view?usp=drive_link"/>
      </ext>
    </x18tc:extLst>
  </x18tc:threadedComment>
  <x18tc:threadedComment ref="J559" dT="2026-02-21T00:43:19.00" personId="{a5d43f6d-3c72-4414-b012-8f52ef50acc4}" id="{d07abae3-8ba2-4978-8141-10280b2bfbc8}" done="0">
    <x18tc:text xml:space="preserve">https://drive.google.com/file/d/1eSdb5uiUFjAhrby4sy-pimFbj7Kx64ZX/view?usp=drive_link</x18tc:text>
    <x18tc:extLst>
      <ext uri="{F7C98A9C-CBB3-438F-8F68-D28B6AF4A901}">
        <xltc2:checksum/>
        <xltc2:hyperlink startIndex="0" length="85" url="https://drive.google.com/file/d/1eSdb5uiUFjAhrby4sy-pimFbj7Kx64ZX/view?usp=drive_link"/>
      </ext>
    </x18tc:extLst>
  </x18tc:threadedComment>
  <x18tc:threadedComment ref="J449" dT="2025-12-31T00:44:39.00" personId="{d8e4f5ad-b65d-4160-a56f-197530fb7eb1}" id="{dc24bce1-5634-44a1-9181-72dd6c52e3ec}" done="0">
    <x18tc:text xml:space="preserve">https://drive.google.com/file/d/1C3I9hoH8Wg-hTnoEIrFxvXbMlet_dINJ/view?usp=drive_link</x18tc:text>
    <x18tc:extLst>
      <ext uri="{F7C98A9C-CBB3-438F-8F68-D28B6AF4A901}">
        <xltc2:checksum/>
        <xltc2:hyperlink startIndex="0" length="85" url="https://drive.google.com/file/d/1C3I9hoH8Wg-hTnoEIrFxvXbMlet_dINJ/view?usp=drive_link"/>
      </ext>
    </x18tc:extLst>
  </x18tc:threadedComment>
  <x18tc:threadedComment ref="J450" dT="2025-12-31T00:45:13.00" personId="{d8e4f5ad-b65d-4160-a56f-197530fb7eb1}" id="{58907aa5-c587-4476-9ee1-0806114d30b2}" done="0">
    <x18tc:text xml:space="preserve">https://drive.google.com/file/d/10snSCiEIRFR28GyqxSYpvh4MJ277z9RR/view?usp=drive_link</x18tc:text>
    <x18tc:extLst>
      <ext uri="{F7C98A9C-CBB3-438F-8F68-D28B6AF4A901}">
        <xltc2:checksum/>
        <xltc2:hyperlink startIndex="0" length="85" url="https://drive.google.com/file/d/10snSCiEIRFR28GyqxSYpvh4MJ277z9RR/view?usp=drive_link"/>
      </ext>
    </x18tc:extLst>
  </x18tc:threadedComment>
  <x18tc:threadedComment ref="J719" dT="2026-04-29T21:57:20.00" personId="{a5d43f6d-3c72-4414-b012-8f52ef50acc4}" id="{659b0dd6-2d79-48f9-9efc-6937280096da}" done="0">
    <x18tc:text xml:space="preserve">https://drive.google.com/file/d/14CA1YjbvbgMFN6874CCdr3Mvc58qNgwB/view?usp=drive_link</x18tc:text>
    <x18tc:extLst>
      <ext uri="{F7C98A9C-CBB3-438F-8F68-D28B6AF4A901}">
        <xltc2:checksum/>
        <xltc2:hyperlink startIndex="0" length="85" url="https://drive.google.com/file/d/14CA1YjbvbgMFN6874CCdr3Mvc58qNgwB/view?usp=drive_link"/>
      </ext>
    </x18tc:extLst>
  </x18tc:threadedComment>
  <x18tc:threadedComment ref="J472" dT="2026-01-08T17:30:28.00" personId="{a5d43f6d-3c72-4414-b012-8f52ef50acc4}" id="{83eb9373-8892-47e2-8ad4-460290fb1c7b}" done="0">
    <x18tc:text xml:space="preserve">https://drive.google.com/file/d/1ymbpP3lsFPvRF6EvrNrQAH8O4xWT4d3O/view?usp=drive_link
https://drive.google.com/file/d/1Y_0Vh80paNDfAC4gxISJN2IrOSGMUbYl/view?usp=drive_link
https://drive.google.com/file/d/1SrVVcIst8bjCYccHIGhPFABQz2ycG601/view?usp=drive_link</x18tc:text>
    <x18tc:extLst>
      <ext uri="{F7C98A9C-CBB3-438F-8F68-D28B6AF4A901}">
        <xltc2:checksum/>
        <xltc2:hyperlink startIndex="0" length="85" url="https://drive.google.com/file/d/1ymbpP3lsFPvRF6EvrNrQAH8O4xWT4d3O/view?usp=drive_link"/>
        <xltc2:hyperlink startIndex="86" length="85" url="https://drive.google.com/file/d/1Y_0Vh80paNDfAC4gxISJN2IrOSGMUbYl/view?usp=drive_link"/>
        <xltc2:hyperlink startIndex="172" length="85" url="https://drive.google.com/file/d/1SrVVcIst8bjCYccHIGhPFABQz2ycG601/view?usp=drive_link"/>
      </ext>
    </x18tc:extLst>
  </x18tc:threadedComment>
  <x18tc:threadedComment ref="Q719" dT="2026-04-29T21:59:15.00" personId="{a5d43f6d-3c72-4414-b012-8f52ef50acc4}" id="{169bc496-2cf2-4b07-869f-3a5aaee39a03}" done="0">
    <x18tc:text xml:space="preserve">Configuración inicial con formateo + eset nod + office 2024</x18tc:text>
  </x18tc:threadedComment>
  <x18tc:threadedComment ref="D355" dT="2025-12-03T15:18:35.00" personId="{2ddfa542-8116-4937-a057-08470d7abaab}" id="{969042d3-d799-4c54-a9a7-9c70796fabb2}" done="1">
    <x18tc:text xml:space="preserve">MISMAS PERSONAS?</x18tc:text>
  </x18tc:threadedComment>
  <x18tc:threadedComment ref="D355" dT="2025-12-03T15:53:01.00" personId="{2ddfa542-8116-4937-a057-08470d7abaab}" id="{cc6d9446-92a9-4daa-8ede-a67ee354b9a2}" parentId="{969042d3-d799-4c54-a9a7-9c70796fabb2}">
    <x18tc:text xml:space="preserve">Marcado como resuelto</x18tc:text>
  </x18tc:threadedComment>
  <x18tc:threadedComment ref="D355" dT="2025-12-27T19:10:08.00" personId="{2ddfa542-8116-4937-a057-08470d7abaab}" id="{5db952eb-1a9a-458e-9c2c-e9ff75c2c1c3}" parentId="{969042d3-d799-4c54-a9a7-9c70796fabb2}">
    <x18tc:text xml:space="preserve">Reabierto</x18tc:text>
  </x18tc:threadedComment>
  <x18tc:threadedComment ref="C472" dT="2026-01-08T17:26:59.00" personId="{a5d43f6d-3c72-4414-b012-8f52ef50acc4}" id="{bdf2acf4-452c-4199-abdb-0cad61b74481}"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J451" dT="2025-12-31T00:44:18.00" personId="{d8e4f5ad-b65d-4160-a56f-197530fb7eb1}" id="{463ca6a3-e883-4e8e-bf60-4fc5da6c2627}" done="0">
    <x18tc:text xml:space="preserve">https://drive.google.com/file/d/1mAJyobsifMokyqljhaSoiSy1UwjKfyWT/view?usp=drive_link</x18tc:text>
    <x18tc:extLst>
      <ext uri="{F7C98A9C-CBB3-438F-8F68-D28B6AF4A901}">
        <xltc2:checksum/>
        <xltc2:hyperlink startIndex="0" length="85" url="https://drive.google.com/file/d/1mAJyobsifMokyqljhaSoiSy1UwjKfyWT/view?usp=drive_link"/>
      </ext>
    </x18tc:extLst>
  </x18tc:threadedComment>
  <x18tc:threadedComment ref="K534" dT="2026-02-20T22:12:14.00" personId="{d8e4f5ad-b65d-4160-a56f-197530fb7eb1}" id="{e331d5ab-96d6-49bf-8951-1341f06a1092}" done="0">
    <x18tc:text xml:space="preserve">https://drive.google.com/file/d/1NB7UVtECL5cX-mt-URaekHRhB2TnQxCo/view?usp=drive_link</x18tc:text>
    <x18tc:extLst>
      <ext uri="{F7C98A9C-CBB3-438F-8F68-D28B6AF4A901}">
        <xltc2:checksum/>
        <xltc2:hyperlink startIndex="0" length="85" url="https://drive.google.com/file/d/1NB7UVtECL5cX-mt-URaekHRhB2TnQxCo/view?usp=drive_link"/>
      </ext>
    </x18tc:extLst>
  </x18tc:threadedComment>
  <x18tc:threadedComment ref="W252" dT="2025-11-02T05:39:35.00" personId="{a5d43f6d-3c72-4414-b012-8f52ef50acc4}" id="{63a768f7-2d2c-4391-93aa-132b51b4c995}" done="0">
    <x18tc:text xml:space="preserve">https://drive.google.com/file/d/1nMqDJ995wnP0ayPjUEu-qqnaPxw7Kt9j/view?usp=drive_link</x18tc:text>
    <x18tc:extLst>
      <ext uri="{F7C98A9C-CBB3-438F-8F68-D28B6AF4A901}">
        <xltc2:checksum/>
        <xltc2:hyperlink startIndex="0" length="85" url="https://drive.google.com/file/d/1nMqDJ995wnP0ayPjUEu-qqnaPxw7Kt9j/view?usp=drive_link"/>
      </ext>
    </x18tc:extLst>
  </x18tc:threadedComment>
  <x18tc:threadedComment ref="AF505" dT="2026-03-04T06:42:08.00" personId="{2ddfa542-8116-4937-a057-08470d7abaab}" id="{6086b14d-63d2-4486-b4f8-6a101bb301b4}" done="1">
    <x18tc:text xml:space="preserve">solo voucher</x18tc:text>
  </x18tc:threadedComment>
  <x18tc:threadedComment ref="D664" dT="2026-04-07T21:35:56.00" personId="{d8e4f5ad-b65d-4160-a56f-197530fb7eb1}" id="{d551b3e1-8402-4de1-8130-6ced2731da3e}" done="0">
    <x18tc:text xml:space="preserve">cliente llega a LIMA 17 de MAYO</x18tc:text>
  </x18tc:threadedComment>
  <x18tc:threadedComment ref="C558" dT="2026-02-20T22:28:21.00" personId="{a5d43f6d-3c72-4414-b012-8f52ef50acc4}" id="{91cddaa8-ea05-4d29-a73f-2de6add29848}" done="0">
    <x18tc:text xml:space="preserve">https://www.microcenter.com/product/693835/asus-rog-strix-g16-g614pp-ms96-16-gaming-laptop-computer-eclipse-gray</x18tc:text>
    <x18tc:extLst>
      <ext uri="{F7C98A9C-CBB3-438F-8F68-D28B6AF4A901}">
        <xltc2:checksum/>
        <xltc2:hyperlink startIndex="0" length="112" url="https://www.microcenter.com/product/693835/asus-rog-strix-g16-g614pp-ms96-16-gaming-laptop-computer-eclipse-gray"/>
      </ext>
    </x18tc:extLst>
  </x18tc:threadedComment>
  <x18tc:threadedComment ref="W208" dT="2025-09-03T01:39:48.00" personId="{d8e4f5ad-b65d-4160-a56f-197530fb7eb1}" id="{17256156-9c82-4f15-badd-d54436719ad4}" done="0">
    <x18tc:text xml:space="preserve">https://drive.google.com/file/d/1yY5DSV_AEvTUNXupquJADxXBEDB6ZS6W/view?usp=drive_link</x18tc:text>
    <x18tc:extLst>
      <ext uri="{F7C98A9C-CBB3-438F-8F68-D28B6AF4A901}">
        <xltc2:checksum/>
        <xltc2:hyperlink startIndex="0" length="85" url="https://drive.google.com/file/d/1yY5DSV_AEvTUNXupquJADxXBEDB6ZS6W/view?usp=drive_link"/>
      </ext>
    </x18tc:extLst>
  </x18tc:threadedComment>
  <x18tc:threadedComment ref="C477" dT="2026-01-10T16:56:02.00" personId="{a5d43f6d-3c72-4414-b012-8f52ef50acc4}" id="{dec0272e-6ea6-4b42-9e8f-5b6dba33671f}" done="0">
    <x18tc:text xml:space="preserve">https://www.ebay.com/itm/306423604443?_skw=legion&amp;itmmeta=01KEM8DRHWGQ4BGP5QCCK5X5MH&amp;hash=item47584524db:g:IvYAAeSw5YZpJxRn</x18tc:text>
    <x18tc:extLst>
      <ext uri="{F7C98A9C-CBB3-438F-8F68-D28B6AF4A901}">
        <xltc2:checksum/>
        <xltc2:hyperlink startIndex="0" length="123" url="https://www.ebay.com/itm/306423604443?_skw=legion&amp;itmmeta=01KEM8DRHWGQ4BGP5QCCK5X5MH&amp;hash=item47584524db:g:IvYAAeSw5YZpJxRn"/>
      </ext>
    </x18tc:extLst>
  </x18tc:threadedComment>
  <x18tc:threadedComment ref="K679" dT="2026-06-02T22:56:38.00" personId="{d8e4f5ad-b65d-4160-a56f-197530fb7eb1}" id="{7fdf68ce-8f1a-4d3f-84da-e3fcc832775b}" done="0">
    <x18tc:text xml:space="preserve">https://drive.google.com/file/d/1VOqcCo-m6ljaalNJl_ZGVn1qjIXUSzyg/view?usp=drive_link</x18tc:text>
    <x18tc:extLst>
      <ext uri="{F7C98A9C-CBB3-438F-8F68-D28B6AF4A901}">
        <xltc2:checksum/>
        <xltc2:hyperlink startIndex="0" length="85" url="https://drive.google.com/file/d/1VOqcCo-m6ljaalNJl_ZGVn1qjIXUSzyg/view?usp=drive_link"/>
      </ext>
    </x18tc:extLst>
  </x18tc:threadedComment>
  <x18tc:threadedComment ref="Q558" dT="2026-02-20T22:31:42.00" personId="{a5d43f6d-3c72-4414-b012-8f52ef50acc4}" id="{2b7c1eb7-2880-4d84-9d1f-9ef735d42c68}" done="0">
    <x18tc:text xml:space="preserve">apertura + configuración iniical con formateo + eset nod 32 + windows 11 pro + office 2024</x18tc:text>
  </x18tc:threadedComment>
  <x18tc:threadedComment ref="C485" dT="2026-01-15T21:46:11.00" personId="{d8e4f5ad-b65d-4160-a56f-197530fb7eb1}" id="{011f5ba6-6a8e-4e31-91b9-2e83a52b654a}" done="0">
    <x18tc:text xml:space="preserve">https://us-store.msi.com/Laptops/Gaming-Series/Vector-16-HX-AI-A2XWIG-420US</x18tc:text>
    <x18tc:extLst>
      <ext uri="{F7C98A9C-CBB3-438F-8F68-D28B6AF4A901}">
        <xltc2:checksum/>
        <xltc2:hyperlink startIndex="0" length="75" url="https://us-store.msi.com/Laptops/Gaming-Series/Vector-16-HX-AI-A2XWIG-420US"/>
      </ext>
    </x18tc:extLst>
  </x18tc:threadedComment>
  <x18tc:threadedComment ref="J208" dT="2025-09-03T01:03:00.00" personId="{d8e4f5ad-b65d-4160-a56f-197530fb7eb1}" id="{a6b8282d-0a83-4499-a6c8-ffe8ccf04c76}" done="0">
    <x18tc:text xml:space="preserve">https://drive.google.com/file/d/17WEDabEcrE6aoinSBKmdwXoHp-bxHk7S/view?usp=drive_link</x18tc:text>
    <x18tc:extLst>
      <ext uri="{F7C98A9C-CBB3-438F-8F68-D28B6AF4A901}">
        <xltc2:checksum/>
        <xltc2:hyperlink startIndex="0" length="85" url="https://drive.google.com/file/d/17WEDabEcrE6aoinSBKmdwXoHp-bxHk7S/view?usp=drive_link"/>
      </ext>
    </x18tc:extLst>
  </x18tc:threadedComment>
  <x18tc:threadedComment ref="J208" dT="2025-09-03T01:03:17.00" personId="{d8e4f5ad-b65d-4160-a56f-197530fb7eb1}" id="{ea9e0b13-8f6c-4870-a306-da5e587520b7}" parentId="{a6b8282d-0a83-4499-a6c8-ffe8ccf04c76}">
    <x18tc:text xml:space="preserve">https://drive.google.com/file/d/19lz62-HtJpoYzKHPF2_VofWQLblvOECf/view?usp=drive_link</x18tc:text>
    <x18tc:extLst>
      <ext uri="{F7C98A9C-CBB3-438F-8F68-D28B6AF4A901}">
        <xltc2:checksum/>
        <xltc2:hyperlink startIndex="0" length="85" url="https://drive.google.com/file/d/19lz62-HtJpoYzKHPF2_VofWQLblvOECf/view?usp=drive_link"/>
      </ext>
    </x18tc:extLst>
  </x18tc:threadedComment>
  <x18tc:threadedComment ref="J208" dT="2025-09-03T01:03:34.00" personId="{d8e4f5ad-b65d-4160-a56f-197530fb7eb1}" id="{1af4bedd-ebbc-4c3d-96af-e76c54329869}" parentId="{a6b8282d-0a83-4499-a6c8-ffe8ccf04c76}">
    <x18tc:text xml:space="preserve">https://drive.google.com/file/d/1akP2dNV07OcT_4gAnrZzYnldwj3dbEC3/view?usp=drive_link</x18tc:text>
    <x18tc:extLst>
      <ext uri="{F7C98A9C-CBB3-438F-8F68-D28B6AF4A901}">
        <xltc2:checksum/>
        <xltc2:hyperlink startIndex="0" length="85" url="https://drive.google.com/file/d/1akP2dNV07OcT_4gAnrZzYnldwj3dbEC3/view?usp=drive_link"/>
      </ext>
    </x18tc:extLst>
  </x18tc:threadedComment>
  <x18tc:threadedComment ref="C739" dT="2026-05-10T00:16:28.00" personId="{80195d68-4e9b-4dc7-a031-ca5391c97d0f}" id="{f5742b6b-220a-4240-a9fe-2fde77ab010a}" done="0">
    <x18tc:text xml:space="preserve">https://www.ebay.com/itm/197468116655</x18tc:text>
    <x18tc:extLst>
      <ext uri="{F7C98A9C-CBB3-438F-8F68-D28B6AF4A901}">
        <xltc2:checksum/>
        <xltc2:hyperlink startIndex="0" length="37" url="https://www.ebay.com/itm/197468116655"/>
      </ext>
    </x18tc:extLst>
  </x18tc:threadedComment>
  <x18tc:threadedComment ref="J558" dT="2026-02-20T22:32:20.00" personId="{a5d43f6d-3c72-4414-b012-8f52ef50acc4}" id="{a606f014-aa23-4154-bd08-f634aa9ae2e4}" done="0">
    <x18tc:text xml:space="preserve">https://drive.google.com/file/d/1izaxUQ8hBBjAicrjoj0pjeDUdO1At_r1/view?usp=drive_link</x18tc:text>
    <x18tc:extLst>
      <ext uri="{F7C98A9C-CBB3-438F-8F68-D28B6AF4A901}">
        <xltc2:checksum/>
        <xltc2:hyperlink startIndex="0" length="85" url="https://drive.google.com/file/d/1izaxUQ8hBBjAicrjoj0pjeDUdO1At_r1/view?usp=drive_link"/>
      </ext>
    </x18tc:extLst>
  </x18tc:threadedComment>
  <x18tc:threadedComment ref="W246" dT="2025-11-02T05:27:51.00" personId="{a5d43f6d-3c72-4414-b012-8f52ef50acc4}" id="{1312e923-c89d-47ce-bebb-6e32dd24c580}" done="0">
    <x18tc:text xml:space="preserve">https://drive.google.com/file/d/1Fqwaemm0wgNm6bZKngbuB089aLoulAZm/view?usp=drive_link</x18tc:text>
    <x18tc:extLst>
      <ext uri="{F7C98A9C-CBB3-438F-8F68-D28B6AF4A901}">
        <xltc2:checksum/>
        <xltc2:hyperlink startIndex="0" length="85" url="https://drive.google.com/file/d/1Fqwaemm0wgNm6bZKngbuB089aLoulAZm/view?usp=drive_link"/>
      </ext>
    </x18tc:extLst>
  </x18tc:threadedComment>
  <x18tc:threadedComment ref="W310" dT="2025-12-18T22:46:28.00" personId="{2ddfa542-8116-4937-a057-08470d7abaab}" id="{b9bc9885-7db6-4d59-9225-5d9f4b6af511}" done="0">
    <x18tc:text xml:space="preserve">https://drive.google.com/file/d/1Ll_nh70W70Oj2Pg1lqmK0Nr6QOuuBkHw/view?usp=drive_link</x18tc:text>
    <x18tc:extLst>
      <ext uri="{F7C98A9C-CBB3-438F-8F68-D28B6AF4A901}">
        <xltc2:checksum/>
        <xltc2:hyperlink startIndex="0" length="85" url="https://drive.google.com/file/d/1Ll_nh70W70Oj2Pg1lqmK0Nr6QOuuBkHw/view?usp=drive_link"/>
      </ext>
    </x18tc:extLst>
  </x18tc:threadedComment>
  <x18tc:threadedComment ref="C557" dT="2026-02-20T21:12:42.00" personId="{d8e4f5ad-b65d-4160-a56f-197530fb7eb1}" id="{1883722e-b23d-4a57-9360-e8cdde094180}" done="0">
    <x18tc:text xml:space="preserve">https://us-store.msi.com/Vector-16-HX-AI-A2XWIG-420US?search=vector</x18tc:text>
    <x18tc:extLst>
      <ext uri="{F7C98A9C-CBB3-438F-8F68-D28B6AF4A901}">
        <xltc2:checksum/>
        <xltc2:hyperlink startIndex="0" length="67" url="https://us-store.msi.com/Vector-16-HX-AI-A2XWIG-420US?search=vector"/>
      </ext>
    </x18tc:extLst>
  </x18tc:threadedComment>
  <x18tc:threadedComment ref="K411" dT="2026-01-15T22:33:02.00" personId="{a5d43f6d-3c72-4414-b012-8f52ef50acc4}" id="{2573841d-bdf1-496d-9110-32ae04216fd3}" done="0">
    <x18tc:text xml:space="preserve">https://drive.google.com/file/d/109j0RD3NiYKQ9pAVqFU-iqZsagTpO1sU/view?usp=drive_link</x18tc:text>
    <x18tc:extLst>
      <ext uri="{F7C98A9C-CBB3-438F-8F68-D28B6AF4A901}">
        <xltc2:checksum/>
        <xltc2:hyperlink startIndex="0" length="85" url="https://drive.google.com/file/d/109j0RD3NiYKQ9pAVqFU-iqZsagTpO1sU/view?usp=drive_link"/>
      </ext>
    </x18tc:extLst>
  </x18tc:threadedComment>
  <x18tc:threadedComment ref="K615" dT="2026-04-07T15:42:09.00" personId="{f9b224d0-ee33-4499-ae47-db5bcd2d0435}" id="{cc94ed71-7091-4ff6-8453-e8876d1c80cc}" done="0">
    <x18tc:text xml:space="preserve">https://drive.google.com/file/d/1SvXRmi1NdLDkKQfkvjUj9EfA--CSyJ_9/view?usp=drive_link</x18tc:text>
    <x18tc:extLst>
      <ext uri="{F7C98A9C-CBB3-438F-8F68-D28B6AF4A901}">
        <xltc2:checksum/>
        <xltc2:hyperlink startIndex="0" length="85" url="https://drive.google.com/file/d/1SvXRmi1NdLDkKQfkvjUj9EfA--CSyJ_9/view?usp=drive_link"/>
      </ext>
    </x18tc:extLst>
  </x18tc:threadedComment>
  <x18tc:threadedComment ref="J416" dT="2025-12-18T02:57:17.00" personId="{a5d43f6d-3c72-4414-b012-8f52ef50acc4}" id="{5f515163-8879-4041-8044-3ba9db7cc578}" done="0">
    <x18tc:text xml:space="preserve">https://drive.google.com/file/d/1hHwuwL6bCRPfRWlpu8YjzUqzYAp6Gavq/view?usp=drive_link</x18tc:text>
    <x18tc:extLst>
      <ext uri="{F7C98A9C-CBB3-438F-8F68-D28B6AF4A901}">
        <xltc2:checksum/>
        <xltc2:hyperlink startIndex="0" length="85" url="https://drive.google.com/file/d/1hHwuwL6bCRPfRWlpu8YjzUqzYAp6Gavq/view?usp=drive_link"/>
      </ext>
    </x18tc:extLst>
  </x18tc:threadedComment>
  <x18tc:threadedComment ref="K529" dT="2026-02-20T21:49:28.00" personId="{a5d43f6d-3c72-4414-b012-8f52ef50acc4}" id="{be4a1788-9096-4a64-94ab-3832b865b2de}" done="0">
    <x18tc:text xml:space="preserve">https://drive.google.com/file/d/1IaIOGm-6Dyjcjs5ABb2-kXlbwOQyt3RQ/view?usp=drive_link</x18tc:text>
    <x18tc:extLst>
      <ext uri="{F7C98A9C-CBB3-438F-8F68-D28B6AF4A901}">
        <xltc2:checksum/>
        <xltc2:hyperlink startIndex="0" length="85" url="https://drive.google.com/file/d/1IaIOGm-6Dyjcjs5ABb2-kXlbwOQyt3RQ/view?usp=drive_link"/>
      </ext>
    </x18tc:extLst>
  </x18tc:threadedComment>
  <x18tc:threadedComment ref="L239" dT="2025-10-10T17:44:30.00" personId="{d8e4f5ad-b65d-4160-a56f-197530fb7eb1}" id="{49ebeec4-9721-4e12-9243-d4872bf44638}" done="0">
    <x18tc:text xml:space="preserve">https://drive.google.com/file/d/1hFxUDEKApyiEjz-2EwryVvQQykSqChdi/view?usp=drive_link</x18tc:text>
    <x18tc:extLst>
      <ext uri="{F7C98A9C-CBB3-438F-8F68-D28B6AF4A901}">
        <xltc2:checksum/>
        <xltc2:hyperlink startIndex="0" length="85" url="https://drive.google.com/file/d/1hFxUDEKApyiEjz-2EwryVvQQykSqChdi/view?usp=drive_link"/>
      </ext>
    </x18tc:extLst>
  </x18tc:threadedComment>
  <x18tc:threadedComment ref="Q559" dT="2026-02-21T00:46:24.00" personId="{a5d43f6d-3c72-4414-b012-8f52ef50acc4}" id="{41d257ae-af0f-482f-b66b-7491cac7a239}" done="0">
    <x18tc:text xml:space="preserve">apertura + configuración iniical con formateo + eset nod 32 + windows 11 pro + office 2024</x18tc:text>
  </x18tc:threadedComment>
  <x18tc:threadedComment ref="C417" dT="2025-12-18T02:58:37.00" personId="{d8e4f5ad-b65d-4160-a56f-197530fb7eb1}" id="{7b8c2311-0340-4a2e-9ce4-25544c56d5b4}" done="0">
    <x18tc:text xml:space="preserve">https://www.bhphotovideo.com/c/product/1875948-REG/lenovo_83f5001bus_16_legion_pro_7i.html</x18tc:text>
    <x18tc:extLst>
      <ext uri="{F7C98A9C-CBB3-438F-8F68-D28B6AF4A901}">
        <xltc2:checksum/>
        <xltc2:hyperlink startIndex="0" length="90" url="https://www.bhphotovideo.com/c/product/1875948-REG/lenovo_83f5001bus_16_legion_pro_7i.html"/>
      </ext>
    </x18tc:extLst>
  </x18tc:threadedComment>
  <x18tc:threadedComment ref="AF595" dT="2026-04-07T18:30:05.00" personId="{2ddfa542-8116-4937-a057-08470d7abaab}" id="{f1b0bc48-1e6d-4b19-8906-94e9dc6a6e88}" done="1">
    <x18tc:text xml:space="preserve">venta final, excedentes, fixit</x18tc:text>
  </x18tc:threadedComment>
  <x18tc:threadedComment ref="J557" dT="2026-02-20T22:11:54.00" personId="{d8e4f5ad-b65d-4160-a56f-197530fb7eb1}" id="{92b896e4-e105-42b1-b43e-b908d7acb33d}" done="0">
    <x18tc:text xml:space="preserve">https://drive.google.com/file/d/1agAaM3bPcyEhKdD-7kVVk32QUuOcscmc/view?usp=drive_link</x18tc:text>
    <x18tc:extLst>
      <ext uri="{F7C98A9C-CBB3-438F-8F68-D28B6AF4A901}">
        <xltc2:checksum/>
        <xltc2:hyperlink startIndex="0" length="85" url="https://drive.google.com/file/d/1agAaM3bPcyEhKdD-7kVVk32QUuOcscmc/view?usp=drive_link"/>
      </ext>
    </x18tc:extLst>
  </x18tc:threadedComment>
  <x18tc:threadedComment ref="L80" dT="2025-05-31T21:36:20.00" personId="{d8e4f5ad-b65d-4160-a56f-197530fb7eb1}" id="{d8338e1a-21fd-4af3-ab6a-0acfdd4c0270}" done="0">
    <x18tc:text xml:space="preserve">https://drive.google.com/file/d/1HaECR2OsY6bFEeTNHTGyohGQcefOHNpM/view?usp=drive_link</x18tc:text>
    <x18tc:extLst>
      <ext uri="{F7C98A9C-CBB3-438F-8F68-D28B6AF4A901}">
        <xltc2:checksum/>
        <xltc2:hyperlink startIndex="0" length="85" url="https://drive.google.com/file/d/1HaECR2OsY6bFEeTNHTGyohGQcefOHNpM/view?usp=drive_link"/>
      </ext>
    </x18tc:extLst>
  </x18tc:threadedComment>
  <x18tc:threadedComment ref="J142" dT="2025-07-26T00:16:36.00" personId="{d8e4f5ad-b65d-4160-a56f-197530fb7eb1}" id="{a1944248-4e37-4b63-97a4-11675f4e7fe9}" done="0">
    <x18tc:text xml:space="preserve">https://drive.google.com/file/d/1-oKzaN90hYz1SKP92-5nc6kgu7TsI_TS/view?usp=drive_link</x18tc:text>
    <x18tc:extLst>
      <ext uri="{F7C98A9C-CBB3-438F-8F68-D28B6AF4A901}">
        <xltc2:checksum/>
        <xltc2:hyperlink startIndex="0" length="85" url="https://drive.google.com/file/d/1-oKzaN90hYz1SKP92-5nc6kgu7TsI_TS/view?usp=drive_link"/>
      </ext>
    </x18tc:extLst>
  </x18tc:threadedComment>
  <x18tc:threadedComment ref="L68" dT="2025-05-27T15:31:15.00" personId="{d8e4f5ad-b65d-4160-a56f-197530fb7eb1}" id="{74d03f2d-9759-468f-bebf-8d9cddce4109}" done="0">
    <x18tc:text xml:space="preserve">https://drive.google.com/file/d/10kJHomObTK-Xvaw6Ldk81MkLlVaN1HSN/view?usp=drive_link</x18tc:text>
    <x18tc:extLst>
      <ext uri="{F7C98A9C-CBB3-438F-8F68-D28B6AF4A901}">
        <xltc2:checksum/>
        <xltc2:hyperlink startIndex="0" length="85" url="https://drive.google.com/file/d/10kJHomObTK-Xvaw6Ldk81MkLlVaN1HSN/view?usp=drive_link"/>
      </ext>
    </x18tc:extLst>
  </x18tc:threadedComment>
  <x18tc:threadedComment ref="W329" dT="2025-12-22T22:32:44.00" personId="{2ddfa542-8116-4937-a057-08470d7abaab}" id="{ab5a8c8f-9f8b-43dd-8fcd-3781a9c6e3f0}" done="0">
    <x18tc:text xml:space="preserve">https://drive.google.com/file/d/1He_tdYLcvaS6iLReiiyYI0-67XJQhU_q/view?usp=drive_link</x18tc:text>
    <x18tc:extLst>
      <ext uri="{F7C98A9C-CBB3-438F-8F68-D28B6AF4A901}">
        <xltc2:checksum/>
        <xltc2:hyperlink startIndex="0" length="85" url="https://drive.google.com/file/d/1He_tdYLcvaS6iLReiiyYI0-67XJQhU_q/view?usp=drive_link"/>
      </ext>
    </x18tc:extLst>
  </x18tc:threadedComment>
  <x18tc:threadedComment ref="L103" dT="2025-07-01T01:53:56.00" personId="{4df2d6c4-e43e-4f2e-b623-d90f458472ff}" id="{24c95a97-465c-49bb-a0d2-00e88d3230cc}" done="0">
    <x18tc:text xml:space="preserve">https://drive.google.com/file/d/1_v6jWvLMCgSfQ8V8TNk-uHnWDXwdTQxk/view?usp=drive_link</x18tc:text>
    <x18tc:extLst>
      <ext uri="{F7C98A9C-CBB3-438F-8F68-D28B6AF4A901}">
        <xltc2:checksum/>
        <xltc2:hyperlink startIndex="0" length="85" url="https://drive.google.com/file/d/1_v6jWvLMCgSfQ8V8TNk-uHnWDXwdTQxk/view?usp=drive_link"/>
      </ext>
    </x18tc:extLst>
  </x18tc:threadedComment>
  <x18tc:threadedComment ref="L103" dT="2025-07-01T01:54:17.00" personId="{4df2d6c4-e43e-4f2e-b623-d90f458472ff}" id="{559a7169-884c-4bdb-82a9-3a9756e974fb}" parentId="{24c95a97-465c-49bb-a0d2-00e88d3230cc}">
    <x18tc:text xml:space="preserve">https://drive.google.com/file/d/1tTgGwuH-60nlhcZDNDDnnU2OUqMTKLcc/view?usp=drive_link</x18tc:text>
    <x18tc:extLst>
      <ext uri="{F7C98A9C-CBB3-438F-8F68-D28B6AF4A901}">
        <xltc2:checksum/>
        <xltc2:hyperlink startIndex="0" length="85" url="https://drive.google.com/file/d/1tTgGwuH-60nlhcZDNDDnnU2OUqMTKLcc/view?usp=drive_link"/>
      </ext>
    </x18tc:extLst>
  </x18tc:threadedComment>
  <x18tc:threadedComment ref="J621" dT="2026-03-26T18:08:39.00" personId="{80195d68-4e9b-4dc7-a031-ca5391c97d0f}" id="{3935e6a9-8872-4018-9c90-aaa1f4de54e0}" done="0">
    <x18tc:text xml:space="preserve">https://drive.google.com/file/d/1-aJEI9mRrTZcqIcfESbOi_RcwPaUAsC3/view?usp=drive_link</x18tc:text>
    <x18tc:extLst>
      <ext uri="{F7C98A9C-CBB3-438F-8F68-D28B6AF4A901}">
        <xltc2:checksum/>
        <xltc2:hyperlink startIndex="0" length="85" url="https://drive.google.com/file/d/1-aJEI9mRrTZcqIcfESbOi_RcwPaUAsC3/view?usp=drive_link"/>
      </ext>
    </x18tc:extLst>
  </x18tc:threadedComment>
  <x18tc:threadedComment ref="L44" dT="2025-05-27T15:34:14.00" personId="{d8e4f5ad-b65d-4160-a56f-197530fb7eb1}" id="{7b5a2c0c-97b5-4fad-85dc-58a1bddab4ed}" done="0">
    <x18tc:text xml:space="preserve">https://drive.google.com/file/d/1ldXNaGQqf_zuWXs0gh4KXXBmrL4zlAZf/view?usp=drive_link</x18tc:text>
    <x18tc:extLst>
      <ext uri="{F7C98A9C-CBB3-438F-8F68-D28B6AF4A901}">
        <xltc2:checksum/>
        <xltc2:hyperlink startIndex="0" length="85" url="https://drive.google.com/file/d/1ldXNaGQqf_zuWXs0gh4KXXBmrL4zlAZf/view?usp=drive_link"/>
      </ext>
    </x18tc:extLst>
  </x18tc:threadedComment>
  <x18tc:threadedComment ref="K669" dT="2026-05-09T18:50:06.00" personId="{d8e4f5ad-b65d-4160-a56f-197530fb7eb1}" id="{ad0f3f5d-289d-48ea-ab57-2678b99b8899}" done="0">
    <x18tc:text xml:space="preserve">https://drive.google.com/file/d/17mWkEwcAYalxM9htudBCdjk4hkCBB-Pm/view?usp=drive_link</x18tc:text>
    <x18tc:extLst>
      <ext uri="{F7C98A9C-CBB3-438F-8F68-D28B6AF4A901}">
        <xltc2:checksum/>
        <xltc2:hyperlink startIndex="0" length="85" url="https://drive.google.com/file/d/17mWkEwcAYalxM9htudBCdjk4hkCBB-Pm/view?usp=drive_link"/>
      </ext>
    </x18tc:extLst>
  </x18tc:threadedComment>
  <x18tc:threadedComment ref="J595" dT="2026-03-26T18:11:51.00" personId="{80195d68-4e9b-4dc7-a031-ca5391c97d0f}" id="{2c2977c2-1c21-4b55-a67b-714d1f1353ee}" done="0">
    <x18tc:text xml:space="preserve">https://drive.google.com/file/d/13ZFldRmO14ho6wH2rLNkZ8M47jKdtCX_/view?usp=drive_link</x18tc:text>
    <x18tc:extLst>
      <ext uri="{F7C98A9C-CBB3-438F-8F68-D28B6AF4A901}">
        <xltc2:checksum/>
        <xltc2:hyperlink startIndex="0" length="85" url="https://drive.google.com/file/d/13ZFldRmO14ho6wH2rLNkZ8M47jKdtCX_/view?usp=drive_link"/>
      </ext>
    </x18tc:extLst>
  </x18tc:threadedComment>
  <x18tc:threadedComment ref="C535" dT="2026-02-13T17:22:17.00" personId="{68efe3e3-8b68-4e02-81e2-a29fa228b211}" id="{3f0c5dca-1780-470b-a07d-92422fa2468b}" done="0">
    <x18tc:text xml:space="preserve">https://www.ebay.com/itm/306295101642?_skw=laptop+gaming&amp;itmmeta=01KH3A54ZV7H1R7DJZ2H3Y73X0&amp;hash=item47509c58ca:g:NAAAAeSwEvtoK4mm</x18tc:text>
    <x18tc:extLst>
      <ext uri="{F7C98A9C-CBB3-438F-8F68-D28B6AF4A901}">
        <xltc2:checksum/>
        <xltc2:hyperlink startIndex="0" length="130" url="https://www.ebay.com/itm/306295101642?_skw=laptop+gaming&amp;itmmeta=01KH3A54ZV7H1R7DJZ2H3Y73X0&amp;hash=item47509c58ca:g:NAAAAeSwEvtoK4mm"/>
      </ext>
    </x18tc:extLst>
  </x18tc:threadedComment>
  <x18tc:threadedComment ref="C330" dT="2025-11-22T22:19:28.00" personId="{a5d43f6d-3c72-4414-b012-8f52ef50acc4}" id="{aaf33e1c-4318-47a3-bb56-01b5397c888e}" done="0">
    <x18tc:text xml:space="preserve">https://www.ebay.com/itm/127210724599?_skw=legion&amp;itmmeta=01KAPHCYY36GHYFZ4N2BS1QB6V&amp;hash=item1d9e599cf7:g:RrQAAeSwnqBo7U7h</x18tc:text>
    <x18tc:extLst>
      <ext uri="{F7C98A9C-CBB3-438F-8F68-D28B6AF4A901}">
        <xltc2:checksum/>
        <xltc2:hyperlink startIndex="0" length="123" url="https://www.ebay.com/itm/127210724599?_skw=legion&amp;itmmeta=01KAPHCYY36GHYFZ4N2BS1QB6V&amp;hash=item1d9e599cf7:g:RrQAAeSwnqBo7U7h"/>
      </ext>
    </x18tc:extLst>
  </x18tc:threadedComment>
  <x18tc:threadedComment ref="U708" dT="2026-05-09T18:50:51.00" personId="{d8e4f5ad-b65d-4160-a56f-197530fb7eb1}" id="{d8331323-0b21-41e7-9b74-e255b0dc482b}" done="0">
    <x18tc:text xml:space="preserve">mouse</x18tc:text>
  </x18tc:threadedComment>
  <x18tc:threadedComment ref="C683" dT="2026-04-15T18:16:34.00" personId="{a5d43f6d-3c72-4414-b012-8f52ef50acc4}" id="{411654da-5590-42e0-b5ae-dc75e9e707c8}" done="0">
    <x18tc:text xml:space="preserve">https://shop.asus.com/us/90nr0l28-m000a0-rog-strix-g18-2025-g814.html?config=90NR0L28-M000A0</x18tc:text>
    <x18tc:extLst>
      <ext uri="{F7C98A9C-CBB3-438F-8F68-D28B6AF4A901}">
        <xltc2:checksum/>
        <xltc2:hyperlink startIndex="0" length="92" url="https://shop.asus.com/us/90nr0l28-m000a0-rog-strix-g18-2025-g814.html?config=90NR0L28-M000A0"/>
      </ext>
    </x18tc:extLst>
  </x18tc:threadedComment>
  <x18tc:threadedComment ref="C535" dT="2026-02-13T17:22:14.00" personId="{d8e4f5ad-b65d-4160-a56f-197530fb7eb1}" id="{38afa747-ffae-4def-b7eb-180f8e4dfa41}" done="0">
    <x18tc:text xml:space="preserve">https://www.ebay.com/itm/306295101642?_skw=laptop+gaming&amp;itmmeta=01KH3A54ZV7H1R7DJZ2H3Y73X0&amp;hash=item47509c58ca:g:NAAAAeSwEvtoK4mm</x18tc:text>
    <x18tc:extLst>
      <ext uri="{F7C98A9C-CBB3-438F-8F68-D28B6AF4A901}">
        <xltc2:checksum/>
        <xltc2:hyperlink startIndex="0" length="130" url="https://www.ebay.com/itm/306295101642?_skw=laptop+gaming&amp;itmmeta=01KH3A54ZV7H1R7DJZ2H3Y73X0&amp;hash=item47509c58ca:g:NAAAAeSwEvtoK4mm"/>
      </ext>
    </x18tc:extLst>
  </x18tc:threadedComment>
  <x18tc:threadedComment ref="K495" dT="2026-02-14T19:39:19.00" personId="{a5d43f6d-3c72-4414-b012-8f52ef50acc4}" id="{799c49e4-eb63-42e4-8af8-37423b82edd5}" done="0">
    <x18tc:text xml:space="preserve">https://drive.google.com/file/d/11QNSOcJstgfX7zw7Shmpt85tMMnuD6lj/view?usp=drive_link</x18tc:text>
    <x18tc:extLst>
      <ext uri="{F7C98A9C-CBB3-438F-8F68-D28B6AF4A901}">
        <xltc2:checksum/>
        <xltc2:hyperlink startIndex="0" length="85" url="https://drive.google.com/file/d/11QNSOcJstgfX7zw7Shmpt85tMMnuD6lj/view?usp=drive_link"/>
      </ext>
    </x18tc:extLst>
  </x18tc:threadedComment>
  <x18tc:threadedComment ref="J331" dT="2025-11-22T23:22:39.00" personId="{a5d43f6d-3c72-4414-b012-8f52ef50acc4}" id="{924f690c-2661-43dc-8b97-63c51295a17b}" done="0">
    <x18tc:text xml:space="preserve">https://drive.google.com/file/d/1xbDmJz1gOaJNU_7omdeuvOr9J3l9jJIN/view?usp=drive_link</x18tc:text>
    <x18tc:extLst>
      <ext uri="{F7C98A9C-CBB3-438F-8F68-D28B6AF4A901}">
        <xltc2:checksum/>
        <xltc2:hyperlink startIndex="0" length="85" url="https://drive.google.com/file/d/1xbDmJz1gOaJNU_7omdeuvOr9J3l9jJIN/view?usp=drive_link"/>
      </ext>
    </x18tc:extLst>
  </x18tc:threadedComment>
  <x18tc:threadedComment ref="L95" dT="2025-06-23T22:44:55.00" personId="{d8e4f5ad-b65d-4160-a56f-197530fb7eb1}" id="{ec28044b-9848-4aa3-a8a0-1ccc5419cb79}" done="0">
    <x18tc:text xml:space="preserve">https://drive.google.com/file/d/1RdqxN-cCUaZ3j1GZuseapqaFoysrCBmK/view?usp=drive_link</x18tc:text>
    <x18tc:extLst>
      <ext uri="{F7C98A9C-CBB3-438F-8F68-D28B6AF4A901}">
        <xltc2:checksum/>
        <xltc2:hyperlink startIndex="0" length="85" url="https://drive.google.com/file/d/1RdqxN-cCUaZ3j1GZuseapqaFoysrCBmK/view?usp=drive_link"/>
      </ext>
    </x18tc:extLst>
  </x18tc:threadedComment>
  <x18tc:threadedComment ref="Q683" dT="2026-04-15T18:20:55.00" personId="{a5d43f6d-3c72-4414-b012-8f52ef50acc4}" id="{913fc112-41a7-4a2f-852b-794113d5e4b3}" done="0">
    <x18tc:text xml:space="preserve">Configuración inicial con formateo + eset nod + office 2024</x18tc:text>
  </x18tc:threadedComment>
  <x18tc:threadedComment ref="D330" dT="2025-11-22T22:20:20.00" personId="{a5d43f6d-3c72-4414-b012-8f52ef50acc4}" id="{5b7bad35-8873-4520-b009-b45dac17e01c}" done="0">
    <x18tc:text xml:space="preserve">Jesús Enrique piñan bacon
74904658
923973244 / 982420595
jesuspinan7@gmail.com</x18tc:text>
  </x18tc:threadedComment>
  <x18tc:threadedComment ref="U567" dT="2026-03-26T17:55:50.00" personId="{80195d68-4e9b-4dc7-a031-ca5391c97d0f}" id="{323b50ec-abd5-4540-ae8b-ed209ad153a8}" done="0">
    <x18tc:text xml:space="preserve">soporte</x18tc:text>
  </x18tc:threadedComment>
  <x18tc:threadedComment ref="K588" dT="2026-03-26T18:05:17.00" personId="{80195d68-4e9b-4dc7-a031-ca5391c97d0f}" id="{7cf3d02e-9bc7-439d-95bc-d43f59296fa2}" done="0">
    <x18tc:text xml:space="preserve">https://drive.google.com/file/d/1ieTppW8elzeMYrX8Pb4mVLVy9op_t-IO/view?usp=drive_link PAGO 1
https://drive.google.com/file/d/19402MFaronqpUNycFiwDVGbfXYtqTkpM/view?usp=drive_link PAGO 2</x18tc:text>
    <x18tc:extLst>
      <ext uri="{F7C98A9C-CBB3-438F-8F68-D28B6AF4A901}">
        <xltc2:checksum/>
        <xltc2:hyperlink startIndex="0" length="85" url="https://drive.google.com/file/d/1ieTppW8elzeMYrX8Pb4mVLVy9op_t-IO/view?usp=drive_link"/>
        <xltc2:hyperlink startIndex="93" length="85" url="https://drive.google.com/file/d/19402MFaronqpUNycFiwDVGbfXYtqTkpM/view?usp=drive_link"/>
      </ext>
    </x18tc:extLst>
  </x18tc:threadedComment>
  <x18tc:threadedComment ref="K708" dT="2026-05-09T18:13:21.00" personId="{d8e4f5ad-b65d-4160-a56f-197530fb7eb1}" id="{67075927-fedf-41c4-b379-3ab209520019}" done="0">
    <x18tc:text xml:space="preserve">https://drive.google.com/file/d/1BXdeZbld2nAUIGYlU0Q9iPOWXaJJ6Ikb/view?usp=drive_link</x18tc:text>
    <x18tc:extLst>
      <ext uri="{F7C98A9C-CBB3-438F-8F68-D28B6AF4A901}">
        <xltc2:checksum/>
        <xltc2:hyperlink startIndex="0" length="85" url="https://drive.google.com/file/d/1BXdeZbld2nAUIGYlU0Q9iPOWXaJJ6Ikb/view?usp=drive_link"/>
      </ext>
    </x18tc:extLst>
  </x18tc:threadedComment>
  <x18tc:threadedComment ref="K708" dT="2026-05-09T18:15:33.00" personId="{d8e4f5ad-b65d-4160-a56f-197530fb7eb1}" id="{b22e96bc-7bf5-40e5-b5e6-e82909817e90}" parentId="{67075927-fedf-41c4-b379-3ab209520019}">
    <x18tc:text xml:space="preserve">https://drive.google.com/file/d/1g7Feyqe9dxO5abf6HC0SPsd1pwLJ1GlS/view?usp=drive_link</x18tc:text>
    <x18tc:extLst>
      <ext uri="{F7C98A9C-CBB3-438F-8F68-D28B6AF4A901}">
        <xltc2:checksum/>
        <xltc2:hyperlink startIndex="0" length="85" url="https://drive.google.com/file/d/1g7Feyqe9dxO5abf6HC0SPsd1pwLJ1GlS/view?usp=drive_link"/>
      </ext>
    </x18tc:extLst>
  </x18tc:threadedComment>
  <x18tc:threadedComment ref="K708" dT="2026-05-09T18:25:09.00" personId="{d8e4f5ad-b65d-4160-a56f-197530fb7eb1}" id="{8a21d0ff-0e90-4a62-9769-2792355917d5}" parentId="{67075927-fedf-41c4-b379-3ab209520019}">
    <x18tc:text xml:space="preserve">se realizo devolucion de 72 soles</x18tc:text>
  </x18tc:threadedComment>
  <x18tc:threadedComment ref="J330" dT="2025-11-22T22:21:00.00" personId="{a5d43f6d-3c72-4414-b012-8f52ef50acc4}" id="{f5893d89-f7e1-48b6-bbe4-8580cc9b61f8}" done="0">
    <x18tc:text xml:space="preserve">https://drive.google.com/file/d/1yH3fSi0MBSm9XQMHWpF9oqcf-HX1nbuX/view?usp=drive_link</x18tc:text>
    <x18tc:extLst>
      <ext uri="{F7C98A9C-CBB3-438F-8F68-D28B6AF4A901}">
        <xltc2:checksum/>
        <xltc2:hyperlink startIndex="0" length="85" url="https://drive.google.com/file/d/1yH3fSi0MBSm9XQMHWpF9oqcf-HX1nbuX/view?usp=drive_link"/>
      </ext>
    </x18tc:extLst>
  </x18tc:threadedComment>
  <x18tc:threadedComment ref="J642" dT="2026-03-26T17:53:42.00" personId="{f9b224d0-ee33-4499-ae47-db5bcd2d0435}" id="{57f0075a-511f-43ff-97a8-31a3a4fc3c7f}" done="0">
    <x18tc:text xml:space="preserve">https://drive.google.com/file/d/1MbYDKYUZCQIHalURBD1MNN04Hq0UPWHr/view?usp=drive_link</x18tc:text>
    <x18tc:extLst>
      <ext uri="{F7C98A9C-CBB3-438F-8F68-D28B6AF4A901}">
        <xltc2:checksum/>
        <xltc2:hyperlink startIndex="0" length="85" url="https://drive.google.com/file/d/1MbYDKYUZCQIHalURBD1MNN04Hq0UPWHr/view?usp=drive_link"/>
      </ext>
    </x18tc:extLst>
  </x18tc:threadedComment>
  <x18tc:threadedComment ref="J639" dT="2026-03-25T22:41:14.00" personId="{d8e4f5ad-b65d-4160-a56f-197530fb7eb1}" id="{acd29393-0dc6-4498-9734-f9d43ca4ef52}" done="0">
    <x18tc:text xml:space="preserve">https://drive.google.com/file/d/19D-3Qvfevkb6csXT0d9p201VwVjyXD9h/view?usp=drive_link</x18tc:text>
    <x18tc:extLst>
      <ext uri="{F7C98A9C-CBB3-438F-8F68-D28B6AF4A901}">
        <xltc2:checksum/>
        <xltc2:hyperlink startIndex="0" length="85" url="https://drive.google.com/file/d/19D-3Qvfevkb6csXT0d9p201VwVjyXD9h/view?usp=drive_link"/>
      </ext>
    </x18tc:extLst>
  </x18tc:threadedComment>
  <x18tc:threadedComment ref="M329" dT="2025-11-22T22:22:29.00" personId="{a5d43f6d-3c72-4414-b012-8f52ef50acc4}" id="{b33ca40c-d831-4032-88b1-f910ef441b51}" done="1">
    <x18tc:text xml:space="preserve">todavía no ponen el precio en el sheet</x18tc:text>
  </x18tc:threadedComment>
  <x18tc:threadedComment ref="J535" dT="2026-02-13T17:28:35.00" personId="{68efe3e3-8b68-4e02-81e2-a29fa228b211}" id="{159a1b27-ba47-4fd7-9c84-7e09e8b507ad}" done="0">
    <x18tc:text xml:space="preserve">https://drive.google.com/file/d/1cuUcfEzDW5QaYPn1flqslhE4YQX8Xinv/view?usp=drive_link</x18tc:text>
    <x18tc:extLst>
      <ext uri="{F7C98A9C-CBB3-438F-8F68-D28B6AF4A901}">
        <xltc2:checksum/>
        <xltc2:hyperlink startIndex="0" length="85" url="https://drive.google.com/file/d/1cuUcfEzDW5QaYPn1flqslhE4YQX8Xinv/view?usp=drive_link"/>
      </ext>
    </x18tc:extLst>
  </x18tc:threadedComment>
  <x18tc:threadedComment ref="K567" dT="2026-03-26T17:55:01.00" personId="{80195d68-4e9b-4dc7-a031-ca5391c97d0f}" id="{094bbba6-e288-4f92-beed-8b81403030aa}" done="0">
    <x18tc:text xml:space="preserve">https://drive.google.com/file/d/19B7e-zgd8yF8BHhdhQEbvdRkuc-JTkXf/view?usp=drive_link PAGO 1
https://drive.google.com/file/d/1x8UW44sfIkbVd7A5-AujXg-lc9wB19dI/view?usp=drive_link PAGO 1</x18tc:text>
    <x18tc:extLst>
      <ext uri="{F7C98A9C-CBB3-438F-8F68-D28B6AF4A901}">
        <xltc2:checksum/>
        <xltc2:hyperlink startIndex="0" length="85" url="https://drive.google.com/file/d/19B7e-zgd8yF8BHhdhQEbvdRkuc-JTkXf/view?usp=drive_link"/>
        <xltc2:hyperlink startIndex="93" length="85" url="https://drive.google.com/file/d/1x8UW44sfIkbVd7A5-AujXg-lc9wB19dI/view?usp=drive_link"/>
      </ext>
    </x18tc:extLst>
  </x18tc:threadedComment>
  <x18tc:threadedComment ref="C249" dT="2025-09-29T00:25:51.00" personId="{4df2d6c4-e43e-4f2e-b623-d90f458472ff}" id="{518d9c86-5e6b-471f-ac40-b664b1ec3cc2}" done="0">
    <x18tc:text xml:space="preserve">https://www.microcenter.com/product/695263/acer-predator-helios-neo-16-ai-phn16-73-934n-16-gaming-laptop-computer-abyssal-black</x18tc:text>
    <x18tc:extLst>
      <ext uri="{F7C98A9C-CBB3-438F-8F68-D28B6AF4A901}">
        <xltc2:checksum/>
        <xltc2:hyperlink startIndex="0" length="127" url="https://www.microcenter.com/product/695263/acer-predator-helios-neo-16-ai-phn16-73-934n-16-gaming-laptop-computer-abyssal-black"/>
      </ext>
    </x18tc:extLst>
  </x18tc:threadedComment>
  <x18tc:threadedComment ref="L31" dT="2025-05-27T15:37:15.00" personId="{d8e4f5ad-b65d-4160-a56f-197530fb7eb1}" id="{737b777c-9743-4daf-948a-d0ad619e853b}" done="0">
    <x18tc:text xml:space="preserve">https://drive.google.com/file/d/1It5-NWiwKLwYoRBpc-Sw0dEwE_odT5DN/view?usp=drive_link</x18tc:text>
    <x18tc:extLst>
      <ext uri="{F7C98A9C-CBB3-438F-8F68-D28B6AF4A901}">
        <xltc2:checksum/>
        <xltc2:hyperlink startIndex="0" length="85" url="https://drive.google.com/file/d/1It5-NWiwKLwYoRBpc-Sw0dEwE_odT5DN/view?usp=drive_link"/>
      </ext>
    </x18tc:extLst>
  </x18tc:threadedComment>
  <x18tc:threadedComment ref="L31" dT="2025-05-27T15:37:39.00" personId="{d8e4f5ad-b65d-4160-a56f-197530fb7eb1}" id="{c6437fbb-af24-4764-a377-ce99d03a32a5}" parentId="{737b777c-9743-4daf-948a-d0ad619e853b}">
    <x18tc:text xml:space="preserve">https://drive.google.com/file/d/1HId5_3lUGNW63XNe0jBp3-XFuRdbVHVT/view?usp=drive_link</x18tc:text>
    <x18tc:extLst>
      <ext uri="{F7C98A9C-CBB3-438F-8F68-D28B6AF4A901}">
        <xltc2:checksum/>
        <xltc2:hyperlink startIndex="0" length="85" url="https://drive.google.com/file/d/1HId5_3lUGNW63XNe0jBp3-XFuRdbVHVT/view?usp=drive_link"/>
      </ext>
    </x18tc:extLst>
  </x18tc:threadedComment>
  <x18tc:threadedComment ref="L62" dT="2025-05-31T21:42:58.00" personId="{d8e4f5ad-b65d-4160-a56f-197530fb7eb1}" id="{6309fe7b-a586-4460-9b6f-08751adf344e}" done="0">
    <x18tc:text xml:space="preserve">https://drive.google.com/file/d/1GAUD1S-JcAWUAVlr72g3V4x_bvhdVPDz/view?usp=drive_link</x18tc:text>
    <x18tc:extLst>
      <ext uri="{F7C98A9C-CBB3-438F-8F68-D28B6AF4A901}">
        <xltc2:checksum/>
        <xltc2:hyperlink startIndex="0" length="85" url="https://drive.google.com/file/d/1GAUD1S-JcAWUAVlr72g3V4x_bvhdVPDz/view?usp=drive_link"/>
      </ext>
    </x18tc:extLst>
  </x18tc:threadedComment>
  <x18tc:threadedComment ref="L62" dT="2025-05-31T21:58:48.00" personId="{d8e4f5ad-b65d-4160-a56f-197530fb7eb1}" id="{f3d3df1e-40cc-4379-ac24-31d3cf140720}" parentId="{6309fe7b-a586-4460-9b6f-08751adf344e}">
    <x18tc:text xml:space="preserve">https://drive.google.com/file/d/1m6H3AX8pavaWBkZoO1jYSo4YJnwERC3F/view?usp=drive_link</x18tc:text>
    <x18tc:extLst>
      <ext uri="{F7C98A9C-CBB3-438F-8F68-D28B6AF4A901}">
        <xltc2:checksum/>
        <xltc2:hyperlink startIndex="0" length="85" url="https://drive.google.com/file/d/1m6H3AX8pavaWBkZoO1jYSo4YJnwERC3F/view?usp=drive_link"/>
      </ext>
    </x18tc:extLst>
  </x18tc:threadedComment>
  <x18tc:threadedComment ref="J632" dT="2026-03-26T18:07:12.00" personId="{80195d68-4e9b-4dc7-a031-ca5391c97d0f}" id="{9b6de5f7-feab-46a5-ac75-648606aa573e}" done="0">
    <x18tc:text xml:space="preserve">https://drive.google.com/file/d/1AhZfdb5qVJRAyxZLL9pcW_ajfq9VX2fS/view?usp=drive_link</x18tc:text>
    <x18tc:extLst>
      <ext uri="{F7C98A9C-CBB3-438F-8F68-D28B6AF4A901}">
        <xltc2:checksum/>
        <xltc2:hyperlink startIndex="0" length="85" url="https://drive.google.com/file/d/1AhZfdb5qVJRAyxZLL9pcW_ajfq9VX2fS/view?usp=drive_link"/>
      </ext>
    </x18tc:extLst>
  </x18tc:threadedComment>
  <x18tc:threadedComment ref="K695" dT="2026-05-09T18:54:49.00" personId="{d8e4f5ad-b65d-4160-a56f-197530fb7eb1}" id="{5a1096ee-8f9b-40bc-9b8b-c02887218771}" done="0">
    <x18tc:text xml:space="preserve">https://drive.google.com/file/d/1qtCQKe6oKP41orTM8dEuDTQOKQ6-8HVm/view?usp=drive_link</x18tc:text>
    <x18tc:extLst>
      <ext uri="{F7C98A9C-CBB3-438F-8F68-D28B6AF4A901}">
        <xltc2:checksum/>
        <xltc2:hyperlink startIndex="0" length="85" url="https://drive.google.com/file/d/1qtCQKe6oKP41orTM8dEuDTQOKQ6-8HVm/view?usp=drive_link"/>
      </ext>
    </x18tc:extLst>
  </x18tc:threadedComment>
  <x18tc:threadedComment ref="C628" dT="2026-03-26T16:55:04.00" personId="{4df2d6c4-e43e-4f2e-b623-d90f458472ff}" id="{5d39009f-e860-4c26-8009-228b133d5a7b}" done="0">
    <x18tc:text xml:space="preserve">https://www.lenovo.com/us/en/p/laptops/legion-laptops/legion-pro-series/legion-pro-5i-gen-10-16-inch-intel/83f3000aus</x18tc:text>
    <x18tc:extLst>
      <ext uri="{F7C98A9C-CBB3-438F-8F68-D28B6AF4A901}">
        <xltc2:checksum/>
        <xltc2:hyperlink startIndex="0" length="117" url="https://www.lenovo.com/us/en/p/laptops/legion-laptops/legion-pro-series/legion-pro-5i-gen-10-16-inch-intel/83f3000aus"/>
      </ext>
    </x18tc:extLst>
  </x18tc:threadedComment>
  <x18tc:threadedComment ref="W289" dT="2025-12-01T20:20:31.00" personId="{2ddfa542-8116-4937-a057-08470d7abaab}" id="{9b7a4ac6-d470-4197-adc5-82b1eb4c9129}" done="0">
    <x18tc:text xml:space="preserve">https://drive.google.com/file/d/1Sb6ihkHXKzyQCW2rfCVB0E2Q5grG2k-U/view?usp=drive_link</x18tc:text>
    <x18tc:extLst>
      <ext uri="{F7C98A9C-CBB3-438F-8F68-D28B6AF4A901}">
        <xltc2:checksum/>
        <xltc2:hyperlink startIndex="0" length="85" url="https://drive.google.com/file/d/1Sb6ihkHXKzyQCW2rfCVB0E2Q5grG2k-U/view?usp=drive_link"/>
      </ext>
    </x18tc:extLst>
  </x18tc:threadedComment>
  <x18tc:threadedComment ref="L52" dT="2025-05-31T21:38:02.00" personId="{d8e4f5ad-b65d-4160-a56f-197530fb7eb1}" id="{8e6aef26-0a78-4f24-8509-1ea757eefa2e}" done="0">
    <x18tc:text xml:space="preserve">https://drive.google.com/file/d/190XLepJoaMqMxhnCq7DBJLam6j7Z126_/view?usp=drive_link</x18tc:text>
    <x18tc:extLst>
      <ext uri="{F7C98A9C-CBB3-438F-8F68-D28B6AF4A901}">
        <xltc2:checksum/>
        <xltc2:hyperlink startIndex="0" length="85" url="https://drive.google.com/file/d/190XLepJoaMqMxhnCq7DBJLam6j7Z126_/view?usp=drive_link"/>
      </ext>
    </x18tc:extLst>
  </x18tc:threadedComment>
  <x18tc:threadedComment ref="AI731" dT="2026-06-30T17:59:08.00" personId="{7d9bea4b-cfe7-4c29-b483-8e83a1c4f52a}" id="{104ef0d0-6fe0-470d-841e-f58b4a42fc6a}" done="0">
    <x18tc:text xml:space="preserve">https://drive.google.com/file/d/1IxMWQIx1GRUwgB9Z-gbSejOi8XfnOotT/view?usp=drive_link</x18tc:text>
    <x18tc:extLst>
      <ext uri="{F7C98A9C-CBB3-438F-8F68-D28B6AF4A901}">
        <xltc2:checksum/>
        <xltc2:hyperlink startIndex="0" length="85" url="https://drive.google.com/file/d/1IxMWQIx1GRUwgB9Z-gbSejOi8XfnOotT/view?usp=drive_link"/>
      </ext>
    </x18tc:extLst>
  </x18tc:threadedComment>
  <x18tc:threadedComment ref="U695" dT="2026-05-09T18:57:22.00" personId="{d8e4f5ad-b65d-4160-a56f-197530fb7eb1}" id="{b8efb80a-316e-411e-98d5-835d54e8594e}" done="0">
    <x18tc:text xml:space="preserve">mouse</x18tc:text>
  </x18tc:threadedComment>
  <x18tc:threadedComment ref="A1" dT="2025-08-21T18:26:42.00" personId="{4df2d6c4-e43e-4f2e-b623-d90f458472ff}" id="{f08e65cc-7116-4205-89f9-0ace0277eb78}" done="1">
    <x18tc:text xml:space="preserve">https://www.excaliberpc.com/818370/factory-refurbished-acer-predator.html</x18tc:text>
    <x18tc:extLst>
      <ext uri="{F7C98A9C-CBB3-438F-8F68-D28B6AF4A901}">
        <xltc2:checksum/>
        <xltc2:hyperlink startIndex="0" length="73" url="https://www.excaliberpc.com/818370/factory-refurbished-acer-predator.html"/>
      </ext>
    </x18tc:extLst>
  </x18tc:threadedComment>
  <x18tc:threadedComment ref="J228" dT="2025-10-02T20:38:46.00" personId="{4df2d6c4-e43e-4f2e-b623-d90f458472ff}" id="{65b0ca49-b2a0-4796-9208-27e0278e335d}" done="0">
    <x18tc:text xml:space="preserve">https://drive.google.com/file/d/1ru4Cyyq8jPivdUXATKu-5A3ghsqFQDSn/view?usp=drive_link</x18tc:text>
    <x18tc:extLst>
      <ext uri="{F7C98A9C-CBB3-438F-8F68-D28B6AF4A901}">
        <xltc2:checksum/>
        <xltc2:hyperlink startIndex="0" length="85" url="https://drive.google.com/file/d/1ru4Cyyq8jPivdUXATKu-5A3ghsqFQDSn/view?usp=drive_link"/>
      </ext>
    </x18tc:extLst>
  </x18tc:threadedComment>
  <x18tc:threadedComment ref="J135" dT="2025-07-20T00:20:05.00" personId="{a5d43f6d-3c72-4414-b012-8f52ef50acc4}" id="{85b834fd-fc19-49eb-ae18-2760fa87e15b}" done="0">
    <x18tc:text xml:space="preserve">https://drive.google.com/file/d/1NJpbnaRdn-aOYa98AO2XGNE4GhQyNYFk/view?usp=drive_link
https://drive.google.com/file/d/10OMXr1JWTH6eme8jbeFCqhshoAFdkK4K/view?usp=drive_link
https://drive.google.com/file/d/1Mu4xSKnyJumPoxs7-StA3OBBP8EUVw5F/view?usp=drive_link
https://drive.google.com/file/d/13we7o_O_Ejb8EsKtIZJolEBqHIuZlqsy/view?usp=drive_link
https://drive.google.com/file/d/1ShD3oKqI35Dl4cijOBfCYsDNEtDzsqZC/view?usp=drive_link
https://drive.google.com/file/d/1fEeX6CgBUNkdBhZReOaZ4W8-mUUWpGdV/view?usp=drive_link</x18tc:text>
    <x18tc:extLst>
      <ext uri="{F7C98A9C-CBB3-438F-8F68-D28B6AF4A901}">
        <xltc2:checksum/>
        <xltc2:hyperlink startIndex="0" length="85" url="https://drive.google.com/file/d/1NJpbnaRdn-aOYa98AO2XGNE4GhQyNYFk/view?usp=drive_link"/>
        <xltc2:hyperlink startIndex="86" length="85" url="https://drive.google.com/file/d/10OMXr1JWTH6eme8jbeFCqhshoAFdkK4K/view?usp=drive_link"/>
        <xltc2:hyperlink startIndex="172" length="85" url="https://drive.google.com/file/d/1Mu4xSKnyJumPoxs7-StA3OBBP8EUVw5F/view?usp=drive_link"/>
        <xltc2:hyperlink startIndex="258" length="85" url="https://drive.google.com/file/d/13we7o_O_Ejb8EsKtIZJolEBqHIuZlqsy/view?usp=drive_link"/>
        <xltc2:hyperlink startIndex="344" length="85" url="https://drive.google.com/file/d/1ShD3oKqI35Dl4cijOBfCYsDNEtDzsqZC/view?usp=drive_link"/>
        <xltc2:hyperlink startIndex="430" length="85" url="https://drive.google.com/file/d/1fEeX6CgBUNkdBhZReOaZ4W8-mUUWpGdV/view?usp=drive_link"/>
      </ext>
    </x18tc:extLst>
  </x18tc:threadedComment>
  <x18tc:threadedComment ref="O135" dT="2025-07-20T00:15:06.00" personId="{a5d43f6d-3c72-4414-b012-8f52ef50acc4}" id="{50ed4ae9-1135-43d3-ad1e-b6e782bd7bda}" done="1">
    <x18tc:text xml:space="preserve">150 para fixit</x18tc:text>
  </x18tc:threadedComment>
  <x18tc:threadedComment ref="J135" dT="2025-07-20T00:18:42.00" personId="{a5d43f6d-3c72-4414-b012-8f52ef50acc4}" id="{fc442b5c-f977-4480-bb8d-dc0b0f7faf2c}" done="1">
    <x18tc:text xml:space="preserve">https://drive.google.com/file/d/10OMXr1JWTH6eme8jbeFCqhshoAFdkK4K/view?usp=drive_link
https://drive.google.com/file/d/1NJpbnaRdn-aOYa98AO2XGNE4GhQyNYFk/view?usp=drive_link
https://drive.google.com/file/d/1Mu4xSKnyJumPoxs7-StA3OBBP8EUVw5F/view?usp=drive_link
https://drive.google.com/file/d/13we7o_O_Ejb8EsKtIZJolEBqHIuZlqsy/view?usp=drive_link
https://drive.google.com/file/d/1fEeX6CgBUNkdBhZReOaZ4W8-mUUWpGdV/view?usp=drive_link
https://drive.google.com/file/d/1ShD3oKqI35Dl4cijOBfCYsDNEtDzsqZC/view?usp=drive_link</x18tc:text>
    <x18tc:extLst>
      <ext uri="{F7C98A9C-CBB3-438F-8F68-D28B6AF4A901}">
        <xltc2:checksum/>
        <xltc2:hyperlink startIndex="0" length="85" url="https://drive.google.com/file/d/10OMXr1JWTH6eme8jbeFCqhshoAFdkK4K/view?usp=drive_link"/>
        <xltc2:hyperlink startIndex="86" length="85" url="https://drive.google.com/file/d/1NJpbnaRdn-aOYa98AO2XGNE4GhQyNYFk/view?usp=drive_link"/>
        <xltc2:hyperlink startIndex="172" length="85" url="https://drive.google.com/file/d/1Mu4xSKnyJumPoxs7-StA3OBBP8EUVw5F/view?usp=drive_link"/>
        <xltc2:hyperlink startIndex="258" length="85" url="https://drive.google.com/file/d/13we7o_O_Ejb8EsKtIZJolEBqHIuZlqsy/view?usp=drive_link"/>
        <xltc2:hyperlink startIndex="344" length="85" url="https://drive.google.com/file/d/1fEeX6CgBUNkdBhZReOaZ4W8-mUUWpGdV/view?usp=drive_link"/>
        <xltc2:hyperlink startIndex="430" length="85" url="https://drive.google.com/file/d/1ShD3oKqI35Dl4cijOBfCYsDNEtDzsqZC/view?usp=drive_link"/>
      </ext>
    </x18tc:extLst>
  </x18tc:threadedComment>
  <x18tc:threadedComment ref="L102" dT="2025-07-25T21:50:35.00" personId="{d8e4f5ad-b65d-4160-a56f-197530fb7eb1}" id="{33f17831-1bef-461f-81be-36380c656b2a}" done="0">
    <x18tc:text xml:space="preserve">https://drive.google.com/file/d/1y02B9FDLht-xxpa5--DeQmwRSfrs4lIX/view?usp=drive_link</x18tc:text>
    <x18tc:extLst>
      <ext uri="{F7C98A9C-CBB3-438F-8F68-D28B6AF4A901}">
        <xltc2:checksum/>
        <xltc2:hyperlink startIndex="0" length="85" url="https://drive.google.com/file/d/1y02B9FDLht-xxpa5--DeQmwRSfrs4lIX/view?usp=drive_link"/>
      </ext>
    </x18tc:extLst>
  </x18tc:threadedComment>
  <x18tc:threadedComment ref="K617" dT="2026-03-26T17:49:20.00" personId="{80195d68-4e9b-4dc7-a031-ca5391c97d0f}" id="{90689ed7-4360-49ef-b4df-42b4bf9882ff}" done="0">
    <x18tc:text xml:space="preserve">https://drive.google.com/file/d/1aGbp0-oq_HmZgbklmkSmvLFqSaszDv3P/view?usp=drive_link</x18tc:text>
    <x18tc:extLst>
      <ext uri="{F7C98A9C-CBB3-438F-8F68-D28B6AF4A901}">
        <xltc2:checksum/>
        <xltc2:hyperlink startIndex="0" length="85" url="https://drive.google.com/file/d/1aGbp0-oq_HmZgbklmkSmvLFqSaszDv3P/view?usp=drive_link"/>
      </ext>
    </x18tc:extLst>
  </x18tc:threadedComment>
  <x18tc:threadedComment ref="K574" dT="2026-03-25T22:54:41.00" personId="{4df2d6c4-e43e-4f2e-b623-d90f458472ff}" id="{b78946e0-2d40-494d-859f-00ab21a90a55}" done="0">
    <x18tc:text xml:space="preserve">https://drive.google.com/file/d/1m2_jXn36NgQcL5CDd5tu-cfo1Yr_I000/view?usp=drive_link</x18tc:text>
    <x18tc:extLst>
      <ext uri="{F7C98A9C-CBB3-438F-8F68-D28B6AF4A901}">
        <xltc2:checksum/>
        <xltc2:hyperlink startIndex="0" length="85" url="https://drive.google.com/file/d/1m2_jXn36NgQcL5CDd5tu-cfo1Yr_I000/view?usp=drive_link"/>
      </ext>
    </x18tc:extLst>
  </x18tc:threadedComment>
  <x18tc:threadedComment ref="J617" dT="2026-03-26T17:50:31.00" personId="{80195d68-4e9b-4dc7-a031-ca5391c97d0f}" id="{7fbd652f-66e8-4933-bcd8-846164440685}" done="0">
    <x18tc:text xml:space="preserve">https://drive.google.com/file/d/1pRF3ZByLEPADWUFsHyt_8pqTwqOBSvFg/view?usp=drive_link</x18tc:text>
    <x18tc:extLst>
      <ext uri="{F7C98A9C-CBB3-438F-8F68-D28B6AF4A901}">
        <xltc2:checksum/>
        <xltc2:hyperlink startIndex="0" length="85" url="https://drive.google.com/file/d/1pRF3ZByLEPADWUFsHyt_8pqTwqOBSvFg/view?usp=drive_link"/>
      </ext>
    </x18tc:extLst>
  </x18tc:threadedComment>
  <x18tc:threadedComment ref="C135" dT="2025-07-20T00:10:48.00" personId="{a5d43f6d-3c72-4414-b012-8f52ef50acc4}" id="{7df09622-05de-45eb-9e17-7e0ce2b75624}"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C142" dT="2025-07-26T00:16:47.00" personId="{d8e4f5ad-b65d-4160-a56f-197530fb7eb1}" id="{d9a6389c-b22c-4205-9d5c-eee0697ba742}" done="0">
    <x18tc:text xml:space="preserve">https://www.bestbuy.com/site/asus-rog-strix-g16-16-fhd-165hz-gaming-laptop-amd-ryzen-9-hx-16gb-ram-nvidia-geforce-rtx-5070-ti-1tb-ssd-eclipse-grey/6613956.p?skuId=6613956</x18tc:text>
    <x18tc:extLst>
      <ext uri="{F7C98A9C-CBB3-438F-8F68-D28B6AF4A901}">
        <xltc2:checksum/>
        <xltc2:hyperlink startIndex="0" length="170" url="https://www.bestbuy.com/site/asus-rog-strix-g16-16-fhd-165hz-gaming-laptop-amd-ryzen-9-hx-16gb-ram-nvidia-geforce-rtx-5070-ti-1tb-ssd-eclipse-grey/6613956.p?skuId=6613956"/>
      </ext>
    </x18tc:extLst>
  </x18tc:threadedComment>
  <x18tc:threadedComment ref="C134" dT="2025-07-19T23:12:26.00" personId="{4df2d6c4-e43e-4f2e-b623-d90f458472ff}" id="{3ace15fc-f010-4f51-85b3-04820ac8a1d2}" done="0">
    <x18tc:text xml:space="preserve">https://www.ebay.com/itm/205579362723?_trkparms=amclksrc%3DITM%26aid%3D777008%26algo%3DPERSONAL.TOPIC%26ao%3D1%26asc%3D20250528145715%26meid%3D05142434ab5f49dd8b63ee1046c3750c%26pid%3D102790%26rk%3D3%26rkt%3D15%26mehot%3Dnone%26itm%3D205579362723%26pmt%3D0%26noa%3D1%26pg%3D4375194%26algv%3DRecentlyViewedItemsV2WithMLRPboosterAndUpdatedFeatures_BP%26brand%3DASUS%26tu%3D01K0HSQ9DBP7WE9KFQ5SAR7R0Y</x18tc:text>
    <x18tc:extLst>
      <ext uri="{F7C98A9C-CBB3-438F-8F68-D28B6AF4A901}">
        <xltc2:checksum/>
        <xltc2:hyperlink startIndex="0" length="397" url="https://www.ebay.com/itm/205579362723?_trkparms=amclksrc%3DITM%26aid%3D777008%26algo%3DPERSONAL.TOPIC%26ao%3D1%26asc%3D20250528145715%26meid%3D05142434ab5f49dd8b63ee1046c3750c%26pid%3D102790%26rk%3D3%26rkt%3D15%26mehot%3Dnone%26itm%3D205579362723%26pmt%3D0%26noa%3D1%26pg%3D4375194%26algv%3DRecentlyViewedItemsV2WithMLRPboosterAndUpdatedFeatures_BP%26brand%3DASUS%26tu%3D01K0HSQ9DBP7WE9KFQ5SAR7R0Y"/>
      </ext>
    </x18tc:extLst>
  </x18tc:threadedComment>
  <x18tc:threadedComment ref="J111" dT="2025-07-08T17:30:37.00" personId="{a5d43f6d-3c72-4414-b012-8f52ef50acc4}" id="{3019e34f-6a8b-4079-9fed-9bda511d9d8a}" done="0">
    <x18tc:text xml:space="preserve">https://drive.google.com/file/d/1gVfoB9ANYPQpWnNwp9-JIaCpsNUATt6C/view?usp=drive_link</x18tc:text>
    <x18tc:extLst>
      <ext uri="{F7C98A9C-CBB3-438F-8F68-D28B6AF4A901}">
        <xltc2:checksum/>
        <xltc2:hyperlink startIndex="0" length="85" url="https://drive.google.com/file/d/1gVfoB9ANYPQpWnNwp9-JIaCpsNUATt6C/view?usp=drive_link"/>
      </ext>
    </x18tc:extLst>
  </x18tc:threadedComment>
  <x18tc:threadedComment ref="J150" dT="2025-07-28T17:29:27.00" personId="{a5d43f6d-3c72-4414-b012-8f52ef50acc4}" id="{3a54f202-1614-4722-8960-c9315dca2c47}" done="0">
    <x18tc:text xml:space="preserve">https://drive.google.com/file/d/1FWRX5zRzyimLPS1mYU9p7g-npTezq7zY/view?usp=drive_link</x18tc:text>
    <x18tc:extLst>
      <ext uri="{F7C98A9C-CBB3-438F-8F68-D28B6AF4A901}">
        <xltc2:checksum/>
        <xltc2:hyperlink startIndex="0" length="85" url="https://drive.google.com/file/d/1FWRX5zRzyimLPS1mYU9p7g-npTezq7zY/view?usp=drive_link"/>
      </ext>
    </x18tc:extLst>
  </x18tc:threadedComment>
  <x18tc:threadedComment ref="C323" dT="2025-11-20T23:11:32.00" personId="{4df2d6c4-e43e-4f2e-b623-d90f458472ff}" id="{813b3b38-5ba7-487c-90ce-c2f5eeed3b51}"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144" dT="2025-07-26T17:44:43.00" personId="{d8e4f5ad-b65d-4160-a56f-197530fb7eb1}" id="{24e6cbd9-74be-4037-91b7-34ba19fd0674}" done="0">
    <x18tc:text xml:space="preserve">https://drive.google.com/file/d/1gs_ngEAJnlcxU3L-heElezbjFLAJrxEg/view?usp=drive_link</x18tc:text>
    <x18tc:extLst>
      <ext uri="{F7C98A9C-CBB3-438F-8F68-D28B6AF4A901}">
        <xltc2:checksum/>
        <xltc2:hyperlink startIndex="0" length="85" url="https://drive.google.com/file/d/1gs_ngEAJnlcxU3L-heElezbjFLAJrxEg/view?usp=drive_link"/>
      </ext>
    </x18tc:extLst>
  </x18tc:threadedComment>
  <x18tc:threadedComment ref="C640" dT="2026-03-26T17:31:29.00" personId="{d8e4f5ad-b65d-4160-a56f-197530fb7eb1}" id="{1e909849-4a08-4374-9cf6-6daf648864b5}" done="0">
    <x18tc:text xml:space="preserve">https://shop.asus.com/us/rog/90nr0jy1-m001l0-rog-flow-z13-2025.html?config=90NR0JY1-M001L0</x18tc:text>
    <x18tc:extLst>
      <ext uri="{F7C98A9C-CBB3-438F-8F68-D28B6AF4A901}">
        <xltc2:checksum/>
        <xltc2:hyperlink startIndex="0" length="90" url="https://shop.asus.com/us/rog/90nr0jy1-m001l0-rog-flow-z13-2025.html?config=90NR0JY1-M001L0"/>
      </ext>
    </x18tc:extLst>
  </x18tc:threadedComment>
  <x18tc:threadedComment ref="J748" dT="2026-05-16T23:49:14.00" personId="{f9b224d0-ee33-4499-ae47-db5bcd2d0435}" id="{e674d388-6d71-478e-a0ef-7224cea1fc20}" done="0">
    <x18tc:text xml:space="preserve">https://drive.google.com/file/d/1z9W54MgT-Oq4Mv5E6sV2tOVzxOI1nMsd/view?usp=drive_link</x18tc:text>
    <x18tc:extLst>
      <ext uri="{F7C98A9C-CBB3-438F-8F68-D28B6AF4A901}">
        <xltc2:checksum/>
        <xltc2:hyperlink startIndex="0" length="85" url="https://drive.google.com/file/d/1z9W54MgT-Oq4Mv5E6sV2tOVzxOI1nMsd/view?usp=drive_link"/>
      </ext>
    </x18tc:extLst>
  </x18tc:threadedComment>
  <x18tc:threadedComment ref="J748" dT="2026-05-19T01:30:18.00" personId="{f9b224d0-ee33-4499-ae47-db5bcd2d0435}" id="{8c5be4c4-6f82-4a32-9908-50c1b13281de}" parentId="{e674d388-6d71-478e-a0ef-7224cea1fc20}">
    <x18tc:text xml:space="preserve">https://drive.google.com/file/d/1JWvL6jzjfhvCpYLl_Nh-JbKUrmUTgjY3/view?usp=drive_link</x18tc:text>
    <x18tc:extLst>
      <ext uri="{F7C98A9C-CBB3-438F-8F68-D28B6AF4A901}">
        <xltc2:checksum/>
        <xltc2:hyperlink startIndex="0" length="85" url="https://drive.google.com/file/d/1JWvL6jzjfhvCpYLl_Nh-JbKUrmUTgjY3/view?usp=drive_link"/>
      </ext>
    </x18tc:extLst>
  </x18tc:threadedComment>
  <x18tc:threadedComment ref="J748" dT="2026-05-19T01:31:23.00" personId="{f9b224d0-ee33-4499-ae47-db5bcd2d0435}" id="{6526eacf-23a5-4530-af86-d2c52398db0b}" parentId="{e674d388-6d71-478e-a0ef-7224cea1fc20}">
    <x18tc:text xml:space="preserve">https://drive.google.com/file/d/1jk-CebHuyrI5whmsFpHnI-OeGQnW9Fzn/view?usp=drive_link</x18tc:text>
    <x18tc:extLst>
      <ext uri="{F7C98A9C-CBB3-438F-8F68-D28B6AF4A901}">
        <xltc2:checksum/>
        <xltc2:hyperlink startIndex="0" length="85" url="https://drive.google.com/file/d/1jk-CebHuyrI5whmsFpHnI-OeGQnW9Fzn/view?usp=drive_link"/>
      </ext>
    </x18tc:extLst>
  </x18tc:threadedComment>
  <x18tc:threadedComment ref="C748" dT="2026-05-16T23:45:21.00" personId="{f9b224d0-ee33-4499-ae47-db5bcd2d0435}" id="{6e234446-f145-4e77-a732-9a7efc863b9d}" done="0">
    <x18tc:text xml:space="preserve">https://www.ebay.com/itm/236727250912?_skw=zeenbook+s14&amp;itmmeta=01KRRRDE94Q1TXMP92R0271YH5&amp;hash=item371e0b2fe0:g:0tEAAeSwvqRpzC3l&amp;itmprp=enc%3AAQALAAAA0GfYFPkwiKCW4ZNSs2u11xAjhsXdk9nxmyH4dhrMg%2FqRQImhas98D1dPCa%2BOIzLB9hn2My%2F5bgl6uR%2B3IQ4A1sWuLtKsXrGxc71LvOlH9im%2FfjROJTp%2BVWSzzi%2F2gitLql%2FjheXKi39UOpdZjUj2Popol0ue62Xa9Cl4PzjTVZgx0mfhnJHAce9MQ5r53Sk%2BWls65vnuMaPZWOVC49pE1BDAn5brLcmWyqXvG3TFqEXa5ZgkdKvHLFeGEFQn6v7AtDsFW2KqFQaBnHTBBsKV%2FDA%3D%7Ctkp%3ABk9SR9zktZjGZw</x18tc:text>
    <x18tc:extLst>
      <ext uri="{F7C98A9C-CBB3-438F-8F68-D28B6AF4A901}">
        <xltc2:checksum/>
        <xltc2:hyperlink startIndex="0" length="476" url="https://www.ebay.com/itm/236727250912?_skw=zeenbook+s14&amp;itmmeta=01KRRRDE94Q1TXMP92R0271YH5&amp;hash=item371e0b2fe0:g:0tEAAeSwvqRpzC3l&amp;itmprp=enc%3AAQALAAAA0GfYFPkwiKCW4ZNSs2u11xAjhsXdk9nxmyH4dhrMg%2FqRQImhas98D1dPCa%2BOIzLB9hn2My%2F5bgl6uR%2B3IQ4A1sWuLtKsXrGxc71LvOlH9im%2FfjROJTp%2BVWSzzi%2F2gitLql%2FjheXKi39UOpdZjUj2Popol0ue62Xa9Cl4PzjTVZgx0mfhnJHAce9MQ5r53Sk%2BWls65vnuMaPZWOVC49pE1BDAn5brLcmWyqXvG3TFqEXa5ZgkdKvHLFeGEFQn6v7AtDsFW2KqFQaBnHTBBsKV%2FDA%3D%7Ctkp%3ABk9SR9zktZjGZw"/>
      </ext>
    </x18tc:extLst>
  </x18tc:threadedComment>
  <x18tc:threadedComment ref="T227" dT="2025-10-02T15:45:53.00" personId="{a5d43f6d-3c72-4414-b012-8f52ef50acc4}" id="{1e21bce2-29dd-4853-93d2-ea269d8ab951}" done="0">
    <x18tc:text xml:space="preserve">mouse + 2 audifonos + 2 soportes</x18tc:text>
  </x18tc:threadedComment>
  <x18tc:threadedComment ref="L227" dT="2025-10-02T15:28:43.00" personId="{a5d43f6d-3c72-4414-b012-8f52ef50acc4}" id="{4d232764-9b18-4516-93ab-fe63bd1a5d3d}" done="0">
    <x18tc:text xml:space="preserve">https://drive.google.com/file/d/1qtY9gxUrhVkic9_otYjUhZ3iIyK4GGYC/view?usp=drive_link</x18tc:text>
    <x18tc:extLst>
      <ext uri="{F7C98A9C-CBB3-438F-8F68-D28B6AF4A901}">
        <xltc2:checksum/>
        <xltc2:hyperlink startIndex="0" length="85" url="https://drive.google.com/file/d/1qtY9gxUrhVkic9_otYjUhZ3iIyK4GGYC/view?usp=drive_link"/>
      </ext>
    </x18tc:extLst>
  </x18tc:threadedComment>
  <x18tc:threadedComment ref="J145" dT="2025-07-26T17:44:48.00" personId="{d8e4f5ad-b65d-4160-a56f-197530fb7eb1}" id="{624b70b0-429a-4748-ae58-2f13433b19c4}" done="0">
    <x18tc:text xml:space="preserve">https://drive.google.com/file/d/1gs_ngEAJnlcxU3L-heElezbjFLAJrxEg/view?usp=drive_link</x18tc:text>
    <x18tc:extLst>
      <ext uri="{F7C98A9C-CBB3-438F-8F68-D28B6AF4A901}">
        <xltc2:checksum/>
        <xltc2:hyperlink startIndex="0" length="85" url="https://drive.google.com/file/d/1gs_ngEAJnlcxU3L-heElezbjFLAJrxEg/view?usp=drive_link"/>
      </ext>
    </x18tc:extLst>
  </x18tc:threadedComment>
  <x18tc:threadedComment ref="K714" dT="2026-05-27T16:39:47.00" personId="{d8e4f5ad-b65d-4160-a56f-197530fb7eb1}" id="{6c755545-38ea-406d-9aad-b824a92989b9}" done="0">
    <x18tc:text xml:space="preserve">https://drive.google.com/file/d/1OxXqlG9qxm7xBUH2awCJIb9_GL6qUvBi/view?usp=drive_link</x18tc:text>
    <x18tc:extLst>
      <ext uri="{F7C98A9C-CBB3-438F-8F68-D28B6AF4A901}">
        <xltc2:checksum/>
        <xltc2:hyperlink startIndex="0" length="85" url="https://drive.google.com/file/d/1OxXqlG9qxm7xBUH2awCJIb9_GL6qUvBi/view?usp=drive_link"/>
      </ext>
    </x18tc:extLst>
  </x18tc:threadedComment>
  <x18tc:threadedComment ref="K778" dT="2026-06-09T21:21:57.00" personId="{d8e4f5ad-b65d-4160-a56f-197530fb7eb1}" id="{ecfe503b-a806-44ef-bda1-613d3ec66b48}" done="0">
    <x18tc:text xml:space="preserve">https://drive.google.com/file/d/19MUAgc6Jb2spSzW-qIhQ5KU6t1LpH5gt/view?usp=drive_link</x18tc:text>
    <x18tc:extLst>
      <ext uri="{F7C98A9C-CBB3-438F-8F68-D28B6AF4A901}">
        <xltc2:checksum/>
        <xltc2:hyperlink startIndex="0" length="85" url="https://drive.google.com/file/d/19MUAgc6Jb2spSzW-qIhQ5KU6t1LpH5gt/view?usp=drive_link"/>
      </ext>
    </x18tc:extLst>
  </x18tc:threadedComment>
  <x18tc:threadedComment ref="K778" dT="2026-06-09T21:22:15.00" personId="{d8e4f5ad-b65d-4160-a56f-197530fb7eb1}" id="{1ea07f6c-a337-49f0-9367-d2ff76ddc4f5}" parentId="{ecfe503b-a806-44ef-bda1-613d3ec66b48}">
    <x18tc:text xml:space="preserve">https://drive.google.com/file/d/110ppH-o-xZeyVsfZaBvbAVnE6boxbY_p/view?usp=drive_link</x18tc:text>
    <x18tc:extLst>
      <ext uri="{F7C98A9C-CBB3-438F-8F68-D28B6AF4A901}">
        <xltc2:checksum/>
        <xltc2:hyperlink startIndex="0" length="85" url="https://drive.google.com/file/d/110ppH-o-xZeyVsfZaBvbAVnE6boxbY_p/view?usp=drive_link"/>
      </ext>
    </x18tc:extLst>
  </x18tc:threadedComment>
  <x18tc:threadedComment ref="Q672" dT="2026-05-25T10:48:30.00" personId="{2ddfa542-8116-4937-a057-08470d7abaab}" id="{738f70fd-3957-41ac-a75a-4a0603c1ca6f}" done="0">
    <x18tc:text xml:space="preserve">Falta fixit: 100</x18tc:text>
  </x18tc:threadedComment>
  <x18tc:threadedComment ref="Q672" dT="2026-05-25T15:46:04.00" personId="{80195d68-4e9b-4dc7-a031-ca5391c97d0f}" id="{c0c6ee8a-e0cc-4222-b0c9-4e41df38eca3}" parentId="{738f70fd-3957-41ac-a75a-4a0603c1ca6f}">
    <x18tc:text xml:space="preserve">fila 658 descontar 100</x18tc:text>
  </x18tc:threadedComment>
  <x18tc:threadedComment ref="K568" dT="2026-03-26T17:47:38.00" personId="{80195d68-4e9b-4dc7-a031-ca5391c97d0f}" id="{fe5c4434-1e8f-49a7-91fd-5f8d9fe68e0c}" done="0">
    <x18tc:text xml:space="preserve">https://drive.google.com/file/d/15aDJUXL9sgBsv7qnFIQRy6E5KeqMslvo/view?usp=drive_link</x18tc:text>
    <x18tc:extLst>
      <ext uri="{F7C98A9C-CBB3-438F-8F68-D28B6AF4A901}">
        <xltc2:checksum/>
        <xltc2:hyperlink startIndex="0" length="85" url="https://drive.google.com/file/d/15aDJUXL9sgBsv7qnFIQRy6E5KeqMslvo/view?usp=drive_link"/>
      </ext>
    </x18tc:extLst>
  </x18tc:threadedComment>
  <x18tc:threadedComment ref="C561" dT="2026-02-21T22:44:28.00" personId="{4df2d6c4-e43e-4f2e-b623-d90f458472ff}" id="{890b8ffe-cb80-402e-9d92-3f9531eb763f}" done="0">
    <x18tc:text xml:space="preserve">https://www.ebay.com/itm/306423604443?_skw=laptop+gaming&amp;itmmeta=01KHN5TN0YPDNJG1950QGRWCHF&amp;hash=item47584524db:g:ah4AAeSwddNpiFpk</x18tc:text>
    <x18tc:extLst>
      <ext uri="{F7C98A9C-CBB3-438F-8F68-D28B6AF4A901}">
        <xltc2:checksum/>
        <xltc2:hyperlink startIndex="0" length="130" url="https://www.ebay.com/itm/306423604443?_skw=laptop+gaming&amp;itmmeta=01KHN5TN0YPDNJG1950QGRWCHF&amp;hash=item47584524db:g:ah4AAeSwddNpiFpk"/>
      </ext>
    </x18tc:extLst>
  </x18tc:threadedComment>
  <x18tc:threadedComment ref="J782" dT="2026-06-09T21:21:02.00" personId="{d8e4f5ad-b65d-4160-a56f-197530fb7eb1}" id="{103dd5f3-ecca-4b88-bae6-5925d5106fdf}" done="0">
    <x18tc:text xml:space="preserve">https://drive.google.com/file/d/1ZcSnDwC-4_gegvKeiSA1k6P9UcSKR4uc/view?usp=drive_link</x18tc:text>
    <x18tc:extLst>
      <ext uri="{F7C98A9C-CBB3-438F-8F68-D28B6AF4A901}">
        <xltc2:checksum/>
        <xltc2:hyperlink startIndex="0" length="85" url="https://drive.google.com/file/d/1ZcSnDwC-4_gegvKeiSA1k6P9UcSKR4uc/view?usp=drive_link"/>
      </ext>
    </x18tc:extLst>
  </x18tc:threadedComment>
  <x18tc:threadedComment ref="W384" dT="2025-12-26T22:25:59.00" personId="{2ddfa542-8116-4937-a057-08470d7abaab}" id="{af2244b2-6ea0-4b00-9d22-948e7f2756be}" done="0">
    <x18tc:text xml:space="preserve">https://drive.google.com/file/d/1FBVU1mXTNLmSO5xgnqnSUMV-LIzJ6zbL/view?usp=drive_link</x18tc:text>
    <x18tc:extLst>
      <ext uri="{F7C98A9C-CBB3-438F-8F68-D28B6AF4A901}">
        <xltc2:checksum/>
        <xltc2:hyperlink startIndex="0" length="85" url="https://drive.google.com/file/d/1FBVU1mXTNLmSO5xgnqnSUMV-LIzJ6zbL/view?usp=drive_link"/>
      </ext>
    </x18tc:extLst>
  </x18tc:threadedComment>
  <x18tc:threadedComment ref="W358" dT="2025-12-26T21:12:36.00" personId="{2ddfa542-8116-4937-a057-08470d7abaab}" id="{4314c504-3596-4b7c-a261-fc5a89356595}" done="0">
    <x18tc:text xml:space="preserve">https://drive.google.com/file/d/1ofZx6WOAHVn8FCqmqEcrcXpx8txPdxDz/view?usp=drive_link</x18tc:text>
    <x18tc:extLst>
      <ext uri="{F7C98A9C-CBB3-438F-8F68-D28B6AF4A901}">
        <xltc2:checksum/>
        <xltc2:hyperlink startIndex="0" length="85" url="https://drive.google.com/file/d/1ofZx6WOAHVn8FCqmqEcrcXpx8txPdxDz/view?usp=drive_link"/>
      </ext>
    </x18tc:extLst>
  </x18tc:threadedComment>
  <x18tc:threadedComment ref="C328" dT="2025-11-21T23:10:27.00" personId="{d8e4f5ad-b65d-4160-a56f-197530fb7eb1}" id="{1090a6a7-5592-487c-88b5-24371cd2addc}" done="0">
    <x18tc:text xml:space="preserve">https://www.bhphotovideo.com/c/product/1875949-REG/lenovo_83f50052us_16_legion_pro_7.html</x18tc:text>
    <x18tc:extLst>
      <ext uri="{F7C98A9C-CBB3-438F-8F68-D28B6AF4A901}">
        <xltc2:checksum/>
        <xltc2:hyperlink startIndex="0" length="89" url="https://www.bhphotovideo.com/c/product/1875949-REG/lenovo_83f50052us_16_legion_pro_7.html"/>
      </ext>
    </x18tc:extLst>
  </x18tc:threadedComment>
  <x18tc:threadedComment ref="W381" dT="2025-12-26T22:18:57.00" personId="{2ddfa542-8116-4937-a057-08470d7abaab}" id="{d7678b7c-7b1d-400f-a611-5e8b5cfeab95}" done="0">
    <x18tc:text xml:space="preserve">https://drive.google.com/file/d/1TAeKG9TYlw7cq4uva8s-Q6A5Mpjhbqzj/view?usp=drive_link</x18tc:text>
    <x18tc:extLst>
      <ext uri="{F7C98A9C-CBB3-438F-8F68-D28B6AF4A901}">
        <xltc2:checksum/>
        <xltc2:hyperlink startIndex="0" length="85" url="https://drive.google.com/file/d/1TAeKG9TYlw7cq4uva8s-Q6A5Mpjhbqzj/view?usp=drive_link"/>
      </ext>
    </x18tc:extLst>
  </x18tc:threadedComment>
  <x18tc:threadedComment ref="Q718" dT="2026-04-29T18:27:32.00" personId="{a5d43f6d-3c72-4414-b012-8f52ef50acc4}" id="{3a9444f3-6e95-421b-8dea-9f5e6239e3b7}" done="0">
    <x18tc:text xml:space="preserve">Configuración inicial</x18tc:text>
  </x18tc:threadedComment>
  <x18tc:threadedComment ref="W354" dT="2025-12-26T20:49:40.00" personId="{2ddfa542-8116-4937-a057-08470d7abaab}" id="{47a8cdf4-1cef-46dc-8519-fcca98b638cc}" done="0">
    <x18tc:text xml:space="preserve">https://drive.google.com/file/d/1MF8bEz-TxZZFjW3Nc5OdZREHcgTLEBbZ/view?usp=drive_link</x18tc:text>
    <x18tc:extLst>
      <ext uri="{F7C98A9C-CBB3-438F-8F68-D28B6AF4A901}">
        <xltc2:checksum/>
        <xltc2:hyperlink startIndex="0" length="85" url="https://drive.google.com/file/d/1MF8bEz-TxZZFjW3Nc5OdZREHcgTLEBbZ/view?usp=drive_link"/>
      </ext>
    </x18tc:extLst>
  </x18tc:threadedComment>
  <x18tc:threadedComment ref="C718" dT="2026-04-29T18:24:04.00" personId="{a5d43f6d-3c72-4414-b012-8f52ef50acc4}" id="{ffe7c499-5161-499b-90f0-87953f837eab}" done="0">
    <x18tc:text xml:space="preserve">https://www.bestbuy.com/product/asus-proart-p16-16-3k-120hz-oled-touch-screen-laptop-copilot-pc-amd-ryzen-ai-9-hx-370-32gb-ram-rtx-5070-2tb-ssd-nano-black/JJGHGPS3ZS/sku/6642936</x18tc:text>
    <x18tc:extLst>
      <ext uri="{F7C98A9C-CBB3-438F-8F68-D28B6AF4A901}">
        <xltc2:checksum/>
        <xltc2:hyperlink startIndex="0" length="177" url="https://www.bestbuy.com/product/asus-proart-p16-16-3k-120hz-oled-touch-screen-laptop-copilot-pc-amd-ryzen-ai-9-hx-370-32gb-ram-rtx-5070-2tb-ssd-nano-black/JJGHGPS3ZS/sku/6642936"/>
      </ext>
    </x18tc:extLst>
  </x18tc:threadedComment>
  <x18tc:threadedComment ref="W379" dT="2025-12-26T22:15:40.00" personId="{2ddfa542-8116-4937-a057-08470d7abaab}" id="{155de7a3-e33a-4d48-96ea-ff59b33c9350}" done="0">
    <x18tc:text xml:space="preserve">https://drive.google.com/file/d/1et8PszPl_KJiyj8aWzj358dGL1SdRiGq/view?usp=drive_link</x18tc:text>
    <x18tc:extLst>
      <ext uri="{F7C98A9C-CBB3-438F-8F68-D28B6AF4A901}">
        <xltc2:checksum/>
        <xltc2:hyperlink startIndex="0" length="85" url="https://drive.google.com/file/d/1et8PszPl_KJiyj8aWzj358dGL1SdRiGq/view?usp=drive_link"/>
      </ext>
    </x18tc:extLst>
  </x18tc:threadedComment>
  <x18tc:threadedComment ref="W353" dT="2025-12-26T20:39:13.00" personId="{2ddfa542-8116-4937-a057-08470d7abaab}" id="{99ab5ae9-2a59-469b-bde4-b98a40cef81b}" done="0">
    <x18tc:text xml:space="preserve">https://drive.google.com/file/d/1o4yBCbpa9HN8718YnGJkZUVWT-vETaUA/view?usp=drive_link</x18tc:text>
    <x18tc:extLst>
      <ext uri="{F7C98A9C-CBB3-438F-8F68-D28B6AF4A901}">
        <xltc2:checksum/>
        <xltc2:hyperlink startIndex="0" length="85" url="https://drive.google.com/file/d/1o4yBCbpa9HN8718YnGJkZUVWT-vETaUA/view?usp=drive_link"/>
      </ext>
    </x18tc:extLst>
  </x18tc:threadedComment>
  <x18tc:threadedComment ref="L483" dT="2026-01-13T23:05:32.00" personId="{a5d43f6d-3c72-4414-b012-8f52ef50acc4}" id="{de1d96cb-41d5-4da5-b15a-f314c70916af}" done="0">
    <x18tc:text xml:space="preserve">https://drive.google.com/file/d/1KRP1JxL_a_b4CNtUot7m7CUz5dnPjVqx/view?usp=drive_link
https://drive.google.com/file/d/1Gk3A7k2cBmR5zPaZsZqhcFbs6hhf_HfP/view?usp=drive_link
https://drive.google.com/file/d/1gvvaUzPnD5RGWVEZ1WuvuhIi9Afaa5o4/view?usp=drive_link</x18tc:text>
    <x18tc:extLst>
      <ext uri="{F7C98A9C-CBB3-438F-8F68-D28B6AF4A901}">
        <xltc2:checksum/>
        <xltc2:hyperlink startIndex="0" length="85" url="https://drive.google.com/file/d/1KRP1JxL_a_b4CNtUot7m7CUz5dnPjVqx/view?usp=drive_link"/>
        <xltc2:hyperlink startIndex="86" length="85" url="https://drive.google.com/file/d/1Gk3A7k2cBmR5zPaZsZqhcFbs6hhf_HfP/view?usp=drive_link"/>
        <xltc2:hyperlink startIndex="172" length="85" url="https://drive.google.com/file/d/1gvvaUzPnD5RGWVEZ1WuvuhIi9Afaa5o4/view?usp=drive_link"/>
      </ext>
    </x18tc:extLst>
  </x18tc:threadedComment>
  <x18tc:threadedComment ref="W375" dT="2025-12-26T21:43:40.00" personId="{2ddfa542-8116-4937-a057-08470d7abaab}" id="{75d4780c-c1c9-4585-bd8d-9af9615adc83}" done="0">
    <x18tc:text xml:space="preserve">https://drive.google.com/file/d/1YFojKRAmMHB5eiBKQ0BI1ub4o2n361Bm/view?usp=drive_link</x18tc:text>
    <x18tc:extLst>
      <ext uri="{F7C98A9C-CBB3-438F-8F68-D28B6AF4A901}">
        <xltc2:checksum/>
        <xltc2:hyperlink startIndex="0" length="85" url="https://drive.google.com/file/d/1YFojKRAmMHB5eiBKQ0BI1ub4o2n361Bm/view?usp=drive_link"/>
      </ext>
    </x18tc:extLst>
  </x18tc:threadedComment>
  <x18tc:threadedComment ref="W340" dT="2025-12-26T20:33:42.00" personId="{2ddfa542-8116-4937-a057-08470d7abaab}" id="{c46f4784-7256-4a82-b77d-0be2d4ea756f}" done="0">
    <x18tc:text xml:space="preserve">https://drive.google.com/file/d/1lKYvIZ-Iah_hNSZ_qOPtezfCUw7oq9VQ/view?usp=drive_link</x18tc:text>
    <x18tc:extLst>
      <ext uri="{F7C98A9C-CBB3-438F-8F68-D28B6AF4A901}">
        <xltc2:checksum/>
        <xltc2:hyperlink startIndex="0" length="85" url="https://drive.google.com/file/d/1lKYvIZ-Iah_hNSZ_qOPtezfCUw7oq9VQ/view?usp=drive_link"/>
      </ext>
    </x18tc:extLst>
  </x18tc:threadedComment>
  <x18tc:threadedComment ref="C51" dT="2025-05-14T22:19:23.00" personId="{d8e4f5ad-b65d-4160-a56f-197530fb7eb1}" id="{0833845c-36d9-431f-8250-952b3c0e7c5b}" done="0">
    <x18tc:text xml:space="preserve">https://www.ebay.com/itm/326068742080?_skw=laptop+gaming&amp;itmmeta=01JV3VKF10XY45VGH4S969XMV8&amp;hash=item4beb3627c0:g:MeUAAeSwbrxnopc7</x18tc:text>
    <x18tc:extLst>
      <ext uri="{F7C98A9C-CBB3-438F-8F68-D28B6AF4A901}">
        <xltc2:checksum/>
        <xltc2:hyperlink startIndex="0" length="130" url="https://www.ebay.com/itm/326068742080?_skw=laptop+gaming&amp;itmmeta=01JV3VKF10XY45VGH4S969XMV8&amp;hash=item4beb3627c0:g:MeUAAeSwbrxnopc7"/>
      </ext>
    </x18tc:extLst>
  </x18tc:threadedComment>
  <x18tc:threadedComment ref="K370" dT="2025-12-26T21:38:27.00" personId="{a5d43f6d-3c72-4414-b012-8f52ef50acc4}" id="{922f84ca-ce44-467d-8ad8-2fb82ac495ef}" done="0">
    <x18tc:text xml:space="preserve">https://drive.google.com/file/d/1Xa9i6NP3vGEZF95anBekGz2X8z0jUB67/view?usp=drive_link</x18tc:text>
    <x18tc:extLst>
      <ext uri="{F7C98A9C-CBB3-438F-8F68-D28B6AF4A901}">
        <xltc2:checksum/>
        <xltc2:hyperlink startIndex="0" length="85" url="https://drive.google.com/file/d/1Xa9i6NP3vGEZF95anBekGz2X8z0jUB67/view?usp=drive_link"/>
      </ext>
    </x18tc:extLst>
  </x18tc:threadedComment>
  <x18tc:threadedComment ref="W338" dT="2025-12-26T20:24:00.00" personId="{2ddfa542-8116-4937-a057-08470d7abaab}" id="{42d8743f-9f75-4f15-b1d3-03b1111d4d74}" done="0">
    <x18tc:text xml:space="preserve">https://drive.google.com/file/d/1x666U6m2vpftg6-QAnB2GJx3T1zJ5Ndq/view?usp=drive_link</x18tc:text>
    <x18tc:extLst>
      <ext uri="{F7C98A9C-CBB3-438F-8F68-D28B6AF4A901}">
        <xltc2:checksum/>
        <xltc2:hyperlink startIndex="0" length="85" url="https://drive.google.com/file/d/1x666U6m2vpftg6-QAnB2GJx3T1zJ5Ndq/view?usp=drive_link"/>
      </ext>
    </x18tc:extLst>
  </x18tc:threadedComment>
  <x18tc:threadedComment ref="K391" dT="2025-12-26T21:37:49.00" personId="{a5d43f6d-3c72-4414-b012-8f52ef50acc4}" id="{e6e99e42-8375-45cb-acf0-c3391c5b6f5b}" done="0">
    <x18tc:text xml:space="preserve">https://drive.google.com/file/d/1kdWCNKANyk2w_E_LVYZTQokdNqqlZBok/view?usp=drive_link</x18tc:text>
    <x18tc:extLst>
      <ext uri="{F7C98A9C-CBB3-438F-8F68-D28B6AF4A901}">
        <xltc2:checksum/>
        <xltc2:hyperlink startIndex="0" length="85" url="https://drive.google.com/file/d/1kdWCNKANyk2w_E_LVYZTQokdNqqlZBok/view?usp=drive_link"/>
      </ext>
    </x18tc:extLst>
  </x18tc:threadedComment>
  <x18tc:threadedComment ref="W337" dT="2025-12-26T20:17:20.00" personId="{2ddfa542-8116-4937-a057-08470d7abaab}" id="{706b6e6b-f024-4bce-a6d9-acc5b72b3196}" done="0">
    <x18tc:text xml:space="preserve">https://drive.google.com/file/d/1R85lKRx8def_1Em_tf8C3hrLUWzfciHb/view?usp=drive_link</x18tc:text>
    <x18tc:extLst>
      <ext uri="{F7C98A9C-CBB3-438F-8F68-D28B6AF4A901}">
        <xltc2:checksum/>
        <xltc2:hyperlink startIndex="0" length="85" url="https://drive.google.com/file/d/1R85lKRx8def_1Em_tf8C3hrLUWzfciHb/view?usp=drive_link"/>
      </ext>
    </x18tc:extLst>
  </x18tc:threadedComment>
  <x18tc:threadedComment ref="W372" dT="2025-12-26T21:36:51.00" personId="{2ddfa542-8116-4937-a057-08470d7abaab}" id="{a8bc8324-918a-4b8c-a4ec-394f16394acd}" done="0">
    <x18tc:text xml:space="preserve">https://drive.google.com/file/d/10ZBMZ9BrDZoqdSQe-gFCKvJS4q2cyf03/view?usp=drive_link</x18tc:text>
    <x18tc:extLst>
      <ext uri="{F7C98A9C-CBB3-438F-8F68-D28B6AF4A901}">
        <xltc2:checksum/>
        <xltc2:hyperlink startIndex="0" length="85" url="https://drive.google.com/file/d/10ZBMZ9BrDZoqdSQe-gFCKvJS4q2cyf03/view?usp=drive_link"/>
      </ext>
    </x18tc:extLst>
  </x18tc:threadedComment>
  <x18tc:threadedComment ref="J718" dT="2026-04-29T18:28:37.00" personId="{a5d43f6d-3c72-4414-b012-8f52ef50acc4}" id="{f927373b-7f56-49c3-bbc9-395d6ea1ef9d}" done="0">
    <x18tc:text xml:space="preserve">https://drive.google.com/file/d/11mlhySzwNcOu-qJ79exGXTASPSS3RYRd/view?usp=drive_link</x18tc:text>
    <x18tc:extLst>
      <ext uri="{F7C98A9C-CBB3-438F-8F68-D28B6AF4A901}">
        <xltc2:checksum/>
        <xltc2:hyperlink startIndex="0" length="85" url="https://drive.google.com/file/d/11mlhySzwNcOu-qJ79exGXTASPSS3RYRd/view?usp=drive_link"/>
      </ext>
    </x18tc:extLst>
  </x18tc:threadedComment>
  <x18tc:threadedComment ref="J51" dT="2025-05-14T22:18:58.00" personId="{d8e4f5ad-b65d-4160-a56f-197530fb7eb1}" id="{a7b999d4-f8aa-4207-896a-02e91b67070c}" done="0">
    <x18tc:text xml:space="preserve">https://drive.google.com/file/d/1Nu_XpthY3hMigAWBHeBWVNix22j768wZ/view?usp=drive_link</x18tc:text>
    <x18tc:extLst>
      <ext uri="{F7C98A9C-CBB3-438F-8F68-D28B6AF4A901}">
        <xltc2:checksum/>
        <xltc2:hyperlink startIndex="0" length="85" url="https://drive.google.com/file/d/1Nu_XpthY3hMigAWBHeBWVNix22j768wZ/view?usp=drive_link"/>
      </ext>
    </x18tc:extLst>
  </x18tc:threadedComment>
  <x18tc:threadedComment ref="J560" dT="2026-02-21T20:56:32.00" personId="{a5d43f6d-3c72-4414-b012-8f52ef50acc4}" id="{c3641ec4-1964-40c5-969d-6a43cbefdc3f}" done="0">
    <x18tc:text xml:space="preserve">https://drive.google.com/file/d/1p_rYAXtVS9TJAfW1TF_PzITTcNsQNIh-/view?usp=drive_link</x18tc:text>
    <x18tc:extLst>
      <ext uri="{F7C98A9C-CBB3-438F-8F68-D28B6AF4A901}">
        <xltc2:checksum/>
        <xltc2:hyperlink startIndex="0" length="85" url="https://drive.google.com/file/d/1p_rYAXtVS9TJAfW1TF_PzITTcNsQNIh-/view?usp=drive_link"/>
      </ext>
    </x18tc:extLst>
  </x18tc:threadedComment>
  <x18tc:threadedComment ref="K343" dT="2025-12-27T00:45:21.00" personId="{d8e4f5ad-b65d-4160-a56f-197530fb7eb1}" id="{881cbb63-ce0b-45d2-9d7f-3f69cf7200e8}" done="0">
    <x18tc:text xml:space="preserve">https://drive.google.com/file/d/1gn4b2JrBm8u9bNWLJrNU-lYj2ip-GZ1r/view?usp=drive_link</x18tc:text>
    <x18tc:extLst>
      <ext uri="{F7C98A9C-CBB3-438F-8F68-D28B6AF4A901}">
        <xltc2:checksum/>
        <xltc2:hyperlink startIndex="0" length="85" url="https://drive.google.com/file/d/1gn4b2JrBm8u9bNWLJrNU-lYj2ip-GZ1r/view?usp=drive_link"/>
      </ext>
    </x18tc:extLst>
  </x18tc:threadedComment>
  <x18tc:threadedComment ref="K343" dT="2025-12-27T00:45:36.00" personId="{d8e4f5ad-b65d-4160-a56f-197530fb7eb1}" id="{e401efb1-d7c6-42d5-9de0-1c1ad5cbe844}" parentId="{881cbb63-ce0b-45d2-9d7f-3f69cf7200e8}">
    <x18tc:text xml:space="preserve">https://drive.google.com/file/d/1agKRJbNdVdP4n7xf_LEzvD5GET89iBgQ/view?usp=drive_link</x18tc:text>
    <x18tc:extLst>
      <ext uri="{F7C98A9C-CBB3-438F-8F68-D28B6AF4A901}">
        <xltc2:checksum/>
        <xltc2:hyperlink startIndex="0" length="85" url="https://drive.google.com/file/d/1agKRJbNdVdP4n7xf_LEzvD5GET89iBgQ/view?usp=drive_link"/>
      </ext>
    </x18tc:extLst>
  </x18tc:threadedComment>
  <x18tc:threadedComment ref="J610" dT="2026-03-17T19:18:53.00" personId="{d8e4f5ad-b65d-4160-a56f-197530fb7eb1}" id="{f0432392-c1ec-4f56-ae58-d4463e819032}" done="0">
    <x18tc:text xml:space="preserve">https://drive.google.com/file/d/1yhxcBlahj28nP-9NMwmw8TvQt1D3p0_k/view?usp=drive_link</x18tc:text>
    <x18tc:extLst>
      <ext uri="{F7C98A9C-CBB3-438F-8F68-D28B6AF4A901}">
        <xltc2:checksum/>
        <xltc2:hyperlink startIndex="0" length="85" url="https://drive.google.com/file/d/1yhxcBlahj28nP-9NMwmw8TvQt1D3p0_k/view?usp=drive_link"/>
      </ext>
    </x18tc:extLst>
  </x18tc:threadedComment>
  <x18tc:threadedComment ref="AI777" dT="2026-06-11T17:01:18.00" personId="{7d9bea4b-cfe7-4c29-b483-8e83a1c4f52a}" id="{57fa8ae9-37b4-4181-8c3a-636dfc8e868c}" done="0">
    <x18tc:text xml:space="preserve">https://drive.google.com/file/d/1T5YNdvG7Gu8kQWcWYZHENHKkKTMGBfGk/view?usp=drive_link</x18tc:text>
    <x18tc:extLst>
      <ext uri="{F7C98A9C-CBB3-438F-8F68-D28B6AF4A901}">
        <xltc2:checksum/>
        <xltc2:hyperlink startIndex="0" length="85" url="https://drive.google.com/file/d/1T5YNdvG7Gu8kQWcWYZHENHKkKTMGBfGk/view?usp=drive_link"/>
      </ext>
    </x18tc:extLst>
  </x18tc:threadedComment>
  <x18tc:threadedComment ref="J563" dT="2026-02-21T23:52:15.00" personId="{68efe3e3-8b68-4e02-81e2-a29fa228b211}" id="{9578266e-e384-4e8d-a8b1-5a760eaa499a}" done="0">
    <x18tc:text xml:space="preserve">https://drive.google.com/file/d/1kgpd-6C8R0YQrs_curuaIhg6uT4gI5QX/view?usp=drive_link</x18tc:text>
    <x18tc:extLst>
      <ext uri="{F7C98A9C-CBB3-438F-8F68-D28B6AF4A901}">
        <xltc2:checksum/>
        <xltc2:hyperlink startIndex="0" length="85" url="https://drive.google.com/file/d/1kgpd-6C8R0YQrs_curuaIhg6uT4gI5QX/view?usp=drive_link"/>
      </ext>
    </x18tc:extLst>
  </x18tc:threadedComment>
  <x18tc:threadedComment ref="P426" dT="2025-12-23T16:45:43.00" personId="{d8e4f5ad-b65d-4160-a56f-197530fb7eb1}" id="{5fe6e9b1-2d74-4ea3-ada1-b5b17129ea44}" done="0">
    <x18tc:text xml:space="preserve">descontar del cliente fila 396</x18tc:text>
  </x18tc:threadedComment>
  <x18tc:threadedComment ref="P426" dT="2026-01-03T22:45:05.00" personId="{d8e4f5ad-b65d-4160-a56f-197530fb7eb1}" id="{cc7508a7-2851-4536-9992-c127e2509302}" parentId="{5fe6e9b1-2d74-4ea3-ada1-b5b17129ea44}">
    <x18tc:text xml:space="preserve">209-130=monto actual 79</x18tc:text>
  </x18tc:threadedComment>
  <x18tc:threadedComment ref="AI749" dT="2026-06-11T17:05:05.00" personId="{7d9bea4b-cfe7-4c29-b483-8e83a1c4f52a}" id="{caa4352f-2238-4395-ad11-2d15a337bfdf}" done="0">
    <x18tc:text xml:space="preserve">https://drive.google.com/file/d/1aVzpHz-KDubCNZnOU_utuojESe2oHCWQ/view?usp=drive_link</x18tc:text>
    <x18tc:extLst>
      <ext uri="{F7C98A9C-CBB3-438F-8F68-D28B6AF4A901}">
        <xltc2:checksum/>
        <xltc2:hyperlink startIndex="0" length="85" url="https://drive.google.com/file/d/1aVzpHz-KDubCNZnOU_utuojESe2oHCWQ/view?usp=drive_link"/>
      </ext>
    </x18tc:extLst>
  </x18tc:threadedComment>
  <x18tc:threadedComment ref="C563" dT="2026-02-21T23:49:41.00" personId="{68efe3e3-8b68-4e02-81e2-a29fa228b211}" id="{51eee901-eeaf-4726-b1ee-c8fb2500bb5f}" done="0">
    <x18tc:text xml:space="preserve">https://www.ebay.com/itm/326644935906?_skw=laptop+gaming&amp;itmmeta=01KHN5B21NE9PC4PVQQHA4WVAF&amp;hash=item4c0d8e2ce2:g:MtUAAeSwbmhpj0PK</x18tc:text>
    <x18tc:extLst>
      <ext uri="{F7C98A9C-CBB3-438F-8F68-D28B6AF4A901}">
        <xltc2:checksum/>
        <xltc2:hyperlink startIndex="0" length="130" url="https://www.ebay.com/itm/326644935906?_skw=laptop+gaming&amp;itmmeta=01KHN5B21NE9PC4PVQQHA4WVAF&amp;hash=item4c0d8e2ce2:g:MtUAAeSwbmhpj0PK"/>
      </ext>
    </x18tc:extLst>
  </x18tc:threadedComment>
  <x18tc:threadedComment ref="AF456" dT="2026-02-06T17:10:15.00" personId="{2ddfa542-8116-4937-a057-08470d7abaab}" id="{c55609f3-96ab-463e-aabc-b3522476fcbf}" done="1">
    <x18tc:text xml:space="preserve">FIXIT excedentes</x18tc:text>
  </x18tc:threadedComment>
  <x18tc:threadedComment ref="J117" dT="2025-07-12T00:29:24.00" personId="{a5d43f6d-3c72-4414-b012-8f52ef50acc4}" id="{6d28fb18-7af4-4306-a461-5357377026f0}" done="0">
    <x18tc:text xml:space="preserve">https://drive.google.com/file/d/1HVYI9tCvf1iplJMkqh991J7pnd8Nbe-M/view?usp=drive_link</x18tc:text>
    <x18tc:extLst>
      <ext uri="{F7C98A9C-CBB3-438F-8F68-D28B6AF4A901}">
        <xltc2:checksum/>
        <xltc2:hyperlink startIndex="0" length="85" url="https://drive.google.com/file/d/1HVYI9tCvf1iplJMkqh991J7pnd8Nbe-M/view?usp=drive_link"/>
      </ext>
    </x18tc:extLst>
  </x18tc:threadedComment>
  <x18tc:threadedComment ref="AI775" dT="2026-06-11T17:10:35.00" personId="{7d9bea4b-cfe7-4c29-b483-8e83a1c4f52a}" id="{a6fb5449-44e7-43f1-93c8-9690ab140a0e}" done="0">
    <x18tc:text xml:space="preserve">https://drive.google.com/file/d/13wVCz76-CI401Xw1tn_db0b4IYTfEGVk/view?usp=drive_link</x18tc:text>
    <x18tc:extLst>
      <ext uri="{F7C98A9C-CBB3-438F-8F68-D28B6AF4A901}">
        <xltc2:checksum/>
        <xltc2:hyperlink startIndex="0" length="85" url="https://drive.google.com/file/d/13wVCz76-CI401Xw1tn_db0b4IYTfEGVk/view?usp=drive_link"/>
      </ext>
    </x18tc:extLst>
  </x18tc:threadedComment>
  <x18tc:threadedComment ref="W419" dT="2025-12-23T16:35:28.00" personId="{2ddfa542-8116-4937-a057-08470d7abaab}" id="{3bc08146-2ef3-4ff6-b6f4-de69aa94ed0f}" done="0">
    <x18tc:text xml:space="preserve">https://drive.google.com/file/d/160t0sGFkKxaE8X6MpqhWrkv4im0PDuQo/view?usp=drive_link</x18tc:text>
    <x18tc:extLst>
      <ext uri="{F7C98A9C-CBB3-438F-8F68-D28B6AF4A901}">
        <xltc2:checksum/>
        <xltc2:hyperlink startIndex="0" length="85" url="https://drive.google.com/file/d/160t0sGFkKxaE8X6MpqhWrkv4im0PDuQo/view?usp=drive_link"/>
      </ext>
    </x18tc:extLst>
  </x18tc:threadedComment>
  <x18tc:threadedComment ref="S781" dT="2026-06-11T19:42:50.00" personId="{d8e4f5ad-b65d-4160-a56f-197530fb7eb1}" id="{d018d346-30b6-49e8-9017-ddcdafbabe3d}" done="0">
    <x18tc:text xml:space="preserve">fue aprobado por la Srta SOFIA</x18tc:text>
  </x18tc:threadedComment>
  <x18tc:threadedComment ref="F431" dT="2025-12-24T16:06:28.00" personId="{2ddfa542-8116-4937-a057-08470d7abaab}" id="{03b01b5a-d18d-476a-b161-2507a323ec54}" done="0">
    <x18tc:text xml:space="preserve">sale procesando la orden</x18tc:text>
  </x18tc:threadedComment>
  <x18tc:threadedComment ref="J346" dT="2025-11-27T00:27:49.00" personId="{4df2d6c4-e43e-4f2e-b623-d90f458472ff}" id="{f13c3243-f1c5-4a48-8390-1e0ec6658293}" done="0">
    <x18tc:text xml:space="preserve">https://drive.google.com/file/d/1kUgRn9XKVUGR-zLMUou6fzb7-Zb0gZ8o/view?usp=drive_link</x18tc:text>
    <x18tc:extLst>
      <ext uri="{F7C98A9C-CBB3-438F-8F68-D28B6AF4A901}">
        <xltc2:checksum/>
        <xltc2:hyperlink startIndex="0" length="85" url="https://drive.google.com/file/d/1kUgRn9XKVUGR-zLMUou6fzb7-Zb0gZ8o/view?usp=drive_link"/>
      </ext>
    </x18tc:extLst>
  </x18tc:threadedComment>
  <x18tc:threadedComment ref="K553" dT="2026-03-10T19:48:57.00" personId="{d8e4f5ad-b65d-4160-a56f-197530fb7eb1}" id="{fd64d51b-66b5-46dc-861c-b88e2e46c40e}" done="0">
    <x18tc:text xml:space="preserve">https://drive.google.com/file/d/1PlEP2AN5BNVPTfvrQ4yLaRCy7ntu-MSM/view?usp=drive_link</x18tc:text>
    <x18tc:extLst>
      <ext uri="{F7C98A9C-CBB3-438F-8F68-D28B6AF4A901}">
        <xltc2:checksum/>
        <xltc2:hyperlink startIndex="0" length="85" url="https://drive.google.com/file/d/1PlEP2AN5BNVPTfvrQ4yLaRCy7ntu-MSM/view?usp=drive_link"/>
      </ext>
    </x18tc:extLst>
  </x18tc:threadedComment>
  <x18tc:threadedComment ref="K767" dT="2026-06-11T18:10:35.00" personId="{d8e4f5ad-b65d-4160-a56f-197530fb7eb1}" id="{aacc99d1-8be1-41cb-9829-5ccd0756481a}" done="0">
    <x18tc:text xml:space="preserve">https://drive.google.com/file/d/1vT_rYgZG7Umhj70OtSoOuzokT4PDPztT/view?usp=drive_link</x18tc:text>
    <x18tc:extLst>
      <ext uri="{F7C98A9C-CBB3-438F-8F68-D28B6AF4A901}">
        <xltc2:checksum/>
        <xltc2:hyperlink startIndex="0" length="85" url="https://drive.google.com/file/d/1vT_rYgZG7Umhj70OtSoOuzokT4PDPztT/view?usp=drive_link"/>
      </ext>
    </x18tc:extLst>
  </x18tc:threadedComment>
  <x18tc:threadedComment ref="C717" dT="2026-04-29T18:09:24.00" personId="{4df2d6c4-e43e-4f2e-b623-d90f458472ff}" id="{cf90341a-0687-4d06-a9e0-529f76625d95}" done="0">
    <x18tc:text xml:space="preserve">https://www.microcenter.com/product/691211/asus-rog-strix-g16-g615lp-ms96-16-gaming-laptop-computer-platinum-collection-eclipse-gray</x18tc:text>
    <x18tc:extLst>
      <ext uri="{F7C98A9C-CBB3-438F-8F68-D28B6AF4A901}">
        <xltc2:checksum/>
        <xltc2:hyperlink startIndex="0" length="132" url="https://www.microcenter.com/product/691211/asus-rog-strix-g16-g615lp-ms96-16-gaming-laptop-computer-platinum-collection-eclipse-gray"/>
      </ext>
    </x18tc:extLst>
  </x18tc:threadedComment>
  <x18tc:threadedComment ref="K347" dT="2025-11-27T00:46:50.00" personId="{4df2d6c4-e43e-4f2e-b623-d90f458472ff}" id="{6751868e-5894-4d05-8f18-3787b6bf66f3}" done="0">
    <x18tc:text xml:space="preserve">https://drive.google.com/file/d/1flyGXscrVNHvd4nPD9OCR5laX27vG0Wq/view?usp=drive_link</x18tc:text>
    <x18tc:extLst>
      <ext uri="{F7C98A9C-CBB3-438F-8F68-D28B6AF4A901}">
        <xltc2:checksum/>
        <xltc2:hyperlink startIndex="0" length="85" url="https://drive.google.com/file/d/1flyGXscrVNHvd4nPD9OCR5laX27vG0Wq/view?usp=drive_link"/>
      </ext>
    </x18tc:extLst>
  </x18tc:threadedComment>
  <x18tc:threadedComment ref="K347" dT="2025-11-27T00:47:19.00" personId="{4df2d6c4-e43e-4f2e-b623-d90f458472ff}" id="{3c66c9b6-da86-485d-a179-9fefa5a2727d}" parentId="{6751868e-5894-4d05-8f18-3787b6bf66f3}">
    <x18tc:text xml:space="preserve">https://drive.google.com/file/d/1QsUPzT4xLV2gaWuvWhVYvq4uo2XXrLjf/view?usp=drive_link</x18tc:text>
    <x18tc:extLst>
      <ext uri="{F7C98A9C-CBB3-438F-8F68-D28B6AF4A901}">
        <xltc2:checksum/>
        <xltc2:hyperlink startIndex="0" length="85" url="https://drive.google.com/file/d/1QsUPzT4xLV2gaWuvWhVYvq4uo2XXrLjf/view?usp=drive_link"/>
      </ext>
    </x18tc:extLst>
  </x18tc:threadedComment>
  <x18tc:threadedComment ref="C673" dT="2026-04-10T21:18:13.00" personId="{80195d68-4e9b-4dc7-a031-ca5391c97d0f}" id="{c0b4923e-73bc-4365-8be2-b484069ced67}" done="0">
    <x18tc:text xml:space="preserve">https://www.microcenter.com/product/693716/asus-rog-strix-g16-g615lr-ms97-16-gaming-laptop-computer-platinum-collection-eclipse-gray</x18tc:text>
    <x18tc:extLst>
      <ext uri="{F7C98A9C-CBB3-438F-8F68-D28B6AF4A901}">
        <xltc2:checksum/>
        <xltc2:hyperlink startIndex="0" length="132" url="https://www.microcenter.com/product/693716/asus-rog-strix-g16-g615lr-ms97-16-gaming-laptop-computer-platinum-collection-eclipse-gray"/>
      </ext>
    </x18tc:extLst>
  </x18tc:threadedComment>
  <x18tc:threadedComment ref="J402" dT="2025-12-13T00:24:37.00" personId="{a5d43f6d-3c72-4414-b012-8f52ef50acc4}" id="{24c51013-4e41-4f68-afbf-0044edba3b12}" done="0">
    <x18tc:text xml:space="preserve">https://drive.google.com/file/d/1kSU8rDJFB92bYdG_JcpwZTonb3hCxoAq/view?usp=drive_link</x18tc:text>
    <x18tc:extLst>
      <ext uri="{F7C98A9C-CBB3-438F-8F68-D28B6AF4A901}">
        <xltc2:checksum/>
        <xltc2:hyperlink startIndex="0" length="85" url="https://drive.google.com/file/d/1kSU8rDJFB92bYdG_JcpwZTonb3hCxoAq/view?usp=drive_link"/>
      </ext>
    </x18tc:extLst>
  </x18tc:threadedComment>
  <x18tc:threadedComment ref="W371" dT="2025-12-26T21:29:20.00" personId="{2ddfa542-8116-4937-a057-08470d7abaab}" id="{2a8185fe-01e8-47e3-b899-64fb3c071e10}" done="0">
    <x18tc:text xml:space="preserve">https://drive.google.com/file/d/1Xknn_HKO0FA7S_NH9UHRXoukxyc4oTYf/view?usp=drive_link</x18tc:text>
    <x18tc:extLst>
      <ext uri="{F7C98A9C-CBB3-438F-8F68-D28B6AF4A901}">
        <xltc2:checksum/>
        <xltc2:hyperlink startIndex="0" length="85" url="https://drive.google.com/file/d/1Xknn_HKO0FA7S_NH9UHRXoukxyc4oTYf/view?usp=drive_link"/>
      </ext>
    </x18tc:extLst>
  </x18tc:threadedComment>
  <x18tc:threadedComment ref="J401" dT="2025-12-12T22:12:16.00" personId="{d8e4f5ad-b65d-4160-a56f-197530fb7eb1}" id="{3774f310-49bc-4063-906a-58b539a69836}" done="0">
    <x18tc:text xml:space="preserve">https://drive.google.com/file/d/1dkURh3pAvLJpLz_WHRduZ6qSqO3aLcdZ/view?usp=drive_link</x18tc:text>
    <x18tc:extLst>
      <ext uri="{F7C98A9C-CBB3-438F-8F68-D28B6AF4A901}">
        <xltc2:checksum/>
        <xltc2:hyperlink startIndex="0" length="85" url="https://drive.google.com/file/d/1dkURh3pAvLJpLz_WHRduZ6qSqO3aLcdZ/view?usp=drive_link"/>
      </ext>
    </x18tc:extLst>
  </x18tc:threadedComment>
  <x18tc:threadedComment ref="L153" dT="2025-08-21T15:10:43.00" personId="{d8e4f5ad-b65d-4160-a56f-197530fb7eb1}" id="{152bae74-5571-4f11-9927-5d8c4668de1e}" done="0">
    <x18tc:text xml:space="preserve">https://drive.google.com/file/d/1qphqhL-p_XVF4S8rq38XvwiCHxItmJQn/view?usp=drive_link</x18tc:text>
    <x18tc:extLst>
      <ext uri="{F7C98A9C-CBB3-438F-8F68-D28B6AF4A901}">
        <xltc2:checksum/>
        <xltc2:hyperlink startIndex="0" length="85" url="https://drive.google.com/file/d/1qphqhL-p_XVF4S8rq38XvwiCHxItmJQn/view?usp=drive_link"/>
      </ext>
    </x18tc:extLst>
  </x18tc:threadedComment>
  <x18tc:threadedComment ref="AF472" dT="2026-02-06T18:33:29.00" personId="{2ddfa542-8116-4937-a057-08470d7abaab}" id="{10b13516-f912-4850-817d-762609ddb710}" done="1">
    <x18tc:text xml:space="preserve">VENTA FINAL, EXCEDENTES FIXIT</x18tc:text>
  </x18tc:threadedComment>
  <x18tc:threadedComment ref="C402" dT="2025-12-13T00:23:27.00" personId="{a5d43f6d-3c72-4414-b012-8f52ef50acc4}" id="{8c8151d3-d272-44a3-aa0f-6655cd658f90}" done="0">
    <x18tc:text xml:space="preserve">https://www.microcenter.com/product/691209/asus-rog-strix-scar-18-g835lx-xs98-18-gaming-laptop-computer-platinum-collection-off-black</x18tc:text>
    <x18tc:extLst>
      <ext uri="{F7C98A9C-CBB3-438F-8F68-D28B6AF4A901}">
        <xltc2:checksum/>
        <xltc2:hyperlink startIndex="0" length="133" url="https://www.microcenter.com/product/691209/asus-rog-strix-scar-18-g835lx-xs98-18-gaming-laptop-computer-platinum-collection-off-black"/>
      </ext>
    </x18tc:extLst>
  </x18tc:threadedComment>
  <x18tc:threadedComment ref="W368" dT="2025-12-26T21:24:44.00" personId="{2ddfa542-8116-4937-a057-08470d7abaab}" id="{486041ce-d39c-41fe-ae6c-60d8435a736b}" done="0">
    <x18tc:text xml:space="preserve">https://drive.google.com/file/d/1OgOei8SaJ23z-KjTBOagFWr14RbsM6Wh/view?usp=drive_link</x18tc:text>
    <x18tc:extLst>
      <ext uri="{F7C98A9C-CBB3-438F-8F68-D28B6AF4A901}">
        <xltc2:checksum/>
        <xltc2:hyperlink startIndex="0" length="85" url="https://drive.google.com/file/d/1OgOei8SaJ23z-KjTBOagFWr14RbsM6Wh/view?usp=drive_link"/>
      </ext>
    </x18tc:extLst>
  </x18tc:threadedComment>
  <x18tc:threadedComment ref="T793" dT="2026-06-19T16:32:26.00" personId="{80195d68-4e9b-4dc7-a031-ca5391c97d0f}" id="{9a0b084d-5875-4320-852f-5f46e8ed2994}" done="0">
    <x18tc:text xml:space="preserve">para apertura 794</x18tc:text>
  </x18tc:threadedComment>
  <x18tc:threadedComment ref="K537" dT="2026-03-10T16:58:47.00" personId="{f9b224d0-ee33-4499-ae47-db5bcd2d0435}" id="{b15e156f-a03f-4044-a16b-0594ec42f758}" done="0">
    <x18tc:text xml:space="preserve">https://drive.google.com/file/d/1IrWsSo4SIbvzjg0PG4O1yvw0Sst6ylvm/view?usp=drive_link</x18tc:text>
    <x18tc:extLst>
      <ext uri="{F7C98A9C-CBB3-438F-8F68-D28B6AF4A901}">
        <xltc2:checksum/>
        <xltc2:hyperlink startIndex="0" length="85" url="https://drive.google.com/file/d/1IrWsSo4SIbvzjg0PG4O1yvw0Sst6ylvm/view?usp=drive_link"/>
      </ext>
    </x18tc:extLst>
  </x18tc:threadedComment>
  <x18tc:threadedComment ref="W360" dT="2025-12-26T21:21:49.00" personId="{2ddfa542-8116-4937-a057-08470d7abaab}" id="{4717dad9-ba06-4bc9-b48c-5dacd3cb42a0}" done="0">
    <x18tc:text xml:space="preserve">https://drive.google.com/file/d/147sNvKGtP5F1aZJr78y-H-A_qoB1pI7C/view?usp=drive_link</x18tc:text>
    <x18tc:extLst>
      <ext uri="{F7C98A9C-CBB3-438F-8F68-D28B6AF4A901}">
        <xltc2:checksum/>
        <xltc2:hyperlink startIndex="0" length="85" url="https://drive.google.com/file/d/147sNvKGtP5F1aZJr78y-H-A_qoB1pI7C/view?usp=drive_link"/>
      </ext>
    </x18tc:extLst>
  </x18tc:threadedComment>
  <x18tc:threadedComment ref="W282" dT="2025-11-22T00:44:11.00" personId="{2ddfa542-8116-4937-a057-08470d7abaab}" id="{fcd76a12-3152-4803-9573-987654951f1e}" done="0">
    <x18tc:text xml:space="preserve">https://drive.google.com/file/d/1bWYzRaBnzmxvIBisNPdOA4zlzmiUNPC5/view?usp=drive_link</x18tc:text>
    <x18tc:extLst>
      <ext uri="{F7C98A9C-CBB3-438F-8F68-D28B6AF4A901}">
        <xltc2:checksum/>
        <xltc2:hyperlink startIndex="0" length="85" url="https://drive.google.com/file/d/1bWYzRaBnzmxvIBisNPdOA4zlzmiUNPC5/view?usp=drive_link"/>
      </ext>
    </x18tc:extLst>
  </x18tc:threadedComment>
  <x18tc:threadedComment ref="J127" dT="2025-07-18T16:43:20.00" personId="{d8e4f5ad-b65d-4160-a56f-197530fb7eb1}" id="{ad576643-68fd-46a8-bb61-7e880d23af5c}" done="0">
    <x18tc:text xml:space="preserve">https://drive.google.com/file/d/1eG9eY8bGxPJTJCSURF3lyBoChlEEFkIW/view?usp=drive_link</x18tc:text>
    <x18tc:extLst>
      <ext uri="{F7C98A9C-CBB3-438F-8F68-D28B6AF4A901}">
        <xltc2:checksum/>
        <xltc2:hyperlink startIndex="0" length="85" url="https://drive.google.com/file/d/1eG9eY8bGxPJTJCSURF3lyBoChlEEFkIW/view?usp=drive_link"/>
      </ext>
    </x18tc:extLst>
  </x18tc:threadedComment>
  <x18tc:threadedComment ref="J609" dT="2026-03-17T17:08:04.00" personId="{f9b224d0-ee33-4499-ae47-db5bcd2d0435}" id="{d5311065-2d4b-42fa-9ddf-5320f4607cd4}" done="0">
    <x18tc:text xml:space="preserve">https://drive.google.com/file/d/1juImkANs-MgsfiINMaJTyuF2-Y4jIs0F/view?usp=drive_link</x18tc:text>
    <x18tc:extLst>
      <ext uri="{F7C98A9C-CBB3-438F-8F68-D28B6AF4A901}">
        <xltc2:checksum/>
        <xltc2:hyperlink startIndex="0" length="85" url="https://drive.google.com/file/d/1juImkANs-MgsfiINMaJTyuF2-Y4jIs0F/view?usp=drive_link"/>
      </ext>
    </x18tc:extLst>
  </x18tc:threadedComment>
  <x18tc:threadedComment ref="Q793" dT="2026-06-19T16:34:57.00" personId="{80195d68-4e9b-4dc7-a031-ca5391c97d0f}" id="{ef96dcbc-c45b-435a-a72a-00fcfcef0549}" done="0">
    <x18tc:text xml:space="preserve">suite autodesk+ configuracion inicial</x18tc:text>
  </x18tc:threadedComment>
  <x18tc:threadedComment ref="C795" dT="2026-06-17T23:07:26.00" personId="{f9b224d0-ee33-4499-ae47-db5bcd2d0435}" id="{8f8fea2b-9a25-412a-b225-ea3c4a98d7c6}" done="0">
    <x18tc:text xml:space="preserve">https://shop.asus.com/us/30939-us-cnf-auto.html?config=90NR0KJ1-M00020</x18tc:text>
    <x18tc:extLst>
      <ext uri="{F7C98A9C-CBB3-438F-8F68-D28B6AF4A901}">
        <xltc2:checksum/>
        <xltc2:hyperlink startIndex="0" length="70" url="https://shop.asus.com/us/30939-us-cnf-auto.html?config=90NR0KJ1-M00020"/>
      </ext>
    </x18tc:extLst>
  </x18tc:threadedComment>
  <x18tc:threadedComment ref="K698" dT="2026-05-05T21:58:17.00" personId="{d8e4f5ad-b65d-4160-a56f-197530fb7eb1}" id="{124024b9-bade-4e21-9eaa-3b35c723067d}" done="0">
    <x18tc:text xml:space="preserve">https://drive.google.com/file/d/1o0kPOxZCngL_cbNbN_kqjNcAAXB6XuYd/view?usp=drive_link</x18tc:text>
    <x18tc:extLst>
      <ext uri="{F7C98A9C-CBB3-438F-8F68-D28B6AF4A901}">
        <xltc2:checksum/>
        <xltc2:hyperlink startIndex="0" length="85" url="https://drive.google.com/file/d/1o0kPOxZCngL_cbNbN_kqjNcAAXB6XuYd/view?usp=drive_link"/>
      </ext>
    </x18tc:extLst>
  </x18tc:threadedComment>
  <x18tc:threadedComment ref="C609" dT="2026-03-17T17:02:41.00" personId="{f9b224d0-ee33-4499-ae47-db5bcd2d0435}" id="{4a7ae0c3-97d0-4685-932a-103e2fb09617}" done="0">
    <x18tc:text xml:space="preserve">https://www.newegg.com/msi-titan-18-18-geforce-rtx-5090-laptop-gpu-intel-core-ultra-9-285hx-uhd-32gb-2-memory-2tb-nvme-ssd-gen5x4-4tb-nvme-ssd-gen4x4-ssd/p/N82E16834156796</x18tc:text>
    <x18tc:extLst>
      <ext uri="{F7C98A9C-CBB3-438F-8F68-D28B6AF4A901}">
        <xltc2:checksum/>
        <xltc2:hyperlink startIndex="0" length="171" url="https://www.newegg.com/msi-titan-18-18-geforce-rtx-5090-laptop-gpu-intel-core-ultra-9-285hx-uhd-32gb-2-memory-2tb-nvme-ssd-gen5x4-4tb-nvme-ssd-gen4x4-ssd/p/N82E16834156796"/>
      </ext>
    </x18tc:extLst>
  </x18tc:threadedComment>
  <x18tc:threadedComment ref="AF488" dT="2026-02-06T18:51:38.00" personId="{2ddfa542-8116-4937-a057-08470d7abaab}" id="{24154df6-48e6-408a-9751-72aaae4f6193}" done="1">
    <x18tc:text xml:space="preserve">FIXIT, excedentes</x18tc:text>
  </x18tc:threadedComment>
  <x18tc:threadedComment ref="K692" dT="2026-05-05T22:35:11.00" personId="{d8e4f5ad-b65d-4160-a56f-197530fb7eb1}" id="{6066dbcb-60f7-424c-9818-2f0611000372}" done="0">
    <x18tc:text xml:space="preserve">https://drive.google.com/file/d/15DwVldAHqK9MsCBb5RIHZcrxnZcBmFTk/view?usp=drive_link</x18tc:text>
    <x18tc:extLst>
      <ext uri="{F7C98A9C-CBB3-438F-8F68-D28B6AF4A901}">
        <xltc2:checksum/>
        <xltc2:hyperlink startIndex="0" length="85" url="https://drive.google.com/file/d/15DwVldAHqK9MsCBb5RIHZcrxnZcBmFTk/view?usp=drive_link"/>
      </ext>
    </x18tc:extLst>
  </x18tc:threadedComment>
  <x18tc:threadedComment ref="K692" dT="2026-05-05T22:35:29.00" personId="{d8e4f5ad-b65d-4160-a56f-197530fb7eb1}" id="{775c96ff-42e7-475d-9ad8-2c1e9bcbc7a9}" parentId="{6066dbcb-60f7-424c-9818-2f0611000372}">
    <x18tc:text xml:space="preserve">https://drive.google.com/file/d/1mE5KYdebzUZUK0Dm7DYycMkvPdY558VZ/view?usp=drive_link</x18tc:text>
    <x18tc:extLst>
      <ext uri="{F7C98A9C-CBB3-438F-8F68-D28B6AF4A901}">
        <xltc2:checksum/>
        <xltc2:hyperlink startIndex="0" length="85" url="https://drive.google.com/file/d/1mE5KYdebzUZUK0Dm7DYycMkvPdY558VZ/view?usp=drive_link"/>
      </ext>
    </x18tc:extLst>
  </x18tc:threadedComment>
  <x18tc:threadedComment ref="K692" dT="2026-05-06T00:09:12.00" personId="{d8e4f5ad-b65d-4160-a56f-197530fb7eb1}" id="{79d67d6c-db39-4fb4-a222-bea72692ccf3}" parentId="{6066dbcb-60f7-424c-9818-2f0611000372}">
    <x18tc:text xml:space="preserve">https://drive.google.com/file/d/1surgIHJ45PJHxGS1HYYd7QqRDfiE8Gyj/view?usp=drive_link</x18tc:text>
    <x18tc:extLst>
      <ext uri="{F7C98A9C-CBB3-438F-8F68-D28B6AF4A901}">
        <xltc2:checksum/>
        <xltc2:hyperlink startIndex="0" length="85" url="https://drive.google.com/file/d/1surgIHJ45PJHxGS1HYYd7QqRDfiE8Gyj/view?usp=drive_link"/>
      </ext>
    </x18tc:extLst>
  </x18tc:threadedComment>
  <x18tc:threadedComment ref="AF484" dT="2026-02-06T18:48:40.00" personId="{2ddfa542-8116-4937-a057-08470d7abaab}" id="{1c0aefff-92ff-47aa-a71e-3bbe44be0d00}" done="1">
    <x18tc:text xml:space="preserve">Excdente, fixit, venta fianl</x18tc:text>
  </x18tc:threadedComment>
  <x18tc:threadedComment ref="J787" dT="2026-06-13T16:51:12.00" personId="{f9b224d0-ee33-4499-ae47-db5bcd2d0435}" id="{97a319b1-03a3-4d7c-990c-1b0d0d576537}" done="0">
    <x18tc:text xml:space="preserve">https://drive.google.com/file/d/1uIFWshBKNYtXO0Redo-gKpgS4AgqkE10/view?usp=drive_link</x18tc:text>
    <x18tc:extLst>
      <ext uri="{F7C98A9C-CBB3-438F-8F68-D28B6AF4A901}">
        <xltc2:checksum/>
        <xltc2:hyperlink startIndex="0" length="85" url="https://drive.google.com/file/d/1uIFWshBKNYtXO0Redo-gKpgS4AgqkE10/view?usp=drive_link"/>
      </ext>
    </x18tc:extLst>
  </x18tc:threadedComment>
  <x18tc:threadedComment ref="AF477" dT="2026-02-06T18:34:35.00" personId="{2ddfa542-8116-4937-a057-08470d7abaab}" id="{698a6fec-d86e-467b-b7d5-37a58cae10cb}" done="1">
    <x18tc:text xml:space="preserve">VENTA FINAL, EXCEDENTES FIXIT</x18tc:text>
  </x18tc:threadedComment>
  <x18tc:threadedComment ref="W335" dT="2025-12-26T20:12:04.00" personId="{2ddfa542-8116-4937-a057-08470d7abaab}" id="{103f2254-f1ae-451a-bdc1-bf13984bb462}" done="0">
    <x18tc:text xml:space="preserve">https://drive.google.com/file/d/1yrrQbgCfrfUvxCi-oce5zL15xVlZO5bG/view?usp=drive_link</x18tc:text>
    <x18tc:extLst>
      <ext uri="{F7C98A9C-CBB3-438F-8F68-D28B6AF4A901}">
        <xltc2:checksum/>
        <xltc2:hyperlink startIndex="0" length="85" url="https://drive.google.com/file/d/1yrrQbgCfrfUvxCi-oce5zL15xVlZO5bG/view?usp=drive_link"/>
      </ext>
    </x18tc:extLst>
  </x18tc:threadedComment>
  <x18tc:threadedComment ref="K336" dT="2025-11-29T16:54:09.00" personId="{a5d43f6d-3c72-4414-b012-8f52ef50acc4}" id="{6271592f-da85-488b-a79d-4125a414ab47}" done="0">
    <x18tc:text xml:space="preserve">https://drive.google.com/file/d/1xMfyifUwBPeL1_R6__daZdpKcyAe3Wym/view?usp=drive_link</x18tc:text>
    <x18tc:extLst>
      <ext uri="{F7C98A9C-CBB3-438F-8F68-D28B6AF4A901}">
        <xltc2:checksum/>
        <xltc2:hyperlink startIndex="0" length="85" url="https://drive.google.com/file/d/1xMfyifUwBPeL1_R6__daZdpKcyAe3Wym/view?usp=drive_link"/>
      </ext>
    </x18tc:extLst>
  </x18tc:threadedComment>
  <x18tc:threadedComment ref="J329" dT="2025-11-22T17:48:16.00" personId="{a5d43f6d-3c72-4414-b012-8f52ef50acc4}" id="{2a539991-61b1-47f6-b003-4ef77a608f6c}" done="0">
    <x18tc:text xml:space="preserve">https://drive.google.com/file/d/1U3MZT7wwuUAfJIAPSeSLqHCsvZrdnT_J/view?usp=drive_link
https://drive.google.com/file/d/1qwZcjnU6Woi4C1WUAbNxCUcifg_KEbd6/view?usp=drive_link
https://drive.google.com/file/d/1fqUGdUTeng3Rz_lsP1HzSVcmAgIGm3Rr/view?usp=drive_link</x18tc:text>
    <x18tc:extLst>
      <ext uri="{F7C98A9C-CBB3-438F-8F68-D28B6AF4A901}">
        <xltc2:checksum/>
        <xltc2:hyperlink startIndex="0" length="85" url="https://drive.google.com/file/d/1U3MZT7wwuUAfJIAPSeSLqHCsvZrdnT_J/view?usp=drive_link"/>
        <xltc2:hyperlink startIndex="86" length="85" url="https://drive.google.com/file/d/1qwZcjnU6Woi4C1WUAbNxCUcifg_KEbd6/view?usp=drive_link"/>
        <xltc2:hyperlink startIndex="172" length="85" url="https://drive.google.com/file/d/1fqUGdUTeng3Rz_lsP1HzSVcmAgIGm3Rr/view?usp=drive_link"/>
      </ext>
    </x18tc:extLst>
  </x18tc:threadedComment>
  <x18tc:threadedComment ref="C672" dT="2026-04-10T19:55:57.00" personId="{80195d68-4e9b-4dc7-a031-ca5391c97d0f}" id="{f6856b07-5b9c-45a4-8a4b-efff7a5744f6}" done="0">
    <x18tc:text xml:space="preserve">https://www.amazon.com/EXCaliberPC-Legion-Gaming-GeForce-Windows/dp/B0G43MXJN5/ref=sr_1_4?dib=eyJ2IjoiMSJ9.F7hxQAb0NxwQeJAdJJy1-tesbSgsTSFulXzIxVr7psTK7-LA2NRZjmk4X5b3n2jGCTnEPYm_SO7Q6UVju766DMzum4B4vYKwaCFJ5uQbInYnYG9J1k2PY9u3uPvwbRS8P-xg6yRakIRjQjqvWR76Ub6tOWZw0YiFf4GTeheQ3lQCvsAiEdkTe6z9NjBGeJayfzHzUoy225GjShBK7YszQlbhsUzbIsGzFBQYyyt_kcQ.yl9lJGA0H1pZh7f0DOB239EwQsFVkluxDaVj8BnQ1Y0&amp;dib_tag=se&amp;keywords=legion%2B7i&amp;qid=1775850870&amp;sr=8-4&amp;th=1</x18tc:text>
    <x18tc:extLst>
      <ext uri="{F7C98A9C-CBB3-438F-8F68-D28B6AF4A901}">
        <xltc2:checksum/>
        <xltc2:hyperlink startIndex="0" length="445" url="https://www.amazon.com/EXCaliberPC-Legion-Gaming-GeForce-Windows/dp/B0G43MXJN5/ref=sr_1_4?dib=eyJ2IjoiMSJ9.F7hxQAb0NxwQeJAdJJy1-tesbSgsTSFulXzIxVr7psTK7-LA2NRZjmk4X5b3n2jGCTnEPYm_SO7Q6UVju766DMzum4B4vYKwaCFJ5uQbInYnYG9J1k2PY9u3uPvwbRS8P-xg6yRakIRjQjqvWR76Ub6tOWZw0YiFf4GTeheQ3lQCvsAiEdkTe6z9NjBGeJayfzHzUoy225GjShBK7YszQlbhsUzbIsGzFBQYyyt_kcQ.yl9lJGA0H1pZh7f0DOB239EwQsFVkluxDaVj8BnQ1Y0&amp;dib_tag=se&amp;keywords=legion%2B7i&amp;qid=1775850870&amp;sr=8-4&amp;th=1"/>
      </ext>
    </x18tc:extLst>
  </x18tc:threadedComment>
  <x18tc:threadedComment ref="J540" dT="2026-02-14T19:51:24.00" personId="{68efe3e3-8b68-4e02-81e2-a29fa228b211}" id="{b39ecb6c-640f-4f0f-91e3-4f0efa9f3796}" done="0">
    <x18tc:text xml:space="preserve">https://drive.google.com/file/d/1aSEPEDe6FeGw_K--xK1_-QQai_s2pzzK/view?usp=drive_link</x18tc:text>
    <x18tc:extLst>
      <ext uri="{F7C98A9C-CBB3-438F-8F68-D28B6AF4A901}">
        <xltc2:checksum/>
        <xltc2:hyperlink startIndex="0" length="85" url="https://drive.google.com/file/d/1aSEPEDe6FeGw_K--xK1_-QQai_s2pzzK/view?usp=drive_link"/>
      </ext>
    </x18tc:extLst>
  </x18tc:threadedComment>
  <x18tc:threadedComment ref="W276" dT="2025-11-01T16:34:44.00" personId="{4df2d6c4-e43e-4f2e-b623-d90f458472ff}" id="{802b583b-21cf-4b87-a1a8-2ee20e5637b2}" done="0">
    <x18tc:text xml:space="preserve">https://drive.google.com/file/d/15WmoXLpZCaqq6oW9e8qNKM1AQ7xTL7I3/view?usp=drive_link</x18tc:text>
    <x18tc:extLst>
      <ext uri="{F7C98A9C-CBB3-438F-8F68-D28B6AF4A901}">
        <xltc2:checksum/>
        <xltc2:hyperlink startIndex="0" length="85" url="https://drive.google.com/file/d/15WmoXLpZCaqq6oW9e8qNKM1AQ7xTL7I3/view?usp=drive_link"/>
      </ext>
    </x18tc:extLst>
  </x18tc:threadedComment>
  <x18tc:threadedComment ref="C610" dT="2026-03-17T18:52:20.00" personId="{d8e4f5ad-b65d-4160-a56f-197530fb7eb1}" id="{9a0ec2c1-5152-4b4a-af1f-6169d0e9db69}" done="0">
    <x18tc:text xml:space="preserve">https://www.bestbuy.com/product/asus-zenbook-s-16-16-3k-oled-touch-screen-laptop-copilot-pc-amd-ryzen-ai-9-365-24gb-memory-1tb-ssd-scandinavian-white/JJGGLQSYLC</x18tc:text>
    <x18tc:extLst>
      <ext uri="{F7C98A9C-CBB3-438F-8F68-D28B6AF4A901}">
        <xltc2:checksum/>
        <xltc2:hyperlink startIndex="0" length="160" url="https://www.bestbuy.com/product/asus-zenbook-s-16-16-3k-oled-touch-screen-laptop-copilot-pc-amd-ryzen-ai-9-365-24gb-memory-1tb-ssd-scandinavian-white/JJGGLQSYLC"/>
      </ext>
    </x18tc:extLst>
  </x18tc:threadedComment>
  <x18tc:threadedComment ref="W334" dT="2025-12-26T20:06:37.00" personId="{2ddfa542-8116-4937-a057-08470d7abaab}" id="{f1a0aa7d-1e85-4a6f-9260-0565f8c87024}" done="0">
    <x18tc:text xml:space="preserve">https://drive.google.com/file/d/1LGFJwfsWdkuIII0qAi_603esJyAFrNd3/view?usp=drive_link</x18tc:text>
    <x18tc:extLst>
      <ext uri="{F7C98A9C-CBB3-438F-8F68-D28B6AF4A901}">
        <xltc2:checksum/>
        <xltc2:hyperlink startIndex="0" length="85" url="https://drive.google.com/file/d/1LGFJwfsWdkuIII0qAi_603esJyAFrNd3/view?usp=drive_link"/>
      </ext>
    </x18tc:extLst>
  </x18tc:threadedComment>
  <x18tc:threadedComment ref="J436" dT="2025-12-27T00:52:26.00" personId="{d8e4f5ad-b65d-4160-a56f-197530fb7eb1}" id="{b61f5de4-b4d8-4983-91a7-c527c5a764b0}" done="0">
    <x18tc:text xml:space="preserve">https://drive.google.com/file/d/1e_f27GpKMrArnBMa4XpGCJJgjUYvTpc4/view?usp=drive_link</x18tc:text>
    <x18tc:extLst>
      <ext uri="{F7C98A9C-CBB3-438F-8F68-D28B6AF4A901}">
        <xltc2:checksum/>
        <xltc2:hyperlink startIndex="0" length="85" url="https://drive.google.com/file/d/1e_f27GpKMrArnBMa4XpGCJJgjUYvTpc4/view?usp=drive_link"/>
      </ext>
    </x18tc:extLst>
  </x18tc:threadedComment>
  <x18tc:threadedComment ref="J436" dT="2025-12-27T00:52:46.00" personId="{d8e4f5ad-b65d-4160-a56f-197530fb7eb1}" id="{8ceffe50-1f2d-4eb3-a635-3c6acad967ca}" parentId="{b61f5de4-b4d8-4983-91a7-c527c5a764b0}">
    <x18tc:text xml:space="preserve">https://drive.google.com/file/d/1XedQDTJZZCAUv370cOSSt6sj0ZqBZ1ua/view?usp=drive_link</x18tc:text>
    <x18tc:extLst>
      <ext uri="{F7C98A9C-CBB3-438F-8F68-D28B6AF4A901}">
        <xltc2:checksum/>
        <xltc2:hyperlink startIndex="0" length="85" url="https://drive.google.com/file/d/1XedQDTJZZCAUv370cOSSt6sj0ZqBZ1ua/view?usp=drive_link"/>
      </ext>
    </x18tc:extLst>
  </x18tc:threadedComment>
  <x18tc:threadedComment ref="W330" dT="2025-12-26T20:01:50.00" personId="{2ddfa542-8116-4937-a057-08470d7abaab}" id="{1ceffbab-1ac9-4efd-8734-91f08e6b3dea}" done="0">
    <x18tc:text xml:space="preserve">https://drive.google.com/file/d/1tc1JNVxxYgUJBTOEFo7mnPsu0s7DGplM/view?usp=drive_link</x18tc:text>
    <x18tc:extLst>
      <ext uri="{F7C98A9C-CBB3-438F-8F68-D28B6AF4A901}">
        <xltc2:checksum/>
        <xltc2:hyperlink startIndex="0" length="85" url="https://drive.google.com/file/d/1tc1JNVxxYgUJBTOEFo7mnPsu0s7DGplM/view?usp=drive_link"/>
      </ext>
    </x18tc:extLst>
  </x18tc:threadedComment>
  <x18tc:threadedComment ref="J795" dT="2026-06-17T23:12:47.00" personId="{f9b224d0-ee33-4499-ae47-db5bcd2d0435}" id="{df912f24-378d-4756-a357-8afb4931cd15}" done="0">
    <x18tc:text xml:space="preserve">https://drive.google.com/file/d/1kwwKySK-L9uO_gYSDfwrOVuwF0495Pxx/view?usp=drive_link</x18tc:text>
    <x18tc:extLst>
      <ext uri="{F7C98A9C-CBB3-438F-8F68-D28B6AF4A901}">
        <xltc2:checksum/>
        <xltc2:hyperlink startIndex="0" length="85" url="https://drive.google.com/file/d/1kwwKySK-L9uO_gYSDfwrOVuwF0495Pxx/view?usp=drive_link"/>
      </ext>
    </x18tc:extLst>
  </x18tc:threadedComment>
  <x18tc:threadedComment ref="N329" dT="2025-11-22T17:43:35.00" personId="{a5d43f6d-3c72-4414-b012-8f52ef50acc4}" id="{da4cffba-1bca-4c6e-ace6-ad91d428c07b}" done="0">
    <x18tc:text xml:space="preserve">+15 de envio</x18tc:text>
  </x18tc:threadedComment>
  <x18tc:threadedComment ref="AF489" dT="2026-02-06T18:52:30.00" personId="{2ddfa542-8116-4937-a057-08470d7abaab}" id="{3075320a-18b3-4234-9362-a498f114264e}" done="1">
    <x18tc:text xml:space="preserve">accesorios</x18tc:text>
  </x18tc:threadedComment>
  <x18tc:threadedComment ref="K299" dT="2025-11-29T15:42:53.00" personId="{a5d43f6d-3c72-4414-b012-8f52ef50acc4}" id="{3f9c914b-782c-4ea1-8d63-91f502fe0d9d}" done="0">
    <x18tc:text xml:space="preserve">https://drive.google.com/file/d/13KHC_s2MGAmQKGSu9kgNV7xqONYypFlm/view?usp=drive_link</x18tc:text>
    <x18tc:extLst>
      <ext uri="{F7C98A9C-CBB3-438F-8F68-D28B6AF4A901}">
        <xltc2:checksum/>
        <xltc2:hyperlink startIndex="0" length="85" url="https://drive.google.com/file/d/13KHC_s2MGAmQKGSu9kgNV7xqONYypFlm/view?usp=drive_link"/>
      </ext>
    </x18tc:extLst>
  </x18tc:threadedComment>
  <x18tc:threadedComment ref="AF500" dT="2026-02-06T18:58:50.00" personId="{2ddfa542-8116-4937-a057-08470d7abaab}" id="{54a8c5da-3ec3-482d-a0f4-2cb91b041bd6}" done="1">
    <x18tc:text xml:space="preserve">Excedentes, fixit, venta final</x18tc:text>
  </x18tc:threadedComment>
  <x18tc:threadedComment ref="K307" dT="2025-11-29T15:43:57.00" personId="{a5d43f6d-3c72-4414-b012-8f52ef50acc4}" id="{6296c4a7-4fe7-4167-a633-f1ff96096447}" done="0">
    <x18tc:text xml:space="preserve">https://drive.google.com/file/d/1oOfVWndGvZQJrYV4hQJTCaXA4B6dESeI/view?usp=drive_link</x18tc:text>
    <x18tc:extLst>
      <ext uri="{F7C98A9C-CBB3-438F-8F68-D28B6AF4A901}">
        <xltc2:checksum/>
        <xltc2:hyperlink startIndex="0" length="85" url="https://drive.google.com/file/d/1oOfVWndGvZQJrYV4hQJTCaXA4B6dESeI/view?usp=drive_link"/>
      </ext>
    </x18tc:extLst>
  </x18tc:threadedComment>
  <x18tc:threadedComment ref="AF496" dT="2026-02-06T18:57:33.00" personId="{2ddfa542-8116-4937-a057-08470d7abaab}" id="{9ba72499-b3f4-4c59-8131-da709b16123f}" done="1">
    <x18tc:text xml:space="preserve">Excedentes, fixit, venta final</x18tc:text>
  </x18tc:threadedComment>
  <x18tc:threadedComment ref="C766" dT="2026-05-27T22:29:00.00" personId="{d8e4f5ad-b65d-4160-a56f-197530fb7eb1}" id="{27e8d58e-05ef-417b-b66f-3c35b87ac97f}" done="0">
    <x18tc:text xml:space="preserve">https://www.bestbuy.com/product/asus-rog-zephyrus-g16-16-oled-2-5k-240hz-gaming-laptop-intel-core-ultra-9-32gb-ram-nvidia-rtx-5070-ti-12gb-1tb-ssd-eclipse-gray/JJGGLHXFTQ</x18tc:text>
    <x18tc:extLst>
      <ext uri="{F7C98A9C-CBB3-438F-8F68-D28B6AF4A901}">
        <xltc2:checksum/>
        <xltc2:hyperlink startIndex="0" length="170" url="https://www.bestbuy.com/product/asus-rog-zephyrus-g16-16-oled-2-5k-240hz-gaming-laptop-intel-core-ultra-9-32gb-ram-nvidia-rtx-5070-ti-12gb-1tb-ssd-eclipse-gray/JJGGLHXFTQ"/>
      </ext>
    </x18tc:extLst>
  </x18tc:threadedComment>
  <x18tc:threadedComment ref="AF495" dT="2026-02-06T18:56:39.00" personId="{2ddfa542-8116-4937-a057-08470d7abaab}" id="{67f01871-50bb-4c62-84b9-ee6793b12062}" done="1">
    <x18tc:text xml:space="preserve">Excedentes, fixit, venta final</x18tc:text>
  </x18tc:threadedComment>
  <x18tc:threadedComment ref="K419" dT="2025-12-21T04:08:36.00" personId="{4df2d6c4-e43e-4f2e-b623-d90f458472ff}" id="{1545413d-9e0e-4101-bb6c-36cdf559231b}" done="0">
    <x18tc:text xml:space="preserve">https://drive.google.com/file/d/1De5WETfiBw9_ZnUOg21xp-tKWAvOSPn3/view?usp=drive_link</x18tc:text>
    <x18tc:extLst>
      <ext uri="{F7C98A9C-CBB3-438F-8F68-D28B6AF4A901}">
        <xltc2:checksum/>
        <xltc2:hyperlink startIndex="0" length="85" url="https://drive.google.com/file/d/1De5WETfiBw9_ZnUOg21xp-tKWAvOSPn3/view?usp=drive_link"/>
      </ext>
    </x18tc:extLst>
  </x18tc:threadedComment>
  <x18tc:threadedComment ref="K596" dT="2026-03-17T19:21:21.00" personId="{d8e4f5ad-b65d-4160-a56f-197530fb7eb1}" id="{1b9a958a-4dab-42e3-ad5f-1437e447cec2}" done="0">
    <x18tc:text xml:space="preserve">https://drive.google.com/file/d/11cNxJJLF8RPljfw59B2a6OTdHCwpTHEy/view?usp=drive_link</x18tc:text>
    <x18tc:extLst>
      <ext uri="{F7C98A9C-CBB3-438F-8F68-D28B6AF4A901}">
        <xltc2:checksum/>
        <xltc2:hyperlink startIndex="0" length="85" url="https://drive.google.com/file/d/11cNxJJLF8RPljfw59B2a6OTdHCwpTHEy/view?usp=drive_link"/>
      </ext>
    </x18tc:extLst>
  </x18tc:threadedComment>
  <x18tc:threadedComment ref="K596" dT="2026-03-17T19:21:45.00" personId="{d8e4f5ad-b65d-4160-a56f-197530fb7eb1}" id="{db032e24-2cbb-4f2b-900b-8cf5f1d24232}" parentId="{1b9a958a-4dab-42e3-ad5f-1437e447cec2}">
    <x18tc:text xml:space="preserve">https://drive.google.com/file/d/1h-fBrMm_xUL3BUaBR0EbKRuJyX16LDVI/view?usp=drive_link</x18tc:text>
    <x18tc:extLst>
      <ext uri="{F7C98A9C-CBB3-438F-8F68-D28B6AF4A901}">
        <xltc2:checksum/>
        <xltc2:hyperlink startIndex="0" length="85" url="https://drive.google.com/file/d/1h-fBrMm_xUL3BUaBR0EbKRuJyX16LDVI/view?usp=drive_link"/>
      </ext>
    </x18tc:extLst>
  </x18tc:threadedComment>
  <x18tc:threadedComment ref="J347" dT="2025-11-27T00:48:02.00" personId="{4df2d6c4-e43e-4f2e-b623-d90f458472ff}" id="{cf2db55b-41fd-4003-8c62-7e1c50229f10}" done="0">
    <x18tc:text xml:space="preserve">https://drive.google.com/file/d/1V-DTrR5kRtIPF8zJOTfItft1D3b3ElAT/view?usp=drive_link</x18tc:text>
    <x18tc:extLst>
      <ext uri="{F7C98A9C-CBB3-438F-8F68-D28B6AF4A901}">
        <xltc2:checksum/>
        <xltc2:hyperlink startIndex="0" length="85" url="https://drive.google.com/file/d/1V-DTrR5kRtIPF8zJOTfItft1D3b3ElAT/view?usp=drive_link"/>
      </ext>
    </x18tc:extLst>
  </x18tc:threadedComment>
  <x18tc:threadedComment ref="T628" dT="2026-05-25T11:20:20.00" personId="{2ddfa542-8116-4937-a057-08470d7abaab}" id="{f8dca8ce-5e14-4576-934b-4a8c44366489}" done="0">
    <x18tc:text xml:space="preserve">DE LA FILA 650 ANGEL APARICIO</x18tc:text>
  </x18tc:threadedComment>
  <x18tc:threadedComment ref="AF493" dT="2026-02-06T18:55:45.00" personId="{2ddfa542-8116-4937-a057-08470d7abaab}" id="{ebe9f269-ce85-4d50-b176-13d195b7567c}" done="1">
    <x18tc:text xml:space="preserve">Excedentes, fixit, venta final</x18tc:text>
  </x18tc:threadedComment>
  <x18tc:threadedComment ref="J419" dT="2025-12-21T04:08:16.00" personId="{4df2d6c4-e43e-4f2e-b623-d90f458472ff}" id="{b8f0c51b-2721-458c-a853-ceff385d46f6}" done="0">
    <x18tc:text xml:space="preserve">https://drive.google.com/file/d/1RkxwZWfPQrImTOizTS35tOtggTgfYb-7/view?usp=drive_link</x18tc:text>
    <x18tc:extLst>
      <ext uri="{F7C98A9C-CBB3-438F-8F68-D28B6AF4A901}">
        <xltc2:checksum/>
        <xltc2:hyperlink startIndex="0" length="85" url="https://drive.google.com/file/d/1RkxwZWfPQrImTOizTS35tOtggTgfYb-7/view?usp=drive_link"/>
      </ext>
    </x18tc:extLst>
  </x18tc:threadedComment>
  <x18tc:threadedComment ref="J608" dT="2026-03-17T19:20:50.00" personId="{d8e4f5ad-b65d-4160-a56f-197530fb7eb1}" id="{67e1059b-02d1-499e-997e-e5b63feef5ae}" done="0">
    <x18tc:text xml:space="preserve">https://drive.google.com/file/d/1W3PMApG11HAu78rxAkQ4uV4XVYPNEUdY/view?usp=drive_link</x18tc:text>
    <x18tc:extLst>
      <ext uri="{F7C98A9C-CBB3-438F-8F68-D28B6AF4A901}">
        <xltc2:checksum/>
        <xltc2:hyperlink startIndex="0" length="85" url="https://drive.google.com/file/d/1W3PMApG11HAu78rxAkQ4uV4XVYPNEUdY/view?usp=drive_link"/>
      </ext>
    </x18tc:extLst>
  </x18tc:threadedComment>
  <x18tc:threadedComment ref="J608" dT="2026-03-19T00:25:12.00" personId="{d8e4f5ad-b65d-4160-a56f-197530fb7eb1}" id="{ef56efe6-e63b-417a-a9ea-779e60c4357b}" parentId="{67e1059b-02d1-499e-997e-e5b63feef5ae}">
    <x18tc:text xml:space="preserve">https://drive.google.com/file/d/1JeRFK0YP7zA5ah6YRF8rg8nE3wjRG32L/view?usp=drive_link</x18tc:text>
    <x18tc:extLst>
      <ext uri="{F7C98A9C-CBB3-438F-8F68-D28B6AF4A901}">
        <xltc2:checksum/>
        <xltc2:hyperlink startIndex="0" length="85" url="https://drive.google.com/file/d/1JeRFK0YP7zA5ah6YRF8rg8nE3wjRG32L/view?usp=drive_link"/>
      </ext>
    </x18tc:extLst>
  </x18tc:threadedComment>
  <x18tc:threadedComment ref="AF503" dT="2026-02-06T19:00:53.00" personId="{2ddfa542-8116-4937-a057-08470d7abaab}" id="{31cd14f6-eef3-487b-aeea-0ae5f90d9d8e}" done="1">
    <x18tc:text xml:space="preserve">Excedentes, fixit, venta final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5-11-04T06:23:49.00" personId="{2ddfa542-8116-4937-a057-08470d7abaab}" id="{02eaeb54-fb84-41b0-80a6-6bd5743d213a}" done="1">
    <x18tc:text xml:space="preserve">solo lo de verde resaltado</x18tc:text>
  </x18tc:threadedComment>
  <x18tc:threadedComment ref="I13" dT="2025-12-20T19:09:14.00" personId="{2ddfa542-8116-4937-a057-08470d7abaab}" id="{c0fccf59-63a8-4fe9-a6ac-4dcbd94d2865}" done="0">
    <x18tc:text xml:space="preserve">Ruc 10418285392</x18tc:text>
  </x18tc:threadedComment>
  <x18tc:threadedComment ref="I13" dT="2025-12-26T22:51:18.00" personId="{2ddfa542-8116-4937-a057-08470d7abaab}" id="{bd39151e-4c8b-4f8a-9c83-f545b2b0e098}" parentId="{c0fccf59-63a8-4fe9-a6ac-4dcbd94d2865}">
    <x18tc:text xml:space="preserve">https://drive.google.com/file/d/1TFbgSWYXgcg2xVtsVrje9kCyRUD7EjE_/view?usp=drive_link</x18tc:text>
    <x18tc:extLst>
      <ext uri="{F7C98A9C-CBB3-438F-8F68-D28B6AF4A901}">
        <xltc2:checksum/>
        <xltc2:hyperlink startIndex="0" length="85" url="https://drive.google.com/file/d/1TFbgSWYXgcg2xVtsVrje9kCyRUD7EjE_/view?usp=drive_link"/>
      </ext>
    </x18tc:extLst>
  </x18tc:threadedComment>
  <x18tc:threadedComment ref="I12" dT="2025-12-13T19:53:10.00" personId="{d8e4f5ad-b65d-4160-a56f-197530fb7eb1}" id="{b4dafa31-7649-4174-a9ea-0510085ac5c5}" done="0">
    <x18tc:text xml:space="preserve">10784604816 factura</x18tc:text>
  </x18tc:threadedComment>
  <x18tc:threadedComment ref="I12" dT="2025-12-26T22:50:45.00" personId="{2ddfa542-8116-4937-a057-08470d7abaab}" id="{ad7e6cd8-925b-44e3-bc34-e4e60b04ad60}" parentId="{b4dafa31-7649-4174-a9ea-0510085ac5c5}">
    <x18tc:text xml:space="preserve">https://drive.google.com/file/d/10V9jl9nNDIgqIi7hnACwL7LlctUrVOW-/view?usp=drive_link</x18tc:text>
    <x18tc:extLst>
      <ext uri="{F7C98A9C-CBB3-438F-8F68-D28B6AF4A901}">
        <xltc2:checksum/>
        <xltc2:hyperlink startIndex="0" length="85" url="https://drive.google.com/file/d/10V9jl9nNDIgqIi7hnACwL7LlctUrVOW-/view?usp=drive_link"/>
      </ext>
    </x18tc:extLst>
  </x18tc:threadedComment>
  <x18tc:threadedComment ref="R25" dT="2026-03-23T22:16:19.00" personId="{80195d68-4e9b-4dc7-a031-ca5391c97d0f}" id="{97e14b3d-431e-413c-aba9-4620f1b0a225}" done="0">
    <x18tc:text xml:space="preserve">apertura+ config inicial+licencia autocad+antivirus</x18tc:text>
  </x18tc:threadedComment>
  <x18tc:threadedComment ref="N5" dT="2025-11-06T22:46:27.00" personId="{2ddfa542-8116-4937-a057-08470d7abaab}" id="{f8ba0c3e-b3eb-42a7-b29b-161c1d3c9de4}" done="1">
    <x18tc:text xml:space="preserve">Lo corregí porque así me salio en la calculadora</x18tc:text>
  </x18tc:threadedComment>
  <x18tc:threadedComment ref="I9" dT="2025-12-18T21:55:57.00" personId="{d8e4f5ad-b65d-4160-a56f-197530fb7eb1}" id="{cb40b689-bd21-40e1-915c-ed4ac2a40ed9}" done="0">
    <x18tc:text xml:space="preserve">Nombre : Diego Enrique Figueroa mamani 
DNI: 73310286</x18tc:text>
  </x18tc:threadedComment>
  <x18tc:threadedComment ref="I9" dT="2025-12-19T20:30:57.00" personId="{2ddfa542-8116-4937-a057-08470d7abaab}" id="{c5d306bc-dd4f-492e-a3aa-b3add1ccd848}" parentId="{cb40b689-bd21-40e1-915c-ed4ac2a40ed9}">
    <x18tc:text xml:space="preserve">https://drive.google.com/file/d/1wwItDHu-il3uE4WyC7s9alS9nZ9z7AzY/view?usp=drive_link</x18tc:text>
    <x18tc:extLst>
      <ext uri="{F7C98A9C-CBB3-438F-8F68-D28B6AF4A901}">
        <xltc2:checksum/>
        <xltc2:hyperlink startIndex="0" length="85" url="https://drive.google.com/file/d/1wwItDHu-il3uE4WyC7s9alS9nZ9z7AzY/view?usp=drive_link"/>
      </ext>
    </x18tc:extLst>
  </x18tc:threadedComment>
  <x18tc:threadedComment ref="I10" dT="2025-12-18T21:55:13.00" personId="{d8e4f5ad-b65d-4160-a56f-197530fb7eb1}" id="{8cf21061-db5c-4bbd-a875-ad2c0538791d}" done="0">
    <x18tc:text xml:space="preserve">Vander Keith Collao Maza
73224117</x18tc:text>
  </x18tc:threadedComment>
  <x18tc:threadedComment ref="I10" dT="2025-12-26T22:50:15.00" personId="{2ddfa542-8116-4937-a057-08470d7abaab}" id="{275c0c7f-c0d1-4ede-9cc9-36ca183549b7}" parentId="{8cf21061-db5c-4bbd-a875-ad2c0538791d}">
    <x18tc:text xml:space="preserve">https://drive.google.com/file/d/1az1dptWb3T57zBecRvg-XzdBD469sepC/view?usp=drive_link</x18tc:text>
    <x18tc:extLst>
      <ext uri="{F7C98A9C-CBB3-438F-8F68-D28B6AF4A901}">
        <xltc2:checksum/>
        <xltc2:hyperlink startIndex="0" length="85" url="https://drive.google.com/file/d/1az1dptWb3T57zBecRvg-XzdBD469sepC/view?usp=drive_link"/>
      </ext>
    </x18tc:extLst>
  </x18tc:threadedComment>
  <x18tc:threadedComment ref="Q5" dT="2025-11-06T22:47:24.00" personId="{2ddfa542-8116-4937-a057-08470d7abaab}" id="{d9f113e7-17a9-4edf-8c82-81969841ba9b}" done="1">
    <x18tc:text xml:space="preserve">Me parece que solo es S/ 40 = 399.23-169-23-190</x18tc:text>
  </x18tc:threadedComment>
  <x18tc:threadedComment ref="Q5" dT="2025-11-07T17:12:42.00" personId="{2ddfa542-8116-4937-a057-08470d7abaab}" id="{197ecf64-73c8-43bf-84a3-52a0bbe68463}" parentId="{d9f113e7-17a9-4edf-8c82-81969841ba9b}">
    <x18tc:text xml:space="preserve">esy
Marcado como resuelto</x18tc:text>
  </x18tc:threadedComment>
  <x18tc:threadedComment ref="L17" dT="2026-01-30T18:05:22.00" personId="{d8e4f5ad-b65d-4160-a56f-197530fb7eb1}" id="{96c9306a-8ba3-49e8-b2a6-af854441c6e3}" done="0">
    <x18tc:text xml:space="preserve">https://drive.google.com/file/d/19buKfyexhQId_ctNSsrd2CV4ffXmBg7W/view?usp=drive_link</x18tc:text>
    <x18tc:extLst>
      <ext uri="{F7C98A9C-CBB3-438F-8F68-D28B6AF4A901}">
        <xltc2:checksum/>
        <xltc2:hyperlink startIndex="0" length="85" url="https://drive.google.com/file/d/19buKfyexhQId_ctNSsrd2CV4ffXmBg7W/view?usp=drive_link"/>
      </ext>
    </x18tc:extLst>
  </x18tc:threadedComment>
  <x18tc:threadedComment ref="L24" dT="2026-03-05T23:09:11.00" personId="{d8e4f5ad-b65d-4160-a56f-197530fb7eb1}" id="{9eae933e-196a-438c-ab23-6ac3e79d9cb0}" done="0">
    <x18tc:text xml:space="preserve">https://drive.google.com/file/d/18IN4SdEZC4cx-TbKXxkVO1u8szlG0CAU/view?usp=drive_link</x18tc:text>
    <x18tc:extLst>
      <ext uri="{F7C98A9C-CBB3-438F-8F68-D28B6AF4A901}">
        <xltc2:checksum/>
        <xltc2:hyperlink startIndex="0" length="85" url="https://drive.google.com/file/d/18IN4SdEZC4cx-TbKXxkVO1u8szlG0CAU/view?usp=drive_link"/>
      </ext>
    </x18tc:extLst>
  </x18tc:threadedComment>
  <x18tc:threadedComment ref="M19" dT="2026-03-02T16:38:01.00" personId="{4df2d6c4-e43e-4f2e-b623-d90f458472ff}" id="{d6f6f782-c824-444a-8987-3ec64bcabc6d}" done="0">
    <x18tc:text xml:space="preserve">https://drive.google.com/file/d/1EC4VABP0t8Rcq-_8Bq8y9rJQhECtGmX8/view?usp=drive_link</x18tc:text>
    <x18tc:extLst>
      <ext uri="{F7C98A9C-CBB3-438F-8F68-D28B6AF4A901}">
        <xltc2:checksum/>
        <xltc2:hyperlink startIndex="0" length="85" url="https://drive.google.com/file/d/1EC4VABP0t8Rcq-_8Bq8y9rJQhECtGmX8/view?usp=drive_link"/>
      </ext>
    </x18tc:extLst>
  </x18tc:threadedComment>
  <x18tc:threadedComment ref="M4" dT="2025-10-29T18:14:18.00" personId="{d8e4f5ad-b65d-4160-a56f-197530fb7eb1}" id="{879a0c6f-4013-4a6f-876e-ffffdaf07c14}" done="0">
    <x18tc:text xml:space="preserve">https://drive.google.com/file/d/1wGxHwwINP7JCtNRMHJlaF5rnPS7WNdwH/view?usp=drive_link</x18tc:text>
    <x18tc:extLst>
      <ext uri="{F7C98A9C-CBB3-438F-8F68-D28B6AF4A901}">
        <xltc2:checksum/>
        <xltc2:hyperlink startIndex="0" length="85" url="https://drive.google.com/file/d/1wGxHwwINP7JCtNRMHJlaF5rnPS7WNdwH/view?usp=drive_link"/>
      </ext>
    </x18tc:extLst>
  </x18tc:threadedComment>
  <x18tc:threadedComment ref="M4" dT="2025-10-29T18:14:36.00" personId="{d8e4f5ad-b65d-4160-a56f-197530fb7eb1}" id="{4f8b9c36-6887-4639-bbcd-be749d938048}" parentId="{879a0c6f-4013-4a6f-876e-ffffdaf07c14}">
    <x18tc:text xml:space="preserve">https://drive.google.com/file/d/16y12KuH14tqcGiZ67LLNQEpiLVXOavJm/view?usp=drive_link</x18tc:text>
    <x18tc:extLst>
      <ext uri="{F7C98A9C-CBB3-438F-8F68-D28B6AF4A901}">
        <xltc2:checksum/>
        <xltc2:hyperlink startIndex="0" length="85" url="https://drive.google.com/file/d/16y12KuH14tqcGiZ67LLNQEpiLVXOavJm/view?usp=drive_link"/>
      </ext>
    </x18tc:extLst>
  </x18tc:threadedComment>
  <x18tc:threadedComment ref="M17" dT="2026-01-30T22:19:21.00" personId="{d8e4f5ad-b65d-4160-a56f-197530fb7eb1}" id="{5503410d-7aea-4ead-b3f5-32210ef5808d}" done="0">
    <x18tc:text xml:space="preserve">https://drive.google.com/file/d/1FMSnpn621GmBjB0-n-Pac4CyNwxiT-vm/view?usp=drive_link</x18tc:text>
    <x18tc:extLst>
      <ext uri="{F7C98A9C-CBB3-438F-8F68-D28B6AF4A901}">
        <xltc2:checksum/>
        <xltc2:hyperlink startIndex="0" length="85" url="https://drive.google.com/file/d/1FMSnpn621GmBjB0-n-Pac4CyNwxiT-vm/view?usp=drive_link"/>
      </ext>
    </x18tc:extLst>
  </x18tc:threadedComment>
  <x18tc:threadedComment ref="L15" dT="2026-01-17T15:58:11.00" personId="{d8e4f5ad-b65d-4160-a56f-197530fb7eb1}" id="{8882d0e8-1073-4d4a-b6f6-a2e2a586c0fb}" done="0">
    <x18tc:text xml:space="preserve">https://drive.google.com/file/d/1cyeO-82zHC9BRfGQXihkAxiIqw79HZ5r/view?usp=drive_link</x18tc:text>
    <x18tc:extLst>
      <ext uri="{F7C98A9C-CBB3-438F-8F68-D28B6AF4A901}">
        <xltc2:checksum/>
        <xltc2:hyperlink startIndex="0" length="85" url="https://drive.google.com/file/d/1cyeO-82zHC9BRfGQXihkAxiIqw79HZ5r/view?usp=drive_link"/>
      </ext>
    </x18tc:extLst>
  </x18tc:threadedComment>
  <x18tc:threadedComment ref="L14" dT="2026-01-17T15:58:05.00" personId="{d8e4f5ad-b65d-4160-a56f-197530fb7eb1}" id="{0559d33a-9a21-47d8-be2b-b87af70efc7d}" done="0">
    <x18tc:text xml:space="preserve">https://drive.google.com/file/d/1cyeO-82zHC9BRfGQXihkAxiIqw79HZ5r/view?usp=drive_link</x18tc:text>
    <x18tc:extLst>
      <ext uri="{F7C98A9C-CBB3-438F-8F68-D28B6AF4A901}">
        <xltc2:checksum/>
        <xltc2:hyperlink startIndex="0" length="85" url="https://drive.google.com/file/d/1cyeO-82zHC9BRfGQXihkAxiIqw79HZ5r/view?usp=drive_link"/>
      </ext>
    </x18tc:extLst>
  </x18tc:threadedComment>
  <x18tc:threadedComment ref="N16" dT="2026-01-17T15:51:45.00" personId="{d8e4f5ad-b65d-4160-a56f-197530fb7eb1}" id="{05d8615b-4274-4c6b-af45-a40fe3bc096f}" done="0">
    <x18tc:text xml:space="preserve">https://drive.google.com/file/d/1HiJEy3VONQ498cFfNqLPZvIBt6KPakYF/view?usp=drive_link</x18tc:text>
    <x18tc:extLst>
      <ext uri="{F7C98A9C-CBB3-438F-8F68-D28B6AF4A901}">
        <xltc2:checksum/>
        <xltc2:hyperlink startIndex="0" length="85" url="https://drive.google.com/file/d/1HiJEy3VONQ498cFfNqLPZvIBt6KPakYF/view?usp=drive_link"/>
      </ext>
    </x18tc:extLst>
  </x18tc:threadedComment>
  <x18tc:threadedComment ref="L16" dT="2026-01-17T15:51:32.00" personId="{d8e4f5ad-b65d-4160-a56f-197530fb7eb1}" id="{f6350ffd-aed8-4476-b2e3-ecc6f8c218d3}" done="0">
    <x18tc:text xml:space="preserve">https://drive.google.com/file/d/1Gpx_lb4ypCSKzIz0Jexeb382_qojEmED/view?usp=drive_link</x18tc:text>
    <x18tc:extLst>
      <ext uri="{F7C98A9C-CBB3-438F-8F68-D28B6AF4A901}">
        <xltc2:checksum/>
        <xltc2:hyperlink startIndex="0" length="85" url="https://drive.google.com/file/d/1Gpx_lb4ypCSKzIz0Jexeb382_qojEmED/view?usp=drive_link"/>
      </ext>
    </x18tc:extLst>
  </x18tc:threadedComment>
  <x18tc:threadedComment ref="L35" dT="2026-05-21T19:47:19.00" personId="{80195d68-4e9b-4dc7-a031-ca5391c97d0f}" id="{9f963a03-c2f1-4350-a41d-88426219e7de}" done="0">
    <x18tc:text xml:space="preserve">https://drive.google.com/file/d/18_cqhJxU-ii1HIReaHRO26r_pkAZ_B_Q/view?usp=drive_link</x18tc:text>
    <x18tc:extLst>
      <ext uri="{F7C98A9C-CBB3-438F-8F68-D28B6AF4A901}">
        <xltc2:checksum/>
        <xltc2:hyperlink startIndex="0" length="85" url="https://drive.google.com/file/d/18_cqhJxU-ii1HIReaHRO26r_pkAZ_B_Q/view?usp=drive_link"/>
      </ext>
    </x18tc:extLst>
  </x18tc:threadedComment>
  <x18tc:threadedComment ref="M36" dT="2026-05-19T00:24:20.00" personId="{f9b224d0-ee33-4499-ae47-db5bcd2d0435}" id="{485550d2-fd8d-4414-a61f-f225b7ff4407}" done="0">
    <x18tc:text xml:space="preserve">https://drive.google.com/file/d/1j163WrnjxNIYwLDjFv4_PWQwkX_ySZAd/view?usp=drive_link</x18tc:text>
    <x18tc:extLst>
      <ext uri="{F7C98A9C-CBB3-438F-8F68-D28B6AF4A901}">
        <xltc2:checksum/>
        <xltc2:hyperlink startIndex="0" length="85" url="https://drive.google.com/file/d/1j163WrnjxNIYwLDjFv4_PWQwkX_ySZAd/view?usp=drive_link"/>
      </ext>
    </x18tc:extLst>
  </x18tc:threadedComment>
  <x18tc:threadedComment ref="M36" dT="2026-05-19T00:25:25.00" personId="{f9b224d0-ee33-4499-ae47-db5bcd2d0435}" id="{95a1666a-2c61-4dd6-a6cc-c2b1c6852231}" parentId="{485550d2-fd8d-4414-a61f-f225b7ff4407}">
    <x18tc:text xml:space="preserve">https://drive.google.com/file/d/1W3VerfSTD9Qw6SLUIrz1S9BJ4ItuUSTn/view?usp=drive_link</x18tc:text>
    <x18tc:extLst>
      <ext uri="{F7C98A9C-CBB3-438F-8F68-D28B6AF4A901}">
        <xltc2:checksum/>
        <xltc2:hyperlink startIndex="0" length="85" url="https://drive.google.com/file/d/1W3VerfSTD9Qw6SLUIrz1S9BJ4ItuUSTn/view?usp=drive_link"/>
      </ext>
    </x18tc:extLst>
  </x18tc:threadedComment>
  <x18tc:threadedComment ref="M36" dT="2026-05-19T00:26:07.00" personId="{f9b224d0-ee33-4499-ae47-db5bcd2d0435}" id="{f203a364-8558-40bb-b2a8-f0d792d59c02}" parentId="{485550d2-fd8d-4414-a61f-f225b7ff4407}">
    <x18tc:text xml:space="preserve">https://drive.google.com/file/d/1J-a_8wd-OFRiTBM6gB0kn4dKHjZeu_Yr/view?usp=drive_link</x18tc:text>
    <x18tc:extLst>
      <ext uri="{F7C98A9C-CBB3-438F-8F68-D28B6AF4A901}">
        <xltc2:checksum/>
        <xltc2:hyperlink startIndex="0" length="85" url="https://drive.google.com/file/d/1J-a_8wd-OFRiTBM6gB0kn4dKHjZeu_Yr/view?usp=drive_link"/>
      </ext>
    </x18tc:extLst>
  </x18tc:threadedComment>
  <x18tc:threadedComment ref="M36" dT="2026-05-19T00:26:55.00" personId="{f9b224d0-ee33-4499-ae47-db5bcd2d0435}" id="{ade59a05-47a1-4453-a067-64acbc888fe6}" parentId="{485550d2-fd8d-4414-a61f-f225b7ff4407}">
    <x18tc:text xml:space="preserve">https://drive.google.com/file/d/10K5s5Ghi5XRY_GhgCbPW3RiCdxAdBbXo/view?usp=drive_link</x18tc:text>
    <x18tc:extLst>
      <ext uri="{F7C98A9C-CBB3-438F-8F68-D28B6AF4A901}">
        <xltc2:checksum/>
        <xltc2:hyperlink startIndex="0" length="85" url="https://drive.google.com/file/d/10K5s5Ghi5XRY_GhgCbPW3RiCdxAdBbXo/view?usp=drive_link"/>
      </ext>
    </x18tc:extLst>
  </x18tc:threadedComment>
  <x18tc:threadedComment ref="M36" dT="2026-05-19T00:28:17.00" personId="{f9b224d0-ee33-4499-ae47-db5bcd2d0435}" id="{d4f00c6e-acb8-4c81-8f5c-6968e747cb81}" parentId="{485550d2-fd8d-4414-a61f-f225b7ff4407}">
    <x18tc:text xml:space="preserve">https://drive.google.com/file/d/1KWoUljI3LgNlW3zhPoOIFi27E69RhiDd/view?usp=drive_link</x18tc:text>
    <x18tc:extLst>
      <ext uri="{F7C98A9C-CBB3-438F-8F68-D28B6AF4A901}">
        <xltc2:checksum/>
        <xltc2:hyperlink startIndex="0" length="85" url="https://drive.google.com/file/d/1KWoUljI3LgNlW3zhPoOIFi27E69RhiDd/view?usp=drive_link"/>
      </ext>
    </x18tc:extLst>
  </x18tc:threadedComment>
  <x18tc:threadedComment ref="M36" dT="2026-05-19T00:29:07.00" personId="{f9b224d0-ee33-4499-ae47-db5bcd2d0435}" id="{633bb232-84af-4a85-958c-0b0f85fdd74b}" parentId="{485550d2-fd8d-4414-a61f-f225b7ff4407}">
    <x18tc:text xml:space="preserve">https://drive.google.com/file/d/1rB4-7n9t1uaZ99xaBtWiQnSaqPPMlfUH/view?usp=drive_link</x18tc:text>
    <x18tc:extLst>
      <ext uri="{F7C98A9C-CBB3-438F-8F68-D28B6AF4A901}">
        <xltc2:checksum/>
        <xltc2:hyperlink startIndex="0" length="85" url="https://drive.google.com/file/d/1rB4-7n9t1uaZ99xaBtWiQnSaqPPMlfUH/view?usp=drive_link"/>
      </ext>
    </x18tc:extLst>
  </x18tc:threadedComment>
  <x18tc:threadedComment ref="M35" dT="2026-05-21T19:48:35.00" personId="{80195d68-4e9b-4dc7-a031-ca5391c97d0f}" id="{cac3415c-9201-4503-b91f-311c3be84243}" done="0">
    <x18tc:text xml:space="preserve">https://drive.google.com/file/d/16S6FZNXuwsd6onH3SDp9_7vcT1QC-74L/view?usp=drive_link</x18tc:text>
    <x18tc:extLst>
      <ext uri="{F7C98A9C-CBB3-438F-8F68-D28B6AF4A901}">
        <xltc2:checksum/>
        <xltc2:hyperlink startIndex="0" length="85" url="https://drive.google.com/file/d/16S6FZNXuwsd6onH3SDp9_7vcT1QC-74L/view?usp=drive_link"/>
      </ext>
    </x18tc:extLst>
  </x18tc:threadedComment>
  <x18tc:threadedComment ref="L36" dT="2026-05-19T00:21:59.00" personId="{f9b224d0-ee33-4499-ae47-db5bcd2d0435}" id="{45d5413f-c51b-4437-b5a4-717ae7568787}" done="0">
    <x18tc:text xml:space="preserve">https://drive.google.com/file/d/1BaoGa_DlzG_LrHIvXfwbFo7pzBe6nyBs/view?usp=drive_link</x18tc:text>
    <x18tc:extLst>
      <ext uri="{F7C98A9C-CBB3-438F-8F68-D28B6AF4A901}">
        <xltc2:checksum/>
        <xltc2:hyperlink startIndex="0" length="85" url="https://drive.google.com/file/d/1BaoGa_DlzG_LrHIvXfwbFo7pzBe6nyBs/view?usp=drive_link"/>
      </ext>
    </x18tc:extLst>
  </x18tc:threadedComment>
  <x18tc:threadedComment ref="I25" dT="2026-03-23T23:46:11.00" personId="{80195d68-4e9b-4dc7-a031-ca5391c97d0f}" id="{072518ab-e6fa-48ec-96d4-a60ebc79765a}" done="0">
    <x18tc:text xml:space="preserve">Factura 
RUC: 20533847901
Entidad de perforación y obras Cadillo</x18tc:text>
  </x18tc:threadedComment>
  <x18tc:threadedComment ref="H28" dT="2026-04-26T21:14:57.00" personId="{2ddfa542-8116-4937-a057-08470d7abaab}" id="{c426bda3-40fa-4047-b124-3f6aa6c1eb06}" done="1">
    <x18tc:text xml:space="preserve">VOUCHERS</x18tc:text>
  </x18tc:threadedComment>
  <x18tc:threadedComment ref="L33" dT="2026-05-02T17:46:06.00" personId="{d8e4f5ad-b65d-4160-a56f-197530fb7eb1}" id="{ec78a6d5-ba55-4470-8222-2f28f19fde04}" done="0">
    <x18tc:text xml:space="preserve">https://drive.google.com/file/d/1iAXK5YqjYHcpAcBb5RlfiDCrSkcYmzeb/view?usp=drive_link</x18tc:text>
    <x18tc:extLst>
      <ext uri="{F7C98A9C-CBB3-438F-8F68-D28B6AF4A901}">
        <xltc2:checksum/>
        <xltc2:hyperlink startIndex="0" length="85" url="https://drive.google.com/file/d/1iAXK5YqjYHcpAcBb5RlfiDCrSkcYmzeb/view?usp=drive_link"/>
      </ext>
    </x18tc:extLst>
  </x18tc:threadedComment>
  <x18tc:threadedComment ref="L12" dT="2025-12-13T21:18:58.00" personId="{d8e4f5ad-b65d-4160-a56f-197530fb7eb1}" id="{2533aa28-67e0-4bee-86a9-95ef6721ea83}" done="0">
    <x18tc:text xml:space="preserve">https://drive.google.com/file/d/1XMmW9vAkjeVEIlMMuSmCVucQqReTKSwH/view?usp=drive_link</x18tc:text>
    <x18tc:extLst>
      <ext uri="{F7C98A9C-CBB3-438F-8F68-D28B6AF4A901}">
        <xltc2:checksum/>
        <xltc2:hyperlink startIndex="0" length="85" url="https://drive.google.com/file/d/1XMmW9vAkjeVEIlMMuSmCVucQqReTKSwH/view?usp=drive_link"/>
      </ext>
    </x18tc:extLst>
  </x18tc:threadedComment>
  <x18tc:threadedComment ref="L28" dT="2026-04-27T16:33:56.00" personId="{80195d68-4e9b-4dc7-a031-ca5391c97d0f}" id="{cd704236-ca16-43c1-8fae-8604e8943c18}" done="0">
    <x18tc:text xml:space="preserve">https://drive.google.com/file/d/1e-QU2yNiUbi9lV9NJWKCb_G-IKEaBldH/view?usp=drive_link</x18tc:text>
    <x18tc:extLst>
      <ext uri="{F7C98A9C-CBB3-438F-8F68-D28B6AF4A901}">
        <xltc2:checksum/>
        <xltc2:hyperlink startIndex="0" length="85" url="https://drive.google.com/file/d/1e-QU2yNiUbi9lV9NJWKCb_G-IKEaBldH/view?usp=drive_link"/>
      </ext>
    </x18tc:extLst>
  </x18tc:threadedComment>
  <x18tc:threadedComment ref="M28" dT="2026-04-27T16:36:00.00" personId="{80195d68-4e9b-4dc7-a031-ca5391c97d0f}" id="{9de82547-fc43-41e9-aec8-6f01c05fd6d9}" done="0">
    <x18tc:text xml:space="preserve">https://drive.google.com/file/d/1cYvJWiYkYWbPUociXUbphxLFyuuiIpsm/view?usp=drive_link</x18tc:text>
    <x18tc:extLst>
      <ext uri="{F7C98A9C-CBB3-438F-8F68-D28B6AF4A901}">
        <xltc2:checksum/>
        <xltc2:hyperlink startIndex="0" length="85" url="https://drive.google.com/file/d/1cYvJWiYkYWbPUociXUbphxLFyuuiIpsm/view?usp=drive_link"/>
      </ext>
    </x18tc:extLst>
  </x18tc:threadedComment>
  <x18tc:threadedComment ref="M18" dT="2026-01-29T22:59:32.00" personId="{f9b224d0-ee33-4499-ae47-db5bcd2d0435}" id="{72cc83c6-72c6-4764-b0b2-220b24f7268d}" done="0">
    <x18tc:text xml:space="preserve">https://drive.google.com/file/d/14AnPtEQ8pXRR558r44A7n1ESxPI3bs6f/view?usp=drive_link</x18tc:text>
    <x18tc:extLst>
      <ext uri="{F7C98A9C-CBB3-438F-8F68-D28B6AF4A901}">
        <xltc2:checksum/>
        <xltc2:hyperlink startIndex="0" length="85" url="https://drive.google.com/file/d/14AnPtEQ8pXRR558r44A7n1ESxPI3bs6f/view?usp=drive_link"/>
      </ext>
    </x18tc:extLst>
  </x18tc:threadedComment>
  <x18tc:threadedComment ref="L39" dT="2026-06-22T17:21:11.00" personId="{80195d68-4e9b-4dc7-a031-ca5391c97d0f}" id="{080733f0-e5f6-460c-8435-41e694fa2600}" done="0">
    <x18tc:text xml:space="preserve">https://drive.google.com/file/d/1Q2wWlO9PKIylTiyhwo12Mk5UEAAC72oK/view?usp=drive_link</x18tc:text>
    <x18tc:extLst>
      <ext uri="{F7C98A9C-CBB3-438F-8F68-D28B6AF4A901}">
        <xltc2:checksum/>
        <xltc2:hyperlink startIndex="0" length="85" url="https://drive.google.com/file/d/1Q2wWlO9PKIylTiyhwo12Mk5UEAAC72oK/view?usp=drive_link"/>
      </ext>
    </x18tc:extLst>
  </x18tc:threadedComment>
  <x18tc:threadedComment ref="T13" dT="2026-01-03T18:56:18.00" personId="{2ddfa542-8116-4937-a057-08470d7abaab}" id="{56af1302-1f5d-469a-9052-ae97422b7e68}" done="0">
    <x18tc:text xml:space="preserve">se puso en la columna T de accesorios adicionales de la fila 437</x18tc:text>
  </x18tc:threadedComment>
  <x18tc:threadedComment ref="M37" dT="2026-06-22T17:10:27.00" personId="{80195d68-4e9b-4dc7-a031-ca5391c97d0f}" id="{e6b36f6d-1d97-4490-a6df-049a625c47f1}" done="0">
    <x18tc:text xml:space="preserve">https://drive.google.com/file/d/1YBeQskJ97tV5P-4nUF6hSnaGvlLPSuzl/view?usp=drive_link</x18tc:text>
    <x18tc:extLst>
      <ext uri="{F7C98A9C-CBB3-438F-8F68-D28B6AF4A901}">
        <xltc2:checksum/>
        <xltc2:hyperlink startIndex="0" length="85" url="https://drive.google.com/file/d/1YBeQskJ97tV5P-4nUF6hSnaGvlLPSuzl/view?usp=drive_link"/>
      </ext>
    </x18tc:extLst>
  </x18tc:threadedComment>
  <x18tc:threadedComment ref="I24" dT="2026-03-30T15:46:19.00" personId="{d8e4f5ad-b65d-4160-a56f-197530fb7eb1}" id="{d53b5417-ef01-45c4-850f-7069f530c510}" done="0">
    <x18tc:text xml:space="preserve">Factura
990 965 190
EIT INGENIERÍA CORPORATIVA SAC
20603428791
carlos.laura.callupe@gmail.com 
HP OMEN 16-AM0073DX GAMING Core™ Ultra 7 255H 1TB SSD 16GB 16 (1920x1200) 144Hz WIN11 NVIDIA® RTX 5060 8192MB SHADOW BLACK RGB Backlit Keyboard
MONTO 5719 SOLES</x18tc:text>
  </x18tc:threadedComment>
  <x18tc:threadedComment ref="L41" dT="2026-06-10T23:29:30.00" personId="{f9b224d0-ee33-4499-ae47-db5bcd2d0435}" id="{f98c3e8f-8d90-45b5-bd13-ea7ef7d9cd59}" done="0">
    <x18tc:text xml:space="preserve">https://drive.google.com/file/d/1R3XaVTSrODRkKTboy_h9S0xCvzjKqA0J/view?usp=drive_link</x18tc:text>
    <x18tc:extLst>
      <ext uri="{F7C98A9C-CBB3-438F-8F68-D28B6AF4A901}">
        <xltc2:checksum/>
        <xltc2:hyperlink startIndex="0" length="85" url="https://drive.google.com/file/d/1R3XaVTSrODRkKTboy_h9S0xCvzjKqA0J/view?usp=drive_link"/>
      </ext>
    </x18tc:extLst>
  </x18tc:threadedComment>
  <x18tc:threadedComment ref="M41" dT="2026-06-10T23:30:22.00" personId="{f9b224d0-ee33-4499-ae47-db5bcd2d0435}" id="{04c43e0f-05d3-40a0-a23b-3530b214a227}" done="0">
    <x18tc:text xml:space="preserve">https://drive.google.com/file/d/13GcozWZFhF2QS8t3JW6p9FiwJtdllY-Y/view?usp=drive_link</x18tc:text>
    <x18tc:extLst>
      <ext uri="{F7C98A9C-CBB3-438F-8F68-D28B6AF4A901}">
        <xltc2:checksum/>
        <xltc2:hyperlink startIndex="0" length="85" url="https://drive.google.com/file/d/13GcozWZFhF2QS8t3JW6p9FiwJtdllY-Y/view?usp=drive_link"/>
      </ext>
    </x18tc:extLst>
  </x18tc:threadedComment>
  <x18tc:threadedComment ref="M39" dT="2026-06-22T17:14:35.00" personId="{80195d68-4e9b-4dc7-a031-ca5391c97d0f}" id="{ed76fe8a-e402-4b47-843a-c4da47571be0}" done="0">
    <x18tc:text xml:space="preserve">https://drive.google.com/file/d/1Z4ozzVOn1qwv5A_mZn8R0UL5YP-R2HM4/view?usp=drive_link
https://drive.google.com/file/d/1IKRSw2KRiIxuzuY395wgFrKtbsvDs1qa/view?usp=drive_link</x18tc:text>
    <x18tc:extLst>
      <ext uri="{F7C98A9C-CBB3-438F-8F68-D28B6AF4A901}">
        <xltc2:checksum/>
        <xltc2:hyperlink startIndex="0" length="85" url="https://drive.google.com/file/d/1Z4ozzVOn1qwv5A_mZn8R0UL5YP-R2HM4/view?usp=drive_link"/>
        <xltc2:hyperlink startIndex="86" length="85" url="https://drive.google.com/file/d/1IKRSw2KRiIxuzuY395wgFrKtbsvDs1qa/view?usp=drive_link"/>
      </ext>
    </x18tc:extLst>
  </x18tc:threadedComment>
  <x18tc:threadedComment ref="M40" dT="2026-06-10T23:31:26.00" personId="{f9b224d0-ee33-4499-ae47-db5bcd2d0435}" id="{1af677da-6ea1-40b6-a8fe-ec51035506d5}" done="0">
    <x18tc:text xml:space="preserve">https://drive.google.com/file/d/1cEkqjoDLu04yW-bRz8GV9juNPmRINo7d/view?usp=drive_link</x18tc:text>
    <x18tc:extLst>
      <ext uri="{F7C98A9C-CBB3-438F-8F68-D28B6AF4A901}">
        <xltc2:checksum/>
        <xltc2:hyperlink startIndex="0" length="85" url="https://drive.google.com/file/d/1cEkqjoDLu04yW-bRz8GV9juNPmRINo7d/view?usp=drive_link"/>
      </ext>
    </x18tc:extLst>
  </x18tc:threadedComment>
  <x18tc:threadedComment ref="M40" dT="2026-06-10T23:32:28.00" personId="{f9b224d0-ee33-4499-ae47-db5bcd2d0435}" id="{c482f643-0319-4815-ad5b-280530cdadda}" parentId="{1af677da-6ea1-40b6-a8fe-ec51035506d5}">
    <x18tc:text xml:space="preserve">https://drive.google.com/file/d/15euywro3twg_YxXwiGTR59XvESmjfrpc/view?usp=drive_link</x18tc:text>
    <x18tc:extLst>
      <ext uri="{F7C98A9C-CBB3-438F-8F68-D28B6AF4A901}">
        <xltc2:checksum/>
        <xltc2:hyperlink startIndex="0" length="85" url="https://drive.google.com/file/d/15euywro3twg_YxXwiGTR59XvESmjfrpc/view?usp=drive_link"/>
      </ext>
    </x18tc:extLst>
  </x18tc:threadedComment>
  <x18tc:threadedComment ref="L37" dT="2026-06-22T17:09:25.00" personId="{80195d68-4e9b-4dc7-a031-ca5391c97d0f}" id="{962dc63c-cde6-4539-bb0d-d86745f013a3}" done="0">
    <x18tc:text xml:space="preserve">https://drive.google.com/file/d/1BfKieFDePcGASjKptiqxLcYVO-tCbpGa/view?usp=drive_link</x18tc:text>
    <x18tc:extLst>
      <ext uri="{F7C98A9C-CBB3-438F-8F68-D28B6AF4A901}">
        <xltc2:checksum/>
        <xltc2:hyperlink startIndex="0" length="85" url="https://drive.google.com/file/d/1BfKieFDePcGASjKptiqxLcYVO-tCbpGa/view?usp=drive_link"/>
      </ext>
    </x18tc:extLst>
  </x18tc:threadedComment>
  <x18tc:threadedComment ref="I14" dT="2026-01-03T17:07:54.00" personId="{d8e4f5ad-b65d-4160-a56f-197530fb7eb1}" id="{d6712599-541c-45ff-a4e4-6f98619126b7}" done="0">
    <x18tc:text xml:space="preserve">factura -ROMAX CONTRATISTAS S.A.C.
RUC: 206042688433</x18tc:text>
  </x18tc:threadedComment>
  <x18tc:threadedComment ref="I14" dT="2026-01-03T18:28:32.00" personId="{2ddfa542-8116-4937-a057-08470d7abaab}" id="{c941eec0-d831-4156-a766-61c57c556b3f}" parentId="{d6712599-541c-45ff-a4e4-6f98619126b7}">
    <x18tc:text xml:space="preserve">Todavia falta agregarles los terminos y condiciones a la factura emitida</x18tc:text>
  </x18tc:threadedComment>
  <x18tc:threadedComment ref="I14" dT="2026-01-16T21:10:16.00" personId="{2ddfa542-8116-4937-a057-08470d7abaab}" id="{d2eda52d-c38a-4537-b3fe-ef84e32cfa32}" parentId="{d6712599-541c-45ff-a4e4-6f98619126b7}">
    <x18tc:text xml:space="preserve">https://drive.google.com/file/d/1HezjH1Puwj2ol8UUK-orE1vYd8hJY7qd/view?usp=drive_link</x18tc:text>
    <x18tc:extLst>
      <ext uri="{F7C98A9C-CBB3-438F-8F68-D28B6AF4A901}">
        <xltc2:checksum/>
        <xltc2:hyperlink startIndex="0" length="85" url="https://drive.google.com/file/d/1HezjH1Puwj2ol8UUK-orE1vYd8hJY7qd/view?usp=drive_link"/>
      </ext>
    </x18tc:extLst>
  </x18tc:threadedComment>
  <x18tc:threadedComment ref="L31" dT="2026-04-18T00:38:11.00" personId="{d8e4f5ad-b65d-4160-a56f-197530fb7eb1}" id="{21b11d53-9366-4602-8b25-d5435edca835}" done="0">
    <x18tc:text xml:space="preserve">https://drive.google.com/file/d/1iXyOElSlr55BlYpvIbguobPW_jVuwAio/view?usp=drive_link</x18tc:text>
    <x18tc:extLst>
      <ext uri="{F7C98A9C-CBB3-438F-8F68-D28B6AF4A901}">
        <xltc2:checksum/>
        <xltc2:hyperlink startIndex="0" length="85" url="https://drive.google.com/file/d/1iXyOElSlr55BlYpvIbguobPW_jVuwAio/view?usp=drive_link"/>
      </ext>
    </x18tc:extLst>
  </x18tc:threadedComment>
  <x18tc:threadedComment ref="L31" dT="2026-04-18T00:38:27.00" personId="{d8e4f5ad-b65d-4160-a56f-197530fb7eb1}" id="{17cb26ef-66a3-49fc-aa31-baf234b3784d}" parentId="{21b11d53-9366-4602-8b25-d5435edca835}">
    <x18tc:text xml:space="preserve">https://drive.google.com/file/d/1aa59H2f5vinJhRPs1GzFzLytLs0YwyFv/view?usp=drive_link</x18tc:text>
    <x18tc:extLst>
      <ext uri="{F7C98A9C-CBB3-438F-8F68-D28B6AF4A901}">
        <xltc2:checksum/>
        <xltc2:hyperlink startIndex="0" length="85" url="https://drive.google.com/file/d/1aa59H2f5vinJhRPs1GzFzLytLs0YwyFv/view?usp=drive_link"/>
      </ext>
    </x18tc:extLst>
  </x18tc:threadedComment>
  <x18tc:threadedComment ref="L31" dT="2026-04-18T00:40:32.00" personId="{d8e4f5ad-b65d-4160-a56f-197530fb7eb1}" id="{4e5f6447-5aa7-4527-af76-15318d5c3a1f}" parentId="{21b11d53-9366-4602-8b25-d5435edca835}">
    <x18tc:text xml:space="preserve">https://drive.google.com/file/d/1e9Q1lDqNtx4ypFQ4vN4CJjLuodaEgOXu/view?usp=drive_link</x18tc:text>
    <x18tc:extLst>
      <ext uri="{F7C98A9C-CBB3-438F-8F68-D28B6AF4A901}">
        <xltc2:checksum/>
        <xltc2:hyperlink startIndex="0" length="85" url="https://drive.google.com/file/d/1e9Q1lDqNtx4ypFQ4vN4CJjLuodaEgOXu/view?usp=drive_link"/>
      </ext>
    </x18tc:extLst>
  </x18tc:threadedComment>
  <x18tc:threadedComment ref="T37" dT="2026-06-22T17:12:45.00" personId="{80195d68-4e9b-4dc7-a031-ca5391c97d0f}" id="{21514100-8e5b-4b07-b375-18f244b2ed81}" done="0">
    <x18tc:text xml:space="preserve">para apertura y configuracion de fila 39</x18tc:text>
  </x18tc:threadedComment>
  <x18tc:threadedComment ref="L32" dT="2026-04-24T18:59:15.00" personId="{d8e4f5ad-b65d-4160-a56f-197530fb7eb1}" id="{aa0fd512-9edf-4679-869a-d904b6b55124}" done="0">
    <x18tc:text xml:space="preserve">https://drive.google.com/file/d/139enGNXIqYZM7wS00gkOvAdBHbSV-gea/view?usp=drive_link</x18tc:text>
    <x18tc:extLst>
      <ext uri="{F7C98A9C-CBB3-438F-8F68-D28B6AF4A901}">
        <xltc2:checksum/>
        <xltc2:hyperlink startIndex="0" length="85" url="https://drive.google.com/file/d/139enGNXIqYZM7wS00gkOvAdBHbSV-gea/view?usp=drive_link"/>
      </ext>
    </x18tc:extLst>
  </x18tc:threadedComment>
  <x18tc:threadedComment ref="M38" dT="2026-05-29T18:55:34.00" personId="{f9b224d0-ee33-4499-ae47-db5bcd2d0435}" id="{fdc3144a-8e5b-41c9-81a9-dbcd2750227d}" done="0">
    <x18tc:text xml:space="preserve">https://drive.google.com/file/d/1FSIkOnTWebgFJkyI7ONXWr22kIE6wiXs/view?usp=drive_link</x18tc:text>
    <x18tc:extLst>
      <ext uri="{F7C98A9C-CBB3-438F-8F68-D28B6AF4A901}">
        <xltc2:checksum/>
        <xltc2:hyperlink startIndex="0" length="85" url="https://drive.google.com/file/d/1FSIkOnTWebgFJkyI7ONXWr22kIE6wiXs/view?usp=drive_link"/>
      </ext>
    </x18tc:extLst>
  </x18tc:threadedComment>
  <x18tc:threadedComment ref="M38" dT="2026-05-29T18:56:41.00" personId="{f9b224d0-ee33-4499-ae47-db5bcd2d0435}" id="{0c9aca62-83d8-4055-b6c9-b2cf19dbf246}" parentId="{fdc3144a-8e5b-41c9-81a9-dbcd2750227d}">
    <x18tc:text xml:space="preserve">https://drive.google.com/file/d/12EX_st7vWxmL5VgFCh23WIyUZXavNpOU/view?usp=drive_link</x18tc:text>
    <x18tc:extLst>
      <ext uri="{F7C98A9C-CBB3-438F-8F68-D28B6AF4A901}">
        <xltc2:checksum/>
        <xltc2:hyperlink startIndex="0" length="85" url="https://drive.google.com/file/d/12EX_st7vWxmL5VgFCh23WIyUZXavNpOU/view?usp=drive_link"/>
      </ext>
    </x18tc:extLst>
  </x18tc:threadedComment>
  <x18tc:threadedComment ref="M38" dT="2026-05-29T18:57:38.00" personId="{f9b224d0-ee33-4499-ae47-db5bcd2d0435}" id="{481ba640-2067-48aa-8ffe-099e56ae7013}" parentId="{fdc3144a-8e5b-41c9-81a9-dbcd2750227d}">
    <x18tc:text xml:space="preserve">https://drive.google.com/file/d/1TUO4jiC1_R3T8l50EJHLLx78Hczyri2J/view?usp=drive_link</x18tc:text>
    <x18tc:extLst>
      <ext uri="{F7C98A9C-CBB3-438F-8F68-D28B6AF4A901}">
        <xltc2:checksum/>
        <xltc2:hyperlink startIndex="0" length="85" url="https://drive.google.com/file/d/1TUO4jiC1_R3T8l50EJHLLx78Hczyri2J/view?usp=drive_link"/>
      </ext>
    </x18tc:extLst>
  </x18tc:threadedComment>
  <x18tc:threadedComment ref="M38" dT="2026-05-29T18:58:31.00" personId="{f9b224d0-ee33-4499-ae47-db5bcd2d0435}" id="{47cccc7b-9dc9-4c54-8b1c-7be2a4a79b39}" parentId="{fdc3144a-8e5b-41c9-81a9-dbcd2750227d}">
    <x18tc:text xml:space="preserve">https://drive.google.com/file/d/1n6R623XC_ij_F8yXS0ztA2b2d98KcL-q/view?usp=drive_link</x18tc:text>
    <x18tc:extLst>
      <ext uri="{F7C98A9C-CBB3-438F-8F68-D28B6AF4A901}">
        <xltc2:checksum/>
        <xltc2:hyperlink startIndex="0" length="85" url="https://drive.google.com/file/d/1n6R623XC_ij_F8yXS0ztA2b2d98KcL-q/view?usp=drive_link"/>
      </ext>
    </x18tc:extLst>
  </x18tc:threadedComment>
  <x18tc:threadedComment ref="M44" dT="2026-06-25T23:14:14.00" personId="{f9b224d0-ee33-4499-ae47-db5bcd2d0435}" id="{a8260df2-af83-43c5-ba52-5c95bed59079}" done="0">
    <x18tc:text xml:space="preserve">https://drive.google.com/file/d/1s02BBPFsD3WdfYOjvdOQH83eq2KZiTuB/view?usp=drive_link</x18tc:text>
    <x18tc:extLst>
      <ext uri="{F7C98A9C-CBB3-438F-8F68-D28B6AF4A901}">
        <xltc2:checksum/>
        <xltc2:hyperlink startIndex="0" length="85" url="https://drive.google.com/file/d/1s02BBPFsD3WdfYOjvdOQH83eq2KZiTuB/view?usp=drive_link"/>
      </ext>
    </x18tc:extLst>
  </x18tc:threadedComment>
  <x18tc:threadedComment ref="M44" dT="2026-06-25T23:15:06.00" personId="{f9b224d0-ee33-4499-ae47-db5bcd2d0435}" id="{b771f12a-f59b-4d7e-abe8-755fa83e166e}" parentId="{a8260df2-af83-43c5-ba52-5c95bed59079}">
    <x18tc:text xml:space="preserve">https://drive.google.com/file/d/1xftEZOqcpRX3QIixZGla-Od1cNRblqho/view?usp=drive_link</x18tc:text>
    <x18tc:extLst>
      <ext uri="{F7C98A9C-CBB3-438F-8F68-D28B6AF4A901}">
        <xltc2:checksum/>
        <xltc2:hyperlink startIndex="0" length="85" url="https://drive.google.com/file/d/1xftEZOqcpRX3QIixZGla-Od1cNRblqho/view?usp=drive_link"/>
      </ext>
    </x18tc:extLst>
  </x18tc:threadedComment>
  <x18tc:threadedComment ref="M44" dT="2026-06-25T23:16:25.00" personId="{f9b224d0-ee33-4499-ae47-db5bcd2d0435}" id="{8329cb71-f776-4f20-9fe9-05d8ce8f5afa}" parentId="{a8260df2-af83-43c5-ba52-5c95bed59079}">
    <x18tc:text xml:space="preserve">https://drive.google.com/file/d/14f83Kh54vAgZS2zqMOMoJRXY9DC91VDJ/view?usp=drive_link</x18tc:text>
    <x18tc:extLst>
      <ext uri="{F7C98A9C-CBB3-438F-8F68-D28B6AF4A901}">
        <xltc2:checksum/>
        <xltc2:hyperlink startIndex="0" length="85" url="https://drive.google.com/file/d/14f83Kh54vAgZS2zqMOMoJRXY9DC91VDJ/view?usp=drive_link"/>
      </ext>
    </x18tc:extLst>
  </x18tc:threadedComment>
  <x18tc:threadedComment ref="L44" dT="2026-06-25T21:32:22.00" personId="{f9b224d0-ee33-4499-ae47-db5bcd2d0435}" id="{7a265cdb-b9a5-424b-ae18-71bbdb50c9c3}" done="0">
    <x18tc:text xml:space="preserve">https://drive.google.com/file/d/1ZKIsrNiQuOTJ20rbYrP76SfOVk9nSqUU/view?usp=drive_link</x18tc:text>
    <x18tc:extLst>
      <ext uri="{F7C98A9C-CBB3-438F-8F68-D28B6AF4A901}">
        <xltc2:checksum/>
        <xltc2:hyperlink startIndex="0" length="85" url="https://drive.google.com/file/d/1ZKIsrNiQuOTJ20rbYrP76SfOVk9nSqUU/view?usp=drive_link"/>
      </ext>
    </x18tc:extLst>
  </x18tc:threadedComment>
  <x18tc:threadedComment ref="L44" dT="2026-06-25T23:13:14.00" personId="{f9b224d0-ee33-4499-ae47-db5bcd2d0435}" id="{2a342589-9822-45af-a56f-d251375767f7}" parentId="{7a265cdb-b9a5-424b-ae18-71bbdb50c9c3}">
    <x18tc:text xml:space="preserve">https://drive.google.com/file/d/1bj0rYp6noXd4B_jWd6dNgSO1M6HWIZGF/view?usp=drive_link</x18tc:text>
    <x18tc:extLst>
      <ext uri="{F7C98A9C-CBB3-438F-8F68-D28B6AF4A901}">
        <xltc2:checksum/>
        <xltc2:hyperlink startIndex="0" length="85" url="https://drive.google.com/file/d/1bj0rYp6noXd4B_jWd6dNgSO1M6HWIZGF/view?usp=drive_link"/>
      </ext>
    </x18tc:extLst>
  </x18tc:threadedComment>
  <x18tc:threadedComment ref="I3" dT="2025-10-23T17:08:09.00" personId="{d8e4f5ad-b65d-4160-a56f-197530fb7eb1}" id="{6a7f97b8-60c4-4dd9-84ef-78027f0b3463}" done="0">
    <x18tc:text xml:space="preserve">https://drive.google.com/file/d/1vgU5p5TAb445AQBEa53KrjPYH8j5oDEz/view?usp=drive_link</x18tc:text>
    <x18tc:extLst>
      <ext uri="{F7C98A9C-CBB3-438F-8F68-D28B6AF4A901}">
        <xltc2:checksum/>
        <xltc2:hyperlink startIndex="0" length="85" url="https://drive.google.com/file/d/1vgU5p5TAb445AQBEa53KrjPYH8j5oDEz/view?usp=drive_link"/>
      </ext>
    </x18tc:extLst>
  </x18tc:threadedComment>
  <x18tc:threadedComment ref="M5" dT="2025-11-01T02:01:01.00" personId="{d8e4f5ad-b65d-4160-a56f-197530fb7eb1}" id="{a283defa-fb72-40ab-8f0e-0a9bffad210f}" done="0">
    <x18tc:text xml:space="preserve">https://drive.google.com/file/d/1h3pSODkEYYQxcUaAEpTqb55toN_vkoNU/view?usp=drive_link</x18tc:text>
    <x18tc:extLst>
      <ext uri="{F7C98A9C-CBB3-438F-8F68-D28B6AF4A901}">
        <xltc2:checksum/>
        <xltc2:hyperlink startIndex="0" length="85" url="https://drive.google.com/file/d/1h3pSODkEYYQxcUaAEpTqb55toN_vkoNU/view?usp=drive_link"/>
      </ext>
    </x18tc:extLst>
  </x18tc:threadedComment>
  <x18tc:threadedComment ref="I21" dT="2026-02-27T18:00:39.00" personId="{d8e4f5ad-b65d-4160-a56f-197530fb7eb1}" id="{8c317a3b-7364-4502-a653-8b108067f80c}" done="0">
    <x18tc:text xml:space="preserve">factura -ROMAX CONTRATISTAS S.A.C.
RUC: 20604268843</x18tc:text>
  </x18tc:threadedComment>
  <x18tc:threadedComment ref="S21" dT="2026-02-27T18:03:54.00" personId="{d8e4f5ad-b65d-4160-a56f-197530fb7eb1}" id="{6353cff5-7f0e-45a2-ab2e-c109735f7813}" done="0">
    <x18tc:text xml:space="preserve">faltante de 49 soles descontarle de fila 554</x18tc:text>
  </x18tc:threadedComment>
  <x18tc:threadedComment ref="M23" dT="2026-02-27T20:44:07.00" personId="{d8e4f5ad-b65d-4160-a56f-197530fb7eb1}" id="{bdaf521c-bac7-4bb0-af7b-1e8df06611fe}" done="0">
    <x18tc:text xml:space="preserve">https://drive.google.com/file/d/1IADuMxLt5hzPpH0WAji8UoUjUp_Di7zS/view?usp=drive_link</x18tc:text>
    <x18tc:extLst>
      <ext uri="{F7C98A9C-CBB3-438F-8F68-D28B6AF4A901}">
        <xltc2:checksum/>
        <xltc2:hyperlink startIndex="0" length="85" url="https://drive.google.com/file/d/1IADuMxLt5hzPpH0WAji8UoUjUp_Di7zS/view?usp=drive_link"/>
      </ext>
    </x18tc:extLst>
  </x18tc:threadedComment>
  <x18tc:threadedComment ref="L26" dT="2026-03-31T17:29:13.00" personId="{d8e4f5ad-b65d-4160-a56f-197530fb7eb1}" id="{c30bad5b-8152-46f2-9f1e-3f58c9ca0996}" done="0">
    <x18tc:text xml:space="preserve">https://drive.google.com/file/d/1w7WhLslGdsL2lO02sSz0bgAgLmAMY8Ea/view?usp=drive_link</x18tc:text>
    <x18tc:extLst>
      <ext uri="{F7C98A9C-CBB3-438F-8F68-D28B6AF4A901}">
        <xltc2:checksum/>
        <xltc2:hyperlink startIndex="0" length="85" url="https://drive.google.com/file/d/1w7WhLslGdsL2lO02sSz0bgAgLmAMY8Ea/view?usp=drive_link"/>
      </ext>
    </x18tc:extLst>
  </x18tc:threadedComment>
  <x18tc:threadedComment ref="L26" dT="2026-03-31T17:30:08.00" personId="{d8e4f5ad-b65d-4160-a56f-197530fb7eb1}" id="{53acc1f8-a69d-48e3-8008-3b2b64ee3f6b}" parentId="{c30bad5b-8152-46f2-9f1e-3f58c9ca0996}">
    <x18tc:text xml:space="preserve">https://drive.google.com/file/d/1uBsIuCYzX8hPTkXIli125KUWuTxYs1P8/view?usp=drive_link</x18tc:text>
    <x18tc:extLst>
      <ext uri="{F7C98A9C-CBB3-438F-8F68-D28B6AF4A901}">
        <xltc2:checksum/>
        <xltc2:hyperlink startIndex="0" length="85" url="https://drive.google.com/file/d/1uBsIuCYzX8hPTkXIli125KUWuTxYs1P8/view?usp=drive_link"/>
      </ext>
    </x18tc:extLst>
  </x18tc:threadedComment>
  <x18tc:threadedComment ref="S20" dT="2026-02-24T18:15:47.00" personId="{d8e4f5ad-b65d-4160-a56f-197530fb7eb1}" id="{f74722f7-5265-4d50-bcb3-9b0b2bf0e515}" done="0">
    <x18tc:text xml:space="preserve">faltante de 44 soles descontarle de fila 554</x18tc:text>
  </x18tc:threadedComment>
  <x18tc:threadedComment ref="L20" dT="2026-02-24T18:06:03.00" personId="{d8e4f5ad-b65d-4160-a56f-197530fb7eb1}" id="{3d060589-e7f9-42cf-b918-9207547946ab}" done="0">
    <x18tc:text xml:space="preserve">https://drive.google.com/file/d/15bdGmWB-l1nTEpfZFNB_ybGVYWUHPJek/view?usp=drive_link</x18tc:text>
    <x18tc:extLst>
      <ext uri="{F7C98A9C-CBB3-438F-8F68-D28B6AF4A901}">
        <xltc2:checksum/>
        <xltc2:hyperlink startIndex="0" length="85" url="https://drive.google.com/file/d/15bdGmWB-l1nTEpfZFNB_ybGVYWUHPJek/view?usp=drive_link"/>
      </ext>
    </x18tc:extLst>
  </x18tc:threadedComment>
  <x18tc:threadedComment ref="I2" dT="2025-10-11T20:46:23.00" personId="{d8e4f5ad-b65d-4160-a56f-197530fb7eb1}" id="{08166ae5-248b-498d-87e9-df4419253fbc}" done="0">
    <x18tc:text xml:space="preserve">https://drive.google.com/file/d/1F-gPKYdi70zIO-OIQEiQRXXGEUGsa8Mg/view?usp=drive_link</x18tc:text>
    <x18tc:extLst>
      <ext uri="{F7C98A9C-CBB3-438F-8F68-D28B6AF4A901}">
        <xltc2:checksum/>
        <xltc2:hyperlink startIndex="0" length="85" url="https://drive.google.com/file/d/1F-gPKYdi70zIO-OIQEiQRXXGEUGsa8Mg/view?usp=drive_link"/>
      </ext>
    </x18tc:extLst>
  </x18tc:threadedComment>
  <x18tc:threadedComment ref="M20" dT="2026-02-24T18:05:48.00" personId="{d8e4f5ad-b65d-4160-a56f-197530fb7eb1}" id="{30c5b246-c15b-43d5-96bd-63dab7cf685f}" done="0">
    <x18tc:text xml:space="preserve">https://drive.google.com/file/d/1dUOKGTl4ayXxcFz8Umb2Nj6kcqlmzrfF/view?usp=drive_link</x18tc:text>
    <x18tc:extLst>
      <ext uri="{F7C98A9C-CBB3-438F-8F68-D28B6AF4A901}">
        <xltc2:checksum/>
        <xltc2:hyperlink startIndex="0" length="85" url="https://drive.google.com/file/d/1dUOKGTl4ayXxcFz8Umb2Nj6kcqlmzrfF/view?usp=drive_link"/>
      </ext>
    </x18tc:extLst>
  </x18tc:threadedComment>
  <x18tc:threadedComment ref="L30" dT="2026-04-16T00:27:59.00" personId="{d8e4f5ad-b65d-4160-a56f-197530fb7eb1}" id="{751cab14-0042-4ad0-9b39-36a1348457d2}" done="0">
    <x18tc:text xml:space="preserve">https://drive.google.com/file/d/1PuMYwiBo5j-pxR-CnwWST-TfsQIKsy2N/view?usp=drive_link</x18tc:text>
    <x18tc:extLst>
      <ext uri="{F7C98A9C-CBB3-438F-8F68-D28B6AF4A901}">
        <xltc2:checksum/>
        <xltc2:hyperlink startIndex="0" length="85" url="https://drive.google.com/file/d/1PuMYwiBo5j-pxR-CnwWST-TfsQIKsy2N/view?usp=drive_link"/>
      </ext>
    </x18tc:extLst>
  </x18tc:threadedComment>
  <x18tc:threadedComment ref="M2" dT="2025-10-11T20:53:58.00" personId="{d8e4f5ad-b65d-4160-a56f-197530fb7eb1}" id="{1d1fd1d0-5ead-40b0-bb11-919fc5be6302}" done="0">
    <x18tc:text xml:space="preserve">https://drive.google.com/file/d/19-ESG9-_uRgO7DZRb1L1SivP2Zu0qxAQ/view?usp=drive_link</x18tc:text>
    <x18tc:extLst>
      <ext uri="{F7C98A9C-CBB3-438F-8F68-D28B6AF4A901}">
        <xltc2:checksum/>
        <xltc2:hyperlink startIndex="0" length="85" url="https://drive.google.com/file/d/19-ESG9-_uRgO7DZRb1L1SivP2Zu0qxAQ/view?usp=drive_link"/>
      </ext>
    </x18tc:extLst>
  </x18tc:threadedComment>
  <x18tc:threadedComment ref="M2" dT="2025-10-11T20:54:19.00" personId="{d8e4f5ad-b65d-4160-a56f-197530fb7eb1}" id="{03263b41-4dc3-40c2-aa8d-e79579a5e149}" parentId="{1d1fd1d0-5ead-40b0-bb11-919fc5be6302}">
    <x18tc:text xml:space="preserve">https://drive.google.com/file/d/1im2abrrse_oIbR_cyUA1-smJNkE2pz52/view?usp=drive_link</x18tc:text>
    <x18tc:extLst>
      <ext uri="{F7C98A9C-CBB3-438F-8F68-D28B6AF4A901}">
        <xltc2:checksum/>
        <xltc2:hyperlink startIndex="0" length="85" url="https://drive.google.com/file/d/1im2abrrse_oIbR_cyUA1-smJNkE2pz52/view?usp=drive_link"/>
      </ext>
    </x18tc:extLst>
  </x18tc:threadedComment>
  <x18tc:threadedComment ref="I5" dT="2025-11-01T00:33:23.00" personId="{d8e4f5ad-b65d-4160-a56f-197530fb7eb1}" id="{6ebd458d-ea65-4649-a3e7-17b8eee9fcee}" done="0">
    <x18tc:text xml:space="preserve">https://drive.google.com/file/d/1WNhR49cXmiZl2o9Yn_yYfeCL2iT2taVr/view?usp=drive_link</x18tc:text>
    <x18tc:extLst>
      <ext uri="{F7C98A9C-CBB3-438F-8F68-D28B6AF4A901}">
        <xltc2:checksum/>
        <xltc2:hyperlink startIndex="0" length="85" url="https://drive.google.com/file/d/1WNhR49cXmiZl2o9Yn_yYfeCL2iT2taVr/view?usp=drive_link"/>
      </ext>
    </x18tc:extLst>
  </x18tc:threadedComment>
  <x18tc:threadedComment ref="L23" dT="2026-02-27T18:15:57.00" personId="{d8e4f5ad-b65d-4160-a56f-197530fb7eb1}" id="{ae5c923a-e937-4eaa-8771-aaeb943c5686}" done="0">
    <x18tc:text xml:space="preserve">https://drive.google.com/file/d/1QByOnGftxemJRKD8fPb19y4tlg5_hqsc/view?usp=drive_link</x18tc:text>
    <x18tc:extLst>
      <ext uri="{F7C98A9C-CBB3-438F-8F68-D28B6AF4A901}">
        <xltc2:checksum/>
        <xltc2:hyperlink startIndex="0" length="85" url="https://drive.google.com/file/d/1QByOnGftxemJRKD8fPb19y4tlg5_hqsc/view?usp=drive_link"/>
      </ext>
    </x18tc:extLst>
  </x18tc:threadedComment>
  <x18tc:threadedComment ref="L21" dT="2026-02-27T18:15:26.00" personId="{d8e4f5ad-b65d-4160-a56f-197530fb7eb1}" id="{575d9e3e-7029-4eec-b8f9-9b62c1fdc137}" done="0">
    <x18tc:text xml:space="preserve">https://drive.google.com/file/d/1Ti-4GrRE0njAKhBWxNpqJrXgu48uotQ0/view?usp=drive_link</x18tc:text>
    <x18tc:extLst>
      <ext uri="{F7C98A9C-CBB3-438F-8F68-D28B6AF4A901}">
        <xltc2:checksum/>
        <xltc2:hyperlink startIndex="0" length="85" url="https://drive.google.com/file/d/1Ti-4GrRE0njAKhBWxNpqJrXgu48uotQ0/view?usp=drive_link"/>
      </ext>
    </x18tc:extLst>
  </x18tc:threadedComment>
  <x18tc:threadedComment ref="L22" dT="2026-02-27T18:15:31.00" personId="{d8e4f5ad-b65d-4160-a56f-197530fb7eb1}" id="{781e9d1c-3de6-4cec-952d-9b0240b375ab}" done="0">
    <x18tc:text xml:space="preserve">https://drive.google.com/file/d/1Ti-4GrRE0njAKhBWxNpqJrXgu48uotQ0/view?usp=drive_link</x18tc:text>
    <x18tc:extLst>
      <ext uri="{F7C98A9C-CBB3-438F-8F68-D28B6AF4A901}">
        <xltc2:checksum/>
        <xltc2:hyperlink startIndex="0" length="85" url="https://drive.google.com/file/d/1Ti-4GrRE0njAKhBWxNpqJrXgu48uotQ0/view?usp=drive_link"/>
      </ext>
    </x18tc:extLst>
  </x18tc:threadedComment>
  <x18tc:threadedComment ref="I16" dT="2026-01-16T21:23:03.00" personId="{2ddfa542-8116-4937-a057-08470d7abaab}" id="{82a66c3a-46eb-43c5-9b42-27c6cf2ea2f4}" done="0">
    <x18tc:text xml:space="preserve">https://drive.google.com/file/d/1B_qA7gbeQeKX7BfbWbv8k-gysUf0M5SX/view?usp=drive_link</x18tc:text>
    <x18tc:extLst>
      <ext uri="{F7C98A9C-CBB3-438F-8F68-D28B6AF4A901}">
        <xltc2:checksum/>
        <xltc2:hyperlink startIndex="0" length="85" url="https://drive.google.com/file/d/1B_qA7gbeQeKX7BfbWbv8k-gysUf0M5SX/view?usp=drive_link"/>
      </ext>
    </x18tc:extLst>
  </x18tc:threadedComment>
  <x18tc:threadedComment ref="I15" dT="2026-01-16T21:10:43.00" personId="{2ddfa542-8116-4937-a057-08470d7abaab}" id="{f4307e5e-d8e8-4689-ac7b-2c8cd2bb4b26}" done="0">
    <x18tc:text xml:space="preserve">https://drive.google.com/file/d/1Q5ro5ykBff5Yp5RFc6DXpLOJDf-ZGZ6C/view?usp=drive_link</x18tc:text>
    <x18tc:extLst>
      <ext uri="{F7C98A9C-CBB3-438F-8F68-D28B6AF4A901}">
        <xltc2:checksum/>
        <xltc2:hyperlink startIndex="0" length="85" url="https://drive.google.com/file/d/1Q5ro5ykBff5Yp5RFc6DXpLOJDf-ZGZ6C/view?usp=drive_link"/>
      </ext>
    </x18tc:extLst>
  </x18tc:threadedComment>
  <x18tc:threadedComment ref="M3" dT="2025-10-23T17:10:21.00" personId="{d8e4f5ad-b65d-4160-a56f-197530fb7eb1}" id="{9df181e7-bc82-40fe-835a-be22af415f32}" done="0">
    <x18tc:text xml:space="preserve">https://drive.google.com/file/d/1FADkeIktSVUIzpaWUclWchMooCOdbZ6_/view?usp=drive_link</x18tc:text>
    <x18tc:extLst>
      <ext uri="{F7C98A9C-CBB3-438F-8F68-D28B6AF4A901}">
        <xltc2:checksum/>
        <xltc2:hyperlink startIndex="0" length="85" url="https://drive.google.com/file/d/1FADkeIktSVUIzpaWUclWchMooCOdbZ6_/view?usp=drive_link"/>
      </ext>
    </x18tc:extLst>
  </x18tc:threadedComment>
  <x18tc:threadedComment ref="M3" dT="2025-10-23T17:10:38.00" personId="{d8e4f5ad-b65d-4160-a56f-197530fb7eb1}" id="{eeb2dd2f-b78a-474e-82a2-28a41cc4b38f}" parentId="{9df181e7-bc82-40fe-835a-be22af415f32}">
    <x18tc:text xml:space="preserve">https://drive.google.com/file/d/1BSNLmel88YgFuLqK3QdaJVecPlTm6dti/view?usp=drive_link</x18tc:text>
    <x18tc:extLst>
      <ext uri="{F7C98A9C-CBB3-438F-8F68-D28B6AF4A901}">
        <xltc2:checksum/>
        <xltc2:hyperlink startIndex="0" length="85" url="https://drive.google.com/file/d/1BSNLmel88YgFuLqK3QdaJVecPlTm6dti/view?usp=drive_link"/>
      </ext>
    </x18tc:extLst>
  </x18tc:threadedComment>
  <x18tc:threadedComment ref="L27" dT="2026-03-31T22:35:12.00" personId="{d8e4f5ad-b65d-4160-a56f-197530fb7eb1}" id="{10733811-8112-4497-a974-e8e656386b45}" done="0">
    <x18tc:text xml:space="preserve">https://drive.google.com/file/d/1yKrz_0o2oFJwpQyFz1GHhmaVecxPAI3v/view?usp=drive_link</x18tc:text>
    <x18tc:extLst>
      <ext uri="{F7C98A9C-CBB3-438F-8F68-D28B6AF4A901}">
        <xltc2:checksum/>
        <xltc2:hyperlink startIndex="0" length="85" url="https://drive.google.com/file/d/1yKrz_0o2oFJwpQyFz1GHhmaVecxPAI3v/view?usp=drive_link"/>
      </ext>
    </x18tc:extLst>
  </x18tc:threadedComment>
  <x18tc:threadedComment ref="L27" dT="2026-03-31T22:35:57.00" personId="{d8e4f5ad-b65d-4160-a56f-197530fb7eb1}" id="{2a0e8078-3e70-4ca5-ace5-883ea6c0db61}" parentId="{10733811-8112-4497-a974-e8e656386b45}">
    <x18tc:text xml:space="preserve">https://drive.google.com/file/d/1KwXHP8uM-SVAtpGE-RoNYARqYKqx6r68/view?usp=drive_link</x18tc:text>
    <x18tc:extLst>
      <ext uri="{F7C98A9C-CBB3-438F-8F68-D28B6AF4A901}">
        <xltc2:checksum/>
        <xltc2:hyperlink startIndex="0" length="85" url="https://drive.google.com/file/d/1KwXHP8uM-SVAtpGE-RoNYARqYKqx6r68/view?usp=drive_link"/>
      </ext>
    </x18tc:extLst>
  </x18tc:threadedComment>
  <x18tc:threadedComment ref="M43" dT="2026-06-26T22:10:51.00" personId="{d8e4f5ad-b65d-4160-a56f-197530fb7eb1}" id="{78005006-d40e-4670-930f-d977a8d715cb}" done="0">
    <x18tc:text xml:space="preserve">https://drive.google.com/file/d/1ss6L817KkD_Sz2B7c-MlX9n41oTRgdsa/view?usp=drive_link</x18tc:text>
    <x18tc:extLst>
      <ext uri="{F7C98A9C-CBB3-438F-8F68-D28B6AF4A901}">
        <xltc2:checksum/>
        <xltc2:hyperlink startIndex="0" length="85" url="https://drive.google.com/file/d/1ss6L817KkD_Sz2B7c-MlX9n41oTRgdsa/view?usp=drive_link"/>
      </ext>
    </x18tc:extLst>
  </x18tc:threadedComment>
  <x18tc:threadedComment ref="L42" dT="2026-06-13T21:02:31.00" personId="{d8e4f5ad-b65d-4160-a56f-197530fb7eb1}" id="{3f572d7a-7c74-44f5-9364-fffe0e118757}" done="0">
    <x18tc:text xml:space="preserve">https://drive.google.com/file/d/15m0sQs0u6m0BFjbC2UBaNfvbBzoJQmot/view?usp=drive_link</x18tc:text>
    <x18tc:extLst>
      <ext uri="{F7C98A9C-CBB3-438F-8F68-D28B6AF4A901}">
        <xltc2:checksum/>
        <xltc2:hyperlink startIndex="0" length="85" url="https://drive.google.com/file/d/15m0sQs0u6m0BFjbC2UBaNfvbBzoJQmot/view?usp=drive_link"/>
      </ext>
    </x18tc:extLst>
  </x18tc:threadedComment>
  <x18tc:threadedComment ref="L42" dT="2026-06-13T21:02:44.00" personId="{d8e4f5ad-b65d-4160-a56f-197530fb7eb1}" id="{82a25357-3ca6-422c-b02a-edd2e837424a}" parentId="{3f572d7a-7c74-44f5-9364-fffe0e118757}">
    <x18tc:text xml:space="preserve">https://drive.google.com/file/d/1oOx9cYqFgBgxIUuyoVx0LYsvVrzErU9Y/view?usp=drive_link</x18tc:text>
    <x18tc:extLst>
      <ext uri="{F7C98A9C-CBB3-438F-8F68-D28B6AF4A901}">
        <xltc2:checksum/>
        <xltc2:hyperlink startIndex="0" length="85" url="https://drive.google.com/file/d/1oOx9cYqFgBgxIUuyoVx0LYsvVrzErU9Y/view?usp=drive_link"/>
      </ext>
    </x18tc:extLst>
  </x18tc:threadedComment>
  <x18tc:threadedComment ref="L10" dT="2025-11-30T00:32:00.00" personId="{d8e4f5ad-b65d-4160-a56f-197530fb7eb1}" id="{a135c1f4-2dfe-4b8d-b96a-0a38437813fb}" done="0">
    <x18tc:text xml:space="preserve">https://drive.google.com/file/d/1TKtzs6RBwR2-GDhYveeWimYMkyoEw-PQ/view?usp=drive_link</x18tc:text>
    <x18tc:extLst>
      <ext uri="{F7C98A9C-CBB3-438F-8F68-D28B6AF4A901}">
        <xltc2:checksum/>
        <xltc2:hyperlink startIndex="0" length="85" url="https://drive.google.com/file/d/1TKtzs6RBwR2-GDhYveeWimYMkyoEw-PQ/view?usp=drive_link"/>
      </ext>
    </x18tc:extLst>
  </x18tc:threadedComment>
  <x18tc:threadedComment ref="L9" dT="2025-11-30T00:44:47.00" personId="{d8e4f5ad-b65d-4160-a56f-197530fb7eb1}" id="{02f2c91a-088e-42a3-a22a-380bc1a23ff7}" done="0">
    <x18tc:text xml:space="preserve">https://drive.google.com/file/d/1_9qeVBYQfZT4WQZ5z2XAYrCufYihJm-D/view?usp=drive_link</x18tc:text>
    <x18tc:extLst>
      <ext uri="{F7C98A9C-CBB3-438F-8F68-D28B6AF4A901}">
        <xltc2:checksum/>
        <xltc2:hyperlink startIndex="0" length="85" url="https://drive.google.com/file/d/1_9qeVBYQfZT4WQZ5z2XAYrCufYihJm-D/view?usp=drive_link"/>
      </ext>
    </x18tc:extLst>
  </x18tc:threadedComment>
  <x18tc:threadedComment ref="L9" dT="2025-11-30T00:45:51.00" personId="{d8e4f5ad-b65d-4160-a56f-197530fb7eb1}" id="{9421e15f-32e3-4a30-adc5-4676a898a094}" parentId="{02f2c91a-088e-42a3-a22a-380bc1a23ff7}">
    <x18tc:text xml:space="preserve">https://drive.google.com/file/d/1fDm7jvyyyTY77SSbtjNfMZ8SaI4oVXmp/view?usp=drive_link</x18tc:text>
    <x18tc:extLst>
      <ext uri="{F7C98A9C-CBB3-438F-8F68-D28B6AF4A901}">
        <xltc2:checksum/>
        <xltc2:hyperlink startIndex="0" length="85" url="https://drive.google.com/file/d/1fDm7jvyyyTY77SSbtjNfMZ8SaI4oVXmp/view?usp=drive_link"/>
      </ext>
    </x18tc:extLst>
  </x18tc:threadedComment>
  <x18tc:threadedComment ref="I11" dT="2025-11-29T23:42:19.00" personId="{2ddfa542-8116-4937-a057-08470d7abaab}" id="{4f503182-a12f-4a3e-9898-9931b6639e9f}" done="0">
    <x18tc:text xml:space="preserve">https://drive.google.com/file/d/13hDkYcZi_8huEUg-d2Ej8hS__ULLiypd/view?usp=drive_link</x18tc:text>
    <x18tc:extLst>
      <ext uri="{F7C98A9C-CBB3-438F-8F68-D28B6AF4A901}">
        <xltc2:checksum/>
        <xltc2:hyperlink startIndex="0" length="85" url="https://drive.google.com/file/d/13hDkYcZi_8huEUg-d2Ej8hS__ULLiypd/view?usp=drive_link"/>
      </ext>
    </x18tc:extLst>
  </x18tc:threadedComment>
  <x18tc:threadedComment ref="I4" dT="2025-10-29T18:10:27.00" personId="{d8e4f5ad-b65d-4160-a56f-197530fb7eb1}" id="{5378d420-6198-4f50-957a-438f9802272b}" done="0">
    <x18tc:text xml:space="preserve">https://drive.google.com/file/d/1iCAHbl0UjEi3SOncv-d_8t8zgqDFj30V/view?usp=drive_link</x18tc:text>
    <x18tc:extLst>
      <ext uri="{F7C98A9C-CBB3-438F-8F68-D28B6AF4A901}">
        <xltc2:checksum/>
        <xltc2:hyperlink startIndex="0" length="85" url="https://drive.google.com/file/d/1iCAHbl0UjEi3SOncv-d_8t8zgqDFj30V/view?usp=drive_link"/>
      </ext>
    </x18tc:extLst>
  </x18tc:threadedComment>
  <x18tc:threadedComment ref="L13" dT="2025-12-20T00:21:35.00" personId="{d8e4f5ad-b65d-4160-a56f-197530fb7eb1}" id="{e7cbae4a-83c1-4d02-87fc-87d2337210b1}" done="0">
    <x18tc:text xml:space="preserve">https://drive.google.com/file/d/1zh_YI89_Wvi8IUn_BhKFKVSlazQi5jzv/view?usp=drive_link</x18tc:text>
    <x18tc:extLst>
      <ext uri="{F7C98A9C-CBB3-438F-8F68-D28B6AF4A901}">
        <xltc2:checksum/>
        <xltc2:hyperlink startIndex="0" length="85" url="https://drive.google.com/file/d/1zh_YI89_Wvi8IUn_BhKFKVSlazQi5jzv/view?usp=drive_link"/>
      </ext>
    </x18tc:extLst>
  </x18tc:threadedComment>
  <x18tc:threadedComment ref="M32" dT="2026-04-25T21:24:44.00" personId="{d8e4f5ad-b65d-4160-a56f-197530fb7eb1}" id="{97b5c1ec-76e0-4202-ae73-22f5ea43c59e}" done="0">
    <x18tc:text xml:space="preserve">https://drive.google.com/file/d/1pp5CTwi9sEu06Dq0cY8582BfIrjWO7SO/view?usp=drive_link</x18tc:text>
    <x18tc:extLst>
      <ext uri="{F7C98A9C-CBB3-438F-8F68-D28B6AF4A901}">
        <xltc2:checksum/>
        <xltc2:hyperlink startIndex="0" length="85" url="https://drive.google.com/file/d/1pp5CTwi9sEu06Dq0cY8582BfIrjWO7SO/view?usp=drive_link"/>
      </ext>
    </x18tc:extLst>
  </x18tc:threadedComment>
  <x18tc:threadedComment ref="L11" dT="2025-11-29T23:04:44.00" personId="{d8e4f5ad-b65d-4160-a56f-197530fb7eb1}" id="{f1ccc9e1-2181-4ead-92ba-f63a9e4cd75b}" done="0">
    <x18tc:text xml:space="preserve">https://drive.google.com/file/d/1F3TV15kBGABsQKh7hW5N3kpKg7QLUl4q/view?usp=drive_link</x18tc:text>
    <x18tc:extLst>
      <ext uri="{F7C98A9C-CBB3-438F-8F68-D28B6AF4A901}">
        <xltc2:checksum/>
        <xltc2:hyperlink startIndex="0" length="85" url="https://drive.google.com/file/d/1F3TV15kBGABsQKh7hW5N3kpKg7QLUl4q/view?usp=drive_link"/>
      </ext>
    </x18tc:extLst>
  </x18tc:threadedComment>
  <x18tc:threadedComment ref="L11" dT="2025-11-29T23:05:23.00" personId="{d8e4f5ad-b65d-4160-a56f-197530fb7eb1}" id="{e7ac0d91-308c-4d25-8d86-5f97ae587f15}" parentId="{f1ccc9e1-2181-4ead-92ba-f63a9e4cd75b}">
    <x18tc:text xml:space="preserve">https://drive.google.com/file/d/1HUzhxrluxXdLs8vjtE5ppx3l_2q5xEgI/view?usp=drive_link</x18tc:text>
    <x18tc:extLst>
      <ext uri="{F7C98A9C-CBB3-438F-8F68-D28B6AF4A901}">
        <xltc2:checksum/>
        <xltc2:hyperlink startIndex="0" length="85" url="https://drive.google.com/file/d/1HUzhxrluxXdLs8vjtE5ppx3l_2q5xEgI/view?usp=drive_link"/>
      </ext>
    </x18tc:extLst>
  </x18tc:threadedComment>
  <x18tc:threadedComment ref="L29" dT="2026-04-09T22:35:50.00" personId="{d8e4f5ad-b65d-4160-a56f-197530fb7eb1}" id="{2465d167-af04-4541-8756-8ca2574fc1c0}" done="0">
    <x18tc:text xml:space="preserve">https://drive.google.com/file/d/19CtvtRav9kDywZXsb5EpGK5cZhhHavuS/view?usp=drive_link</x18tc:text>
    <x18tc:extLst>
      <ext uri="{F7C98A9C-CBB3-438F-8F68-D28B6AF4A901}">
        <xltc2:checksum/>
        <xltc2:hyperlink startIndex="0" length="85" url="https://drive.google.com/file/d/19CtvtRav9kDywZXsb5EpGK5cZhhHavuS/view?usp=drive_link"/>
      </ext>
    </x18tc:extLst>
  </x18tc:threadedComment>
  <x18tc:threadedComment ref="L29" dT="2026-04-23T17:44:21.00" personId="{d8e4f5ad-b65d-4160-a56f-197530fb7eb1}" id="{29614664-948b-415f-8a00-b5697817d9e1}" parentId="{2465d167-af04-4541-8756-8ca2574fc1c0}">
    <x18tc:text xml:space="preserve">https://drive.google.com/file/d/1VqaRS5aqkf7M3Jr_mjE7wRz_ED6-4GTv/view?usp=drive_link</x18tc:text>
    <x18tc:extLst>
      <ext uri="{F7C98A9C-CBB3-438F-8F68-D28B6AF4A901}">
        <xltc2:checksum/>
        <xltc2:hyperlink startIndex="0" length="85" url="https://drive.google.com/file/d/1VqaRS5aqkf7M3Jr_mjE7wRz_ED6-4GTv/view?usp=drive_link"/>
      </ext>
    </x18tc:extLst>
  </x18tc:threadedComment>
  <x18tc:threadedComment ref="M8" dT="2025-11-05T16:24:02.00" personId="{d8e4f5ad-b65d-4160-a56f-197530fb7eb1}" id="{a301671f-aa20-44bb-a9ab-679c4131c0db}" done="0">
    <x18tc:text xml:space="preserve">https://drive.google.com/file/d/1tWTGtUPqRs-aQkwIgu6eVLK3nb9VpEPh/view?usp=drive_link</x18tc:text>
    <x18tc:extLst>
      <ext uri="{F7C98A9C-CBB3-438F-8F68-D28B6AF4A901}">
        <xltc2:checksum/>
        <xltc2:hyperlink startIndex="0" length="85" url="https://drive.google.com/file/d/1tWTGtUPqRs-aQkwIgu6eVLK3nb9VpEPh/view?usp=drive_link"/>
      </ext>
    </x18tc:extLst>
  </x18tc:threadedComment>
  <x18tc:threadedComment ref="M24" dT="2026-03-11T20:33:46.00" personId="{d8e4f5ad-b65d-4160-a56f-197530fb7eb1}" id="{f15111d6-57d1-4815-be45-fabecfc64a2e}" done="0">
    <x18tc:text xml:space="preserve">https://drive.google.com/file/d/1vvDOkGr7ESooLTI2jOIqV071FEhqZidA/view?usp=drive_link</x18tc:text>
    <x18tc:extLst>
      <ext uri="{F7C98A9C-CBB3-438F-8F68-D28B6AF4A901}">
        <xltc2:checksum/>
        <xltc2:hyperlink startIndex="0" length="85" url="https://drive.google.com/file/d/1vvDOkGr7ESooLTI2jOIqV071FEhqZidA/view?usp=drive_link"/>
      </ext>
    </x18tc:extLst>
  </x18tc:threadedComment>
  <x18tc:threadedComment ref="N5" dT="2025-11-07T17:12:22.00" personId="{2ddfa542-8116-4937-a057-08470d7abaab}" id="{6ac41bb2-0606-4326-8218-30e0ef84ccb8}" done="0">
    <x18tc:text xml:space="preserve">tenía descuento</x18tc:text>
  </x18tc:threadedComment>
  <x18tc:threadedComment ref="L7" dT="2025-11-02T04:08:56.00" personId="{a5d43f6d-3c72-4414-b012-8f52ef50acc4}" id="{ab164490-534a-484f-8d8d-bd8975d8944b}" done="0">
    <x18tc:text xml:space="preserve">https://drive.google.com/file/d/1wr5EhvUVXuUbJ68iepV_wNZ7ahVq1VCC/view?usp=drive_link</x18tc:text>
    <x18tc:extLst>
      <ext uri="{F7C98A9C-CBB3-438F-8F68-D28B6AF4A901}">
        <xltc2:checksum/>
        <xltc2:hyperlink startIndex="0" length="85" url="https://drive.google.com/file/d/1wr5EhvUVXuUbJ68iepV_wNZ7ahVq1VCC/view?usp=drive_link"/>
      </ext>
    </x18tc:extLst>
  </x18tc:threadedComment>
  <x18tc:threadedComment ref="M6" dT="2025-11-02T04:14:57.00" personId="{a5d43f6d-3c72-4414-b012-8f52ef50acc4}" id="{bbcd292e-a6a5-4523-9717-bc71be3e51c0}" done="0">
    <x18tc:text xml:space="preserve">https://drive.google.com/file/d/1zXvu8E3cPgqD9h5Xu-Gx8HOFFmUmDFFd/view?usp=drive_link</x18tc:text>
    <x18tc:extLst>
      <ext uri="{F7C98A9C-CBB3-438F-8F68-D28B6AF4A901}">
        <xltc2:checksum/>
        <xltc2:hyperlink startIndex="0" length="85" url="https://drive.google.com/file/d/1zXvu8E3cPgqD9h5Xu-Gx8HOFFmUmDFFd/view?usp=drive_link"/>
      </ext>
    </x18tc:extLst>
  </x18tc:threadedComment>
  <x18tc:threadedComment ref="I7" dT="2025-11-02T04:04:09.00" personId="{a5d43f6d-3c72-4414-b012-8f52ef50acc4}" id="{abc57ee0-7aa3-4c6d-b8fe-182b86ea8d1c}" done="1">
    <x18tc:text xml:space="preserve">https://drive.google.com/file/d/1XfELjRi-YD7Bm7OShYTyMcaGj2vkGSa6/view?usp=drive_link</x18tc:text>
    <x18tc:extLst>
      <ext uri="{F7C98A9C-CBB3-438F-8F68-D28B6AF4A901}">
        <xltc2:checksum/>
        <xltc2:hyperlink startIndex="0" length="85" url="https://drive.google.com/file/d/1XfELjRi-YD7Bm7OShYTyMcaGj2vkGSa6/view?usp=drive_link"/>
      </ext>
    </x18tc:extLst>
  </x18tc:threadedComment>
  <x18tc:threadedComment ref="M7" dT="2025-11-02T04:06:07.00" personId="{a5d43f6d-3c72-4414-b012-8f52ef50acc4}" id="{c23e9a47-6e64-427c-95bc-477d091aaf67}" done="0">
    <x18tc:text xml:space="preserve">https://drive.google.com/file/d/1yq4YHaDMVg5bk-CtZNRbMDKzn8ynllU7/view?usp=drive_link</x18tc:text>
    <x18tc:extLst>
      <ext uri="{F7C98A9C-CBB3-438F-8F68-D28B6AF4A901}">
        <xltc2:checksum/>
        <xltc2:hyperlink startIndex="0" length="85" url="https://drive.google.com/file/d/1yq4YHaDMVg5bk-CtZNRbMDKzn8ynllU7/view?usp=drive_link"/>
      </ext>
    </x18tc:extLst>
  </x18tc:threadedComment>
  <x18tc:threadedComment ref="I7" dT="2025-11-02T04:20:03.00" personId="{a5d43f6d-3c72-4414-b012-8f52ef50acc4}" id="{0bb3531e-5f7d-4e15-b90e-6bdb3050a25b}" done="0">
    <x18tc:text xml:space="preserve">https://drive.google.com/file/d/1_SBMKZzzTTv3FVRHcZvTFPefRd-ENoZN/view?usp=drive_link</x18tc:text>
    <x18tc:extLst>
      <ext uri="{F7C98A9C-CBB3-438F-8F68-D28B6AF4A901}">
        <xltc2:checksum/>
        <xltc2:hyperlink startIndex="0" length="85" url="https://drive.google.com/file/d/1_SBMKZzzTTv3FVRHcZvTFPefRd-ENoZN/view?usp=drive_link"/>
      </ext>
    </x18tc:extLst>
  </x18tc:threadedComment>
  <x18tc:threadedComment ref="I6" dT="2025-11-02T04:21:05.00" personId="{a5d43f6d-3c72-4414-b012-8f52ef50acc4}" id="{eb5a0568-6a52-4812-bbee-4e1cc85abcaf}" done="0">
    <x18tc:text xml:space="preserve">https://drive.google.com/file/d/1rVYhGbd69t5ji-l90m8UqVjg_851Jn0w/view?usp=drive_link</x18tc:text>
    <x18tc:extLst>
      <ext uri="{F7C98A9C-CBB3-438F-8F68-D28B6AF4A901}">
        <xltc2:checksum/>
        <xltc2:hyperlink startIndex="0" length="85" url="https://drive.google.com/file/d/1rVYhGbd69t5ji-l90m8UqVjg_851Jn0w/view?usp=drive_link"/>
      </ext>
    </x18tc:extLst>
  </x18tc:threadedComment>
  <x18tc:threadedComment ref="L34" dT="2026-05-13T18:51:48.00" personId="{d8e4f5ad-b65d-4160-a56f-197530fb7eb1}" id="{80ef7aa8-23c9-4c3c-879c-b0a993e5a15d}" done="0">
    <x18tc:text xml:space="preserve">https://drive.google.com/file/d/1ivUVQADuWe-dK9MTov1Ve2PYmVT7X3dt/view?usp=drive_link</x18tc:text>
    <x18tc:extLst>
      <ext uri="{F7C98A9C-CBB3-438F-8F68-D28B6AF4A901}">
        <xltc2:checksum/>
        <xltc2:hyperlink startIndex="0" length="85" url="https://drive.google.com/file/d/1ivUVQADuWe-dK9MTov1Ve2PYmVT7X3dt/view?usp=drive_link"/>
      </ext>
    </x18tc:extLst>
  </x18tc:threadedComment>
  <x18tc:threadedComment ref="L6" dT="2025-11-02T04:22:35.00" personId="{a5d43f6d-3c72-4414-b012-8f52ef50acc4}" id="{5985c093-49bb-4a7e-b1a4-1ea069012654}" done="0">
    <x18tc:text xml:space="preserve">https://drive.google.com/file/d/1b5013DpjMGJGblNPnwo7lgTg1cF-eGv2/view?usp=drive_link</x18tc:text>
    <x18tc:extLst>
      <ext uri="{F7C98A9C-CBB3-438F-8F68-D28B6AF4A901}">
        <xltc2:checksum/>
        <xltc2:hyperlink startIndex="0" length="85" url="https://drive.google.com/file/d/1b5013DpjMGJGblNPnwo7lgTg1cF-eGv2/view?usp=drive_link"/>
      </ext>
    </x18tc:extLst>
  </x18tc:threadedComment>
  <x18tc:threadedComment ref="L25" dT="2026-04-07T16:20:22.00" personId="{80195d68-4e9b-4dc7-a031-ca5391c97d0f}" id="{3605e597-d649-48b1-adca-0b0683882255}" done="0">
    <x18tc:text xml:space="preserve">https://drive.google.com/file/d/1S8USy66grWNXX7zhi6SyOo0mIGaga_lZ/view?usp=drive_link</x18tc:text>
    <x18tc:extLst>
      <ext uri="{F7C98A9C-CBB3-438F-8F68-D28B6AF4A901}">
        <xltc2:checksum/>
        <xltc2:hyperlink startIndex="0" length="85" url="https://drive.google.com/file/d/1S8USy66grWNXX7zhi6SyOo0mIGaga_lZ/view?usp=drive_link"/>
      </ext>
    </x18tc:extLs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gVP1x6BHoNuBWH2lBKzdlxOkDbQxMYZb/view?usp=drive_link" TargetMode="External"/><Relationship Id="rId22" Type="http://schemas.openxmlformats.org/officeDocument/2006/relationships/hyperlink" Target="https://www.newegg.com/Obsidian-Black-Acer-Nitro-V-ANV15-51-98N0/p/N82E16834360352" TargetMode="External"/><Relationship Id="rId21" Type="http://schemas.openxmlformats.org/officeDocument/2006/relationships/hyperlink" Target="https://drive.google.com/file/d/1zEPlCFU9OU8hFK9g4YeCNyMDjIx6LRKI/view?usp=drive_link" TargetMode="External"/><Relationship Id="rId24" Type="http://schemas.openxmlformats.org/officeDocument/2006/relationships/drawing" Target="../drawings/drawing1.xml"/><Relationship Id="rId23" Type="http://schemas.openxmlformats.org/officeDocument/2006/relationships/hyperlink" Target="https://www.bhphotovideo.com/c/search?q=LENOVO%20LEGION"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bestbuy.com/site/lenovo-legion-7i-16-gaming-laptop-wqxga-intel-14th-gen-core-i9-with-32gb-memory-nvidia-geforce-rtx-4070-8gb-1tb-ssd-glacier-white/6575387.p?skuId=6575387" TargetMode="External"/><Relationship Id="rId9" Type="http://schemas.openxmlformats.org/officeDocument/2006/relationships/hyperlink" Target="https://drive.google.com/file/d/1-ibAIOOkL3v1r2T1EZtLTcaQn20jr3Kp/view?usp=drive_link" TargetMode="External"/><Relationship Id="rId25" Type="http://schemas.openxmlformats.org/officeDocument/2006/relationships/vmlDrawing" Target="../drawings/vmlDrawing1.vml"/><Relationship Id="rId27" Type="http://schemas.openxmlformats.org/officeDocument/2006/relationships/table" Target="../tables/table1.xml"/><Relationship Id="rId5" Type="http://schemas.openxmlformats.org/officeDocument/2006/relationships/hyperlink" Target="https://drive.google.com/file/d/1oyQ2m7iihPt7kbm8HjHBmlSDR7xg3RBN/view?usp=drive_link" TargetMode="External"/><Relationship Id="rId6" Type="http://schemas.openxmlformats.org/officeDocument/2006/relationships/hyperlink" Target="https://drive.google.com/file/d/1-NoWBzRRd1wPSrVs-JlJRWIjP-fmp6Dk/view?usp=drive_link" TargetMode="External"/><Relationship Id="rId7" Type="http://schemas.openxmlformats.org/officeDocument/2006/relationships/hyperlink" Target="https://drive.google.com/file/d/1-NoWBzRRd1wPSrVs-JlJRWIjP-fmp6Dk/view?usp=drive_link" TargetMode="External"/><Relationship Id="rId8" Type="http://schemas.openxmlformats.org/officeDocument/2006/relationships/hyperlink" Target="https://www.amazon.com/-/es/ASUS-Port%C3%A1til-juegos-Strix-Nebula/dp/B0CRD85536/ref=sr_1_1?crid=2SRO0IIVA2C9E&amp;dib=eyJ2IjoiMSJ9.GwGQeMLc_lfDYQXyfC-mYtjWRGQF7zOecoGT7FU0cobabaGTNiG-zkhAqNp6g_2be3En697HLhwOg6QLOEFY1OYw6IWVzLH_LffCnC1l6aORRcbcjKBV3hk2bDqSdqXBzdMObkqCaVo9jPMb07i4zKaZRGGHni3y6kufa1kumg4o_DgFDAT5nWauRkYrLsEKnjDnu5D0qThSjgGHU_9FhJ_A90iXgN3dS9Js0RFs0bg.5gPLQJFHr2yMkudQSuApLng7UkkSjWFDVz2y5I6DDw4&amp;dib_tag=se&amp;keywords=rog%2Bstrix%2Bscar%2Brtx%2B4090&amp;qid=1734707838&amp;sprefix=ROG%2BSTRIX%2BSACR%2BRTX%2B%2Caps%2C198&amp;sr=8-1&amp;th=1" TargetMode="External"/><Relationship Id="rId11" Type="http://schemas.openxmlformats.org/officeDocument/2006/relationships/hyperlink" Target="https://drive.google.com/file/d/1iXkA7zLSqmpFq1sfbD4SbE2DWDwdoQ49/view?usp=drive_link" TargetMode="External"/><Relationship Id="rId10" Type="http://schemas.openxmlformats.org/officeDocument/2006/relationships/hyperlink" Target="https://www.bhphotovideo.com/c/product/1817993-REG/lenovo_83dg00d8us_16_legion_5i_gaming.html/overview" TargetMode="External"/><Relationship Id="rId13" Type="http://schemas.openxmlformats.org/officeDocument/2006/relationships/hyperlink" Target="https://www.bhphotovideo.com/c/product/1846217-REG/msi_vector_16_hx_a14vhg_692us_16_vector_16_hx.html/specs" TargetMode="External"/><Relationship Id="rId12" Type="http://schemas.openxmlformats.org/officeDocument/2006/relationships/hyperlink" Target="https://www.ebay.com/itm/326138511415?_skw=4060&amp;itmmeta=01JGZR9Q1EQJYBJNW647YYSC4P&amp;hash=item4bef5ec037:g:AocAAOSwVC1m9CZ-" TargetMode="External"/><Relationship Id="rId15" Type="http://schemas.openxmlformats.org/officeDocument/2006/relationships/hyperlink" Target="https://www.ebay.com/itm/205115913137?_skw=4070&amp;itmmeta=01JJPGJ9734QRJXGRDV1NAG56H&amp;hash=item2fc1dc73b1:g:jJEAAOSwcZtnkf4I" TargetMode="External"/><Relationship Id="rId14" Type="http://schemas.openxmlformats.org/officeDocument/2006/relationships/hyperlink" Target="https://drive.google.com/file/d/1CVpaKp_psb7e4eABmEyJhoV82yDaCKV2/view?usp=drive_link" TargetMode="External"/><Relationship Id="rId17" Type="http://schemas.openxmlformats.org/officeDocument/2006/relationships/hyperlink" Target="https://drive.google.com/file/d/1nHfqQ6mstKfF_90SjLsVIHKWIQGJzvKl/view?usp=drive_link" TargetMode="External"/><Relationship Id="rId16" Type="http://schemas.openxmlformats.org/officeDocument/2006/relationships/hyperlink" Target="https://www.ups.com/track?track=yes&amp;trackNums=1ZW494600388224505&amp;loc=en_US&amp;requester=ST/trackdetails" TargetMode="External"/><Relationship Id="rId19" Type="http://schemas.openxmlformats.org/officeDocument/2006/relationships/hyperlink" Target="https://drive.google.com/file/d/1HhhkT3WiFA9eRVxppZvGwnllHFxohb72/view?usp=drive_link" TargetMode="External"/><Relationship Id="rId18" Type="http://schemas.openxmlformats.org/officeDocument/2006/relationships/hyperlink" Target="https://drive.google.com/file/d/1yuUOHyVeO19Dr6ru4vtdl2SS0lfi0tGj/view?usp=drive_link"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nDXYc-nugzTDX3_nuZ8wiQWv36E8aWY/view?usp=sharing" TargetMode="External"/><Relationship Id="rId194" Type="http://schemas.openxmlformats.org/officeDocument/2006/relationships/hyperlink" Target="https://drive.google.com/file/d/1zXrPAl2GHHar8PnEtvIJ9mbRmhY3SKep/view?usp=sharing" TargetMode="External"/><Relationship Id="rId193" Type="http://schemas.openxmlformats.org/officeDocument/2006/relationships/hyperlink" Target="https://drive.google.com/file/d/1udxOn_Dy_Za_SR3mzv5vYkNTWgSUGolb/view?usp=drive_link" TargetMode="External"/><Relationship Id="rId192" Type="http://schemas.openxmlformats.org/officeDocument/2006/relationships/hyperlink" Target="https://drive.google.com/file/d/1Qm3al3wjPwtjsbxSaFrUaprc6LUHZVAi/view?usp=sharing" TargetMode="External"/><Relationship Id="rId191" Type="http://schemas.openxmlformats.org/officeDocument/2006/relationships/hyperlink" Target="https://drive.google.com/file/d/1ngZeRv6JPBDacvymDxIorNVhw9ePGgEP/view?usp=drive_link" TargetMode="External"/><Relationship Id="rId187" Type="http://schemas.openxmlformats.org/officeDocument/2006/relationships/hyperlink" Target="https://drive.google.com/file/d/1CB6j246ndjest2SiAQG6EJZ0vQ9uJH1T/view?usp=drive_link" TargetMode="External"/><Relationship Id="rId186" Type="http://schemas.openxmlformats.org/officeDocument/2006/relationships/hyperlink" Target="https://drive.google.com/file/d/1P1C3TpS8hkeMxY3qohrBaadf7LdWS-U6/view?usp=drive_link" TargetMode="External"/><Relationship Id="rId185" Type="http://schemas.openxmlformats.org/officeDocument/2006/relationships/hyperlink" Target="https://drive.google.com/file/d/1lvhLWb0dKrlxeLgjFiiu0qT_GhcW6fA8/view?usp=drive_link" TargetMode="External"/><Relationship Id="rId184" Type="http://schemas.openxmlformats.org/officeDocument/2006/relationships/hyperlink" Target="https://drive.google.com/file/d/159fkCSmXLJBiydspwwDGru0DzXa_ZgMk/view?usp=drive_link" TargetMode="External"/><Relationship Id="rId189" Type="http://schemas.openxmlformats.org/officeDocument/2006/relationships/hyperlink" Target="https://drive.google.com/file/d/1szrx1gG4we4JBaORhFCueSxV9I-tXN9B/view?usp=drive_link" TargetMode="External"/><Relationship Id="rId188" Type="http://schemas.openxmlformats.org/officeDocument/2006/relationships/hyperlink" Target="https://drive.google.com/file/d/1N-3WJRM_ZYVzi70ABIXjp1FwdsXEaXxp/view?usp=drive_link" TargetMode="External"/><Relationship Id="rId183" Type="http://schemas.openxmlformats.org/officeDocument/2006/relationships/hyperlink" Target="https://drive.google.com/file/d/1uEjjDcAtDJCL1OiaXqsjUHUsRyfptcEd/view?usp=drive_link" TargetMode="External"/><Relationship Id="rId182" Type="http://schemas.openxmlformats.org/officeDocument/2006/relationships/hyperlink" Target="https://drive.google.com/file/d/1Zaz3iIzQNkn5AhCc9GRu9de7XAzEuLkA/view?usp=sharing" TargetMode="External"/><Relationship Id="rId181" Type="http://schemas.openxmlformats.org/officeDocument/2006/relationships/hyperlink" Target="https://drive.google.com/file/d/1RCsXeImDzNjmGayO6XAA3C6O7pVXNnYX/view?usp=drive_link" TargetMode="External"/><Relationship Id="rId180" Type="http://schemas.openxmlformats.org/officeDocument/2006/relationships/hyperlink" Target="https://drive.google.com/file/d/1IjcLC_Vhq_I5aNYJh4Fwti8ug_t39_5b/view?usp=drive_link" TargetMode="External"/><Relationship Id="rId176" Type="http://schemas.openxmlformats.org/officeDocument/2006/relationships/hyperlink" Target="https://drive.google.com/file/d/1lgi3DK-19Po_5CR9mKDmuPbTFgQyjW7g/view?usp=drive_link" TargetMode="External"/><Relationship Id="rId297" Type="http://schemas.openxmlformats.org/officeDocument/2006/relationships/hyperlink" Target="https://drive.google.com/file/d/1Jb9ApHl9ox5VBe7nla_CwvDTtx_tAPcu/view?usp=drive_link" TargetMode="External"/><Relationship Id="rId175" Type="http://schemas.openxmlformats.org/officeDocument/2006/relationships/hyperlink" Target="https://drive.google.com/file/d/1UL8ws9C5vyvl4hZPHAANOLwUkfZRJPs9/view?usp=sharing" TargetMode="External"/><Relationship Id="rId296" Type="http://schemas.openxmlformats.org/officeDocument/2006/relationships/hyperlink" Target="https://drive.google.com/file/d/1npkjA1Uo4tAVNCbcRpUvmKM2dK6i5jEA/view?usp=drive_link" TargetMode="External"/><Relationship Id="rId174" Type="http://schemas.openxmlformats.org/officeDocument/2006/relationships/hyperlink" Target="https://drive.google.com/file/d/1Kcc6Yb6BgvKXztFuRDPUqnOMj7qx2XHN/view?usp=sharing" TargetMode="External"/><Relationship Id="rId295" Type="http://schemas.openxmlformats.org/officeDocument/2006/relationships/hyperlink" Target="https://drive.google.com/file/d/13Zdz6shTGgYaOH5QGfliK8TcLcTmqb8y/view?usp=drive_link" TargetMode="External"/><Relationship Id="rId173" Type="http://schemas.openxmlformats.org/officeDocument/2006/relationships/hyperlink" Target="https://drive.google.com/file/d/1RdybK4p1rfeAclRF_AXmOtiySYWtu3Lp/view?usp=sharing" TargetMode="External"/><Relationship Id="rId294" Type="http://schemas.openxmlformats.org/officeDocument/2006/relationships/hyperlink" Target="https://drive.google.com/file/d/16hLO2abxVCeoAvv8WPioSmR21mJr0bxP/view?usp=drive_link" TargetMode="External"/><Relationship Id="rId179" Type="http://schemas.openxmlformats.org/officeDocument/2006/relationships/hyperlink" Target="https://drive.google.com/file/d/1_-Oum2l_gkWEQhx5HI0zNsuG4NUd0zY0/view?usp=drive_link" TargetMode="External"/><Relationship Id="rId178" Type="http://schemas.openxmlformats.org/officeDocument/2006/relationships/hyperlink" Target="https://drive.google.com/file/d/1GWah5xnOx5lDYHbXDjhecoN7hGUHJ_BY/view?usp=drive_link" TargetMode="External"/><Relationship Id="rId299" Type="http://schemas.openxmlformats.org/officeDocument/2006/relationships/hyperlink" Target="https://drive.google.com/file/d/1w15j0ElwrwJpGmc1zNKWQFhWB-BTpAw2/view?usp=sharing" TargetMode="External"/><Relationship Id="rId177" Type="http://schemas.openxmlformats.org/officeDocument/2006/relationships/hyperlink" Target="https://drive.google.com/file/d/1WV5ZFP0yuoeateApLCE0dFZLwntLXvS8/view?usp=drive_link" TargetMode="External"/><Relationship Id="rId298" Type="http://schemas.openxmlformats.org/officeDocument/2006/relationships/hyperlink" Target="https://drive.google.com/file/d/1dNIK9wp6n9dCJxTJEguQNXDwDC479Dnt/view?usp=drive_link" TargetMode="External"/><Relationship Id="rId198" Type="http://schemas.openxmlformats.org/officeDocument/2006/relationships/hyperlink" Target="https://drive.google.com/file/d/1opvKIzqa9A_1Nl-QqJfBQ-bF0WPMy8xB/view?usp=drive_link" TargetMode="External"/><Relationship Id="rId197" Type="http://schemas.openxmlformats.org/officeDocument/2006/relationships/hyperlink" Target="https://drive.google.com/file/d/1eLStPaLocrOGroCLuFuiDnj0GPEedtLs/view?usp=drive_link" TargetMode="External"/><Relationship Id="rId196" Type="http://schemas.openxmlformats.org/officeDocument/2006/relationships/hyperlink" Target="https://drive.google.com/file/d/15cbdz70nSNB6EURMSoWfavp8ZhWZ37_4/view?usp=drive_link" TargetMode="External"/><Relationship Id="rId195" Type="http://schemas.openxmlformats.org/officeDocument/2006/relationships/hyperlink" Target="https://drive.google.com/file/d/10C52iX7Rc_HOOjQQ_9W4vuaWAmtN5aft/view?usp=sharing" TargetMode="External"/><Relationship Id="rId199" Type="http://schemas.openxmlformats.org/officeDocument/2006/relationships/hyperlink" Target="https://drive.google.com/file/d/15N_p0qd8DMEGejgy6tZ5_Z5piZqzu44y/view?usp=drive_link" TargetMode="External"/><Relationship Id="rId150" Type="http://schemas.openxmlformats.org/officeDocument/2006/relationships/hyperlink" Target="https://drive.google.com/file/d/1aG1tWaTTVVyd7OWZdzGXdUhtbWG-xyRo/view?usp=sharing" TargetMode="External"/><Relationship Id="rId271" Type="http://schemas.openxmlformats.org/officeDocument/2006/relationships/hyperlink" Target="https://drive.google.com/file/d/1XLniup9g0MvVOXinVYj140BRA-CCceca/view?usp=drive_link" TargetMode="External"/><Relationship Id="rId392" Type="http://schemas.openxmlformats.org/officeDocument/2006/relationships/hyperlink" Target="https://www.ebay.com/itm/326655425561" TargetMode="External"/><Relationship Id="rId270" Type="http://schemas.openxmlformats.org/officeDocument/2006/relationships/hyperlink" Target="https://drive.google.com/file/d/15QV8kDnGldz_qyK98uAR-r1XtENW6dUi/view?usp=drive_link" TargetMode="External"/><Relationship Id="rId391" Type="http://schemas.openxmlformats.org/officeDocument/2006/relationships/hyperlink" Target="https://drive.google.com/file/d/1QRc10TCAiBlJeDLv4O4EJs6no_wvTNil/view?usp=drive_link" TargetMode="External"/><Relationship Id="rId390" Type="http://schemas.openxmlformats.org/officeDocument/2006/relationships/hyperlink" Target="https://drive.google.com/file/d/1-DxmC88rBGEWh0hKHmDGy-O_zzMBg1Xc/view?usp=drive_link"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www.ebay.com/itm/197444298442" TargetMode="External"/><Relationship Id="rId4" Type="http://schemas.openxmlformats.org/officeDocument/2006/relationships/hyperlink" Target="https://drive.google.com/file/d/1yuUOHyVeO19Dr6ru4vtdl2SS0lfi0tGj/view?usp=drive_link" TargetMode="External"/><Relationship Id="rId148" Type="http://schemas.openxmlformats.org/officeDocument/2006/relationships/hyperlink" Target="https://drive.google.com/file/d/1dbk0Pis6ZClxR9GS11-e8YP2_YXGVdIm/view?usp=sharing" TargetMode="External"/><Relationship Id="rId269" Type="http://schemas.openxmlformats.org/officeDocument/2006/relationships/hyperlink" Target="https://drive.google.com/file/d/1b0ziWqUaeK_IaEJyAlUwRT2nK4nRMQIt/view?usp=drive_link" TargetMode="External"/><Relationship Id="rId9" Type="http://schemas.openxmlformats.org/officeDocument/2006/relationships/hyperlink" Target="https://drive.google.com/file/d/1zTS67J3SpFDeXXGKhWDsLbW4qIbFljYs/view?usp=drive_link" TargetMode="External"/><Relationship Id="rId143" Type="http://schemas.openxmlformats.org/officeDocument/2006/relationships/hyperlink" Target="https://drive.google.com/file/d/1Vd6K_ON1nLajWwzdjOpd5NUuoGiQY1eY/view?usp=drive_link" TargetMode="External"/><Relationship Id="rId264" Type="http://schemas.openxmlformats.org/officeDocument/2006/relationships/hyperlink" Target="https://drive.google.com/file/d/181evepKK5xfnkYYhTn-20K220DQEBgQZ/view?usp=drive_link" TargetMode="External"/><Relationship Id="rId385" Type="http://schemas.openxmlformats.org/officeDocument/2006/relationships/hyperlink" Target="https://drive.google.com/file/d/1n7mCJDgeMayvTPM1HZ-lw0hu78dA767M/view?usp=drive_link" TargetMode="External"/><Relationship Id="rId142" Type="http://schemas.openxmlformats.org/officeDocument/2006/relationships/hyperlink" Target="https://www.ebay.com/itm/326685495041" TargetMode="External"/><Relationship Id="rId263" Type="http://schemas.openxmlformats.org/officeDocument/2006/relationships/hyperlink" Target="https://drive.google.com/file/d/1oZN5cspcXORvna9sojKvqFqkD8bjDBEK/view?usp=drive_link" TargetMode="External"/><Relationship Id="rId384" Type="http://schemas.openxmlformats.org/officeDocument/2006/relationships/hyperlink" Target="https://www.ebay.es/itm/326655425561" TargetMode="External"/><Relationship Id="rId141" Type="http://schemas.openxmlformats.org/officeDocument/2006/relationships/hyperlink" Target="https://drive.google.com/file/d/1I02fNE6ZdO7J2tYBoKF-AEegmtkxsGE6/view?usp=drive_link" TargetMode="External"/><Relationship Id="rId262" Type="http://schemas.openxmlformats.org/officeDocument/2006/relationships/hyperlink" Target="https://drive.google.com/file/d/1bsBO1xoyoEE1rXMBm0KQrLXgSPoVagIz/view?usp=drive_link" TargetMode="External"/><Relationship Id="rId383" Type="http://schemas.openxmlformats.org/officeDocument/2006/relationships/hyperlink" Target="https://drive.google.com/file/d/1KbEWaC3856j8N9yZNd7gH3fOx9amM1Y6/view?usp=drive_link" TargetMode="External"/><Relationship Id="rId140" Type="http://schemas.openxmlformats.org/officeDocument/2006/relationships/hyperlink" Target="https://drive.google.com/file/d/1lniCgXRBtpjvlds6uE8QY0fO6eQwS59t/view?usp=sharing" TargetMode="External"/><Relationship Id="rId261" Type="http://schemas.openxmlformats.org/officeDocument/2006/relationships/hyperlink" Target="https://drive.google.com/file/d/1_U_7st8x_txHaybnwmkPqWpoWKGBLu40/view?usp=drive_link" TargetMode="External"/><Relationship Id="rId382" Type="http://schemas.openxmlformats.org/officeDocument/2006/relationships/hyperlink" Target="https://www.ebay.es/itm/326655425561" TargetMode="External"/><Relationship Id="rId5" Type="http://schemas.openxmlformats.org/officeDocument/2006/relationships/hyperlink" Target="https://drive.google.com/file/d/1HhhkT3WiFA9eRVxppZvGwnllHFxohb72/view?usp=drive_link" TargetMode="External"/><Relationship Id="rId147" Type="http://schemas.openxmlformats.org/officeDocument/2006/relationships/hyperlink" Target="https://www.ebay.com/itm/326685495041" TargetMode="External"/><Relationship Id="rId268" Type="http://schemas.openxmlformats.org/officeDocument/2006/relationships/hyperlink" Target="https://drive.google.com/file/d/1rMBSrRUMEqG97N0l520TFjlzsaXBmPHX/view?usp=sharing" TargetMode="External"/><Relationship Id="rId389" Type="http://schemas.openxmlformats.org/officeDocument/2006/relationships/hyperlink" Target="https://www.ebay.com/itm/326685495041" TargetMode="External"/><Relationship Id="rId6" Type="http://schemas.openxmlformats.org/officeDocument/2006/relationships/hyperlink" Target="https://drive.google.com/file/d/1gVP1x6BHoNuBWH2lBKzdlxOkDbQxMYZb/view?usp=drive_link" TargetMode="External"/><Relationship Id="rId146" Type="http://schemas.openxmlformats.org/officeDocument/2006/relationships/hyperlink" Target="https://drive.google.com/file/d/1KW5hXUJF8_T8gxqEw6FSoP49J-opAl96/view?usp=drive_link" TargetMode="External"/><Relationship Id="rId267" Type="http://schemas.openxmlformats.org/officeDocument/2006/relationships/hyperlink" Target="https://drive.google.com/file/d/1mIcvWju16osdW6x7Pt9BjSGpoWw0xwgC/view?usp=drive_link" TargetMode="External"/><Relationship Id="rId388" Type="http://schemas.openxmlformats.org/officeDocument/2006/relationships/hyperlink" Target="https://drive.google.com/file/d/1wh-wTZ6S09J0DOjXHdMFm8vvPkScH4b-/view?usp=drive_link" TargetMode="External"/><Relationship Id="rId7" Type="http://schemas.openxmlformats.org/officeDocument/2006/relationships/hyperlink" Target="https://www.amazon.com/-/es/gp/product/B0DX2V2BLW/ref=ppx_od_dt_b_asin_title_s00?ie=UTF8&amp;th=1" TargetMode="External"/><Relationship Id="rId145" Type="http://schemas.openxmlformats.org/officeDocument/2006/relationships/hyperlink" Target="https://drive.google.com/file/d/1gDL1E3L1RXhHS64nKAWH7zYUa3RtC63X/view?usp=drive_link" TargetMode="External"/><Relationship Id="rId266" Type="http://schemas.openxmlformats.org/officeDocument/2006/relationships/hyperlink" Target="https://drive.google.com/file/d/1Wv0e09yfJeBQGbUlHK-qyZ3sUlve1fbU/view?usp=drive_link" TargetMode="External"/><Relationship Id="rId387" Type="http://schemas.openxmlformats.org/officeDocument/2006/relationships/hyperlink" Target="https://www.amazon.com/-/es/dp/B0F1BMYWY6?ref=fed_asin_title&amp;th=1" TargetMode="External"/><Relationship Id="rId8" Type="http://schemas.openxmlformats.org/officeDocument/2006/relationships/hyperlink" Target="https://drive.google.com/file/d/1zEPlCFU9OU8hFK9g4YeCNyMDjIx6LRKI/view?usp=drive_link" TargetMode="External"/><Relationship Id="rId144" Type="http://schemas.openxmlformats.org/officeDocument/2006/relationships/hyperlink" Target="https://drive.google.com/file/d/1AB3bBVN-7-xdou5qk8RvlTjULA6-A30L/view?usp=drive_link" TargetMode="External"/><Relationship Id="rId265" Type="http://schemas.openxmlformats.org/officeDocument/2006/relationships/hyperlink" Target="https://drive.google.com/file/d/1kQcFq0mDHPfSgcfCIrZfj2IXWiaek2X0/view?usp=drive_link" TargetMode="External"/><Relationship Id="rId386" Type="http://schemas.openxmlformats.org/officeDocument/2006/relationships/hyperlink" Target="https://www.ebay.es/itm/326655425561" TargetMode="External"/><Relationship Id="rId260" Type="http://schemas.openxmlformats.org/officeDocument/2006/relationships/hyperlink" Target="https://drive.google.com/file/d/1gR_jlgzgXjVL3SaXfz26yd-PdXoTfCgU/view?usp=drive_link" TargetMode="External"/><Relationship Id="rId381" Type="http://schemas.openxmlformats.org/officeDocument/2006/relationships/hyperlink" Target="https://drive.google.com/file/d/11F0GB80MXuEaIJJSw52hybeCLpZfudo0/view?usp=drive_link" TargetMode="External"/><Relationship Id="rId380" Type="http://schemas.openxmlformats.org/officeDocument/2006/relationships/hyperlink" Target="https://drive.google.com/file/d/1euX1i3NzkdQvwxKjsdxumdGHC_WDFZpz/view?usp=drive_link" TargetMode="External"/><Relationship Id="rId139" Type="http://schemas.openxmlformats.org/officeDocument/2006/relationships/hyperlink" Target="https://drive.google.com/file/d/1vKbok7mvM0CVl_bU98XQRY5Erg3KQc1J/view?usp=drive_link" TargetMode="External"/><Relationship Id="rId138" Type="http://schemas.openxmlformats.org/officeDocument/2006/relationships/hyperlink" Target="https://www.ebay.com/itm/197444298442" TargetMode="External"/><Relationship Id="rId259" Type="http://schemas.openxmlformats.org/officeDocument/2006/relationships/hyperlink" Target="https://drive.google.com/file/d/1EHZNPytRGjva3f-EZlJKKSNrFQjVECQK/view?usp=drive_link" TargetMode="External"/><Relationship Id="rId137" Type="http://schemas.openxmlformats.org/officeDocument/2006/relationships/hyperlink" Target="https://drive.google.com/file/d/1Fi5qB6xejW57fdv8qAhHYXpmZi2EE1jS/view?usp=drive_link" TargetMode="External"/><Relationship Id="rId258" Type="http://schemas.openxmlformats.org/officeDocument/2006/relationships/hyperlink" Target="https://drive.google.com/file/d/1X8IVTQya7q9OHoobghTK8LIFdaZgDqpu/view?usp=sharing" TargetMode="External"/><Relationship Id="rId379" Type="http://schemas.openxmlformats.org/officeDocument/2006/relationships/hyperlink" Target="https://drive.google.com/file/d/1MXFYPx-sSRQcDtBG0kp_mLtccQi02xHP/view?usp=drive_link" TargetMode="External"/><Relationship Id="rId132" Type="http://schemas.openxmlformats.org/officeDocument/2006/relationships/hyperlink" Target="https://drive.google.com/file/d/14N4hx-_pwXawP5CP-TUOa4Cbizi1Z0vm/view?usp=drive_link" TargetMode="External"/><Relationship Id="rId253" Type="http://schemas.openxmlformats.org/officeDocument/2006/relationships/hyperlink" Target="https://drive.google.com/file/d/1r16Y_PVtXxxohuZvqj5d76b5fh7mlK6R/view?usp=drive_link" TargetMode="External"/><Relationship Id="rId374" Type="http://schemas.openxmlformats.org/officeDocument/2006/relationships/hyperlink" Target="https://drive.google.com/file/d/10-NdVI2nO5bV1F4bUVGNbBHbzFc8lTHz/view?usp=drive_link" TargetMode="External"/><Relationship Id="rId495" Type="http://schemas.openxmlformats.org/officeDocument/2006/relationships/hyperlink" Target="https://drive.google.com/open?id=1Hz8N9VM03H04rTL_61BJCRHGMHp3eFJA&amp;usp=drive_copy" TargetMode="External"/><Relationship Id="rId131" Type="http://schemas.openxmlformats.org/officeDocument/2006/relationships/hyperlink" Target="https://drive.google.com/file/d/1ct1_nRnSNWLYrekUOb_tYUtS3z8Cxnlc/view?usp=sharing" TargetMode="External"/><Relationship Id="rId252" Type="http://schemas.openxmlformats.org/officeDocument/2006/relationships/hyperlink" Target="https://drive.google.com/file/d/15Ld0Wn2S7aWchvn6HaN9kp3WhKGvyPNM/view?usp=sharing" TargetMode="External"/><Relationship Id="rId373" Type="http://schemas.openxmlformats.org/officeDocument/2006/relationships/hyperlink" Target="https://www.bestbuy.com/product/acer-predator-helios-neo-16s-ai-gaming-laptop-16-oled-240hz-intel-core-ultra-9-nvidia-geforce-rtx-5070ti-32gb-1tb-obsidian-black/JJ8V8H38XT" TargetMode="External"/><Relationship Id="rId494" Type="http://schemas.openxmlformats.org/officeDocument/2006/relationships/hyperlink" Target="https://drive.google.com/open?id=1NVa2MIrDIM_yshNpeyZyls6kcwv1FiS1&amp;usp=drive_copy" TargetMode="External"/><Relationship Id="rId130" Type="http://schemas.openxmlformats.org/officeDocument/2006/relationships/hyperlink" Target="https://drive.google.com/file/d/1Yaofqu7AD29rQrzJpx6M0_HmFafloYL9/view?usp=drive_link" TargetMode="External"/><Relationship Id="rId251" Type="http://schemas.openxmlformats.org/officeDocument/2006/relationships/hyperlink" Target="https://drive.google.com/file/d/1gJErNodHK0amqJ1fCXlPoskSsnRfzD9j/view?usp=drive_link" TargetMode="External"/><Relationship Id="rId372" Type="http://schemas.openxmlformats.org/officeDocument/2006/relationships/hyperlink" Target="https://drive.google.com/file/d/16qGci7Mw54EV_1_FDl2K7_Hccp-gkc-P/view?usp=drive_link" TargetMode="External"/><Relationship Id="rId493" Type="http://schemas.openxmlformats.org/officeDocument/2006/relationships/hyperlink" Target="https://drive.google.com/open?id=1GLboa0rU5FcZh3hGAVGB8Cwg1UH-0onG&amp;usp=drive_copy" TargetMode="External"/><Relationship Id="rId250" Type="http://schemas.openxmlformats.org/officeDocument/2006/relationships/hyperlink" Target="https://drive.google.com/file/d/1u_wARvBtQ4eG1SnNud50vMrOVy68Jf2W/view?usp=drive_link" TargetMode="External"/><Relationship Id="rId371" Type="http://schemas.openxmlformats.org/officeDocument/2006/relationships/hyperlink" Target="https://drive.google.com/file/d/1OJMk88yd8CLB8O6ZCZuanZX9MHnHkPAO/view?usp=drive_link" TargetMode="External"/><Relationship Id="rId492" Type="http://schemas.openxmlformats.org/officeDocument/2006/relationships/hyperlink" Target="https://drive.google.com/open?id=1fMkKumKXROhCyr8IdAU4jF11Yj9fi2S3&amp;usp=drive_copy" TargetMode="External"/><Relationship Id="rId136" Type="http://schemas.openxmlformats.org/officeDocument/2006/relationships/hyperlink" Target="https://drive.google.com/file/d/1JtUWjpLIUlTl9y0ktJMU6qwcH3UfK656/view?usp=drive_link" TargetMode="External"/><Relationship Id="rId257" Type="http://schemas.openxmlformats.org/officeDocument/2006/relationships/hyperlink" Target="https://drive.google.com/file/d/1XikhMjFZnWXWoUCMd1Bc46PCmeUJOU_F/view?usp=sharing" TargetMode="External"/><Relationship Id="rId378" Type="http://schemas.openxmlformats.org/officeDocument/2006/relationships/hyperlink" Target="https://drive.google.com/file/d/1A6RSdN64uPIY3VvsDe7y5QEDEXYt8EtS/view?usp=drive_link" TargetMode="External"/><Relationship Id="rId499" Type="http://schemas.openxmlformats.org/officeDocument/2006/relationships/hyperlink" Target="https://www.ebay.es/itm/197737868679" TargetMode="External"/><Relationship Id="rId135" Type="http://schemas.openxmlformats.org/officeDocument/2006/relationships/hyperlink" Target="https://drive.google.com/file/d/14ZjNFwHYmgGe-lPVoom3KkPYdcqHUPcv/view?usp=sharing" TargetMode="External"/><Relationship Id="rId256" Type="http://schemas.openxmlformats.org/officeDocument/2006/relationships/hyperlink" Target="https://drive.google.com/file/d/1aViKg6Vf6wCEtdsZ3I9JmonH3w-CWWki/view?usp=sharing" TargetMode="External"/><Relationship Id="rId377" Type="http://schemas.openxmlformats.org/officeDocument/2006/relationships/hyperlink" Target="https://drive.google.com/file/d/1IROXYNgqri-NDtETRbaQP6Q8d-HVSqPM/view?usp=drive_link" TargetMode="External"/><Relationship Id="rId498" Type="http://schemas.openxmlformats.org/officeDocument/2006/relationships/hyperlink" Target="https://drive.google.com/file/d/1j6Jd6ukVFCi4sdPjhnOUaUJnzdEjXjTn/view?usp=drive_link" TargetMode="External"/><Relationship Id="rId134" Type="http://schemas.openxmlformats.org/officeDocument/2006/relationships/hyperlink" Target="https://drive.google.com/file/d/1rd0fM6tGMjoipKl31FAhsB8jeo5w7Zhu/view?usp=sharing" TargetMode="External"/><Relationship Id="rId255" Type="http://schemas.openxmlformats.org/officeDocument/2006/relationships/hyperlink" Target="https://drive.google.com/file/d/1LyjCli0EjNcFRJ8E8wkshlHErIEh3Z5q/view?usp=drive_link" TargetMode="External"/><Relationship Id="rId376" Type="http://schemas.openxmlformats.org/officeDocument/2006/relationships/hyperlink" Target="https://www.costco.com/p/-/lenovo-legion-5i-16-gaming-laptop-intel-core-ultra-9-275hx-geforce-rtx-5060-wqxga-2560x1600-windows-11-home-32gb-ram-1tb-ssd/4000380973?langId=-1" TargetMode="External"/><Relationship Id="rId497" Type="http://schemas.openxmlformats.org/officeDocument/2006/relationships/hyperlink" Target="https://drive.google.com/open?id=1i0TH5ssvzMvleQZ7uZ54g3JOZkTs00sN&amp;usp=drive_copy" TargetMode="External"/><Relationship Id="rId133" Type="http://schemas.openxmlformats.org/officeDocument/2006/relationships/hyperlink" Target="https://www.ebay.com/itm/205606875313" TargetMode="External"/><Relationship Id="rId254" Type="http://schemas.openxmlformats.org/officeDocument/2006/relationships/hyperlink" Target="https://drive.google.com/file/d/1UNcOZOcTGXSbmoKv0wctcYSzo232TucC/view?usp=drive_link" TargetMode="External"/><Relationship Id="rId375" Type="http://schemas.openxmlformats.org/officeDocument/2006/relationships/hyperlink" Target="https://drive.google.com/file/d/1vHT31jSoFFwtaJNA1Pn-SIY2unoCvS8r/view?usp=drive_link" TargetMode="External"/><Relationship Id="rId496" Type="http://schemas.openxmlformats.org/officeDocument/2006/relationships/hyperlink" Target="https://www.ebay.es/itm/197737868679" TargetMode="External"/><Relationship Id="rId172" Type="http://schemas.openxmlformats.org/officeDocument/2006/relationships/hyperlink" Target="https://drive.google.com/file/d/1P-PrsLlEIdmM0JYZkPwJA8_ZK63h3dqT/view?usp=sharing" TargetMode="External"/><Relationship Id="rId293" Type="http://schemas.openxmlformats.org/officeDocument/2006/relationships/hyperlink" Target="https://drive.google.com/file/d/1Sdu_DKo5qhc2i4_sUdA3_fdVOSF9EG7Y/view?usp=drive_link" TargetMode="External"/><Relationship Id="rId171" Type="http://schemas.openxmlformats.org/officeDocument/2006/relationships/hyperlink" Target="https://drive.google.com/file/d/1oEuHYe-urnWGpZtZy9rlp3UKhEd1RtEL/view?usp=drive_link" TargetMode="External"/><Relationship Id="rId292" Type="http://schemas.openxmlformats.org/officeDocument/2006/relationships/hyperlink" Target="https://drive.google.com/file/d/1mbfb_yxEql3GL21AJTSg9JkA_eIwa8mt/view?usp=drive_link" TargetMode="External"/><Relationship Id="rId170" Type="http://schemas.openxmlformats.org/officeDocument/2006/relationships/hyperlink" Target="https://drive.google.com/file/d/1GVgItuo7km3Laqrdd6Tyk2ZVE293fu_V/view?usp=sharing" TargetMode="External"/><Relationship Id="rId291" Type="http://schemas.openxmlformats.org/officeDocument/2006/relationships/hyperlink" Target="https://drive.google.com/file/d/1wrUcYTqKYD9FTxzLUziR82u56Pf6j0hV/view?usp=drive_link" TargetMode="External"/><Relationship Id="rId290" Type="http://schemas.openxmlformats.org/officeDocument/2006/relationships/hyperlink" Target="https://www.newegg.com/asus-tuf-gaming-f16-16-0-geforce-rtx-5050-laptop-gpu-2-2-ghz-up-to-5-2ghz-fhd-512gb-pcie-gen4-ssd-ssd/p/N82E16834236647?Item=N82E16834236647&amp;_gl=1*1i7dy3r*_gcl_au*MzM1OTkxODc0LjE3NTU0ODAyNjc.*_ga*MTA0NDk0NTczNy4xNzU1NDgwMjY4*_ga_TR46GG8HLR*czE3NjIzOTQzODQkbzExJGcxJHQxNzYyMzk0NDY3JGo0NCRsMCRoMTY4ODQ0MDE1Ng.." TargetMode="External"/><Relationship Id="rId165" Type="http://schemas.openxmlformats.org/officeDocument/2006/relationships/hyperlink" Target="https://drive.google.com/file/d/1f1-_0d0__wgEXwTXN0eWUK-GZZHAHxOC/view?usp=drive_link" TargetMode="External"/><Relationship Id="rId286" Type="http://schemas.openxmlformats.org/officeDocument/2006/relationships/hyperlink" Target="https://drive.google.com/file/d/1IdFj-BLMMd7_yGLQcMc1T8-W1WmwEZ6R/view?usp=sharing" TargetMode="External"/><Relationship Id="rId164" Type="http://schemas.openxmlformats.org/officeDocument/2006/relationships/hyperlink" Target="https://drive.google.com/file/d/1vy-GAWZ4DGVERnkR-DbJrJLn7N1LrYkr/view?usp=sharing" TargetMode="External"/><Relationship Id="rId285" Type="http://schemas.openxmlformats.org/officeDocument/2006/relationships/hyperlink" Target="https://drive.google.com/file/d/1tF9FZcsljQP9KhmBijBd7TTSxtc1KK-f/view?usp=sharing" TargetMode="External"/><Relationship Id="rId163" Type="http://schemas.openxmlformats.org/officeDocument/2006/relationships/hyperlink" Target="https://drive.google.com/file/d/1S18t6N28EyAeIlEIVFPTqFVW7E4NdfJ9/view?usp=drive_link" TargetMode="External"/><Relationship Id="rId284" Type="http://schemas.openxmlformats.org/officeDocument/2006/relationships/hyperlink" Target="https://drive.google.com/file/d/1rw_IoCYkr7Pu6o_oCmd9mrj6Tb50-Cwm/view?usp=sharing" TargetMode="External"/><Relationship Id="rId162" Type="http://schemas.openxmlformats.org/officeDocument/2006/relationships/hyperlink" Target="https://drive.google.com/file/d/1tzB4SQqVQwgPwCv0tC9Q9p7YewwDyGfV/view?usp=sharing" TargetMode="External"/><Relationship Id="rId283" Type="http://schemas.openxmlformats.org/officeDocument/2006/relationships/hyperlink" Target="https://drive.google.com/file/d/1QsoRr8DU9JtGQVrYQ2K6HyumEO_CyjbS/view?usp=sharing" TargetMode="External"/><Relationship Id="rId169" Type="http://schemas.openxmlformats.org/officeDocument/2006/relationships/hyperlink" Target="https://drive.google.com/file/d/1LlcbVqkaPbCRlWrxiCMe0VVK1A6F17-F/view?usp=drive_link" TargetMode="External"/><Relationship Id="rId168" Type="http://schemas.openxmlformats.org/officeDocument/2006/relationships/hyperlink" Target="https://www.ebay.com/itm/326685495041" TargetMode="External"/><Relationship Id="rId289" Type="http://schemas.openxmlformats.org/officeDocument/2006/relationships/hyperlink" Target="https://drive.google.com/file/d/15XFo0AXfVaUUshX_cdm74i3UH7y7pVts/view?usp=sharing" TargetMode="External"/><Relationship Id="rId167" Type="http://schemas.openxmlformats.org/officeDocument/2006/relationships/hyperlink" Target="https://drive.google.com/file/d/1YSLdyMiQb7_Ro1bUXLwEvUxXP2r9ceOr/view?usp=drive_link" TargetMode="External"/><Relationship Id="rId288" Type="http://schemas.openxmlformats.org/officeDocument/2006/relationships/hyperlink" Target="https://drive.google.com/file/d/1JJb8jVC4O9bGCxjsXBy0EhvG4_v9MvOB/view?usp=drive_link" TargetMode="External"/><Relationship Id="rId166" Type="http://schemas.openxmlformats.org/officeDocument/2006/relationships/hyperlink" Target="https://drive.google.com/file/d/1aHfdxM5jtjXsbjXKa1YBKtHKpK3-8HcT/view?usp=drive_link" TargetMode="External"/><Relationship Id="rId287" Type="http://schemas.openxmlformats.org/officeDocument/2006/relationships/hyperlink" Target="https://www.costco.com/p/-/lenovo-legion-5i-16-gaming-laptop-intel-core-ultra-9-275hx-geforce-rtx-5060-wqxga-2560x1600-windows-11-home-32gb-ram-1tb-ssd/4000380973?langId=-1" TargetMode="External"/><Relationship Id="rId161" Type="http://schemas.openxmlformats.org/officeDocument/2006/relationships/hyperlink" Target="https://drive.google.com/file/d/1neBpB-VHgTm-BZ2Ux58Bz_UvRUKYdppH/view?usp=sharing" TargetMode="External"/><Relationship Id="rId282" Type="http://schemas.openxmlformats.org/officeDocument/2006/relationships/hyperlink" Target="https://drive.google.com/file/d/18sPgxCdmYoD7JLufOCrerH9_5pRXAXq4/view?usp=drive_link" TargetMode="External"/><Relationship Id="rId160" Type="http://schemas.openxmlformats.org/officeDocument/2006/relationships/hyperlink" Target="https://drive.google.com/file/d/1tSfzB6dVl2JI6vUBDbdlhL-MtOGBt2PX/view?usp=drive_link" TargetMode="External"/><Relationship Id="rId281" Type="http://schemas.openxmlformats.org/officeDocument/2006/relationships/hyperlink" Target="https://www.amazon.com/-/es/dp/B0F1BMYWY6?ref=fed_asin_title&amp;th=1" TargetMode="External"/><Relationship Id="rId280" Type="http://schemas.openxmlformats.org/officeDocument/2006/relationships/hyperlink" Target="https://drive.google.com/file/d/1IsLmQEG7bdWPqWDD-SYI9f9n8Fc8CVSW/view?usp=drive_link" TargetMode="External"/><Relationship Id="rId159" Type="http://schemas.openxmlformats.org/officeDocument/2006/relationships/hyperlink" Target="https://drive.google.com/file/d/1zBmOKEECgDpOtIzNaRvFO6NrP8kytLBN/view?usp=drive_link" TargetMode="External"/><Relationship Id="rId154" Type="http://schemas.openxmlformats.org/officeDocument/2006/relationships/hyperlink" Target="https://drive.google.com/file/d/1sPdPBBVPN9dBdF9dl1I31VgmkrRgcquM/view?usp=sharing" TargetMode="External"/><Relationship Id="rId275" Type="http://schemas.openxmlformats.org/officeDocument/2006/relationships/hyperlink" Target="https://drive.google.com/file/d/1peREPb2L0QF1XxWmWD5NDzMRhsTP2wH9/view?usp=drive_link" TargetMode="External"/><Relationship Id="rId396" Type="http://schemas.openxmlformats.org/officeDocument/2006/relationships/hyperlink" Target="https://drive.google.com/file/d/19rcbWS8SjvsQrdUn_6bvR-O2APz7fKPl/view?usp=drive_link" TargetMode="External"/><Relationship Id="rId153" Type="http://schemas.openxmlformats.org/officeDocument/2006/relationships/hyperlink" Target="https://drive.google.com/file/d/1875yNgcLS31xvqDC9PaA_nBmAAxDEUSD/view?usp=drive_link" TargetMode="External"/><Relationship Id="rId274" Type="http://schemas.openxmlformats.org/officeDocument/2006/relationships/hyperlink" Target="https://www.ebay.com/itm/197534028899" TargetMode="External"/><Relationship Id="rId395" Type="http://schemas.openxmlformats.org/officeDocument/2006/relationships/hyperlink" Target="https://drive.google.com/file/d/1SXLW1J4_R9saX3RwZo1bfjX-6r3yuyo0/view?usp=drive_link" TargetMode="External"/><Relationship Id="rId152" Type="http://schemas.openxmlformats.org/officeDocument/2006/relationships/hyperlink" Target="https://drive.google.com/file/d/1LoSkZitdpxUC5RMA8bmSQA884td6poaP/view?usp=drive_link" TargetMode="External"/><Relationship Id="rId273" Type="http://schemas.openxmlformats.org/officeDocument/2006/relationships/hyperlink" Target="https://drive.google.com/file/d/1gNKovUKG8wJTu1-HBbEjLvbkBPYrdJYe/view?usp=sharing" TargetMode="External"/><Relationship Id="rId394" Type="http://schemas.openxmlformats.org/officeDocument/2006/relationships/hyperlink" Target="https://www.ebay.com/itm/326655425561" TargetMode="External"/><Relationship Id="rId151" Type="http://schemas.openxmlformats.org/officeDocument/2006/relationships/hyperlink" Target="https://drive.google.com/file/d/1tXCrb-UtxvFtTrJRzx1tLtRE5L_nPqVT/view?usp=drive_link" TargetMode="External"/><Relationship Id="rId272" Type="http://schemas.openxmlformats.org/officeDocument/2006/relationships/hyperlink" Target="https://drive.google.com/file/d/1763_kEGMbwsJdUStRK4ViLv2o1L_cAee/view?usp=drive_link" TargetMode="External"/><Relationship Id="rId393" Type="http://schemas.openxmlformats.org/officeDocument/2006/relationships/hyperlink" Target="https://drive.google.com/file/d/1GtjY0xynPrHZ7pWw4jfqIsvy-STUM66e/view?usp=drive_link" TargetMode="External"/><Relationship Id="rId158" Type="http://schemas.openxmlformats.org/officeDocument/2006/relationships/hyperlink" Target="https://drive.google.com/file/d/1HQUu_9Pkoq_WYdGSo0BCjR5JPI-yVePA/view?usp=drive_link" TargetMode="External"/><Relationship Id="rId279" Type="http://schemas.openxmlformats.org/officeDocument/2006/relationships/hyperlink" Target="https://drive.google.com/file/d/1zINoPOMTlHsQlQ6vTBMC24c93uxN_YBC/view?usp=drive_link" TargetMode="External"/><Relationship Id="rId157" Type="http://schemas.openxmlformats.org/officeDocument/2006/relationships/hyperlink" Target="https://drive.google.com/file/d/1M627YktpZGlpoG0EGe0g_kAXX6dNik7N/view?usp=drive_link" TargetMode="External"/><Relationship Id="rId278" Type="http://schemas.openxmlformats.org/officeDocument/2006/relationships/hyperlink" Target="https://drive.google.com/file/d/1uDfh3gZTRDw0ts7lbj06jHeNvG6gzJ5a/view?usp=drive_link" TargetMode="External"/><Relationship Id="rId399" Type="http://schemas.openxmlformats.org/officeDocument/2006/relationships/hyperlink" Target="https://drive.google.com/file/d/1XYZwScE-Z-wGBHU06psbAaJmg3c3S5zo/view?usp=drive_link" TargetMode="External"/><Relationship Id="rId156" Type="http://schemas.openxmlformats.org/officeDocument/2006/relationships/hyperlink" Target="https://www.ebay.com/itm/326685495041" TargetMode="External"/><Relationship Id="rId277" Type="http://schemas.openxmlformats.org/officeDocument/2006/relationships/hyperlink" Target="https://drive.google.com/file/d/1iUr7IqHnT4WElJRECgcidKW4jLAn1WLW/view?usp=sharing" TargetMode="External"/><Relationship Id="rId398" Type="http://schemas.openxmlformats.org/officeDocument/2006/relationships/hyperlink" Target="https://drive.google.com/file/d/1Iji8v06vNYcI4t_b2UTgkHEmJXwNkHCt/view?usp=drive_link" TargetMode="External"/><Relationship Id="rId155" Type="http://schemas.openxmlformats.org/officeDocument/2006/relationships/hyperlink" Target="https://drive.google.com/file/d/1OiGzIMLx18U7gHk98fKYa-VFqO3uC2tc/view?usp=drive_link" TargetMode="External"/><Relationship Id="rId276" Type="http://schemas.openxmlformats.org/officeDocument/2006/relationships/hyperlink" Target="https://drive.google.com/file/d/1vOGGuomcFoCPmHluzA79hI689ARny48e/view?usp=drive_link" TargetMode="External"/><Relationship Id="rId397" Type="http://schemas.openxmlformats.org/officeDocument/2006/relationships/hyperlink" Target="https://drive.google.com/file/d/1OF66kKn0cqDi6PJZ4Jg19MtqU4IhvCfP/view?usp=drive_link" TargetMode="External"/><Relationship Id="rId40" Type="http://schemas.openxmlformats.org/officeDocument/2006/relationships/hyperlink" Target="https://drive.google.com/file/d/1IChahqd9Of5NyazPaxmH5wMcuCpFfpCR/view?usp=drive_link" TargetMode="External"/><Relationship Id="rId42" Type="http://schemas.openxmlformats.org/officeDocument/2006/relationships/hyperlink" Target="https://drive.google.com/file/d/1GiPtPtxGHz8YvANuRT67pwCFbJGbLFbz/view?usp=drive_link" TargetMode="External"/><Relationship Id="rId41" Type="http://schemas.openxmlformats.org/officeDocument/2006/relationships/hyperlink" Target="https://drive.google.com/file/d/1mtw9dFEPe1BDLfHbRlAhCDSF9gFkpBTt/view?usp=drive_link" TargetMode="External"/><Relationship Id="rId44" Type="http://schemas.openxmlformats.org/officeDocument/2006/relationships/hyperlink" Target="https://drive.google.com/file/d/1NqQwKQ60ZX__P4C_9oPyqbvowAz4_R-r/view?usp=drive_link" TargetMode="External"/><Relationship Id="rId43" Type="http://schemas.openxmlformats.org/officeDocument/2006/relationships/hyperlink" Target="https://drive.google.com/file/d/1CIvcsYOsfLVJPKgNhipRqiI88tXDMWTU/view?usp=drive_link" TargetMode="External"/><Relationship Id="rId46" Type="http://schemas.openxmlformats.org/officeDocument/2006/relationships/hyperlink" Target="https://drive.google.com/file/d/11xFXrArEI7gYfip6Bnrdd-gwaRMKVGLR/view?usp=drive_link" TargetMode="External"/><Relationship Id="rId45" Type="http://schemas.openxmlformats.org/officeDocument/2006/relationships/hyperlink" Target="https://drive.google.com/file/d/1S9-25GWQibZt8yIhd6QjWDLwDdHepy2e/view?usp=drive_link" TargetMode="External"/><Relationship Id="rId509" Type="http://schemas.openxmlformats.org/officeDocument/2006/relationships/hyperlink" Target="https://drive.google.com/open?id=1nKSNDMnThVekUJY32HsusPbXrH2DwS2B&amp;usp=drive_copy" TargetMode="External"/><Relationship Id="rId508" Type="http://schemas.openxmlformats.org/officeDocument/2006/relationships/hyperlink" Target="https://drive.google.com/open?id=1pvPrlM9FDjetV-xLYQKCwPVAtksuIiN2&amp;usp=drive_copy" TargetMode="External"/><Relationship Id="rId629" Type="http://schemas.openxmlformats.org/officeDocument/2006/relationships/hyperlink" Target="https://drive.google.com/file/d/188zkJTMKWhQY-Bd_WB6RWbd74VJhxcW7/view?usp=drive_link" TargetMode="External"/><Relationship Id="rId503" Type="http://schemas.openxmlformats.org/officeDocument/2006/relationships/hyperlink" Target="https://www.costco.com/p/-/msi-crosshair-18-hx-ai-18-gaming-laptop-intel-core-ultra-9-275hx-nvidia-rtx-5070-2560x1600-32gb-ram-1tb-ssd-windows-11-home/4000374413?langId=-1" TargetMode="External"/><Relationship Id="rId624" Type="http://schemas.openxmlformats.org/officeDocument/2006/relationships/hyperlink" Target="https://drive.google.com/open?id=1zQ9wSOxyKAfdl6kS9ip5M104vFCY6acz&amp;usp=drive_copy" TargetMode="External"/><Relationship Id="rId502" Type="http://schemas.openxmlformats.org/officeDocument/2006/relationships/hyperlink" Target="https://drive.google.com/open?id=1wP8RxyBawssYWJ2Ne4TYX8gKfEOYPpuv&amp;usp=drive_copy" TargetMode="External"/><Relationship Id="rId623" Type="http://schemas.openxmlformats.org/officeDocument/2006/relationships/hyperlink" Target="https://drive.google.com/open?id=1EJppv3cpwxBiED-4ipaa_0FfqO7nQ5S-&amp;usp=drive_copy" TargetMode="External"/><Relationship Id="rId501" Type="http://schemas.openxmlformats.org/officeDocument/2006/relationships/hyperlink" Target="https://drive.google.com/file/d/1TCfefAWb_RAhh-nZdYeNCzh_tUhnW2FD/view?usp=drive_link" TargetMode="External"/><Relationship Id="rId622" Type="http://schemas.openxmlformats.org/officeDocument/2006/relationships/hyperlink" Target="https://drive.google.com/open?id=1_gUb74vgjWKQwXf8DXSXKGYk5jYK9lFl&amp;usp=drive_copy" TargetMode="External"/><Relationship Id="rId500" Type="http://schemas.openxmlformats.org/officeDocument/2006/relationships/hyperlink" Target="https://drive.google.com/open?id=1s_NvnBujoklKFPtIS2vxpa7Pfip8wXh4&amp;usp=drive_copy" TargetMode="External"/><Relationship Id="rId621" Type="http://schemas.openxmlformats.org/officeDocument/2006/relationships/hyperlink" Target="https://drive.google.com/file/d/11MVjJdZnE9YUaDkKD9qSDcF0X0z94cxM/view?usp=drive_link" TargetMode="External"/><Relationship Id="rId507" Type="http://schemas.openxmlformats.org/officeDocument/2006/relationships/hyperlink" Target="https://www.ebay.es/itm/197737868679" TargetMode="External"/><Relationship Id="rId628" Type="http://schemas.openxmlformats.org/officeDocument/2006/relationships/hyperlink" Target="https://shop.asus.com/us/30939-us-cnf-auto.html?config=9" TargetMode="External"/><Relationship Id="rId506" Type="http://schemas.openxmlformats.org/officeDocument/2006/relationships/hyperlink" Target="https://drive.google.com/open?id=1GlUTkAaTWiQq_OX6JzTf9hG-gTBKiENA&amp;usp=drive_copy" TargetMode="External"/><Relationship Id="rId627" Type="http://schemas.openxmlformats.org/officeDocument/2006/relationships/hyperlink" Target="https://drive.google.com/open?id=10903pT3mSXM-jUoAbT8M1jS-kx66qUIs&amp;usp=drive_copy" TargetMode="External"/><Relationship Id="rId505" Type="http://schemas.openxmlformats.org/officeDocument/2006/relationships/hyperlink" Target="https://drive.google.com/open?id=1gQb42v2qu6S2UbEGKZQnSmC25iiwVYLo&amp;usp=drive_copy" TargetMode="External"/><Relationship Id="rId626" Type="http://schemas.openxmlformats.org/officeDocument/2006/relationships/hyperlink" Target="https://www.ebay.com/itm/197444303642" TargetMode="External"/><Relationship Id="rId504" Type="http://schemas.openxmlformats.org/officeDocument/2006/relationships/hyperlink" Target="https://drive.google.com/open?id=1xDHQJK3ehvzC1Ay0AlaT0H3j85_RdORB&amp;usp=drive_copy" TargetMode="External"/><Relationship Id="rId625" Type="http://schemas.openxmlformats.org/officeDocument/2006/relationships/hyperlink" Target="https://drive.google.com/open?id=1zeyQLRmu7IOeo_H-gchAt718Etmul7F5&amp;usp=drive_copy" TargetMode="External"/><Relationship Id="rId48" Type="http://schemas.openxmlformats.org/officeDocument/2006/relationships/hyperlink" Target="https://www.ups.com/track?track=yes&amp;trackNums=1ZGH09603902718544" TargetMode="External"/><Relationship Id="rId47" Type="http://schemas.openxmlformats.org/officeDocument/2006/relationships/hyperlink" Target="https://drive.google.com/file/d/1UqsCCuE0NP7WOPOEWi7SPhqiyljcQTLW/view?usp=drive_link" TargetMode="External"/><Relationship Id="rId49" Type="http://schemas.openxmlformats.org/officeDocument/2006/relationships/hyperlink" Target="https://drive.google.com/file/d/181evENv6EPOv7uOjuKTNyGMOOQQmADU-/view?usp=drive_link" TargetMode="External"/><Relationship Id="rId620" Type="http://schemas.openxmlformats.org/officeDocument/2006/relationships/hyperlink" Target="https://drive.google.com/file/d/12ToUP19dsd2EXqw9ec115K3vuOaAKJ1T/view?usp=drive_link" TargetMode="External"/><Relationship Id="rId31" Type="http://schemas.openxmlformats.org/officeDocument/2006/relationships/hyperlink" Target="https://drive.google.com/file/d/1sncmhsXmyqj4rFndx_AdGol6NoW4JVSp/view?usp=drive_link" TargetMode="External"/><Relationship Id="rId30" Type="http://schemas.openxmlformats.org/officeDocument/2006/relationships/hyperlink" Target="https://www.ebay.com/itm/365525287555" TargetMode="External"/><Relationship Id="rId33" Type="http://schemas.openxmlformats.org/officeDocument/2006/relationships/hyperlink" Target="https://www.ups.com/track?track=yes&amp;trackNums=1ZGH09603902704728" TargetMode="External"/><Relationship Id="rId32" Type="http://schemas.openxmlformats.org/officeDocument/2006/relationships/hyperlink" Target="https://drive.google.com/file/d/13gjx4BQVSbKYZNrsyHRjIPIPQ6xaj8Zp/view?usp=drive_link" TargetMode="External"/><Relationship Id="rId35" Type="http://schemas.openxmlformats.org/officeDocument/2006/relationships/hyperlink" Target="https://drive.google.com/file/d/16a5sytOYUWMQCCQCs9QjZLDfzEFuKRZc/view?usp=drive_link" TargetMode="External"/><Relationship Id="rId34" Type="http://schemas.openxmlformats.org/officeDocument/2006/relationships/hyperlink" Target="https://drive.google.com/file/d/1cxKwno_3i8iaOwFPkFMCGXjbFtjMA9so/view?usp=drive_link" TargetMode="External"/><Relationship Id="rId619" Type="http://schemas.openxmlformats.org/officeDocument/2006/relationships/hyperlink" Target="https://drive.google.com/file/d/1fRakelnirJmGQ3DG0qxjRDyTK3kiWoEU/view?usp=drive_link" TargetMode="External"/><Relationship Id="rId618" Type="http://schemas.openxmlformats.org/officeDocument/2006/relationships/hyperlink" Target="https://shop.asus.com/us/30939-us-cnf-auto.html?config=9" TargetMode="External"/><Relationship Id="rId613" Type="http://schemas.openxmlformats.org/officeDocument/2006/relationships/hyperlink" Target="https://drive.google.com/open?id=1EmXUAzw5drgYBL62ET_WeRH-I45PFivi&amp;usp=drive_copy" TargetMode="External"/><Relationship Id="rId612" Type="http://schemas.openxmlformats.org/officeDocument/2006/relationships/hyperlink" Target="https://drive.google.com/file/d/1_TqcsfXV8WE8HSxJUO4CXBKDA1fPOc3B/view?usp=drive_link" TargetMode="External"/><Relationship Id="rId611" Type="http://schemas.openxmlformats.org/officeDocument/2006/relationships/hyperlink" Target="https://www.microcenter.com/product/691610/lenovo-legion-pro-7-16iax10h-oled-16-gaming-laptop-computer-eclipse-black" TargetMode="External"/><Relationship Id="rId610" Type="http://schemas.openxmlformats.org/officeDocument/2006/relationships/hyperlink" Target="https://drive.google.com/open?id=19QAuuLo8VEFM7zZO0oCzLlvtZO7jegTY&amp;usp=drive_copy" TargetMode="External"/><Relationship Id="rId617" Type="http://schemas.openxmlformats.org/officeDocument/2006/relationships/hyperlink" Target="https://drive.google.com/open?id=1qSeC_XGuXdfw4uk_FvYLUrNsgzniIadx&amp;usp=drive_copy" TargetMode="External"/><Relationship Id="rId616" Type="http://schemas.openxmlformats.org/officeDocument/2006/relationships/hyperlink" Target="https://drive.google.com/file/d/1C_V9q-tcuFlmBdDtxcZrfRkl9SJKotBW/view?usp=drive_link" TargetMode="External"/><Relationship Id="rId615" Type="http://schemas.openxmlformats.org/officeDocument/2006/relationships/hyperlink" Target="https://drive.google.com/file/d/1Qvtibzkv7A8BErVKPQdoveauUUnUzC_B/view?usp=drive_link" TargetMode="External"/><Relationship Id="rId614" Type="http://schemas.openxmlformats.org/officeDocument/2006/relationships/hyperlink" Target="https://drive.google.com/file/d/1j4sVEaZEWSuvrh36H5kZfDNocxeBcLDR/view?usp=drive_link" TargetMode="External"/><Relationship Id="rId37" Type="http://schemas.openxmlformats.org/officeDocument/2006/relationships/hyperlink" Target="https://drive.google.com/file/d/1v2ghhHk4IIU4n3sBzZrkMoe9Wy18tdXB/view?usp=drive_link" TargetMode="External"/><Relationship Id="rId36" Type="http://schemas.openxmlformats.org/officeDocument/2006/relationships/hyperlink" Target="https://drive.google.com/file/d/1Y6rRXzAUtXqLDfs4DVxuFUSV4zOO6KJ4/view?usp=drive_link" TargetMode="External"/><Relationship Id="rId39" Type="http://schemas.openxmlformats.org/officeDocument/2006/relationships/hyperlink" Target="https://drive.google.com/file/d/1sNu4OKvl4P3FO39ZRT_DF68AHpIMbri3/view?usp=drive_link" TargetMode="External"/><Relationship Id="rId38" Type="http://schemas.openxmlformats.org/officeDocument/2006/relationships/hyperlink" Target="https://drive.google.com/file/d/1iY4PYzKVWHZrsvpRY43FFDl9FcbTMYg4/view?usp=drive_link" TargetMode="External"/><Relationship Id="rId20" Type="http://schemas.openxmlformats.org/officeDocument/2006/relationships/hyperlink" Target="https://tools.usps.com/go/TrackConfirmAction?qtc_tLabels1=9339589741047960312943" TargetMode="External"/><Relationship Id="rId22" Type="http://schemas.openxmlformats.org/officeDocument/2006/relationships/hyperlink" Target="https://drive.google.com/file/d/1KG6Dg-yUB6l12JjiyJrT8L6yjHWaTPKL/view?usp=drive_link" TargetMode="External"/><Relationship Id="rId21" Type="http://schemas.openxmlformats.org/officeDocument/2006/relationships/hyperlink" Target="https://www.fedex.com/fedextrack/?trknbr=453871836995&amp;trkqual=12029~453871836995~FDEG" TargetMode="External"/><Relationship Id="rId24" Type="http://schemas.openxmlformats.org/officeDocument/2006/relationships/hyperlink" Target="https://drive.google.com/file/d/1l3PXUjhpjo7ZWxYlfMUTR3CCa2PYVoSs/view?usp=drive_link" TargetMode="External"/><Relationship Id="rId23" Type="http://schemas.openxmlformats.org/officeDocument/2006/relationships/hyperlink" Target="https://drive.google.com/file/d/1WozIvXJ6lzsSBmuoBrtJcyi0dDydo-Ox/view?usp=drive_link" TargetMode="External"/><Relationship Id="rId409" Type="http://schemas.openxmlformats.org/officeDocument/2006/relationships/hyperlink" Target="https://drive.google.com/file/d/1UlzNnHYmK6hR9myfqirvSM4Q1HiZy3Tv/view?usp=drive_link" TargetMode="External"/><Relationship Id="rId404" Type="http://schemas.openxmlformats.org/officeDocument/2006/relationships/hyperlink" Target="https://drive.google.com/file/d/1gY4tjTJGeTigznqa2IV0z7GjzelTCYca/view?usp=drive_link" TargetMode="External"/><Relationship Id="rId525" Type="http://schemas.openxmlformats.org/officeDocument/2006/relationships/hyperlink" Target="https://www.ebay.es/itm/197737868679" TargetMode="External"/><Relationship Id="rId646" Type="http://schemas.openxmlformats.org/officeDocument/2006/relationships/hyperlink" Target="https://drive.google.com/file/d/13SuQdZ8qfJKo_SSJkLbimBdWwYw3O61G/view?usp=drive_link" TargetMode="External"/><Relationship Id="rId403" Type="http://schemas.openxmlformats.org/officeDocument/2006/relationships/hyperlink" Target="https://drive.google.com/file/d/1v_RJI9ofps0VsbpdAwPXDk1oCVTaJULz/view?usp=drive_link" TargetMode="External"/><Relationship Id="rId524" Type="http://schemas.openxmlformats.org/officeDocument/2006/relationships/hyperlink" Target="https://drive.google.com/open?id=1wf1i_7-x54uN_jG40NUxYt6fj9pw2LI6&amp;usp=drive_copy" TargetMode="External"/><Relationship Id="rId645" Type="http://schemas.openxmlformats.org/officeDocument/2006/relationships/hyperlink" Target="https://drive.google.com/open?id=1tYB4vorEum04hK8vQRLFogfUaotx1xmb&amp;usp=drive_copy" TargetMode="External"/><Relationship Id="rId402" Type="http://schemas.openxmlformats.org/officeDocument/2006/relationships/hyperlink" Target="https://drive.google.com/file/d/1SeJVMdcawESEdpXW_S1fXzhq-FkdE5M9/view?usp=drive_link" TargetMode="External"/><Relationship Id="rId523" Type="http://schemas.openxmlformats.org/officeDocument/2006/relationships/hyperlink" Target="https://drive.google.com/open?id=1bz0vqQcCmLgbZ7RpWJoxkOVzSZAnnG1Z&amp;usp=drive_copy" TargetMode="External"/><Relationship Id="rId644" Type="http://schemas.openxmlformats.org/officeDocument/2006/relationships/hyperlink" Target="https://drive.google.com/open?id=16cJIIsKx6aRUxa4ZMXo9MpZPuZK4IgY4&amp;usp=drive_copy" TargetMode="External"/><Relationship Id="rId401" Type="http://schemas.openxmlformats.org/officeDocument/2006/relationships/hyperlink" Target="https://drive.google.com/file/d/1_Dh11qNEslDgu1XuEeXcUngx1ZkKAASZ/view?usp=drive_link" TargetMode="External"/><Relationship Id="rId522" Type="http://schemas.openxmlformats.org/officeDocument/2006/relationships/hyperlink" Target="https://drive.google.com/open?id=17H2XH4IjNqdqbZDLPsnPacmMQrc4zgS7&amp;usp=drive_copy" TargetMode="External"/><Relationship Id="rId643" Type="http://schemas.openxmlformats.org/officeDocument/2006/relationships/hyperlink" Target="https://drive.google.com/open?id=1n-Q-dLt1VhqfaHDmXdmtJQ1UFm1cqv0T&amp;usp=drive_copy" TargetMode="External"/><Relationship Id="rId408" Type="http://schemas.openxmlformats.org/officeDocument/2006/relationships/hyperlink" Target="https://www.ebay.com/itm/226967927108" TargetMode="External"/><Relationship Id="rId529" Type="http://schemas.openxmlformats.org/officeDocument/2006/relationships/hyperlink" Target="https://drive.google.com/file/d/1M3IhY6oHWt2KcZEfE3UcNJuANgBg-EaH/view?usp=drive_link" TargetMode="External"/><Relationship Id="rId407" Type="http://schemas.openxmlformats.org/officeDocument/2006/relationships/hyperlink" Target="https://drive.google.com/file/d/15mcmyVA-L3DzacYr47WKzgfcFDK7kW7f/view?usp=drive_link" TargetMode="External"/><Relationship Id="rId528" Type="http://schemas.openxmlformats.org/officeDocument/2006/relationships/hyperlink" Target="https://drive.google.com/open?id=1fmU_dSW3FXEkeT2qqsdiAKCTS8Biouyp&amp;usp=drive_copy" TargetMode="External"/><Relationship Id="rId649" Type="http://schemas.openxmlformats.org/officeDocument/2006/relationships/hyperlink" Target="https://drive.google.com/file/d/1gIn4nFOSJlF0SkJMoCL7x8k5ha1dDOAk/view?usp=drive_link" TargetMode="External"/><Relationship Id="rId406" Type="http://schemas.openxmlformats.org/officeDocument/2006/relationships/hyperlink" Target="https://www.ebay.com/itm/326655425561" TargetMode="External"/><Relationship Id="rId527" Type="http://schemas.openxmlformats.org/officeDocument/2006/relationships/hyperlink" Target="https://drive.google.com/open?id=1y73sMUlw820j8BuQM2Jv23yEBd1ogHwy&amp;usp=drive_copy" TargetMode="External"/><Relationship Id="rId648" Type="http://schemas.openxmlformats.org/officeDocument/2006/relationships/hyperlink" Target="https://drive.google.com/open?id=1dmelw0vdtM-D-nrFF1YbZvCj9lWZp88R&amp;usp=drive_copy" TargetMode="External"/><Relationship Id="rId405" Type="http://schemas.openxmlformats.org/officeDocument/2006/relationships/hyperlink" Target="https://drive.google.com/file/d/1RfHU9ADtuziN8wmyJ_UKifXT0vXSlUn8/view?usp=drive_link" TargetMode="External"/><Relationship Id="rId526" Type="http://schemas.openxmlformats.org/officeDocument/2006/relationships/hyperlink" Target="https://drive.google.com/open?id=1WzLifE6Xwm9SZCdc--S7nwH-tc05u0X1&amp;usp=drive_copy" TargetMode="External"/><Relationship Id="rId647" Type="http://schemas.openxmlformats.org/officeDocument/2006/relationships/hyperlink" Target="https://drive.google.com/open?id=1iPFiwq7NXZ5U7j7G56W_B2oJT59jkZkx&amp;usp=drive_copy" TargetMode="External"/><Relationship Id="rId26" Type="http://schemas.openxmlformats.org/officeDocument/2006/relationships/hyperlink" Target="https://drive.google.com/file/d/1m-OPwehi_0ceWKyk1PtB8mxflHucwmMl/view?usp=drive_link" TargetMode="External"/><Relationship Id="rId25" Type="http://schemas.openxmlformats.org/officeDocument/2006/relationships/hyperlink" Target="https://www.fedex.com/fedextrack/?trknbr=461147342351" TargetMode="External"/><Relationship Id="rId28" Type="http://schemas.openxmlformats.org/officeDocument/2006/relationships/hyperlink" Target="https://drive.google.com/file/d/1NJw3oSDT7ynN68THtTDmffm9qwxiBNM5/view?usp=drive_link" TargetMode="External"/><Relationship Id="rId27" Type="http://schemas.openxmlformats.org/officeDocument/2006/relationships/hyperlink" Target="https://drive.google.com/file/d/1uibFyyD61zHRkgF5H6yySBuVGscTj_-t/view?usp=drive_link" TargetMode="External"/><Relationship Id="rId400" Type="http://schemas.openxmlformats.org/officeDocument/2006/relationships/hyperlink" Target="https://drive.google.com/file/d/1W1q6aDZUS071eMrRt5kHUwR1NxcuarAH/view?usp=sharing" TargetMode="External"/><Relationship Id="rId521" Type="http://schemas.openxmlformats.org/officeDocument/2006/relationships/hyperlink" Target="https://drive.google.com/open?id=15z_9kU3JBliMr1uhz85ct2RUnwx6WT0V&amp;usp=drive_copy" TargetMode="External"/><Relationship Id="rId642" Type="http://schemas.openxmlformats.org/officeDocument/2006/relationships/hyperlink" Target="https://drive.google.com/open?id=16lZQ6WPnY4kBwUHDpXQq2Vcp4_nMDtvp&amp;usp=drive_copy" TargetMode="External"/><Relationship Id="rId29" Type="http://schemas.openxmlformats.org/officeDocument/2006/relationships/hyperlink" Target="https://drive.google.com/file/d/15UgkNjFW4AKadVfjRu1vjSsDgBncGg6l/view?usp=drive_link" TargetMode="External"/><Relationship Id="rId520" Type="http://schemas.openxmlformats.org/officeDocument/2006/relationships/hyperlink" Target="https://drive.google.com/open?id=1j1z24dm4jorGILWjjOY2AKyapEhbyDfB&amp;usp=drive_copy" TargetMode="External"/><Relationship Id="rId641" Type="http://schemas.openxmlformats.org/officeDocument/2006/relationships/hyperlink" Target="https://drive.google.com/file/d/17zd5EQjVos5jiYWR_TANZY1ZmK6gx_QM/view?usp=drive_link" TargetMode="External"/><Relationship Id="rId640" Type="http://schemas.openxmlformats.org/officeDocument/2006/relationships/hyperlink" Target="https://drive.google.com/file/d/1bLucAMid_OWZJcRZ1wlKuaFbcewH-nzh/view?usp=drive_link" TargetMode="External"/><Relationship Id="rId11" Type="http://schemas.openxmlformats.org/officeDocument/2006/relationships/hyperlink" Target="https://www.bhphotovideo.com/c/search?q=LENOVO%20LEGION" TargetMode="External"/><Relationship Id="rId10" Type="http://schemas.openxmlformats.org/officeDocument/2006/relationships/hyperlink" Target="https://www.bestbuy.com/product/lenovo-legion-7i-16-gaming-laptop-wqxga-intel-14th-gen-core-i7-with-16gb-memory-nvidia-geforce-rtx-4060-8gb-1tb-ssd-glacier-white/6575391/openbox?condition=excellent" TargetMode="External"/><Relationship Id="rId13" Type="http://schemas.openxmlformats.org/officeDocument/2006/relationships/hyperlink" Target="https://drive.google.com/file/d/1z75TxUx2SfZoifZxdae5Xl8-ZD1bzADl/view?usp=drive_link" TargetMode="External"/><Relationship Id="rId12" Type="http://schemas.openxmlformats.org/officeDocument/2006/relationships/hyperlink" Target="https://www.bhphotovideo.com/c/search?q=LENOVO%20LEGION" TargetMode="External"/><Relationship Id="rId519" Type="http://schemas.openxmlformats.org/officeDocument/2006/relationships/hyperlink" Target="https://www.ebay.es/itm/197737868679" TargetMode="External"/><Relationship Id="rId514" Type="http://schemas.openxmlformats.org/officeDocument/2006/relationships/hyperlink" Target="https://drive.google.com/open?id=1uPs4TEogQBtFs5-iuVSvSfaeU28AWoza&amp;usp=drive_copy" TargetMode="External"/><Relationship Id="rId635" Type="http://schemas.openxmlformats.org/officeDocument/2006/relationships/hyperlink" Target="https://drive.google.com/file/d/1LevK244NPGO7Jrm2zeFefqix1MzsHQH8/view?usp=drive_link" TargetMode="External"/><Relationship Id="rId513" Type="http://schemas.openxmlformats.org/officeDocument/2006/relationships/hyperlink" Target="https://www.microcenter.com/product/702373/acer-predator-helios-16-ai-ph16-73-99hd-oled-16-gaming-laptop-computer-abyssal-black" TargetMode="External"/><Relationship Id="rId634" Type="http://schemas.openxmlformats.org/officeDocument/2006/relationships/hyperlink" Target="https://drive.google.com/file/d/1teewc67zXX6NEoXIhVEkOP7HdtomwkEJ/view?usp=drive_link" TargetMode="External"/><Relationship Id="rId512" Type="http://schemas.openxmlformats.org/officeDocument/2006/relationships/hyperlink" Target="https://drive.google.com/open?id=1jE6LGqkjk76KE2xmrI7PXjfMXI9CP2hX&amp;usp=drive_copy" TargetMode="External"/><Relationship Id="rId633" Type="http://schemas.openxmlformats.org/officeDocument/2006/relationships/hyperlink" Target="https://www.google.com/url?q=https://www.microcenter.com/product/691211/asus-rog-strix-g16-g615lp-ms96-16-gaming-laptop-computer-platinum-collection-eclipse-gray&amp;sa=D&amp;source=editors&amp;ust=1779206590264951&amp;usg=AOvVaw3wuwKwymq0hp-CIWxL2dFe" TargetMode="External"/><Relationship Id="rId511" Type="http://schemas.openxmlformats.org/officeDocument/2006/relationships/hyperlink" Target="https://drive.google.com/open?id=1O2I1rnncacXiSCH612zYs77C1oimkmXm&amp;usp=drive_copy" TargetMode="External"/><Relationship Id="rId632" Type="http://schemas.openxmlformats.org/officeDocument/2006/relationships/hyperlink" Target="https://drive.google.com/open?id=1-o3K1vG6y0d69ko1_UvOV7Mh8hx1mBaa&amp;usp=drive_copy" TargetMode="External"/><Relationship Id="rId518" Type="http://schemas.openxmlformats.org/officeDocument/2006/relationships/hyperlink" Target="https://drive.google.com/open?id=1YTObeyvB0xz2gQMzYJiHnXqzgxI4_nwO&amp;usp=drive_copy" TargetMode="External"/><Relationship Id="rId639" Type="http://schemas.openxmlformats.org/officeDocument/2006/relationships/hyperlink" Target="https://drive.google.com/file/d/1CJCECjABTHGl6yWrX80WkjG48N6zy9Id/view?usp=drive_link" TargetMode="External"/><Relationship Id="rId517" Type="http://schemas.openxmlformats.org/officeDocument/2006/relationships/hyperlink" Target="https://drive.google.com/open?id=1ZMkj7m0RqPj_BdtPqLUmRYrYgmdAhqHB&amp;usp=drive_copy" TargetMode="External"/><Relationship Id="rId638" Type="http://schemas.openxmlformats.org/officeDocument/2006/relationships/hyperlink" Target="https://drive.google.com/file/d/1EP4zxRnLsZW01Q74k3B4Ygy6GwCBozav/view?usp=drive_link" TargetMode="External"/><Relationship Id="rId516" Type="http://schemas.openxmlformats.org/officeDocument/2006/relationships/hyperlink" Target="https://drive.google.com/open?id=1meI4vRuECFOkl4LBXOT0EQbRpnGKSINR&amp;usp=drive_copy" TargetMode="External"/><Relationship Id="rId637" Type="http://schemas.openxmlformats.org/officeDocument/2006/relationships/hyperlink" Target="https://drive.google.com/file/d/1ARyGZ-EPuMaAYoP1RfVNFu6Lzrnl6TYp/view?usp=drive_link" TargetMode="External"/><Relationship Id="rId515" Type="http://schemas.openxmlformats.org/officeDocument/2006/relationships/hyperlink" Target="https://www.ebay.com/itm/326655425561" TargetMode="External"/><Relationship Id="rId636" Type="http://schemas.openxmlformats.org/officeDocument/2006/relationships/hyperlink" Target="https://drive.google.com/file/d/1dA7pNvD83yvLpmtBy_lXOEyVCFoKzCig/view?usp=drive_link" TargetMode="External"/><Relationship Id="rId15" Type="http://schemas.openxmlformats.org/officeDocument/2006/relationships/hyperlink" Target="https://drive.google.com/file/d/1pcUiVuHfPeGe7Ujn4QQqvpiF1iAYOXtN/view?usp=drive_link" TargetMode="External"/><Relationship Id="rId14" Type="http://schemas.openxmlformats.org/officeDocument/2006/relationships/hyperlink" Target="https://drive.google.com/file/d/1VOfjmkl0iJoAxL0H8Fobf4td-pyNDS-p/view?usp=drive_link" TargetMode="External"/><Relationship Id="rId17" Type="http://schemas.openxmlformats.org/officeDocument/2006/relationships/hyperlink" Target="https://www.ebay.com/itm/326068742080?_skw=zephyrus&amp;itmmeta=01JSWN00MJ4M4FEKGYP4BV8A3J&amp;hash=item4beb3627c0:g:MeUAAeSwbrxnopc7" TargetMode="External"/><Relationship Id="rId16" Type="http://schemas.openxmlformats.org/officeDocument/2006/relationships/hyperlink" Target="https://drive.google.com/file/d/174aJm9mjJcAl8NyZ8ru27mAGVimJNoFS/view?usp=drive_link" TargetMode="External"/><Relationship Id="rId19" Type="http://schemas.openxmlformats.org/officeDocument/2006/relationships/hyperlink" Target="https://drive.google.com/file/d/10vXxQMlZZPmIOnpoSEi2YH1xNM5BFHW4/view?usp=drive_link" TargetMode="External"/><Relationship Id="rId510" Type="http://schemas.openxmlformats.org/officeDocument/2006/relationships/hyperlink" Target="https://www.amazon.com/-/es/dp/B0F1BMYWY6?ref=fed_asin_title&amp;th=1" TargetMode="External"/><Relationship Id="rId631" Type="http://schemas.openxmlformats.org/officeDocument/2006/relationships/hyperlink" Target="https://drive.google.com/open?id=1XzfkCEEHALRvebGyDB_bLQehyxBn0qyZ&amp;usp=drive_copy" TargetMode="External"/><Relationship Id="rId18" Type="http://schemas.openxmlformats.org/officeDocument/2006/relationships/hyperlink" Target="https://www.bestbuy.com/site/asus-rog-zephyrus-g14-14-oled-3k-120hz-gaming-laptop-amd-ryzen-9-8945hs-16gb-lpddr5x-nvidia-geforce-rtx-4060-1tb-ssd-platinum-white/6570270.p?skuId=6570270" TargetMode="External"/><Relationship Id="rId630" Type="http://schemas.openxmlformats.org/officeDocument/2006/relationships/hyperlink" Target="https://drive.google.com/open?id=1-2_OP4J6R_naWuR3p59grfYPQZ7klJej&amp;usp=drive_copy" TargetMode="External"/><Relationship Id="rId84" Type="http://schemas.openxmlformats.org/officeDocument/2006/relationships/hyperlink" Target="https://drive.google.com/file/d/1DmeZKTyH4SPVbCiaVSiT31j84SEUe7ez/view?usp=drive_link" TargetMode="External"/><Relationship Id="rId83" Type="http://schemas.openxmlformats.org/officeDocument/2006/relationships/hyperlink" Target="https://drive.google.com/file/d/1DmeZKTyH4SPVbCiaVSiT31j84SEUe7ez/view?usp=drive_link" TargetMode="External"/><Relationship Id="rId86" Type="http://schemas.openxmlformats.org/officeDocument/2006/relationships/hyperlink" Target="https://www.ups.com/track?track=yes&amp;trackNums=1ZE57F014297060553" TargetMode="External"/><Relationship Id="rId85" Type="http://schemas.openxmlformats.org/officeDocument/2006/relationships/hyperlink" Target="https://drive.google.com/file/d/1Yt5nz1sb3TUNHBUg3nVuXZvF-FKwNPVL/view?usp=sharing" TargetMode="External"/><Relationship Id="rId88" Type="http://schemas.openxmlformats.org/officeDocument/2006/relationships/hyperlink" Target="https://drive.google.com/file/d/1pyJRlsvI0A5dCjwAkvJVaVRcvguq4QaP/view?usp=drive_open" TargetMode="External"/><Relationship Id="rId87" Type="http://schemas.openxmlformats.org/officeDocument/2006/relationships/hyperlink" Target="https://www.fedex.com/fedextrack/?trknbr=881994421871" TargetMode="External"/><Relationship Id="rId89" Type="http://schemas.openxmlformats.org/officeDocument/2006/relationships/hyperlink" Target="https://drive.google.com/file/d/1Dxmnswvsrw-rZpHnJxb6uHGpdIhZCEZK/view" TargetMode="External"/><Relationship Id="rId706" Type="http://schemas.openxmlformats.org/officeDocument/2006/relationships/table" Target="../tables/table2.xml"/><Relationship Id="rId80" Type="http://schemas.openxmlformats.org/officeDocument/2006/relationships/hyperlink" Target="https://drive.google.com/file/d/1WOx-N4cXnA52bDfTY5I3bjZa9O59FJoV/view?usp=drive_link" TargetMode="External"/><Relationship Id="rId82" Type="http://schemas.openxmlformats.org/officeDocument/2006/relationships/hyperlink" Target="https://drive.google.com/file/d/1DmeZKTyH4SPVbCiaVSiT31j84SEUe7ez/view?usp=drive_link" TargetMode="External"/><Relationship Id="rId81" Type="http://schemas.openxmlformats.org/officeDocument/2006/relationships/hyperlink" Target="https://www.fedex.com/fedextrack/?trknbr=881850065124" TargetMode="External"/><Relationship Id="rId701" Type="http://schemas.openxmlformats.org/officeDocument/2006/relationships/hyperlink" Target="https://drive.google.com/file/d/1NT4iszi_MSeZAMEMP5yazYJxTgBSdo6x/view?usp=drive_link" TargetMode="External"/><Relationship Id="rId700" Type="http://schemas.openxmlformats.org/officeDocument/2006/relationships/hyperlink" Target="https://drive.google.com/open?id=1BBVNVXnrQar4m1K6-b4rNT3bdtDY29zz&amp;usp=drive_copy" TargetMode="External"/><Relationship Id="rId704" Type="http://schemas.openxmlformats.org/officeDocument/2006/relationships/vmlDrawing" Target="../drawings/vmlDrawing2.vml"/><Relationship Id="rId703" Type="http://schemas.openxmlformats.org/officeDocument/2006/relationships/drawing" Target="../drawings/drawing2.xml"/><Relationship Id="rId702" Type="http://schemas.openxmlformats.org/officeDocument/2006/relationships/hyperlink" Target="https://drive.google.com/open?id=1L9FI1dinSt9sRVeuC2RKJE7uk_4KTZlG&amp;usp=drive_copy" TargetMode="External"/><Relationship Id="rId73" Type="http://schemas.openxmlformats.org/officeDocument/2006/relationships/hyperlink" Target="https://drive.google.com/file/d/1heJDZqBKrBeQ8InQRlg1M9eYCehUpJS9/view?usp=drive_link" TargetMode="External"/><Relationship Id="rId72" Type="http://schemas.openxmlformats.org/officeDocument/2006/relationships/hyperlink" Target="https://www.fedex.com/fedextrack/?trknbr=881678246121" TargetMode="External"/><Relationship Id="rId75" Type="http://schemas.openxmlformats.org/officeDocument/2006/relationships/hyperlink" Target="https://drive.google.com/file/d/1DpCPqxO2vlbMEIkVApiW9cZPVAOXIjWl/view?usp=drive_link" TargetMode="External"/><Relationship Id="rId74" Type="http://schemas.openxmlformats.org/officeDocument/2006/relationships/hyperlink" Target="https://drive.google.com/file/d/1MdEygrXIIZXDHyxlC0DZS5HpAebbNryw/view?usp=drive_link" TargetMode="External"/><Relationship Id="rId77" Type="http://schemas.openxmlformats.org/officeDocument/2006/relationships/hyperlink" Target="https://drive.google.com/file/d/1T0FprXdBG-kTEt9KwN5LQqYIAWqoJHCW/view?usp=drive_link" TargetMode="External"/><Relationship Id="rId76" Type="http://schemas.openxmlformats.org/officeDocument/2006/relationships/hyperlink" Target="https://drive.google.com/file/d/19FHX87rSWZgBSSFbzq80O6W9FvJD60of/view?usp=drive_link" TargetMode="External"/><Relationship Id="rId79" Type="http://schemas.openxmlformats.org/officeDocument/2006/relationships/hyperlink" Target="https://drive.google.com/file/d/1DmeZKTyH4SPVbCiaVSiT31j84SEUe7ez/view?usp=drive_link" TargetMode="External"/><Relationship Id="rId78" Type="http://schemas.openxmlformats.org/officeDocument/2006/relationships/hyperlink" Target="https://www.fedex.com/fedextrack/?trknbr=881845565633" TargetMode="External"/><Relationship Id="rId71" Type="http://schemas.openxmlformats.org/officeDocument/2006/relationships/hyperlink" Target="https://drive.google.com/file/d/1X5hEDtuusiGNG8YhDTMKCokGOgYwjfIO/view?usp=drive_link" TargetMode="External"/><Relationship Id="rId70" Type="http://schemas.openxmlformats.org/officeDocument/2006/relationships/hyperlink" Target="https://drive.google.com/file/d/1uBMkOSnN0mkkhx3_i0M8xCsnOXC2cmW2/view?usp=drive_link" TargetMode="External"/><Relationship Id="rId62" Type="http://schemas.openxmlformats.org/officeDocument/2006/relationships/hyperlink" Target="https://drive.google.com/file/d/10Fjc2Qocz8Gc8OE11BSNSZ_x8jG8GwrI/view" TargetMode="External"/><Relationship Id="rId61" Type="http://schemas.openxmlformats.org/officeDocument/2006/relationships/hyperlink" Target="https://www.ebay.com/itm/177043061277" TargetMode="External"/><Relationship Id="rId64" Type="http://schemas.openxmlformats.org/officeDocument/2006/relationships/hyperlink" Target="https://drive.google.com/file/d/1Fqll2qKiJNP11h0FS34p5-wV1qOFENlT/view?usp=drive_link" TargetMode="External"/><Relationship Id="rId63" Type="http://schemas.openxmlformats.org/officeDocument/2006/relationships/hyperlink" Target="https://drive.google.com/file/d/1LFXuyHRCpZUYS8Qh0HIy9v8zKOrTdJFv/view?usp=drive_link" TargetMode="External"/><Relationship Id="rId66" Type="http://schemas.openxmlformats.org/officeDocument/2006/relationships/hyperlink" Target="https://www.ebay.com/itm/296361815222" TargetMode="External"/><Relationship Id="rId65" Type="http://schemas.openxmlformats.org/officeDocument/2006/relationships/hyperlink" Target="https://www.fedex.com/fedextrack/?trknbr=410169533139" TargetMode="External"/><Relationship Id="rId68" Type="http://schemas.openxmlformats.org/officeDocument/2006/relationships/hyperlink" Target="https://www.ebay.com/itm/296361815222" TargetMode="External"/><Relationship Id="rId67" Type="http://schemas.openxmlformats.org/officeDocument/2006/relationships/hyperlink" Target="https://www.fedex.com/fedextrack/?trknbr=881501005188" TargetMode="External"/><Relationship Id="rId609" Type="http://schemas.openxmlformats.org/officeDocument/2006/relationships/hyperlink" Target="https://www.ebay.com/itm/205814283481" TargetMode="External"/><Relationship Id="rId608" Type="http://schemas.openxmlformats.org/officeDocument/2006/relationships/hyperlink" Target="https://drive.google.com/open?id=1Lxw_BDx1B_Zv7LdLav6inp4heT667E3P&amp;usp=drive_copy" TargetMode="External"/><Relationship Id="rId607" Type="http://schemas.openxmlformats.org/officeDocument/2006/relationships/hyperlink" Target="https://drive.google.com/open?id=17_o9EsPMIrwURcemBQ8u8yPnPtZVJfbC&amp;usp=drive_copy" TargetMode="External"/><Relationship Id="rId60" Type="http://schemas.openxmlformats.org/officeDocument/2006/relationships/hyperlink" Target="https://www.fedex.com/fedextrack/?trknbr=881501004619" TargetMode="External"/><Relationship Id="rId602" Type="http://schemas.openxmlformats.org/officeDocument/2006/relationships/hyperlink" Target="https://drive.google.com/file/d/1GjtIky02MnHW33CatylGWZnuP4w-tE9A/view?usp=drive_link" TargetMode="External"/><Relationship Id="rId601" Type="http://schemas.openxmlformats.org/officeDocument/2006/relationships/hyperlink" Target="https://drive.google.com/open?id=1SlVFH49I-Bi15gDsHfU1rloPHbxgm3qt&amp;usp=drive_copy" TargetMode="External"/><Relationship Id="rId600" Type="http://schemas.openxmlformats.org/officeDocument/2006/relationships/hyperlink" Target="https://drive.google.com/open?id=1W9Pf0CoeLamRTv-qmzoh8AckuaubtDuE&amp;usp=drive_copy" TargetMode="External"/><Relationship Id="rId606" Type="http://schemas.openxmlformats.org/officeDocument/2006/relationships/hyperlink" Target="https://drive.google.com/open?id=1iOBdV1UnFrDP8NeRxfYnMmkWEuPtAD1i&amp;usp=drive_copy" TargetMode="External"/><Relationship Id="rId605" Type="http://schemas.openxmlformats.org/officeDocument/2006/relationships/hyperlink" Target="https://us-store.msi.com/Laptops/Gaming-Series/Vector-GP-Series/msi-Vector-16-HX-AI-A2XWHG-061US" TargetMode="External"/><Relationship Id="rId604" Type="http://schemas.openxmlformats.org/officeDocument/2006/relationships/hyperlink" Target="https://drive.google.com/open?id=1UDqkY_-U7_djd0r9nMgHqF1kLtUo7xYF&amp;usp=drive_copy" TargetMode="External"/><Relationship Id="rId603" Type="http://schemas.openxmlformats.org/officeDocument/2006/relationships/hyperlink" Target="https://drive.google.com/open?id=1LU8LHKQ9ngMlJElr-lrFVlBjkbVHu0NY&amp;usp=drive_copy" TargetMode="External"/><Relationship Id="rId69" Type="http://schemas.openxmlformats.org/officeDocument/2006/relationships/hyperlink" Target="https://drive.google.com/file/d/1lhwDY60fgL2KP1deo-aTSZnERZ2STZDG/view?usp=drive_link" TargetMode="External"/><Relationship Id="rId51" Type="http://schemas.openxmlformats.org/officeDocument/2006/relationships/hyperlink" Target="https://drive.google.com/file/d/1S06tqBOiTdGADuy0SjAPicSR7hhbNYBw/view?usp=drive_link" TargetMode="External"/><Relationship Id="rId50" Type="http://schemas.openxmlformats.org/officeDocument/2006/relationships/hyperlink" Target="https://www.ups.com/track?track=yes&amp;trackNums=1ZK7J6794232288069" TargetMode="External"/><Relationship Id="rId53" Type="http://schemas.openxmlformats.org/officeDocument/2006/relationships/hyperlink" Target="https://drive.google.com/file/d/1onySugHDWhdTSxEOa84XM_sKz2GD1p-7/view?usp=drive_link" TargetMode="External"/><Relationship Id="rId52" Type="http://schemas.openxmlformats.org/officeDocument/2006/relationships/hyperlink" Target="https://drive.google.com/file/d/1j6-defJjspvSwWvyiBQ33qJFJSrY_0Nh/view?usp=drive_link" TargetMode="External"/><Relationship Id="rId55" Type="http://schemas.openxmlformats.org/officeDocument/2006/relationships/hyperlink" Target="https://drive.google.com/file/d/1qs9qOayOJ_m4-R8adPoZdoa7ObULqevD/view?usp=drive_link" TargetMode="External"/><Relationship Id="rId54" Type="http://schemas.openxmlformats.org/officeDocument/2006/relationships/hyperlink" Target="https://www.bestbuy.com/site/asus-rog-zephyrus-g14-14-oled-3k-120hz-gaming-laptop-amd-ryzen-9-8945hs-16gb-lpddr5x-nvidia-geforce-rtx-4060-1tb-ssd-platinum-white/6570270.p?skuId=6570270" TargetMode="External"/><Relationship Id="rId57" Type="http://schemas.openxmlformats.org/officeDocument/2006/relationships/hyperlink" Target="https://drive.google.com/file/d/1AHlkWMbENbDKWJ8ygA5XFQlcuy3ELIq-/view?usp=drive_link" TargetMode="External"/><Relationship Id="rId56" Type="http://schemas.openxmlformats.org/officeDocument/2006/relationships/hyperlink" Target="https://drive.google.com/file/d/1z7q-b3pAhvpe4lpHoJbCsBczLErrrcRN/view?usp=drive_link" TargetMode="External"/><Relationship Id="rId59" Type="http://schemas.openxmlformats.org/officeDocument/2006/relationships/hyperlink" Target="https://drive.google.com/file/d/1BISa5IiXumuYmYWZYpfTKMvL8mmO7PhB/view?usp=drive_link" TargetMode="External"/><Relationship Id="rId58" Type="http://schemas.openxmlformats.org/officeDocument/2006/relationships/hyperlink" Target="https://drive.google.com/file/d/1GSv79iWA6Iwe5QivbZYMkQ88wJyafOYt/view?usp=drive_link" TargetMode="External"/><Relationship Id="rId590" Type="http://schemas.openxmlformats.org/officeDocument/2006/relationships/hyperlink" Target="https://drive.google.com/open?id=14GbLhxT-7BOcBRu9T1-ZVsXiBl7UGzZD&amp;usp=drive_copy" TargetMode="External"/><Relationship Id="rId107" Type="http://schemas.openxmlformats.org/officeDocument/2006/relationships/hyperlink" Target="https://drive.google.com/file/d/1HyKhFbdXu9Pyyejh4w8al4TgAwI0bu3W/view?usp=drive_link" TargetMode="External"/><Relationship Id="rId228" Type="http://schemas.openxmlformats.org/officeDocument/2006/relationships/hyperlink" Target="https://drive.google.com/file/d/14FZBHsavQ6tYGuNEgZ2Perc9euvSRpm8/view?usp=drive_link" TargetMode="External"/><Relationship Id="rId349" Type="http://schemas.openxmlformats.org/officeDocument/2006/relationships/hyperlink" Target="https://drive.google.com/file/d/1siwSznH_X5fR8H5G7zasq80q9tmPJ8om/view?usp=drive_link" TargetMode="External"/><Relationship Id="rId106" Type="http://schemas.openxmlformats.org/officeDocument/2006/relationships/hyperlink" Target="https://www.amazon.com/-/es/dp/B0DW1X5YCQ?ref=fed_asin_title&amp;th=1" TargetMode="External"/><Relationship Id="rId227" Type="http://schemas.openxmlformats.org/officeDocument/2006/relationships/hyperlink" Target="https://drive.google.com/file/d/1Pn2HwvESdLILRMicto8eAvXnwRFouM6V/view?usp=drive_link" TargetMode="External"/><Relationship Id="rId348" Type="http://schemas.openxmlformats.org/officeDocument/2006/relationships/hyperlink" Target="https://drive.google.com/file/d/1YOFS-hpwW0Qhcuejd7rO2RpTUjxZIrsc/view?usp=drive_link" TargetMode="External"/><Relationship Id="rId469" Type="http://schemas.openxmlformats.org/officeDocument/2006/relationships/hyperlink" Target="https://drive.google.com/open?id=1OR7M1miZnMHhFqIFSSusRYcChYYS39-7&amp;usp=drive_copy" TargetMode="External"/><Relationship Id="rId105" Type="http://schemas.openxmlformats.org/officeDocument/2006/relationships/hyperlink" Target="https://drive.google.com/file/d/1sUKlutcZt--4wk4iCxbt5-1kZSnpNF4m/view?usp=sharing" TargetMode="External"/><Relationship Id="rId226" Type="http://schemas.openxmlformats.org/officeDocument/2006/relationships/hyperlink" Target="https://drive.google.com/file/d/1zcBckYtQo-jM3_vGpeU0RbQn4tw5-l80/view?usp=drive_link" TargetMode="External"/><Relationship Id="rId347" Type="http://schemas.openxmlformats.org/officeDocument/2006/relationships/hyperlink" Target="https://drive.google.com/file/d/1nSer4GBXGgvwpXz-qBFYZJ5ECSqx0M3Z/view?usp=drive_link" TargetMode="External"/><Relationship Id="rId468" Type="http://schemas.openxmlformats.org/officeDocument/2006/relationships/hyperlink" Target="https://drive.google.com/open?id=1YhvRV4UGPrd-6eBa16tRgEiuTyybsRek&amp;usp=drive_copy" TargetMode="External"/><Relationship Id="rId589" Type="http://schemas.openxmlformats.org/officeDocument/2006/relationships/hyperlink" Target="https://drive.google.com/open?id=1WnqdTj1Y2aMvD_mjxiO7i6oMSv-ynxiR&amp;usp=drive_copy" TargetMode="External"/><Relationship Id="rId104" Type="http://schemas.openxmlformats.org/officeDocument/2006/relationships/hyperlink" Target="https://drive.google.com/file/d/18WMOytEgSbrIEpR25UysjryTX2jwrARQ/view?usp=sharing" TargetMode="External"/><Relationship Id="rId225" Type="http://schemas.openxmlformats.org/officeDocument/2006/relationships/hyperlink" Target="https://drive.google.com/file/d/1-Uyd7E1HCIwvgWl5AQgESz7IZ4VnCSOf/view?usp=drive_link" TargetMode="External"/><Relationship Id="rId346" Type="http://schemas.openxmlformats.org/officeDocument/2006/relationships/hyperlink" Target="https://drive.google.com/file/d/1emQ2zl1Hd6aixu18P8T3ntSMA1cftAIt/view?usp=drive_link" TargetMode="External"/><Relationship Id="rId467" Type="http://schemas.openxmlformats.org/officeDocument/2006/relationships/hyperlink" Target="https://drive.google.com/open?id=1UsqB5RpNbKMjyJ-cavh0cu6STUIPc0DP&amp;usp=drive_copy" TargetMode="External"/><Relationship Id="rId588" Type="http://schemas.openxmlformats.org/officeDocument/2006/relationships/hyperlink" Target="https://drive.google.com/open?id=1FDS-oBFyzwWKEDJsKpLfsl9PlwAy5n9D&amp;usp=drive_copy" TargetMode="External"/><Relationship Id="rId109" Type="http://schemas.openxmlformats.org/officeDocument/2006/relationships/hyperlink" Target="https://drive.google.com/file/d/1CA_adP2TaPBos7nShvmwvLtmvinanZ6p/view?usp=drive_link" TargetMode="External"/><Relationship Id="rId108" Type="http://schemas.openxmlformats.org/officeDocument/2006/relationships/hyperlink" Target="https://drive.google.com/file/d/106PDX-DeN9aGp9D3EcI6kaL1ZAdBLCPP/view?usp=sharing" TargetMode="External"/><Relationship Id="rId229" Type="http://schemas.openxmlformats.org/officeDocument/2006/relationships/hyperlink" Target="https://drive.google.com/file/d/1eIqIuA7IcMpBP5zqFyErzTlIXm5cZAnH/view?usp=drive_link" TargetMode="External"/><Relationship Id="rId220" Type="http://schemas.openxmlformats.org/officeDocument/2006/relationships/hyperlink" Target="https://drive.google.com/file/d/1O0c_Vd7UTLSSczCKG5-uIPV8dfyeQrHf/view?usp=drive_link" TargetMode="External"/><Relationship Id="rId341" Type="http://schemas.openxmlformats.org/officeDocument/2006/relationships/hyperlink" Target="https://www.amazon.com/-/es/dp/B0DZZWMB2L?ref=fed_asin_title&amp;th=1" TargetMode="External"/><Relationship Id="rId462" Type="http://schemas.openxmlformats.org/officeDocument/2006/relationships/hyperlink" Target="https://www.ebay.com/itm/326655425561" TargetMode="External"/><Relationship Id="rId583" Type="http://schemas.openxmlformats.org/officeDocument/2006/relationships/hyperlink" Target="https://drive.google.com/open?id=1S7ympJjoIgPUx51OKZzlsZSqdLbPkVFP&amp;usp=drive_copy" TargetMode="External"/><Relationship Id="rId340" Type="http://schemas.openxmlformats.org/officeDocument/2006/relationships/hyperlink" Target="https://drive.google.com/file/d/1XUIpcz0h_75xs909Utj1STdNEDEkJU7T/view?usp=drive_link" TargetMode="External"/><Relationship Id="rId461" Type="http://schemas.openxmlformats.org/officeDocument/2006/relationships/hyperlink" Target="https://drive.google.com/file/d/1cLVH9_b5c-xKgSmzBD9KLpNs__N7HSuT/view?usp=drive_link" TargetMode="External"/><Relationship Id="rId582" Type="http://schemas.openxmlformats.org/officeDocument/2006/relationships/hyperlink" Target="https://drive.google.com/open?id=1qgR4x_4XonUoEKGl3cyQ_TWPV1Efl5Ei&amp;usp=drive_copy" TargetMode="External"/><Relationship Id="rId460" Type="http://schemas.openxmlformats.org/officeDocument/2006/relationships/hyperlink" Target="https://drive.google.com/file/d/1l2H7YcR6YreRpqjeUGKpClcgBW1D6H9v/view?usp=drive_link" TargetMode="External"/><Relationship Id="rId581" Type="http://schemas.openxmlformats.org/officeDocument/2006/relationships/hyperlink" Target="https://drive.google.com/open?id=1bvpxuOLL5O_MKmYSGn41kxyBJlsJGj2E&amp;usp=drive_copy" TargetMode="External"/><Relationship Id="rId580" Type="http://schemas.openxmlformats.org/officeDocument/2006/relationships/hyperlink" Target="https://drive.google.com/open?id=1TJkXbI2690v2i1sGCQYMDhDutP43YqPO&amp;usp=drive_copy" TargetMode="External"/><Relationship Id="rId103" Type="http://schemas.openxmlformats.org/officeDocument/2006/relationships/hyperlink" Target="https://drive.google.com/file/d/1SctJlanThBJZ9iAFKRnIX0who3X7cFhD/view?usp=drive_link" TargetMode="External"/><Relationship Id="rId224" Type="http://schemas.openxmlformats.org/officeDocument/2006/relationships/hyperlink" Target="https://drive.google.com/file/d/1-1Vtmct7YSvYGAKsF4GMFWjIiJtaNb8H/view?usp=drive_link" TargetMode="External"/><Relationship Id="rId345" Type="http://schemas.openxmlformats.org/officeDocument/2006/relationships/hyperlink" Target="https://drive.google.com/file/d/1jfjv6A1t1NpvG8Xe5-F1Yua5UZxf-uPZ/view?usp=drive_link" TargetMode="External"/><Relationship Id="rId466" Type="http://schemas.openxmlformats.org/officeDocument/2006/relationships/hyperlink" Target="https://drive.google.com/open?id=1j8ywX2bwJxB13BTvGxP40OkLClHy5YXV&amp;usp=drive_copy" TargetMode="External"/><Relationship Id="rId587" Type="http://schemas.openxmlformats.org/officeDocument/2006/relationships/hyperlink" Target="https://drive.google.com/open?id=1evQA6BMSN9pLtTTTswaLaBbJ6VaOT1xE&amp;usp=drive_copy" TargetMode="External"/><Relationship Id="rId102" Type="http://schemas.openxmlformats.org/officeDocument/2006/relationships/hyperlink" Target="https://drive.google.com/file/d/1Kda4F5cHc9V40zP_OPlU3fA81qAM5ZJT/view?usp=drive_link" TargetMode="External"/><Relationship Id="rId223" Type="http://schemas.openxmlformats.org/officeDocument/2006/relationships/hyperlink" Target="https://drive.google.com/file/d/1qdTCs3U2dZCPrZQr_OGrQGsNapVhfcg6/view?usp=sharing" TargetMode="External"/><Relationship Id="rId344" Type="http://schemas.openxmlformats.org/officeDocument/2006/relationships/hyperlink" Target="https://drive.google.com/file/d/1kc1mlCsBRcQ_wAYK5nec2NBORWycwpzx/view?usp=drive_link" TargetMode="External"/><Relationship Id="rId465" Type="http://schemas.openxmlformats.org/officeDocument/2006/relationships/hyperlink" Target="https://drive.google.com/open?id=1SOJ4GNCwxVIrdSKC7MUjDFG6qL_TmPPj&amp;usp=drive_copy" TargetMode="External"/><Relationship Id="rId586" Type="http://schemas.openxmlformats.org/officeDocument/2006/relationships/hyperlink" Target="https://drive.google.com/open?id=1DUDbfES89YRMKznFw-OYYiAv8F57g_Wr&amp;usp=drive_copy" TargetMode="External"/><Relationship Id="rId101" Type="http://schemas.openxmlformats.org/officeDocument/2006/relationships/hyperlink" Target="https://drive.google.com/file/d/1to0gPlVu8bi-phhmpOqOHPCXhtsUUk7e/view?usp=drive_link" TargetMode="External"/><Relationship Id="rId222" Type="http://schemas.openxmlformats.org/officeDocument/2006/relationships/hyperlink" Target="https://drive.google.com/file/d/1-BMbQc9SMRKYZAkQI7nOPOkS0UhJ1JUV/view?usp=sharing" TargetMode="External"/><Relationship Id="rId343" Type="http://schemas.openxmlformats.org/officeDocument/2006/relationships/hyperlink" Target="https://drive.google.com/file/d/1dJFP3fJ8VUWyiEXOC051yRWQvb0VMZwe/view?usp=drive_link" TargetMode="External"/><Relationship Id="rId464" Type="http://schemas.openxmlformats.org/officeDocument/2006/relationships/hyperlink" Target="https://drive.google.com/open?id=15d_Xso_5PZzeN5D5mZFOIAzO2hbu1XfH&amp;usp=drive_copy" TargetMode="External"/><Relationship Id="rId585" Type="http://schemas.openxmlformats.org/officeDocument/2006/relationships/hyperlink" Target="https://drive.google.com/open?id=1Q4vNvxlOgWtg1gGIHjG4waydYEAWVNNY&amp;usp=drive_copy" TargetMode="External"/><Relationship Id="rId100" Type="http://schemas.openxmlformats.org/officeDocument/2006/relationships/hyperlink" Target="https://drive.google.com/file/d/1MalCfkke-XIWzUTbcQ0qd8sDUyyPdQSj/view?usp=drive_link" TargetMode="External"/><Relationship Id="rId221" Type="http://schemas.openxmlformats.org/officeDocument/2006/relationships/hyperlink" Target="https://drive.google.com/file/d/1iIRFXKUfEGYoBpYBdehwqYInQ2pW5o3X/view?usp=drive_link" TargetMode="External"/><Relationship Id="rId342" Type="http://schemas.openxmlformats.org/officeDocument/2006/relationships/hyperlink" Target="https://drive.google.com/file/d/1ZBBGV94FPsCD5a4fFGdCQeNwzkDyw2QQ/view?usp=drive_link" TargetMode="External"/><Relationship Id="rId463" Type="http://schemas.openxmlformats.org/officeDocument/2006/relationships/hyperlink" Target="https://drive.google.com/open?id=1XJxw9kqZZxEZ1-eBJ_cS1TvYybdaHzGy&amp;usp=drive_copy" TargetMode="External"/><Relationship Id="rId584" Type="http://schemas.openxmlformats.org/officeDocument/2006/relationships/hyperlink" Target="https://drive.google.com/open?id=1UlYitXjyjekl83emxqneLVha-xkUHn4V&amp;usp=drive_copy" TargetMode="External"/><Relationship Id="rId217" Type="http://schemas.openxmlformats.org/officeDocument/2006/relationships/hyperlink" Target="https://drive.google.com/file/d/1FRH_z76u2pb_4gqR3A3vbd4_bt411EwS/view?usp=sharing" TargetMode="External"/><Relationship Id="rId338" Type="http://schemas.openxmlformats.org/officeDocument/2006/relationships/hyperlink" Target="https://www.ebay.com/itm/226967927108" TargetMode="External"/><Relationship Id="rId459" Type="http://schemas.openxmlformats.org/officeDocument/2006/relationships/hyperlink" Target="https://drive.google.com/file/d/1x79KbK7PSD1LEpMLMLR4Ck5taJpFSZMp/view?usp=drive_link" TargetMode="External"/><Relationship Id="rId216" Type="http://schemas.openxmlformats.org/officeDocument/2006/relationships/hyperlink" Target="https://drive.google.com/file/d/1LB6onbiskh_d_L6Maeim9dJHFmQXp-QO/view?usp=sharing" TargetMode="External"/><Relationship Id="rId337" Type="http://schemas.openxmlformats.org/officeDocument/2006/relationships/hyperlink" Target="https://drive.google.com/file/d/1RyhPirBeOTo2__ZyU9UZMlyf_Q9gPMD2/view?usp=drive_link" TargetMode="External"/><Relationship Id="rId458" Type="http://schemas.openxmlformats.org/officeDocument/2006/relationships/hyperlink" Target="https://www.ebay.com/itm/205814283481" TargetMode="External"/><Relationship Id="rId579" Type="http://schemas.openxmlformats.org/officeDocument/2006/relationships/hyperlink" Target="https://drive.google.com/open?id=1nYxAEX5kM5jDwZZ8svJRAQEfLilotFHL&amp;usp=drive_copy" TargetMode="External"/><Relationship Id="rId215" Type="http://schemas.openxmlformats.org/officeDocument/2006/relationships/hyperlink" Target="https://www.bhphotovideo.com/c/product/1878969-REG/acer_ph16_72_96vc_16_predator_helios_16.html" TargetMode="External"/><Relationship Id="rId336" Type="http://schemas.openxmlformats.org/officeDocument/2006/relationships/hyperlink" Target="https://drive.google.com/file/d/1XUdI17u4wbiQ6KFjAMdGhlHwG470A9D3/view?usp=drive_link" TargetMode="External"/><Relationship Id="rId457" Type="http://schemas.openxmlformats.org/officeDocument/2006/relationships/hyperlink" Target="https://drive.google.com/file/d/1zewzagORaXC5W4DxJy3GmaXPmZdhI1JG/view?usp=drive_link" TargetMode="External"/><Relationship Id="rId578" Type="http://schemas.openxmlformats.org/officeDocument/2006/relationships/hyperlink" Target="https://drive.google.com/open?id=1EGYxo88M_RcmUeovOH4Vt7ZXEZ1hkN0c&amp;usp=drive_copy" TargetMode="External"/><Relationship Id="rId699" Type="http://schemas.openxmlformats.org/officeDocument/2006/relationships/hyperlink" Target="https://drive.google.com/open?id=1QlDv08I4f0OeNBG4JzJBvwvagdjmLSRU&amp;usp=drive_copy" TargetMode="External"/><Relationship Id="rId214" Type="http://schemas.openxmlformats.org/officeDocument/2006/relationships/hyperlink" Target="https://drive.google.com/file/d/1ng3APKbQdp_gP9bX0XbAR2RbDlIkyVlE/view?usp=drive_link" TargetMode="External"/><Relationship Id="rId335" Type="http://schemas.openxmlformats.org/officeDocument/2006/relationships/hyperlink" Target="https://drive.google.com/file/d/17ZpGq2ne50yIDcCLqHDlhZBoGlmKzXWV/view?usp=drive_link" TargetMode="External"/><Relationship Id="rId456" Type="http://schemas.openxmlformats.org/officeDocument/2006/relationships/hyperlink" Target="https://drive.google.com/file/d/13QMkC0t9vYh7bzJv5UBdjxRXVLYKZUUB/view?usp=drive_link" TargetMode="External"/><Relationship Id="rId577" Type="http://schemas.openxmlformats.org/officeDocument/2006/relationships/hyperlink" Target="https://drive.google.com/open?id=1_LA2JzD-1Pp00ZkPP18bE-0-vjF6KmNV&amp;usp=drive_copy" TargetMode="External"/><Relationship Id="rId698" Type="http://schemas.openxmlformats.org/officeDocument/2006/relationships/hyperlink" Target="https://drive.google.com/open?id=1DX-LOH0kjWPymZYVyekvR6V3KIvJt-aN&amp;usp=drive_copy" TargetMode="External"/><Relationship Id="rId219" Type="http://schemas.openxmlformats.org/officeDocument/2006/relationships/hyperlink" Target="https://drive.google.com/file/d/1tuB7Kbn3F7cYxie8oCWySWHxn2pESU7D/view?usp=drive_link" TargetMode="External"/><Relationship Id="rId218" Type="http://schemas.openxmlformats.org/officeDocument/2006/relationships/hyperlink" Target="https://drive.google.com/file/d/1c-U5SZgzFls9BQqSydSTKuvC9h2NAF2h/view?usp=drive_link" TargetMode="External"/><Relationship Id="rId339" Type="http://schemas.openxmlformats.org/officeDocument/2006/relationships/hyperlink" Target="https://drive.google.com/file/d/1b7MYP-6hA2_Wn8R2DzihtJ2QPjRTttHD/view?usp=drive_link" TargetMode="External"/><Relationship Id="rId330" Type="http://schemas.openxmlformats.org/officeDocument/2006/relationships/hyperlink" Target="https://drive.google.com/file/d/1VwZC4HiAsPejB5kBM_o2ZIHICbf3U22t/view?usp=drive_link" TargetMode="External"/><Relationship Id="rId451" Type="http://schemas.openxmlformats.org/officeDocument/2006/relationships/hyperlink" Target="https://drive.google.com/open?id=1pA3U8dK8xTa5Qesg3vrD0vzDNJgvqAOu&amp;usp=drive_copy" TargetMode="External"/><Relationship Id="rId572" Type="http://schemas.openxmlformats.org/officeDocument/2006/relationships/hyperlink" Target="https://www.ebay.com/itm/197737868679" TargetMode="External"/><Relationship Id="rId693" Type="http://schemas.openxmlformats.org/officeDocument/2006/relationships/hyperlink" Target="https://drive.google.com/open?id=1DQq9pUbLaqOeJaXV0m4EqmOe9zYT_YhG&amp;usp=drive_copy" TargetMode="External"/><Relationship Id="rId450" Type="http://schemas.openxmlformats.org/officeDocument/2006/relationships/hyperlink" Target="https://drive.google.com/open?id=1cVj3xlktxn6spzcfruF4Bv35lVjuB1uA&amp;usp=drive_copy" TargetMode="External"/><Relationship Id="rId571" Type="http://schemas.openxmlformats.org/officeDocument/2006/relationships/hyperlink" Target="https://drive.google.com/open?id=1z7E6NPvhXxscVECQifFK9MhuI2GV_qiI&amp;usp=drive_copy" TargetMode="External"/><Relationship Id="rId692" Type="http://schemas.openxmlformats.org/officeDocument/2006/relationships/hyperlink" Target="https://drive.google.com/open?id=1t4OEvNoic0_ZJNd8p9ZmpjPiXy2LFOym&amp;usp=drive_copy" TargetMode="External"/><Relationship Id="rId570" Type="http://schemas.openxmlformats.org/officeDocument/2006/relationships/hyperlink" Target="https://drive.google.com/open?id=1gKQA4lMAjDxxff41dENTIdmtYtba6oLv&amp;usp=drive_copy" TargetMode="External"/><Relationship Id="rId691" Type="http://schemas.openxmlformats.org/officeDocument/2006/relationships/hyperlink" Target="https://drive.google.com/open?id=1X42K6pBxNxLSodkmAS865-8ukRCuYw19&amp;usp=drive_copy" TargetMode="External"/><Relationship Id="rId690" Type="http://schemas.openxmlformats.org/officeDocument/2006/relationships/hyperlink" Target="https://drive.google.com/open?id=1GHloQvWUxRUCW7sLboJ5Jdpn7LHKuznO&amp;usp=drive_copy" TargetMode="External"/><Relationship Id="rId213" Type="http://schemas.openxmlformats.org/officeDocument/2006/relationships/hyperlink" Target="https://drive.google.com/file/d/1Hlc9P6sI97chfN9SgQ7YtBia1z9rTK4p/view?usp=sharing" TargetMode="External"/><Relationship Id="rId334" Type="http://schemas.openxmlformats.org/officeDocument/2006/relationships/hyperlink" Target="https://drive.google.com/file/d/1PCAZvu49167HQ5ReMqqDRLs27vIpwZZ_/view?usp=drive_link" TargetMode="External"/><Relationship Id="rId455" Type="http://schemas.openxmlformats.org/officeDocument/2006/relationships/hyperlink" Target="https://drive.google.com/open?id=1ymwN5AdY6id3puzFzWPxuqZByjj53bSo&amp;usp=drive_copy" TargetMode="External"/><Relationship Id="rId576" Type="http://schemas.openxmlformats.org/officeDocument/2006/relationships/hyperlink" Target="https://drive.google.com/open?id=1SxJqCUHYMy29AFy8krJbIxnO1FCxku6H&amp;usp=drive_copy" TargetMode="External"/><Relationship Id="rId697" Type="http://schemas.openxmlformats.org/officeDocument/2006/relationships/hyperlink" Target="https://www.amazon.com/dp/B0DZZWMB2L?ref=fed_asin_title&amp;th=1" TargetMode="External"/><Relationship Id="rId212" Type="http://schemas.openxmlformats.org/officeDocument/2006/relationships/hyperlink" Target="https://www.ebay.com/itm/127210724599" TargetMode="External"/><Relationship Id="rId333" Type="http://schemas.openxmlformats.org/officeDocument/2006/relationships/hyperlink" Target="https://www.ebay.com/itm/326685495041" TargetMode="External"/><Relationship Id="rId454" Type="http://schemas.openxmlformats.org/officeDocument/2006/relationships/hyperlink" Target="https://drive.google.com/open?id=17O8ngnjWpulUww9jkTeGLadfbCroq2FT&amp;usp=drive_copy" TargetMode="External"/><Relationship Id="rId575" Type="http://schemas.openxmlformats.org/officeDocument/2006/relationships/hyperlink" Target="https://drive.google.com/open?id=1gi9c4nliYXfEjavqRQNqkRo68waYTZ2Y&amp;usp=drive_copy" TargetMode="External"/><Relationship Id="rId696" Type="http://schemas.openxmlformats.org/officeDocument/2006/relationships/hyperlink" Target="https://drive.google.com/open?id=1bNFuD-k351ymbaHtZ9rJInvD52X9_3-l&amp;usp=drive_copy" TargetMode="External"/><Relationship Id="rId211" Type="http://schemas.openxmlformats.org/officeDocument/2006/relationships/hyperlink" Target="https://drive.google.com/file/d/1ZYnzMv5nckIH0KjCavoXSCMHARdSDydr/view?usp=sharing" TargetMode="External"/><Relationship Id="rId332" Type="http://schemas.openxmlformats.org/officeDocument/2006/relationships/hyperlink" Target="https://drive.google.com/file/d/1X9_j6psWu6AdWIL9Fzg2poO6YG3piEUk/view?usp=drive_link" TargetMode="External"/><Relationship Id="rId453" Type="http://schemas.openxmlformats.org/officeDocument/2006/relationships/hyperlink" Target="https://drive.google.com/open?id=1xcfXZWpwh2Ui9HJaf7MUonAA4KOIhwos&amp;usp=drive_copy" TargetMode="External"/><Relationship Id="rId574" Type="http://schemas.openxmlformats.org/officeDocument/2006/relationships/hyperlink" Target="https://drive.google.com/open?id=1LvdiirT9IkilcyTyKKGmylUFL4Pq486K&amp;usp=drive_copy" TargetMode="External"/><Relationship Id="rId695" Type="http://schemas.openxmlformats.org/officeDocument/2006/relationships/hyperlink" Target="https://drive.google.com/open?id=1PQGoKMczEUXppaSC67dLxM3rYKKhFwC0&amp;usp=drive_copy" TargetMode="External"/><Relationship Id="rId210" Type="http://schemas.openxmlformats.org/officeDocument/2006/relationships/hyperlink" Target="https://drive.google.com/file/d/1OMwymVCR1A0m3oYucWLs89pQI5Swxael/view?usp=sharing" TargetMode="External"/><Relationship Id="rId331" Type="http://schemas.openxmlformats.org/officeDocument/2006/relationships/hyperlink" Target="https://www.ebay.com/itm/326655425561" TargetMode="External"/><Relationship Id="rId452" Type="http://schemas.openxmlformats.org/officeDocument/2006/relationships/hyperlink" Target="https://drive.google.com/open?id=11OmSQO02NO7iXW5Qgj_KyUXMUMMKZ1xb&amp;usp=drive_copy" TargetMode="External"/><Relationship Id="rId573" Type="http://schemas.openxmlformats.org/officeDocument/2006/relationships/hyperlink" Target="https://drive.google.com/open?id=1eXU1PJCmOZm9wnl_7TTzZvHZyGVRYLhk&amp;usp=drive_copy" TargetMode="External"/><Relationship Id="rId694" Type="http://schemas.openxmlformats.org/officeDocument/2006/relationships/hyperlink" Target="https://drive.google.com/open?id=1b-4GZ4g82_jNyxae1G4BIH5YpA13C55_&amp;usp=drive_copy" TargetMode="External"/><Relationship Id="rId370" Type="http://schemas.openxmlformats.org/officeDocument/2006/relationships/hyperlink" Target="https://drive.google.com/file/d/1WkwcKUlp1N6Rgdji2JqZ7F65-Y3jCmYb/view?usp=drive_link" TargetMode="External"/><Relationship Id="rId491" Type="http://schemas.openxmlformats.org/officeDocument/2006/relationships/hyperlink" Target="https://drive.google.com/open?id=1DyJRcz48HNzzMGqnofD32tZJyVaLlttL&amp;usp=drive_copy" TargetMode="External"/><Relationship Id="rId490" Type="http://schemas.openxmlformats.org/officeDocument/2006/relationships/hyperlink" Target="https://drive.google.com/open?id=1B2H68LnXzHZ8aGKTjKyQHgsBKup5qvBZ&amp;usp=drive_copy" TargetMode="External"/><Relationship Id="rId129" Type="http://schemas.openxmlformats.org/officeDocument/2006/relationships/hyperlink" Target="https://drive.google.com/file/d/1xnNVJqdHF3NmXylAw_9hbdNRmPDcpNFI/view?usp=drive_link" TargetMode="External"/><Relationship Id="rId128" Type="http://schemas.openxmlformats.org/officeDocument/2006/relationships/hyperlink" Target="https://drive.google.com/file/d/1UFINvhQzH6qj0Htjx9Me6zwhve2idrpr/view?usp=drive_link" TargetMode="External"/><Relationship Id="rId249" Type="http://schemas.openxmlformats.org/officeDocument/2006/relationships/hyperlink" Target="https://drive.google.com/file/d/1Z_gwgLQqZeaIPbsArnCrMNF5al8FNF27/view?usp=sharing" TargetMode="External"/><Relationship Id="rId127" Type="http://schemas.openxmlformats.org/officeDocument/2006/relationships/hyperlink" Target="https://drive.google.com/file/d/16fxdPo-THZvqLNLc4ikMfDtxOGGQJFuC/view?usp=drive_link" TargetMode="External"/><Relationship Id="rId248" Type="http://schemas.openxmlformats.org/officeDocument/2006/relationships/hyperlink" Target="https://drive.google.com/file/d/15HpU7CHJwhazJ4pOY2g75Z_0nidWyFsv/view?usp=drive_link" TargetMode="External"/><Relationship Id="rId369" Type="http://schemas.openxmlformats.org/officeDocument/2006/relationships/hyperlink" Target="https://drive.google.com/file/d/1JXqtDFQk4Pww4i8eHXwLzdP4Ggx-gl_R/view?usp=drive_link" TargetMode="External"/><Relationship Id="rId126" Type="http://schemas.openxmlformats.org/officeDocument/2006/relationships/hyperlink" Target="https://drive.google.com/file/d/1bYiJ05js03p8sDJbHdIxRyRky0523V3g/view?usp=sharing" TargetMode="External"/><Relationship Id="rId247" Type="http://schemas.openxmlformats.org/officeDocument/2006/relationships/hyperlink" Target="https://drive.google.com/file/d/1mH6NaZREZJSKZx9mZaOyJhh55lXnqQWx/view?usp=drive_link" TargetMode="External"/><Relationship Id="rId368" Type="http://schemas.openxmlformats.org/officeDocument/2006/relationships/hyperlink" Target="https://drive.google.com/file/d/19bSBR2XikSZ6-Lk5aSI_O2hKWXTTrC09/view?usp=drive_link" TargetMode="External"/><Relationship Id="rId489" Type="http://schemas.openxmlformats.org/officeDocument/2006/relationships/hyperlink" Target="https://www.microcenter.com/product/693716/asus-rog-strix-g16-g615lr-ms97-16-gaming-laptop-computer-platinum-collection-eclipse-gray" TargetMode="External"/><Relationship Id="rId121" Type="http://schemas.openxmlformats.org/officeDocument/2006/relationships/hyperlink" Target="https://drive.google.com/file/d/1V-Frf7vFAPiFz2uRr1nKjzC36bu9dEtC/view?usp=drive_link" TargetMode="External"/><Relationship Id="rId242" Type="http://schemas.openxmlformats.org/officeDocument/2006/relationships/hyperlink" Target="https://drive.google.com/file/d/1t-HpqxR8mCv_xVt5Cy57-rcdDjtWfHyq/view?usp=drive_link" TargetMode="External"/><Relationship Id="rId363" Type="http://schemas.openxmlformats.org/officeDocument/2006/relationships/hyperlink" Target="https://drive.google.com/file/d/1wC3oOghF0HMSA3fEuEGsQ-AUv5aEHUup/view?usp=drive_link" TargetMode="External"/><Relationship Id="rId484" Type="http://schemas.openxmlformats.org/officeDocument/2006/relationships/hyperlink" Target="https://www.bestbuy.com/product/acer-predator-helios-neo-16s-ai-gaming-laptop-16-oled-240hz-intel-core-ultra-9-nvidia-geforce-rtx-5070ti-32gb-1tb-obsidian-black/JJ8V8H38XT" TargetMode="External"/><Relationship Id="rId120" Type="http://schemas.openxmlformats.org/officeDocument/2006/relationships/hyperlink" Target="https://www.amazon.com/gp/product/B0CRDCXRK2/ref=ppx_yo_dt_b_asin_title_o00_s00?ie=UTF8&amp;th=1" TargetMode="External"/><Relationship Id="rId241" Type="http://schemas.openxmlformats.org/officeDocument/2006/relationships/hyperlink" Target="https://drive.google.com/file/d/1z_VXvupJXhj5HNPtzxogidZ0UE3WzwXj/view?usp=drive_link" TargetMode="External"/><Relationship Id="rId362" Type="http://schemas.openxmlformats.org/officeDocument/2006/relationships/hyperlink" Target="https://drive.google.com/file/d/1rqZpgfOL3K4YQoEmdMSCMO3buLgZbnp1/view?usp=drive_link" TargetMode="External"/><Relationship Id="rId483" Type="http://schemas.openxmlformats.org/officeDocument/2006/relationships/hyperlink" Target="https://drive.google.com/open?id=1CWcuhs87x_g_W5GsWksVHVMLlC9YcDyo&amp;usp=drive_copy" TargetMode="External"/><Relationship Id="rId240" Type="http://schemas.openxmlformats.org/officeDocument/2006/relationships/hyperlink" Target="https://drive.google.com/file/d/1afS6I-0gELmcFHpOPrYXoGoNAZpRmWO-/view?usp=drive_link" TargetMode="External"/><Relationship Id="rId361" Type="http://schemas.openxmlformats.org/officeDocument/2006/relationships/hyperlink" Target="https://drive.google.com/file/d/1maUPjb97v1apX7b-S4IYgr3dGsRWnEl4/view?usp=drive_link" TargetMode="External"/><Relationship Id="rId482" Type="http://schemas.openxmlformats.org/officeDocument/2006/relationships/hyperlink" Target="https://drive.google.com/open?id=1rxCQvwoAwC0G21MMIK4OtCLGnH1Q7vjp&amp;usp=drive_copy" TargetMode="External"/><Relationship Id="rId360" Type="http://schemas.openxmlformats.org/officeDocument/2006/relationships/hyperlink" Target="https://drive.google.com/file/d/1nOHg9HanATYqwsPym43F5M_tcg06MTjX/view?usp=drive_link" TargetMode="External"/><Relationship Id="rId481" Type="http://schemas.openxmlformats.org/officeDocument/2006/relationships/hyperlink" Target="https://drive.google.com/open?id=1AAEqbsHEpQEbkTX5OGlgT1iARljGMD_b&amp;usp=drive_copy" TargetMode="External"/><Relationship Id="rId125" Type="http://schemas.openxmlformats.org/officeDocument/2006/relationships/hyperlink" Target="https://drive.google.com/file/d/1wzNg4_6dI_7SwxVBK2yTXwal-bZqTKgD/view?usp=drive_link" TargetMode="External"/><Relationship Id="rId246" Type="http://schemas.openxmlformats.org/officeDocument/2006/relationships/hyperlink" Target="https://drive.google.com/file/d/1nMyDPFWpJpTodJeGUAeKmUSD-HkaE10c/view?usp=drive_link" TargetMode="External"/><Relationship Id="rId367" Type="http://schemas.openxmlformats.org/officeDocument/2006/relationships/hyperlink" Target="https://drive.google.com/file/d/1755mktatXI4C4ZnAN_g9dMr5QqYDBfd2/view?usp=drive_link" TargetMode="External"/><Relationship Id="rId488" Type="http://schemas.openxmlformats.org/officeDocument/2006/relationships/hyperlink" Target="https://drive.google.com/open?id=1vvxl4miMX2MRVg-jSVtfBy_mmkqKMcfK&amp;usp=drive_copy" TargetMode="External"/><Relationship Id="rId124" Type="http://schemas.openxmlformats.org/officeDocument/2006/relationships/hyperlink" Target="https://drive.google.com/file/d/1C9iQhDtGuCbOF4of9BvCrdTjx1H1zGQ8/view?usp=drive_link" TargetMode="External"/><Relationship Id="rId245" Type="http://schemas.openxmlformats.org/officeDocument/2006/relationships/hyperlink" Target="https://drive.google.com/file/d/114ny2wWajOeOIfpUkOhVHvqJRqF027Q2/view?usp=drive_link" TargetMode="External"/><Relationship Id="rId366" Type="http://schemas.openxmlformats.org/officeDocument/2006/relationships/hyperlink" Target="https://www.bestbuy.com/product/acer-predator-helios-neo-16s-ai-gaming-laptop-16-oled-240hz-intel-core-ultra-9-nvidia-geforce-rtx-5060-16gb-1tb-obsidian-black/JJ8V8HGSPZ" TargetMode="External"/><Relationship Id="rId487" Type="http://schemas.openxmlformats.org/officeDocument/2006/relationships/hyperlink" Target="https://drive.google.com/open?id=1rAXU7i7RE4KIzQYWj9FgVZMCW27bO2Kb&amp;usp=drive_copy" TargetMode="External"/><Relationship Id="rId123" Type="http://schemas.openxmlformats.org/officeDocument/2006/relationships/hyperlink" Target="https://drive.google.com/file/d/1KKjUS6dOmNEzqqxU8XmuB8Er06TXhqbs/view?usp=sharing" TargetMode="External"/><Relationship Id="rId244" Type="http://schemas.openxmlformats.org/officeDocument/2006/relationships/hyperlink" Target="https://drive.google.com/file/d/1yuztPqDl9hBTzA2VrSVm2L0p-9vrgm6m/view?usp=drive_link" TargetMode="External"/><Relationship Id="rId365" Type="http://schemas.openxmlformats.org/officeDocument/2006/relationships/hyperlink" Target="https://drive.google.com/file/d/1WXyTPcO4v-jfVhHaEEGxFl3jgHt40ruj/view?usp=drive_link" TargetMode="External"/><Relationship Id="rId486" Type="http://schemas.openxmlformats.org/officeDocument/2006/relationships/hyperlink" Target="https://drive.google.com/open?id=1gPV4pSdGVWJSeRM5dhkl055-uxstO2pq&amp;usp=drive_copy" TargetMode="External"/><Relationship Id="rId122" Type="http://schemas.openxmlformats.org/officeDocument/2006/relationships/hyperlink" Target="https://drive.google.com/file/d/18aPAHSSAwTXReOAnQafy97jHL-OrJzJU/view?usp=sharing" TargetMode="External"/><Relationship Id="rId243" Type="http://schemas.openxmlformats.org/officeDocument/2006/relationships/hyperlink" Target="https://drive.google.com/file/d/1sC8lpzt-SZNsimSVFZQUvtQbwBZ09kVU/view?usp=drive_link" TargetMode="External"/><Relationship Id="rId364" Type="http://schemas.openxmlformats.org/officeDocument/2006/relationships/hyperlink" Target="https://drive.google.com/file/d/1QrigjqTUrQ1VpCgNP9TFTD_iOWKaeQiC/view?usp=drive_link" TargetMode="External"/><Relationship Id="rId485" Type="http://schemas.openxmlformats.org/officeDocument/2006/relationships/hyperlink" Target="https://drive.google.com/open?id=1vnjTmyBFcNewTz773oxpsJ762h14zhcE&amp;usp=drive_copy" TargetMode="External"/><Relationship Id="rId95" Type="http://schemas.openxmlformats.org/officeDocument/2006/relationships/hyperlink" Target="https://www.fedex.com/fedextrack/?trknbr=422206322285&amp;trkqual=12029~422206322285~FDEG" TargetMode="External"/><Relationship Id="rId94" Type="http://schemas.openxmlformats.org/officeDocument/2006/relationships/hyperlink" Target="https://drive.google.com/file/d/1DRR5QcZkJkmDtnz6wPHmdPgezu-itnSf/view?usp=drive_link" TargetMode="External"/><Relationship Id="rId97" Type="http://schemas.openxmlformats.org/officeDocument/2006/relationships/hyperlink" Target="https://drive.google.com/file/d/1w3444iXL5_p0I5zrUFyqVjACFGg6N8-M/view?usp=sharing" TargetMode="External"/><Relationship Id="rId96" Type="http://schemas.openxmlformats.org/officeDocument/2006/relationships/hyperlink" Target="https://drive.google.com/file/d/1m3-YmntuVYuP3iEBvShbuVU30Y0jxbxj/view?usp=drive_link" TargetMode="External"/><Relationship Id="rId99" Type="http://schemas.openxmlformats.org/officeDocument/2006/relationships/hyperlink" Target="https://drive.google.com/file/d/1K53tCkbzMOKnT3tQ1cYQmZ5X29H3SEJX/view?usp=drive_link" TargetMode="External"/><Relationship Id="rId480" Type="http://schemas.openxmlformats.org/officeDocument/2006/relationships/hyperlink" Target="https://drive.google.com/open?id=1GCcvM_3tRLbghL-jpbnkWaZAvtKEJtJ2&amp;usp=drive_copy" TargetMode="External"/><Relationship Id="rId98" Type="http://schemas.openxmlformats.org/officeDocument/2006/relationships/hyperlink" Target="https://drive.google.com/file/d/1P6kAR7fxmKyFowbtVaa7ARM6tQS2pvbA/view?usp=drive_link" TargetMode="External"/><Relationship Id="rId91" Type="http://schemas.openxmlformats.org/officeDocument/2006/relationships/hyperlink" Target="https://drive.google.com/file/d/1Fqll2qKiJNP11h0FS34p5-wV1qOFENlT/view?usp=drive_link" TargetMode="External"/><Relationship Id="rId90" Type="http://schemas.openxmlformats.org/officeDocument/2006/relationships/hyperlink" Target="https://drive.google.com/file/d/1Vk4i0oLJ8Yrxa2C-y9yxrBKkS_nLsvp1/view?usp=drive_link" TargetMode="External"/><Relationship Id="rId93" Type="http://schemas.openxmlformats.org/officeDocument/2006/relationships/hyperlink" Target="https://drive.google.com/file/d/1GRI-3Qs1RGbJPZhPi4-sgEXCDrAq4UZF/view?usp=sharing" TargetMode="External"/><Relationship Id="rId92" Type="http://schemas.openxmlformats.org/officeDocument/2006/relationships/hyperlink" Target="https://drive.google.com/file/d/1QbUYCiOABgqyPXZVpnPTcwddL72CpQtX/view?usp=drive_link" TargetMode="External"/><Relationship Id="rId118" Type="http://schemas.openxmlformats.org/officeDocument/2006/relationships/hyperlink" Target="https://drive.google.com/file/d/1e32bRLCfzSBvnj0n-wJZejY55in6G3-g/view?usp=drive_link" TargetMode="External"/><Relationship Id="rId239" Type="http://schemas.openxmlformats.org/officeDocument/2006/relationships/hyperlink" Target="https://drive.google.com/file/d/1CI9Jr-MU-QyZVjw5hGcTnRlYR8SfKVlg/view?usp=sharing" TargetMode="External"/><Relationship Id="rId117" Type="http://schemas.openxmlformats.org/officeDocument/2006/relationships/hyperlink" Target="https://drive.google.com/file/d/1YXh-xySwWvttxOjW472RjPWGzAOhHZj2/view?usp=sharing" TargetMode="External"/><Relationship Id="rId238" Type="http://schemas.openxmlformats.org/officeDocument/2006/relationships/hyperlink" Target="https://drive.google.com/file/d/17RMXgARKsxHjgZZZ31DEIwwBLgO4hr85/view?usp=drive_link" TargetMode="External"/><Relationship Id="rId359" Type="http://schemas.openxmlformats.org/officeDocument/2006/relationships/hyperlink" Target="https://www.amazon.com/-/es/dp/B0F1BMYWY6?ref=fed_asin_title&amp;th=1" TargetMode="External"/><Relationship Id="rId116" Type="http://schemas.openxmlformats.org/officeDocument/2006/relationships/hyperlink" Target="https://drive.google.com/file/d/1uiK5dOpuMn6kkAvpa7BHRyHBYHdLaK3R/view?usp=drive_link" TargetMode="External"/><Relationship Id="rId237" Type="http://schemas.openxmlformats.org/officeDocument/2006/relationships/hyperlink" Target="https://drive.google.com/file/d/1lIzJXUqwi4-2FXgzWUP6GL-cd9qnCvhV/view?usp=drive_link" TargetMode="External"/><Relationship Id="rId358" Type="http://schemas.openxmlformats.org/officeDocument/2006/relationships/hyperlink" Target="https://drive.google.com/file/d/11dxLSRUyZSA5pQrhgCpscyj6b52MOrT5/view?usp=drive_link" TargetMode="External"/><Relationship Id="rId479" Type="http://schemas.openxmlformats.org/officeDocument/2006/relationships/hyperlink" Target="https://drive.google.com/file/d/17MCZi-kD_SitVGZ_-ykbOFLWnU5lTt2W/view?usp=drive_link" TargetMode="External"/><Relationship Id="rId115" Type="http://schemas.openxmlformats.org/officeDocument/2006/relationships/hyperlink" Target="https://drive.google.com/file/d/1fjOZ47p9AZ7LCeaArOQGwiO2tZY7nuMt/view?usp=drive_link" TargetMode="External"/><Relationship Id="rId236" Type="http://schemas.openxmlformats.org/officeDocument/2006/relationships/hyperlink" Target="https://drive.google.com/file/d/1oNqEKaj4Fyid3iifOin0NWC_7uNT5eIX/view?usp=sharing" TargetMode="External"/><Relationship Id="rId357" Type="http://schemas.openxmlformats.org/officeDocument/2006/relationships/hyperlink" Target="https://www.bestbuy.com/product/acer-predator-helios-neo-16s-ai-gaming-laptop-16-oled-240hz-intel-core-ultra-9-nvidia-geforce-rtx-5060-16gb-1tb-obsidian-black/JJ8V8HGSPZ" TargetMode="External"/><Relationship Id="rId478" Type="http://schemas.openxmlformats.org/officeDocument/2006/relationships/hyperlink" Target="https://drive.google.com/open?id=1sd-yrX8zUntQ0X2l9XGgn14oCM4RzFPR&amp;usp=drive_copy" TargetMode="External"/><Relationship Id="rId599" Type="http://schemas.openxmlformats.org/officeDocument/2006/relationships/hyperlink" Target="https://drive.google.com/open?id=1CoBy6MXjVfrVVVF0xO81qALkN-NcJuvq&amp;usp=drive_copy" TargetMode="External"/><Relationship Id="rId119" Type="http://schemas.openxmlformats.org/officeDocument/2006/relationships/hyperlink" Target="https://drive.google.com/file/d/1BAIcZjJz4jmUjg0d7GVHijAQoxxd4N2G/view?usp=drive_link" TargetMode="External"/><Relationship Id="rId110" Type="http://schemas.openxmlformats.org/officeDocument/2006/relationships/hyperlink" Target="https://drive.google.com/file/d/1aW-kb9uuapCrPY-uZ0D9Oo14IVcy9Arl/view?usp=drive_link" TargetMode="External"/><Relationship Id="rId231" Type="http://schemas.openxmlformats.org/officeDocument/2006/relationships/hyperlink" Target="https://drive.google.com/file/d/1KvnZOGi6zBCSYYZRokFMI7JhqwXrTU9B/view?usp=sharing" TargetMode="External"/><Relationship Id="rId352" Type="http://schemas.openxmlformats.org/officeDocument/2006/relationships/hyperlink" Target="https://drive.google.com/file/d/1-DiPEUQjjpddnXOILxH_ri_6e4NUzsox/view?usp=drive_link" TargetMode="External"/><Relationship Id="rId473" Type="http://schemas.openxmlformats.org/officeDocument/2006/relationships/hyperlink" Target="https://drive.google.com/file/d/1DjJCvq0ui-oeijO4lvNiv8xADgrIqDE0/view?usp=drive_link" TargetMode="External"/><Relationship Id="rId594" Type="http://schemas.openxmlformats.org/officeDocument/2006/relationships/hyperlink" Target="https://drive.google.com/open?id=1UAmYkDlvybCvO3x7YqgUgrYyuG_BHqbn&amp;usp=drive_copy" TargetMode="External"/><Relationship Id="rId230" Type="http://schemas.openxmlformats.org/officeDocument/2006/relationships/hyperlink" Target="https://drive.google.com/file/d/1z1clq4D5yV0QUMKubtHa5hGU4mgYy9FP/view?usp=sharing" TargetMode="External"/><Relationship Id="rId351" Type="http://schemas.openxmlformats.org/officeDocument/2006/relationships/hyperlink" Target="https://drive.google.com/file/d/1dhBd16mef57CIu_hJFMNatbS3z5x_9EU/view?usp=drive_link" TargetMode="External"/><Relationship Id="rId472" Type="http://schemas.openxmlformats.org/officeDocument/2006/relationships/hyperlink" Target="https://drive.google.com/open?id=16sFgjcD7lku9LMntWCX4boyKKeQfrda_&amp;usp=drive_copy" TargetMode="External"/><Relationship Id="rId593" Type="http://schemas.openxmlformats.org/officeDocument/2006/relationships/hyperlink" Target="https://drive.google.com/open?id=1MTmr3ev-uskhZ6KHvHwC8g9BfPmtbhql&amp;usp=drive_copy" TargetMode="External"/><Relationship Id="rId350" Type="http://schemas.openxmlformats.org/officeDocument/2006/relationships/hyperlink" Target="https://drive.google.com/file/d/1OT5dnpvUujmQgYwLcuHf8xtOyFC4plJD/view?usp=drive_link" TargetMode="External"/><Relationship Id="rId471" Type="http://schemas.openxmlformats.org/officeDocument/2006/relationships/hyperlink" Target="https://drive.google.com/open?id=1zbgmk5tqs0ckMZ-CyQ3oIwZbVsiLvPqo&amp;usp=drive_copy" TargetMode="External"/><Relationship Id="rId592" Type="http://schemas.openxmlformats.org/officeDocument/2006/relationships/hyperlink" Target="https://www.ebay.com/itm/205814283481" TargetMode="External"/><Relationship Id="rId470" Type="http://schemas.openxmlformats.org/officeDocument/2006/relationships/hyperlink" Target="https://drive.google.com/open?id=1Ty5KPt5SWr7PUCK97asngs1pirCPgL88&amp;usp=drive_copy" TargetMode="External"/><Relationship Id="rId591" Type="http://schemas.openxmlformats.org/officeDocument/2006/relationships/hyperlink" Target="https://drive.google.com/open?id=1EHQUVNgTnHpk9UaeL5zA3bDQmo_k0UvS&amp;usp=drive_copy" TargetMode="External"/><Relationship Id="rId114" Type="http://schemas.openxmlformats.org/officeDocument/2006/relationships/hyperlink" Target="https://drive.google.com/file/d/1oRd1HbR3G2ZuMQtjgxk6sF5BqUS1GS0T/view?usp=drive_link" TargetMode="External"/><Relationship Id="rId235" Type="http://schemas.openxmlformats.org/officeDocument/2006/relationships/hyperlink" Target="https://drive.google.com/file/d/1vescIlZEQrur0HF46wfe1UywmE4QdSza/view?usp=drive_link" TargetMode="External"/><Relationship Id="rId356" Type="http://schemas.openxmlformats.org/officeDocument/2006/relationships/hyperlink" Target="https://drive.google.com/file/d/1-WYo4ruEzWHRXh2TQQrIMDT0lTpFCqRt/view?usp=drive_link" TargetMode="External"/><Relationship Id="rId477" Type="http://schemas.openxmlformats.org/officeDocument/2006/relationships/hyperlink" Target="https://drive.google.com/open?id=1RTvgmP9Pg9pvudtYZ-KSxAXo3eQTHgVc&amp;usp=drive_copy" TargetMode="External"/><Relationship Id="rId598" Type="http://schemas.openxmlformats.org/officeDocument/2006/relationships/hyperlink" Target="https://drive.google.com/file/d/1nw_XElTcoAMsrnqLjq_iolECtZLzZsWt/view?usp=drive_link" TargetMode="External"/><Relationship Id="rId113" Type="http://schemas.openxmlformats.org/officeDocument/2006/relationships/hyperlink" Target="https://drive.google.com/file/d/1ozDpHOUjrJO9Itp3lO_A_1zuP7Y3aWcL/view?usp=drive_link" TargetMode="External"/><Relationship Id="rId234" Type="http://schemas.openxmlformats.org/officeDocument/2006/relationships/hyperlink" Target="https://drive.google.com/file/d/1WNOBs2sPBxE1pVrfNg7ke1qB12xUYOH6/view?usp=drive_link" TargetMode="External"/><Relationship Id="rId355" Type="http://schemas.openxmlformats.org/officeDocument/2006/relationships/hyperlink" Target="https://www.amazon.com/-/es/dp/B0F1BMYWY6?ref=fed_asin_title&amp;th=1" TargetMode="External"/><Relationship Id="rId476" Type="http://schemas.openxmlformats.org/officeDocument/2006/relationships/hyperlink" Target="https://drive.google.com/open?id=1pAhsqsXFLBPxf6Hy9Fbfxw8fgCgdjIAU&amp;usp=drive_copy" TargetMode="External"/><Relationship Id="rId597" Type="http://schemas.openxmlformats.org/officeDocument/2006/relationships/hyperlink" Target="https://drive.google.com/open?id=1mzCoGXz4IO5LM6LpzquuD7txPpwc0UI9&amp;usp=drive_copy" TargetMode="External"/><Relationship Id="rId112" Type="http://schemas.openxmlformats.org/officeDocument/2006/relationships/hyperlink" Target="https://drive.google.com/file/d/1vl4tHYqk1Zpxeyt_iJ8DkAO3rCdsvlGm/view?usp=sharing" TargetMode="External"/><Relationship Id="rId233" Type="http://schemas.openxmlformats.org/officeDocument/2006/relationships/hyperlink" Target="https://drive.google.com/file/d/1js6bw2hWhlaCJEp5lnxkJzsv8Zel7U9X/view?usp=drive_link" TargetMode="External"/><Relationship Id="rId354" Type="http://schemas.openxmlformats.org/officeDocument/2006/relationships/hyperlink" Target="https://drive.google.com/file/d/1gclFOuEifM4WxGMgNHPs0GppVfgyJL0n/view?usp=drive_link" TargetMode="External"/><Relationship Id="rId475" Type="http://schemas.openxmlformats.org/officeDocument/2006/relationships/hyperlink" Target="https://drive.google.com/open?id=137C2Y77qWAGBeyqORhpdoHvcowvL1ETQ&amp;usp=drive_copy" TargetMode="External"/><Relationship Id="rId596" Type="http://schemas.openxmlformats.org/officeDocument/2006/relationships/hyperlink" Target="https://drive.google.com/open?id=1fbiSDuyAK0kHqj-3tyU14mbi9m4shzmk&amp;usp=drive_copy" TargetMode="External"/><Relationship Id="rId111" Type="http://schemas.openxmlformats.org/officeDocument/2006/relationships/hyperlink" Target="https://drive.google.com/file/d/1enzmt7MegFJCCNR7i4qPckzmpp3GPUm9/view?usp=sharing" TargetMode="External"/><Relationship Id="rId232" Type="http://schemas.openxmlformats.org/officeDocument/2006/relationships/hyperlink" Target="https://drive.google.com/file/d/1AyKESnFMVBYXzuu4RBnilLdDQPxTPupU/view?usp=drive_link" TargetMode="External"/><Relationship Id="rId353" Type="http://schemas.openxmlformats.org/officeDocument/2006/relationships/hyperlink" Target="https://drive.google.com/file/d/14xF5oO90-0m6kh7QpI0l-j4SLM_TZKc0/view?usp=drive_link" TargetMode="External"/><Relationship Id="rId474" Type="http://schemas.openxmlformats.org/officeDocument/2006/relationships/hyperlink" Target="https://drive.google.com/file/d/1L3cm3T0W2WCptjefWr58OzVKQMfdyrsH/view?usp=drive_link" TargetMode="External"/><Relationship Id="rId595" Type="http://schemas.openxmlformats.org/officeDocument/2006/relationships/hyperlink" Target="https://drive.google.com/open?id=1EVKPCRsVdWR0OyGNQKYwJmTg2zMBi4jF&amp;usp=drive_copy" TargetMode="External"/><Relationship Id="rId305" Type="http://schemas.openxmlformats.org/officeDocument/2006/relationships/hyperlink" Target="https://drive.google.com/file/d/16h6QqitFA71j6GDaURqevDm1kEEH4YNW/view?usp=drive_link" TargetMode="External"/><Relationship Id="rId426" Type="http://schemas.openxmlformats.org/officeDocument/2006/relationships/hyperlink" Target="https://drive.google.com/open?id=1vRKHCK-1zdKMdbrX-gqXVSs__TpVdg7b&amp;usp=drive_copy" TargetMode="External"/><Relationship Id="rId547" Type="http://schemas.openxmlformats.org/officeDocument/2006/relationships/hyperlink" Target="https://drive.google.com/open?id=1rkX6sEh9nN-RjY9TzBFA84T4PJbYcOsi&amp;usp=drive_copy" TargetMode="External"/><Relationship Id="rId668" Type="http://schemas.openxmlformats.org/officeDocument/2006/relationships/hyperlink" Target="https://drive.google.com/file/d/1lRqGVfnXULwEeGOhYjpJM_4nVjViVHFn/view?usp=drive_link" TargetMode="External"/><Relationship Id="rId304" Type="http://schemas.openxmlformats.org/officeDocument/2006/relationships/hyperlink" Target="https://drive.google.com/file/d/1TrFFLV38n4Vf3E7OgkXppJ8KyB3C1dI6/view?usp=sharing" TargetMode="External"/><Relationship Id="rId425" Type="http://schemas.openxmlformats.org/officeDocument/2006/relationships/hyperlink" Target="https://drive.google.com/file/d/1QAw5i8x9hpoVrxmQ-Ul59aw6HzpKDycU/view?usp=drive_link" TargetMode="External"/><Relationship Id="rId546" Type="http://schemas.openxmlformats.org/officeDocument/2006/relationships/hyperlink" Target="https://drive.google.com/open?id=1shrstjWNlwHWoqstldVHON_0WdofeFO6&amp;usp=drive_copy" TargetMode="External"/><Relationship Id="rId667" Type="http://schemas.openxmlformats.org/officeDocument/2006/relationships/hyperlink" Target="https://drive.google.com/file/d/1Frfa_-wql-TkLC03pvv9NKdbjTDiY8Ot/view?usp=sharing" TargetMode="External"/><Relationship Id="rId303" Type="http://schemas.openxmlformats.org/officeDocument/2006/relationships/hyperlink" Target="https://drive.google.com/file/d/14I7q4Xz01UqHQfbcR138mAJXDKzlt53i/view?usp=drive_link" TargetMode="External"/><Relationship Id="rId424" Type="http://schemas.openxmlformats.org/officeDocument/2006/relationships/hyperlink" Target="https://drive.google.com/file/d/1Yoa6NNXn64TchwCO_2WCv00SxAaMy0bR/view?usp=drive_link" TargetMode="External"/><Relationship Id="rId545" Type="http://schemas.openxmlformats.org/officeDocument/2006/relationships/hyperlink" Target="https://drive.google.com/open?id=1Eep6m7Jz764L4rIzdm_YqGknk7yWlJPy&amp;usp=drive_copy" TargetMode="External"/><Relationship Id="rId666" Type="http://schemas.openxmlformats.org/officeDocument/2006/relationships/hyperlink" Target="https://drive.google.com/file/d/1cQAZMZZh50kmtnLpAq_Wa06SXyFgu_X2/view?usp=drive_link" TargetMode="External"/><Relationship Id="rId302" Type="http://schemas.openxmlformats.org/officeDocument/2006/relationships/hyperlink" Target="https://drive.google.com/file/d/1sp8ubPSk1m1qu7uEv5vDoAJwbZxDPbpt/view?usp=drive_link" TargetMode="External"/><Relationship Id="rId423" Type="http://schemas.openxmlformats.org/officeDocument/2006/relationships/hyperlink" Target="https://www.ebay.com/itm/197737868679" TargetMode="External"/><Relationship Id="rId544" Type="http://schemas.openxmlformats.org/officeDocument/2006/relationships/hyperlink" Target="https://drive.google.com/open?id=1l0X-g17IjnDsujty6lHXIkWhcRgW1_nL&amp;usp=drive_copy" TargetMode="External"/><Relationship Id="rId665" Type="http://schemas.openxmlformats.org/officeDocument/2006/relationships/hyperlink" Target="https://drive.google.com/open?id=1zuGJuqYpUnqxFuAHTHkLwwb5XVFv2R2j&amp;usp=drive_copy" TargetMode="External"/><Relationship Id="rId309" Type="http://schemas.openxmlformats.org/officeDocument/2006/relationships/hyperlink" Target="https://www.ebay.com/itm/326655425561" TargetMode="External"/><Relationship Id="rId308" Type="http://schemas.openxmlformats.org/officeDocument/2006/relationships/hyperlink" Target="https://drive.google.com/file/d/1Uqirn19Nsy8XbK3zQWNx2xj7CFzCSRu5/view?usp=drive_link" TargetMode="External"/><Relationship Id="rId429" Type="http://schemas.openxmlformats.org/officeDocument/2006/relationships/hyperlink" Target="https://drive.google.com/file/d/1kE_DKKpFA-V36_Bia_LVBnlLMNDmSWpl/view?usp=drive_link" TargetMode="External"/><Relationship Id="rId307" Type="http://schemas.openxmlformats.org/officeDocument/2006/relationships/hyperlink" Target="https://drive.google.com/file/d/1dJOQg6wylZsLLDRAUqwV9GTOQCOd8TRD/view?usp=drive_link" TargetMode="External"/><Relationship Id="rId428" Type="http://schemas.openxmlformats.org/officeDocument/2006/relationships/hyperlink" Target="https://drive.google.com/open?id=1nAo7ADfDVg5uZyyZ5VdvYFH-eX7PIrYw&amp;usp=drive_copy" TargetMode="External"/><Relationship Id="rId549" Type="http://schemas.openxmlformats.org/officeDocument/2006/relationships/hyperlink" Target="https://drive.google.com/open?id=17c2cxHRZuKy4n60ZgyWe-UHOMuRWKVKg&amp;usp=drive_copy" TargetMode="External"/><Relationship Id="rId306" Type="http://schemas.openxmlformats.org/officeDocument/2006/relationships/hyperlink" Target="https://drive.google.com/file/d/16DHijM9ROiks-lErwXkC7wl8dfPwiLRs/view?usp=drive_link" TargetMode="External"/><Relationship Id="rId427" Type="http://schemas.openxmlformats.org/officeDocument/2006/relationships/hyperlink" Target="https://drive.google.com/open?id=12fdOaBFWn3qNU2650pApM8k-vFee9XZo&amp;usp=drive_copy" TargetMode="External"/><Relationship Id="rId548" Type="http://schemas.openxmlformats.org/officeDocument/2006/relationships/hyperlink" Target="https://drive.google.com/open?id=1qD8zYozFR_rplIjAb3Sjh0MEYMxyJluS&amp;usp=drive_copy" TargetMode="External"/><Relationship Id="rId669" Type="http://schemas.openxmlformats.org/officeDocument/2006/relationships/hyperlink" Target="https://drive.google.com/open?id=1NAT5sWKOHsgSNR089smRXny3iUBQ-fqa&amp;usp=drive_copy" TargetMode="External"/><Relationship Id="rId660" Type="http://schemas.openxmlformats.org/officeDocument/2006/relationships/hyperlink" Target="https://drive.google.com/open?id=1thPmicJwi4poEwWDFu_cIt6ZRUJsEUoF&amp;usp=drive_copy" TargetMode="External"/><Relationship Id="rId301" Type="http://schemas.openxmlformats.org/officeDocument/2006/relationships/hyperlink" Target="https://drive.google.com/file/d/1iINfzrV71_vxfEdavwgqdhJHZqWMzlHx/view?usp=drive_link" TargetMode="External"/><Relationship Id="rId422" Type="http://schemas.openxmlformats.org/officeDocument/2006/relationships/hyperlink" Target="https://drive.google.com/file/d/14Y6HGBPau9kQXpwlbgLYHMV83xc3zErM/view?usp=drive_link" TargetMode="External"/><Relationship Id="rId543" Type="http://schemas.openxmlformats.org/officeDocument/2006/relationships/hyperlink" Target="https://drive.google.com/open?id=1ucKc5bSQSPmbKWUdpFbNKto2bUo9ZsZQ&amp;usp=drive_copy" TargetMode="External"/><Relationship Id="rId664" Type="http://schemas.openxmlformats.org/officeDocument/2006/relationships/hyperlink" Target="https://drive.google.com/open?id=1GiMqVBneRMzBAeJs1257yW81mZG3_ulB&amp;usp=drive_copy" TargetMode="External"/><Relationship Id="rId300" Type="http://schemas.openxmlformats.org/officeDocument/2006/relationships/hyperlink" Target="https://drive.google.com/file/d/1XhnY2G-K3uTjqYmvyOAiIhXjZCrZmDpn/view?usp=drive_link" TargetMode="External"/><Relationship Id="rId421" Type="http://schemas.openxmlformats.org/officeDocument/2006/relationships/hyperlink" Target="https://drive.google.com/open?id=1Rer_L3SaVjaeyZZtsWlBoupbl1VOkW31&amp;usp=drive_copy" TargetMode="External"/><Relationship Id="rId542" Type="http://schemas.openxmlformats.org/officeDocument/2006/relationships/hyperlink" Target="https://drive.google.com/open?id=1nwQZ3P6AEPprXLjsi5NEx5ZwMojzt_uI&amp;usp=drive_copy" TargetMode="External"/><Relationship Id="rId663" Type="http://schemas.openxmlformats.org/officeDocument/2006/relationships/hyperlink" Target="https://drive.google.com/open?id=18fZbKCNRL11Cc3d8kjDFzPErGBHw9hJP&amp;usp=drive_copy" TargetMode="External"/><Relationship Id="rId420" Type="http://schemas.openxmlformats.org/officeDocument/2006/relationships/hyperlink" Target="https://drive.google.com/file/d/1HibGeBwwF-w7Gubsz405RTNlez0pRpBv/view?usp=drive_link" TargetMode="External"/><Relationship Id="rId541" Type="http://schemas.openxmlformats.org/officeDocument/2006/relationships/hyperlink" Target="https://drive.google.com/open?id=1c1H9qawyXbQ7F4Cojg5Z7z4lvIeruCoi&amp;usp=drive_copy" TargetMode="External"/><Relationship Id="rId662" Type="http://schemas.openxmlformats.org/officeDocument/2006/relationships/hyperlink" Target="https://drive.google.com/file/d/1HBezGBe1jRrIwcqBF9tp6gzmJjsxXVEe/view?usp=drive_link" TargetMode="External"/><Relationship Id="rId540" Type="http://schemas.openxmlformats.org/officeDocument/2006/relationships/hyperlink" Target="https://drive.google.com/open?id=1Ey03uNrOoKjf96S_nMuk4n1ZCQidBUxd&amp;usp=drive_copy" TargetMode="External"/><Relationship Id="rId661" Type="http://schemas.openxmlformats.org/officeDocument/2006/relationships/hyperlink" Target="https://drive.google.com/open?id=1FbIR8fIVYVHeKOzMtOu6_L8aAb9w_jSF&amp;usp=drive_copy" TargetMode="External"/><Relationship Id="rId415" Type="http://schemas.openxmlformats.org/officeDocument/2006/relationships/hyperlink" Target="https://drive.google.com/file/d/1R1_w_A1OTb4iGIsKfTnA7flzpk_HV0fE/view?usp=drive_link" TargetMode="External"/><Relationship Id="rId536" Type="http://schemas.openxmlformats.org/officeDocument/2006/relationships/hyperlink" Target="https://www.microcenter.com/product/691610/lenovo-legion-pro-7-16iax10h-oled-16-gaming-laptop-computer-eclipse-black" TargetMode="External"/><Relationship Id="rId657" Type="http://schemas.openxmlformats.org/officeDocument/2006/relationships/hyperlink" Target="https://drive.google.com/open?id=1xq2brtAU89btssGoeWuwG6oFYzr8Bnab&amp;usp=drive_copy" TargetMode="External"/><Relationship Id="rId414" Type="http://schemas.openxmlformats.org/officeDocument/2006/relationships/hyperlink" Target="https://www.amazon.com/-/es/dp/B0F1BMYWY6?ref=fed_asin_title&amp;th=1" TargetMode="External"/><Relationship Id="rId535" Type="http://schemas.openxmlformats.org/officeDocument/2006/relationships/hyperlink" Target="https://drive.google.com/open?id=1RsCs8eoNoWIhiHRYOhVmJBP08WzGM-ea&amp;usp=drive_copy" TargetMode="External"/><Relationship Id="rId656" Type="http://schemas.openxmlformats.org/officeDocument/2006/relationships/hyperlink" Target="https://drive.google.com/open?id=1mRpmNz1q4UFaakUy4ROZKfY26xNxRAgH&amp;usp=drive_copy" TargetMode="External"/><Relationship Id="rId413" Type="http://schemas.openxmlformats.org/officeDocument/2006/relationships/hyperlink" Target="https://drive.google.com/open?id=1DCZ6HaIy6d1s-zyij8d-Q__4WUPyu1Gr&amp;usp=drive_copy" TargetMode="External"/><Relationship Id="rId534" Type="http://schemas.openxmlformats.org/officeDocument/2006/relationships/hyperlink" Target="https://drive.google.com/open?id=1SEvxDowAISOEsxpLDR7elioA-RwjUdqd&amp;usp=drive_copy" TargetMode="External"/><Relationship Id="rId655" Type="http://schemas.openxmlformats.org/officeDocument/2006/relationships/hyperlink" Target="https://drive.google.com/open?id=1w7kpYs3q1i1ZQm6Lc-zKWGswWXynKgBF&amp;usp=drive_copy" TargetMode="External"/><Relationship Id="rId412" Type="http://schemas.openxmlformats.org/officeDocument/2006/relationships/hyperlink" Target="https://drive.google.com/file/d/1RShsY5Y7RJxmVflDUmOZcy3-2ND_uqL8/view?usp=drive_link" TargetMode="External"/><Relationship Id="rId533" Type="http://schemas.openxmlformats.org/officeDocument/2006/relationships/hyperlink" Target="https://drive.google.com/open?id=16JDhnISFBxHs0udSkfvWvx-0_lgvdkmi&amp;usp=drive_copy" TargetMode="External"/><Relationship Id="rId654" Type="http://schemas.openxmlformats.org/officeDocument/2006/relationships/hyperlink" Target="https://drive.google.com/open?id=1-V_KhZeFYJvop627WARvMEfE4W2yNfvE&amp;usp=drive_copy" TargetMode="External"/><Relationship Id="rId419" Type="http://schemas.openxmlformats.org/officeDocument/2006/relationships/hyperlink" Target="https://www.ebay.com/itm/197737868679" TargetMode="External"/><Relationship Id="rId418" Type="http://schemas.openxmlformats.org/officeDocument/2006/relationships/hyperlink" Target="https://drive.google.com/file/d/1XnS3oxflLywic2qV5c7n-j1Xey5jqNL9/view?usp=drive_link" TargetMode="External"/><Relationship Id="rId539" Type="http://schemas.openxmlformats.org/officeDocument/2006/relationships/hyperlink" Target="https://drive.google.com/open?id=1kxU66NvGI_JfsIzuoB1VjrBILlzi-pHI&amp;usp=drive_copy" TargetMode="External"/><Relationship Id="rId417" Type="http://schemas.openxmlformats.org/officeDocument/2006/relationships/hyperlink" Target="https://drive.google.com/file/d/17eEtXdZDIFbKFM9JyAcq1NmUrjC1mSAd/view?usp=drive_link" TargetMode="External"/><Relationship Id="rId538" Type="http://schemas.openxmlformats.org/officeDocument/2006/relationships/hyperlink" Target="https://drive.google.com/file/d/1xCGU2IKYtpkpXtDIQHFYl9V5pRUx5mbi/view" TargetMode="External"/><Relationship Id="rId659" Type="http://schemas.openxmlformats.org/officeDocument/2006/relationships/hyperlink" Target="https://drive.google.com/open?id=1l39NPji_iM1L_OH1Ql14awv-Pm0yNFe1&amp;usp=drive_copy" TargetMode="External"/><Relationship Id="rId416" Type="http://schemas.openxmlformats.org/officeDocument/2006/relationships/hyperlink" Target="https://www.microcenter.com/product/693716/asus-rog-strix-g16-g615lr-ms97-16-gaming-laptop-computer-platinum-collection-eclipse-gray?storeid=185" TargetMode="External"/><Relationship Id="rId537" Type="http://schemas.openxmlformats.org/officeDocument/2006/relationships/hyperlink" Target="https://drive.google.com/open?id=1BmSBJ-9BNl8qcIpesWLGvphT1yOXGj2d&amp;usp=drive_copy" TargetMode="External"/><Relationship Id="rId658" Type="http://schemas.openxmlformats.org/officeDocument/2006/relationships/hyperlink" Target="https://drive.google.com/file/d/18UXPPYdygZYtMqArWmInte6Y2I8jbo2Z/view?usp=drive_link" TargetMode="External"/><Relationship Id="rId411" Type="http://schemas.openxmlformats.org/officeDocument/2006/relationships/hyperlink" Target="https://www.ebay.es/itm/197444303642" TargetMode="External"/><Relationship Id="rId532" Type="http://schemas.openxmlformats.org/officeDocument/2006/relationships/hyperlink" Target="https://drive.google.com/open?id=1DaoGzXyOGGZdU0UxdRvImmNBq-qo8AxT&amp;usp=drive_copy" TargetMode="External"/><Relationship Id="rId653" Type="http://schemas.openxmlformats.org/officeDocument/2006/relationships/hyperlink" Target="https://drive.google.com/open?id=1JFG2OX6_FiGqoQGe5EujpXlvk3fqNVw3&amp;usp=drive_copy" TargetMode="External"/><Relationship Id="rId410" Type="http://schemas.openxmlformats.org/officeDocument/2006/relationships/hyperlink" Target="https://drive.google.com/file/d/1Fgdf4LyBM42XcA6OTBcjxIcac_pQWv3I/view?usp=drive_link" TargetMode="External"/><Relationship Id="rId531" Type="http://schemas.openxmlformats.org/officeDocument/2006/relationships/hyperlink" Target="https://drive.google.com/open?id=1g2gv0wV8MIPwBNxMY4-PoMsU3id964t0&amp;usp=drive_copy" TargetMode="External"/><Relationship Id="rId652" Type="http://schemas.openxmlformats.org/officeDocument/2006/relationships/hyperlink" Target="https://drive.google.com/file/d/1t152U85OF6qHCxruMB9TxckTRTZvG4YT/view?usp=drive_link" TargetMode="External"/><Relationship Id="rId530" Type="http://schemas.openxmlformats.org/officeDocument/2006/relationships/hyperlink" Target="https://www.ebay.es/itm/205814283481" TargetMode="External"/><Relationship Id="rId651" Type="http://schemas.openxmlformats.org/officeDocument/2006/relationships/hyperlink" Target="https://drive.google.com/open?id=1OxkNErzXBRy1Y_LeAeqPP9FnZzOT4CdV&amp;usp=drive_copy" TargetMode="External"/><Relationship Id="rId650" Type="http://schemas.openxmlformats.org/officeDocument/2006/relationships/hyperlink" Target="https://drive.google.com/file/d/1UAbCP-KdaiTfeUVmBft2q-59AinZjS4h/view?usp=drive_link" TargetMode="External"/><Relationship Id="rId206" Type="http://schemas.openxmlformats.org/officeDocument/2006/relationships/hyperlink" Target="https://drive.google.com/file/d/1zHtGXDFo1qaA7Lv9DEfbv1yBR-jQuKxH/view?usp=drive_link" TargetMode="External"/><Relationship Id="rId327" Type="http://schemas.openxmlformats.org/officeDocument/2006/relationships/hyperlink" Target="https://drive.google.com/file/d/1r4y-z9hpCCH9DahiIoTZRn27h_KOLvjt/view?usp=drive_link" TargetMode="External"/><Relationship Id="rId448" Type="http://schemas.openxmlformats.org/officeDocument/2006/relationships/hyperlink" Target="https://www.ebay.es/itm/326655425561" TargetMode="External"/><Relationship Id="rId569" Type="http://schemas.openxmlformats.org/officeDocument/2006/relationships/hyperlink" Target="https://www.amazon.com/-/es/dp/B0DZZWMB2L?ref=fed_asin_title&amp;th=1" TargetMode="External"/><Relationship Id="rId205" Type="http://schemas.openxmlformats.org/officeDocument/2006/relationships/hyperlink" Target="https://drive.google.com/file/d/1eoVqxDk498viE9QYLAsrULkEf4PrDz99/view?usp=drive_link" TargetMode="External"/><Relationship Id="rId326" Type="http://schemas.openxmlformats.org/officeDocument/2006/relationships/hyperlink" Target="https://drive.google.com/file/d/1LqvxfLBQ-1UBlIZzLksF5YdilDTWktjq/view?usp=sharing" TargetMode="External"/><Relationship Id="rId447" Type="http://schemas.openxmlformats.org/officeDocument/2006/relationships/hyperlink" Target="https://drive.google.com/open?id=1TQwnnZdm14XF6h11dCPXvSsE7cZY14BI&amp;usp=drive_copy" TargetMode="External"/><Relationship Id="rId568" Type="http://schemas.openxmlformats.org/officeDocument/2006/relationships/hyperlink" Target="https://drive.google.com/open?id=1cMx0EtzscSWyGRjRisTxHVhg4J6C7xSX&amp;usp=drive_copy" TargetMode="External"/><Relationship Id="rId689" Type="http://schemas.openxmlformats.org/officeDocument/2006/relationships/hyperlink" Target="https://drive.google.com/file/d/1EPFNkQN2ctCv7EbKy5TMPQIGW0ya2CFJ/view?usp=drive_link" TargetMode="External"/><Relationship Id="rId204" Type="http://schemas.openxmlformats.org/officeDocument/2006/relationships/hyperlink" Target="https://drive.google.com/file/d/1iqwgOTqdIsCSv6UZwPrPZeMgRq7fcVOS/view?usp=drive_link" TargetMode="External"/><Relationship Id="rId325" Type="http://schemas.openxmlformats.org/officeDocument/2006/relationships/hyperlink" Target="https://drive.google.com/file/d/1phW_7uJKJr-4-p6hx8ySDmKK-t_5yKJn/view?usp=drive_link" TargetMode="External"/><Relationship Id="rId446" Type="http://schemas.openxmlformats.org/officeDocument/2006/relationships/hyperlink" Target="https://drive.google.com/open?id=1r4VYWlOD0mWLqzS9MXmYayBrhrOxvRzb&amp;usp=drive_copy" TargetMode="External"/><Relationship Id="rId567" Type="http://schemas.openxmlformats.org/officeDocument/2006/relationships/hyperlink" Target="https://drive.google.com/open?id=1zadsHTOaSH-WGg9S8HNt0oyozGtLPyDJ&amp;usp=drive_copy" TargetMode="External"/><Relationship Id="rId688" Type="http://schemas.openxmlformats.org/officeDocument/2006/relationships/hyperlink" Target="https://drive.google.com/open?id=1hYuGV_IfI35ljumKed46mktgRaug5y9d&amp;usp=drive_copy" TargetMode="External"/><Relationship Id="rId203" Type="http://schemas.openxmlformats.org/officeDocument/2006/relationships/hyperlink" Target="https://drive.google.com/file/d/18GguDR8hnYpztEDPHnjET-Bic8W-Wi9e/view?usp=drive_link" TargetMode="External"/><Relationship Id="rId324" Type="http://schemas.openxmlformats.org/officeDocument/2006/relationships/hyperlink" Target="https://drive.google.com/file/d/1WNlCZ-OU6VgGQQnRT9urDXbHuoCNgDeJ/view?usp=drive_link" TargetMode="External"/><Relationship Id="rId445" Type="http://schemas.openxmlformats.org/officeDocument/2006/relationships/hyperlink" Target="https://drive.google.com/file/d/1em6RBmw2z9pKEt1BnOKGODw0TurPvzSP/view?usp=drive_link" TargetMode="External"/><Relationship Id="rId566" Type="http://schemas.openxmlformats.org/officeDocument/2006/relationships/hyperlink" Target="https://drive.google.com/open?id=15Vl7_8Z8r9WajAaAx_uQrmCnK9vjOVSp&amp;usp=drive_copy" TargetMode="External"/><Relationship Id="rId687" Type="http://schemas.openxmlformats.org/officeDocument/2006/relationships/hyperlink" Target="https://drive.google.com/open?id=1-iY9YbnB9W2tHI8hSqXB9BsTuiUymgjN&amp;usp=drive_copy" TargetMode="External"/><Relationship Id="rId209" Type="http://schemas.openxmlformats.org/officeDocument/2006/relationships/hyperlink" Target="https://drive.google.com/file/d/15a5IWUMfV-q2JyVFFBL0RZKbA7dR0Dk2/view?usp=drive_link" TargetMode="External"/><Relationship Id="rId208" Type="http://schemas.openxmlformats.org/officeDocument/2006/relationships/hyperlink" Target="https://drive.google.com/file/d/1xWO4bXKUu4p5RT1itaY348mi4FSdhLwi/view?usp=sharing" TargetMode="External"/><Relationship Id="rId329" Type="http://schemas.openxmlformats.org/officeDocument/2006/relationships/hyperlink" Target="https://www.ebay.com/itm/326655425561" TargetMode="External"/><Relationship Id="rId207" Type="http://schemas.openxmlformats.org/officeDocument/2006/relationships/hyperlink" Target="https://drive.google.com/file/d/1REO3ITBHIh6W51k2pppXwg5wCFr_XBaw/view?usp=sharing" TargetMode="External"/><Relationship Id="rId328" Type="http://schemas.openxmlformats.org/officeDocument/2006/relationships/hyperlink" Target="https://drive.google.com/file/d/1XPvSYoQ2xP3fK5-YZlYsdodlX6gYV0Zx/view?usp=drive_link" TargetMode="External"/><Relationship Id="rId449" Type="http://schemas.openxmlformats.org/officeDocument/2006/relationships/hyperlink" Target="https://drive.google.com/open?id=1oU8mrLYjsr9HFnKlcZPFjiFbjcjFqGgY&amp;usp=drive_copy" TargetMode="External"/><Relationship Id="rId440" Type="http://schemas.openxmlformats.org/officeDocument/2006/relationships/hyperlink" Target="https://www.ebay.es/itm/326655425561" TargetMode="External"/><Relationship Id="rId561" Type="http://schemas.openxmlformats.org/officeDocument/2006/relationships/hyperlink" Target="https://drive.google.com/open?id=12xBG7ZwKBg497FImU_GnrZhvjUP9y2Sw&amp;usp=drive_copy" TargetMode="External"/><Relationship Id="rId682" Type="http://schemas.openxmlformats.org/officeDocument/2006/relationships/hyperlink" Target="https://drive.google.com/file/d/1gRvkzE_z-GWB0mwI2dH4BgHCQr5Wfa7J/view?usp=drive_link" TargetMode="External"/><Relationship Id="rId560" Type="http://schemas.openxmlformats.org/officeDocument/2006/relationships/hyperlink" Target="https://drive.google.com/open?id=1s_VVwy8E2addEJGMwf4OlwX3WRIrbgvw&amp;usp=drive_copy" TargetMode="External"/><Relationship Id="rId681" Type="http://schemas.openxmlformats.org/officeDocument/2006/relationships/hyperlink" Target="https://drive.google.com/open?id=1dHX8KKtDGgjCclVg8_sKE6YuocczMnQK&amp;usp=drive_copy" TargetMode="External"/><Relationship Id="rId680" Type="http://schemas.openxmlformats.org/officeDocument/2006/relationships/hyperlink" Target="https://drive.google.com/open?id=1FwsQNXBpXPln0ayMQXnearfHj057ahjY&amp;usp=drive_copy" TargetMode="External"/><Relationship Id="rId202" Type="http://schemas.openxmlformats.org/officeDocument/2006/relationships/hyperlink" Target="https://drive.google.com/file/d/1GDM-CmhRugPecuCiGz7HTz6TypSsk4Ii/view?usp=drive_link" TargetMode="External"/><Relationship Id="rId323" Type="http://schemas.openxmlformats.org/officeDocument/2006/relationships/hyperlink" Target="https://drive.google.com/file/d/1zzOPkX-KIwiYot9tTDPJTASXwXcz2jq-/view?usp=drive_link" TargetMode="External"/><Relationship Id="rId444" Type="http://schemas.openxmlformats.org/officeDocument/2006/relationships/hyperlink" Target="https://www.ebay.com/itm/127587793673" TargetMode="External"/><Relationship Id="rId565" Type="http://schemas.openxmlformats.org/officeDocument/2006/relationships/hyperlink" Target="https://drive.google.com/open?id=108WX_ct7vliBJshokU-SqNybHQgF30u5&amp;usp=drive_copy" TargetMode="External"/><Relationship Id="rId686" Type="http://schemas.openxmlformats.org/officeDocument/2006/relationships/hyperlink" Target="https://drive.google.com/open?id=1nmowBqxDIlSzaCYxbsg9UQtbDW6Jw6GW&amp;usp=drive_copy" TargetMode="External"/><Relationship Id="rId201" Type="http://schemas.openxmlformats.org/officeDocument/2006/relationships/hyperlink" Target="https://drive.google.com/file/d/11gJNviwmJNqTfCH1OUDtt3s-hVtdmBmV/view?usp=drive_link" TargetMode="External"/><Relationship Id="rId322" Type="http://schemas.openxmlformats.org/officeDocument/2006/relationships/hyperlink" Target="https://www.ebay.es/itm/326655425561" TargetMode="External"/><Relationship Id="rId443" Type="http://schemas.openxmlformats.org/officeDocument/2006/relationships/hyperlink" Target="https://drive.google.com/open?id=1Ej_7BNEcWdQoZ2L-AVoLDDN6cIjRTtVy&amp;usp=drive_copy" TargetMode="External"/><Relationship Id="rId564" Type="http://schemas.openxmlformats.org/officeDocument/2006/relationships/hyperlink" Target="https://drive.google.com/open?id=1FmnERT5QihDACLDGh9HWgaM0bpMdAQab&amp;usp=drive_copy" TargetMode="External"/><Relationship Id="rId685" Type="http://schemas.openxmlformats.org/officeDocument/2006/relationships/hyperlink" Target="https://drive.google.com/open?id=1NlYK1vJT0jbv50YrJrQXE7mIEaVKHAU7&amp;usp=drive_copy" TargetMode="External"/><Relationship Id="rId200" Type="http://schemas.openxmlformats.org/officeDocument/2006/relationships/hyperlink" Target="https://drive.google.com/file/d/19B2vsFTe3Ff2GQh4SuxLNLu_24a20O0K/view?usp=drive_link" TargetMode="External"/><Relationship Id="rId321" Type="http://schemas.openxmlformats.org/officeDocument/2006/relationships/hyperlink" Target="https://drive.google.com/file/d/1GLbHUpmneMMSI_fcdUgGlTvZxFDVcbCZ/view?usp=drive_link" TargetMode="External"/><Relationship Id="rId442" Type="http://schemas.openxmlformats.org/officeDocument/2006/relationships/hyperlink" Target="https://drive.google.com/open?id=1Ok-cAOQaAEpewn9yx1gSn2rG_rT7nB8I&amp;usp=drive_copy" TargetMode="External"/><Relationship Id="rId563" Type="http://schemas.openxmlformats.org/officeDocument/2006/relationships/hyperlink" Target="https://drive.google.com/open?id=1WUW9bFS-n7Mms3dxgmlSatbJQwrzSPTt&amp;usp=drive_copy" TargetMode="External"/><Relationship Id="rId684" Type="http://schemas.openxmlformats.org/officeDocument/2006/relationships/hyperlink" Target="https://drive.google.com/file/d/19Z11eJ8dGgcu1xip6DGtKKsmsalrR26s/view?usp=drive_link" TargetMode="External"/><Relationship Id="rId320" Type="http://schemas.openxmlformats.org/officeDocument/2006/relationships/hyperlink" Target="https://www.costco.com/p/-/lenovo-legion-5i-16-gaming-laptop-intel-core-ultra-9-275hx-geforce-rtx-5060-wqxga-2560x1600-windows-11-home-32gb-ram-1tb-ssd/4000380973?langId=-1" TargetMode="External"/><Relationship Id="rId441" Type="http://schemas.openxmlformats.org/officeDocument/2006/relationships/hyperlink" Target="https://drive.google.com/open?id=19-5Mfee1-KsJF-s6wOUEcVwWcBUyXm1N&amp;usp=drive_copy" TargetMode="External"/><Relationship Id="rId562" Type="http://schemas.openxmlformats.org/officeDocument/2006/relationships/hyperlink" Target="https://drive.google.com/open?id=1iiaGIRUulbUVcUGEFt65cr0fNL740zkz&amp;usp=drive_copy" TargetMode="External"/><Relationship Id="rId683" Type="http://schemas.openxmlformats.org/officeDocument/2006/relationships/hyperlink" Target="https://drive.google.com/file/d/1p2POFYo6SfRPcofXoiH4iof15-bN-uDM/view?usp=drive_link" TargetMode="External"/><Relationship Id="rId316" Type="http://schemas.openxmlformats.org/officeDocument/2006/relationships/hyperlink" Target="https://www.costco.com/p/-/lenovo-legion-5i-16-gaming-laptop-intel-core-ultra-9-275hx-geforce-rtx-5060-wqxga-2560x1600-windows-11-home-32gb-ram-1tb-ssd/4000380973?langId=-1" TargetMode="External"/><Relationship Id="rId437" Type="http://schemas.openxmlformats.org/officeDocument/2006/relationships/hyperlink" Target="https://drive.google.com/file/d/1VPY5wAsEfRoVHz9sr1xkhvqjSGvTqBN3/view?usp=drive_link" TargetMode="External"/><Relationship Id="rId558" Type="http://schemas.openxmlformats.org/officeDocument/2006/relationships/hyperlink" Target="https://drive.google.com/open?id=1XUwrsIVQH0FOx6_P0O6xFEttSvzKXuX2&amp;usp=drive_copy" TargetMode="External"/><Relationship Id="rId679" Type="http://schemas.openxmlformats.org/officeDocument/2006/relationships/hyperlink" Target="https://drive.google.com/open?id=1jMSqi5scCr3MBZzmJqJ8ge5PdSY_XyI9&amp;usp=drive_copy" TargetMode="External"/><Relationship Id="rId315" Type="http://schemas.openxmlformats.org/officeDocument/2006/relationships/hyperlink" Target="https://drive.google.com/file/d/1XmY9w2Rr_vQ0tTnTXWmYSuTCoFBH871M/view?usp=drive_link" TargetMode="External"/><Relationship Id="rId436" Type="http://schemas.openxmlformats.org/officeDocument/2006/relationships/hyperlink" Target="https://www.ebay.com/itm/326655425561" TargetMode="External"/><Relationship Id="rId557" Type="http://schemas.openxmlformats.org/officeDocument/2006/relationships/hyperlink" Target="https://drive.google.com/open?id=1wVB66dggExR4yW2mvlouHwGuavVIuSY-&amp;usp=drive_copy" TargetMode="External"/><Relationship Id="rId678" Type="http://schemas.openxmlformats.org/officeDocument/2006/relationships/hyperlink" Target="https://drive.google.com/file/d/13anYBWAZS-kwe2TKKRDKqiuLmm40XmFC/view?usp=drive_link" TargetMode="External"/><Relationship Id="rId314" Type="http://schemas.openxmlformats.org/officeDocument/2006/relationships/hyperlink" Target="https://drive.google.com/file/d/1oDy_DRUtQPDXRDhdY3eswvQ6RfGpJbRh/view?usp=drive_link" TargetMode="External"/><Relationship Id="rId435" Type="http://schemas.openxmlformats.org/officeDocument/2006/relationships/hyperlink" Target="https://drive.google.com/open?id=1Lxm3pIss-pv1YHk4V53bDxC-KJgElPpM&amp;usp=drive_copy" TargetMode="External"/><Relationship Id="rId556" Type="http://schemas.openxmlformats.org/officeDocument/2006/relationships/hyperlink" Target="https://drive.google.com/open?id=1M7qF1JnIHmf6Jjp1YXYW6lc8_EUXR4ZK&amp;usp=drive_copy" TargetMode="External"/><Relationship Id="rId677" Type="http://schemas.openxmlformats.org/officeDocument/2006/relationships/hyperlink" Target="https://drive.google.com/open?id=1U5FN55kvJEu9MgGRqmEu7bmrNlbUG7za&amp;usp=drive_copy" TargetMode="External"/><Relationship Id="rId313" Type="http://schemas.openxmlformats.org/officeDocument/2006/relationships/hyperlink" Target="https://drive.google.com/file/d/1_1Jqcx90uYWkhxxWonYNkfUqSQr25UjV/view?usp=drive_link" TargetMode="External"/><Relationship Id="rId434" Type="http://schemas.openxmlformats.org/officeDocument/2006/relationships/hyperlink" Target="https://drive.google.com/file/d/138VN6chDgiZI186dowVNEwhAoxy8XFIC/view?usp=drive_link" TargetMode="External"/><Relationship Id="rId555" Type="http://schemas.openxmlformats.org/officeDocument/2006/relationships/hyperlink" Target="https://drive.google.com/open?id=1UOFEYG4fmbu2RcdzHojKsGDx-twF9z5A&amp;usp=drive_copy" TargetMode="External"/><Relationship Id="rId676" Type="http://schemas.openxmlformats.org/officeDocument/2006/relationships/hyperlink" Target="https://drive.google.com/open?id=1vu9fxIPo3XNYQ92BhoUOzuBRn_42Woga&amp;usp=drive_copy" TargetMode="External"/><Relationship Id="rId319" Type="http://schemas.openxmlformats.org/officeDocument/2006/relationships/hyperlink" Target="https://drive.google.com/file/d/1WVeXHdogYzJMCynSrxw-3eqdcQTseAGC/view?usp=drive_link" TargetMode="External"/><Relationship Id="rId318" Type="http://schemas.openxmlformats.org/officeDocument/2006/relationships/hyperlink" Target="https://drive.google.com/file/d/1KDzoNuCm11HnbfaR1lZGrB14ExHzOiH2/view?usp=drive_link" TargetMode="External"/><Relationship Id="rId439" Type="http://schemas.openxmlformats.org/officeDocument/2006/relationships/hyperlink" Target="https://drive.google.com/open?id=1pvNQVbeSO1XcIsVUQrvetodsrL_JgXPR&amp;usp=drive_copy" TargetMode="External"/><Relationship Id="rId317" Type="http://schemas.openxmlformats.org/officeDocument/2006/relationships/hyperlink" Target="https://drive.google.com/file/d/1uYniosEFCVYB-WUlhWeEFKhvXWIbdWNo/view?usp=drive_link" TargetMode="External"/><Relationship Id="rId438" Type="http://schemas.openxmlformats.org/officeDocument/2006/relationships/hyperlink" Target="https://drive.google.com/file/d/1mlf87NXk6MqoVIobGJifsDSFZVgqE4mG/view?usp=drive_link" TargetMode="External"/><Relationship Id="rId559" Type="http://schemas.openxmlformats.org/officeDocument/2006/relationships/hyperlink" Target="https://drive.google.com/open?id=1wV56HjHVtonK9BuUNemTlDohXY_nqPJ9&amp;usp=drive_copy" TargetMode="External"/><Relationship Id="rId550" Type="http://schemas.openxmlformats.org/officeDocument/2006/relationships/hyperlink" Target="https://drive.google.com/file/d/1NsF1SfqUyqAOF48lBD0C2EjZj7Ind_B5/view?usp=drive_link" TargetMode="External"/><Relationship Id="rId671" Type="http://schemas.openxmlformats.org/officeDocument/2006/relationships/hyperlink" Target="https://drive.google.com/open?id=1_1xR7q7hkgBlKYbIOqSCrQs1IiTvoKlq&amp;usp=drive_copy" TargetMode="External"/><Relationship Id="rId670" Type="http://schemas.openxmlformats.org/officeDocument/2006/relationships/hyperlink" Target="https://drive.google.com/open?id=1Dpf4ik0hUCpB8iUfb1MhU4jxLZcN1AKh&amp;usp=drive_copy" TargetMode="External"/><Relationship Id="rId312" Type="http://schemas.openxmlformats.org/officeDocument/2006/relationships/hyperlink" Target="https://drive.google.com/file/d/115DdWYCEV9U_jUcwffDV4kTxEGpYeJ9D/view?usp=drive_link" TargetMode="External"/><Relationship Id="rId433" Type="http://schemas.openxmlformats.org/officeDocument/2006/relationships/hyperlink" Target="https://drive.google.com/open?id=1vNfgnGprW7di6eAzooeCwcopYz_EVWIe&amp;usp=drive_copy" TargetMode="External"/><Relationship Id="rId554" Type="http://schemas.openxmlformats.org/officeDocument/2006/relationships/hyperlink" Target="https://drive.google.com/open?id=1VUTghRG4hadcK9DoiPc9iCMvGymymt4n&amp;usp=drive_copy" TargetMode="External"/><Relationship Id="rId675" Type="http://schemas.openxmlformats.org/officeDocument/2006/relationships/hyperlink" Target="https://drive.google.com/open?id=1iOwDYOlBJ60p8yee-seGSnmRMJZFDrnh&amp;usp=drive_copy" TargetMode="External"/><Relationship Id="rId311" Type="http://schemas.openxmlformats.org/officeDocument/2006/relationships/hyperlink" Target="https://drive.google.com/file/d/1wGwH-Sm3GjfDK8KqQq9Bc9SvgMVSxkhe/view?usp=drive_link" TargetMode="External"/><Relationship Id="rId432" Type="http://schemas.openxmlformats.org/officeDocument/2006/relationships/hyperlink" Target="https://drive.google.com/open?id=1XRCnXJzHTxJUd0Yq4WRpoKNUzT6xbxW7&amp;usp=drive_copy" TargetMode="External"/><Relationship Id="rId553" Type="http://schemas.openxmlformats.org/officeDocument/2006/relationships/hyperlink" Target="https://www.ebay.com/itm/205814283481" TargetMode="External"/><Relationship Id="rId674" Type="http://schemas.openxmlformats.org/officeDocument/2006/relationships/hyperlink" Target="https://drive.google.com/open?id=12fw1qBTkKvjBJ_f9rq7_LI9r1zEE1k-5&amp;usp=drive_copy" TargetMode="External"/><Relationship Id="rId310" Type="http://schemas.openxmlformats.org/officeDocument/2006/relationships/hyperlink" Target="https://drive.google.com/file/d/1S4ahaPMLGBSJuHO_iIlM8zznwbPphbmL/view?usp=drive_link" TargetMode="External"/><Relationship Id="rId431" Type="http://schemas.openxmlformats.org/officeDocument/2006/relationships/hyperlink" Target="https://drive.google.com/file/d/1tIeQxr__ZsLzEVXItS5HSGc1mGpspGvS/view?usp=drive_link" TargetMode="External"/><Relationship Id="rId552" Type="http://schemas.openxmlformats.org/officeDocument/2006/relationships/hyperlink" Target="https://drive.google.com/open?id=1KdpsJGLX3d6FS7yYHyo43eTL_kjicNbi&amp;usp=drive_copy" TargetMode="External"/><Relationship Id="rId673" Type="http://schemas.openxmlformats.org/officeDocument/2006/relationships/hyperlink" Target="https://drive.google.com/open?id=1DO1s41dElD7OfADTeuwnOLnjuEBNoN6m&amp;usp=drive_copy" TargetMode="External"/><Relationship Id="rId430" Type="http://schemas.openxmlformats.org/officeDocument/2006/relationships/hyperlink" Target="https://www.ebay.com/itm/286821364514" TargetMode="External"/><Relationship Id="rId551" Type="http://schemas.openxmlformats.org/officeDocument/2006/relationships/hyperlink" Target="https://www.ebay.com/itm/205814283481" TargetMode="External"/><Relationship Id="rId672" Type="http://schemas.openxmlformats.org/officeDocument/2006/relationships/hyperlink" Target="https://drive.google.com/open?id=1Pmp8Bz-AOW5I5yswLr57_FF69XjNFNMd&amp;usp=drive_copy"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rive.google.com/file/d/1DRR5QcZkJkmDtnz6wPHmdPgezu-itnSf/view?usp=drive_link" TargetMode="External"/><Relationship Id="rId3" Type="http://schemas.openxmlformats.org/officeDocument/2006/relationships/hyperlink" Target="https://www.fedex.com/fedextrack/?trknbr=422206322285&amp;trkqual=12029~422206322285~FDEG" TargetMode="External"/><Relationship Id="rId4" Type="http://schemas.openxmlformats.org/officeDocument/2006/relationships/hyperlink" Target="https://drive.google.com/file/d/1m3-YmntuVYuP3iEBvShbuVU30Y0jxbxj/view?usp=drive_link" TargetMode="External"/><Relationship Id="rId9" Type="http://schemas.openxmlformats.org/officeDocument/2006/relationships/hyperlink" Target="https://drive.google.com/file/d/1to0gPlVu8bi-phhmpOqOHPCXhtsUUk7e/view?usp=drive_link" TargetMode="External"/><Relationship Id="rId5" Type="http://schemas.openxmlformats.org/officeDocument/2006/relationships/hyperlink" Target="https://drive.google.com/file/d/1w3444iXL5_p0I5zrUFyqVjACFGg6N8-M/view?usp=sharing" TargetMode="External"/><Relationship Id="rId6" Type="http://schemas.openxmlformats.org/officeDocument/2006/relationships/hyperlink" Target="https://drive.google.com/file/d/1P6kAR7fxmKyFowbtVaa7ARM6tQS2pvbA/view?usp=drive_link" TargetMode="External"/><Relationship Id="rId7" Type="http://schemas.openxmlformats.org/officeDocument/2006/relationships/hyperlink" Target="https://drive.google.com/file/d/1K53tCkbzMOKnT3tQ1cYQmZ5X29H3SEJX/view?usp=drive_link" TargetMode="External"/><Relationship Id="rId8" Type="http://schemas.openxmlformats.org/officeDocument/2006/relationships/hyperlink" Target="https://drive.google.com/file/d/1MalCfkke-XIWzUTbcQ0qd8sDUyyPdQSj/view?usp=drive_link" TargetMode="External"/><Relationship Id="rId132" Type="http://schemas.openxmlformats.org/officeDocument/2006/relationships/hyperlink" Target="https://drive.google.com/file/d/1zcBckYtQo-jM3_vGpeU0RbQn4tw5-l80/view?usp=drive_link" TargetMode="External"/><Relationship Id="rId131" Type="http://schemas.openxmlformats.org/officeDocument/2006/relationships/hyperlink" Target="https://drive.google.com/file/d/1-Uyd7E1HCIwvgWl5AQgESz7IZ4VnCSOf/view?usp=drive_link" TargetMode="External"/><Relationship Id="rId130" Type="http://schemas.openxmlformats.org/officeDocument/2006/relationships/hyperlink" Target="https://drive.google.com/file/d/1-1Vtmct7YSvYGAKsF4GMFWjIiJtaNb8H/view?usp=drive_link" TargetMode="External"/><Relationship Id="rId136" Type="http://schemas.openxmlformats.org/officeDocument/2006/relationships/table" Target="../tables/table4.xml"/><Relationship Id="rId134" Type="http://schemas.openxmlformats.org/officeDocument/2006/relationships/vmlDrawing" Target="../drawings/vmlDrawing5.vml"/><Relationship Id="rId133" Type="http://schemas.openxmlformats.org/officeDocument/2006/relationships/drawing" Target="../drawings/drawing5.xml"/><Relationship Id="rId40" Type="http://schemas.openxmlformats.org/officeDocument/2006/relationships/hyperlink" Target="https://drive.google.com/file/d/14N4hx-_pwXawP5CP-TUOa4Cbizi1Z0vm/view?usp=drive_link" TargetMode="External"/><Relationship Id="rId42" Type="http://schemas.openxmlformats.org/officeDocument/2006/relationships/hyperlink" Target="https://drive.google.com/file/d/1rd0fM6tGMjoipKl31FAhsB8jeo5w7Zhu/view?usp=sharing" TargetMode="External"/><Relationship Id="rId41" Type="http://schemas.openxmlformats.org/officeDocument/2006/relationships/hyperlink" Target="https://www.ebay.com/itm/205606875313" TargetMode="External"/><Relationship Id="rId44" Type="http://schemas.openxmlformats.org/officeDocument/2006/relationships/hyperlink" Target="https://drive.google.com/file/d/1JtUWjpLIUlTl9y0ktJMU6qwcH3UfK656/view?usp=drive_link" TargetMode="External"/><Relationship Id="rId43" Type="http://schemas.openxmlformats.org/officeDocument/2006/relationships/hyperlink" Target="https://drive.google.com/file/d/14ZjNFwHYmgGe-lPVoom3KkPYdcqHUPcv/view?usp=sharing" TargetMode="External"/><Relationship Id="rId46" Type="http://schemas.openxmlformats.org/officeDocument/2006/relationships/hyperlink" Target="https://www.ebay.com/itm/197444298442" TargetMode="External"/><Relationship Id="rId45" Type="http://schemas.openxmlformats.org/officeDocument/2006/relationships/hyperlink" Target="https://drive.google.com/file/d/1Fi5qB6xejW57fdv8qAhHYXpmZi2EE1jS/view?usp=drive_link" TargetMode="External"/><Relationship Id="rId48" Type="http://schemas.openxmlformats.org/officeDocument/2006/relationships/hyperlink" Target="https://drive.google.com/file/d/1lniCgXRBtpjvlds6uE8QY0fO6eQwS59t/view?usp=sharing" TargetMode="External"/><Relationship Id="rId47" Type="http://schemas.openxmlformats.org/officeDocument/2006/relationships/hyperlink" Target="https://drive.google.com/file/d/1vKbok7mvM0CVl_bU98XQRY5Erg3KQc1J/view?usp=drive_link" TargetMode="External"/><Relationship Id="rId49" Type="http://schemas.openxmlformats.org/officeDocument/2006/relationships/hyperlink" Target="https://drive.google.com/file/d/1I02fNE6ZdO7J2tYBoKF-AEegmtkxsGE6/view?usp=drive_link" TargetMode="External"/><Relationship Id="rId31" Type="http://schemas.openxmlformats.org/officeDocument/2006/relationships/hyperlink" Target="https://drive.google.com/file/d/1KKjUS6dOmNEzqqxU8XmuB8Er06TXhqbs/view?usp=sharing" TargetMode="External"/><Relationship Id="rId30" Type="http://schemas.openxmlformats.org/officeDocument/2006/relationships/hyperlink" Target="https://drive.google.com/file/d/18aPAHSSAwTXReOAnQafy97jHL-OrJzJU/view?usp=sharing" TargetMode="External"/><Relationship Id="rId33" Type="http://schemas.openxmlformats.org/officeDocument/2006/relationships/hyperlink" Target="https://drive.google.com/file/d/1wzNg4_6dI_7SwxVBK2yTXwal-bZqTKgD/view?usp=drive_link" TargetMode="External"/><Relationship Id="rId32" Type="http://schemas.openxmlformats.org/officeDocument/2006/relationships/hyperlink" Target="https://drive.google.com/file/d/1C9iQhDtGuCbOF4of9BvCrdTjx1H1zGQ8/view?usp=drive_link" TargetMode="External"/><Relationship Id="rId35" Type="http://schemas.openxmlformats.org/officeDocument/2006/relationships/hyperlink" Target="https://drive.google.com/file/d/16fxdPo-THZvqLNLc4ikMfDtxOGGQJFuC/view?usp=drive_link" TargetMode="External"/><Relationship Id="rId34" Type="http://schemas.openxmlformats.org/officeDocument/2006/relationships/hyperlink" Target="https://drive.google.com/file/d/1bYiJ05js03p8sDJbHdIxRyRky0523V3g/view?usp=sharing" TargetMode="External"/><Relationship Id="rId37" Type="http://schemas.openxmlformats.org/officeDocument/2006/relationships/hyperlink" Target="https://drive.google.com/file/d/1xnNVJqdHF3NmXylAw_9hbdNRmPDcpNFI/view?usp=drive_link" TargetMode="External"/><Relationship Id="rId36" Type="http://schemas.openxmlformats.org/officeDocument/2006/relationships/hyperlink" Target="https://drive.google.com/file/d/1UFINvhQzH6qj0Htjx9Me6zwhve2idrpr/view?usp=drive_link" TargetMode="External"/><Relationship Id="rId39" Type="http://schemas.openxmlformats.org/officeDocument/2006/relationships/hyperlink" Target="https://drive.google.com/file/d/1ct1_nRnSNWLYrekUOb_tYUtS3z8Cxnlc/view?usp=sharing" TargetMode="External"/><Relationship Id="rId38" Type="http://schemas.openxmlformats.org/officeDocument/2006/relationships/hyperlink" Target="https://drive.google.com/file/d/1Yaofqu7AD29rQrzJpx6M0_HmFafloYL9/view?usp=drive_link" TargetMode="External"/><Relationship Id="rId20" Type="http://schemas.openxmlformats.org/officeDocument/2006/relationships/hyperlink" Target="https://drive.google.com/file/d/1vl4tHYqk1Zpxeyt_iJ8DkAO3rCdsvlGm/view?usp=sharing" TargetMode="External"/><Relationship Id="rId22" Type="http://schemas.openxmlformats.org/officeDocument/2006/relationships/hyperlink" Target="https://drive.google.com/file/d/1oRd1HbR3G2ZuMQtjgxk6sF5BqUS1GS0T/view?usp=drive_link" TargetMode="External"/><Relationship Id="rId21" Type="http://schemas.openxmlformats.org/officeDocument/2006/relationships/hyperlink" Target="https://drive.google.com/file/d/1ozDpHOUjrJO9Itp3lO_A_1zuP7Y3aWcL/view?usp=drive_link" TargetMode="External"/><Relationship Id="rId24" Type="http://schemas.openxmlformats.org/officeDocument/2006/relationships/hyperlink" Target="https://drive.google.com/file/d/1uiK5dOpuMn6kkAvpa7BHRyHBYHdLaK3R/view?usp=drive_link" TargetMode="External"/><Relationship Id="rId23" Type="http://schemas.openxmlformats.org/officeDocument/2006/relationships/hyperlink" Target="https://drive.google.com/file/d/1fjOZ47p9AZ7LCeaArOQGwiO2tZY7nuMt/view?usp=drive_link" TargetMode="External"/><Relationship Id="rId26" Type="http://schemas.openxmlformats.org/officeDocument/2006/relationships/hyperlink" Target="https://drive.google.com/file/d/1e32bRLCfzSBvnj0n-wJZejY55in6G3-g/view?usp=drive_link" TargetMode="External"/><Relationship Id="rId25" Type="http://schemas.openxmlformats.org/officeDocument/2006/relationships/hyperlink" Target="https://drive.google.com/file/d/1YXh-xySwWvttxOjW472RjPWGzAOhHZj2/view?usp=sharing" TargetMode="External"/><Relationship Id="rId28" Type="http://schemas.openxmlformats.org/officeDocument/2006/relationships/hyperlink" Target="https://www.amazon.com/gp/product/B0CRDCXRK2/ref=ppx_yo_dt_b_asin_title_o00_s00?ie=UTF8&amp;th=1" TargetMode="External"/><Relationship Id="rId27" Type="http://schemas.openxmlformats.org/officeDocument/2006/relationships/hyperlink" Target="https://drive.google.com/file/d/1BAIcZjJz4jmUjg0d7GVHijAQoxxd4N2G/view?usp=drive_link" TargetMode="External"/><Relationship Id="rId29" Type="http://schemas.openxmlformats.org/officeDocument/2006/relationships/hyperlink" Target="https://drive.google.com/file/d/1V-Frf7vFAPiFz2uRr1nKjzC36bu9dEtC/view?usp=drive_link" TargetMode="External"/><Relationship Id="rId11" Type="http://schemas.openxmlformats.org/officeDocument/2006/relationships/hyperlink" Target="https://drive.google.com/file/d/1SctJlanThBJZ9iAFKRnIX0who3X7cFhD/view?usp=drive_link" TargetMode="External"/><Relationship Id="rId10" Type="http://schemas.openxmlformats.org/officeDocument/2006/relationships/hyperlink" Target="https://drive.google.com/file/d/1Kda4F5cHc9V40zP_OPlU3fA81qAM5ZJT/view?usp=drive_link" TargetMode="External"/><Relationship Id="rId13" Type="http://schemas.openxmlformats.org/officeDocument/2006/relationships/hyperlink" Target="https://drive.google.com/file/d/1sUKlutcZt--4wk4iCxbt5-1kZSnpNF4m/view?usp=sharing" TargetMode="External"/><Relationship Id="rId12" Type="http://schemas.openxmlformats.org/officeDocument/2006/relationships/hyperlink" Target="https://drive.google.com/file/d/18WMOytEgSbrIEpR25UysjryTX2jwrARQ/view?usp=sharing" TargetMode="External"/><Relationship Id="rId15" Type="http://schemas.openxmlformats.org/officeDocument/2006/relationships/hyperlink" Target="https://drive.google.com/file/d/1HyKhFbdXu9Pyyejh4w8al4TgAwI0bu3W/view?usp=drive_link" TargetMode="External"/><Relationship Id="rId14" Type="http://schemas.openxmlformats.org/officeDocument/2006/relationships/hyperlink" Target="https://www.amazon.com/-/es/dp/B0DW1X5YCQ?ref=fed_asin_title&amp;th=1" TargetMode="External"/><Relationship Id="rId17" Type="http://schemas.openxmlformats.org/officeDocument/2006/relationships/hyperlink" Target="https://drive.google.com/file/d/1CA_adP2TaPBos7nShvmwvLtmvinanZ6p/view?usp=drive_link" TargetMode="External"/><Relationship Id="rId16" Type="http://schemas.openxmlformats.org/officeDocument/2006/relationships/hyperlink" Target="https://drive.google.com/file/d/106PDX-DeN9aGp9D3EcI6kaL1ZAdBLCPP/view?usp=sharing" TargetMode="External"/><Relationship Id="rId19" Type="http://schemas.openxmlformats.org/officeDocument/2006/relationships/hyperlink" Target="https://drive.google.com/file/d/1enzmt7MegFJCCNR7i4qPckzmpp3GPUm9/view?usp=sharing" TargetMode="External"/><Relationship Id="rId18" Type="http://schemas.openxmlformats.org/officeDocument/2006/relationships/hyperlink" Target="https://drive.google.com/file/d/1aW-kb9uuapCrPY-uZ0D9Oo14IVcy9Arl/view?usp=drive_link" TargetMode="External"/><Relationship Id="rId84" Type="http://schemas.openxmlformats.org/officeDocument/2006/relationships/hyperlink" Target="https://drive.google.com/file/d/1lgi3DK-19Po_5CR9mKDmuPbTFgQyjW7g/view?usp=drive_link" TargetMode="External"/><Relationship Id="rId83" Type="http://schemas.openxmlformats.org/officeDocument/2006/relationships/hyperlink" Target="https://drive.google.com/file/d/1UL8ws9C5vyvl4hZPHAANOLwUkfZRJPs9/view?usp=sharing" TargetMode="External"/><Relationship Id="rId86" Type="http://schemas.openxmlformats.org/officeDocument/2006/relationships/hyperlink" Target="https://drive.google.com/file/d/1GWah5xnOx5lDYHbXDjhecoN7hGUHJ_BY/view?usp=drive_link" TargetMode="External"/><Relationship Id="rId85" Type="http://schemas.openxmlformats.org/officeDocument/2006/relationships/hyperlink" Target="https://drive.google.com/file/d/1WV5ZFP0yuoeateApLCE0dFZLwntLXvS8/view?usp=drive_link" TargetMode="External"/><Relationship Id="rId88" Type="http://schemas.openxmlformats.org/officeDocument/2006/relationships/hyperlink" Target="https://drive.google.com/file/d/1RCsXeImDzNjmGayO6XAA3C6O7pVXNnYX/view?usp=drive_link" TargetMode="External"/><Relationship Id="rId87" Type="http://schemas.openxmlformats.org/officeDocument/2006/relationships/hyperlink" Target="https://drive.google.com/file/d/1IjcLC_Vhq_I5aNYJh4Fwti8ug_t39_5b/view?usp=drive_link" TargetMode="External"/><Relationship Id="rId89" Type="http://schemas.openxmlformats.org/officeDocument/2006/relationships/hyperlink" Target="https://drive.google.com/file/d/1Zaz3iIzQNkn5AhCc9GRu9de7XAzEuLkA/view?usp=sharing" TargetMode="External"/><Relationship Id="rId80" Type="http://schemas.openxmlformats.org/officeDocument/2006/relationships/hyperlink" Target="https://drive.google.com/file/d/1P-PrsLlEIdmM0JYZkPwJA8_ZK63h3dqT/view?usp=sharing" TargetMode="External"/><Relationship Id="rId82" Type="http://schemas.openxmlformats.org/officeDocument/2006/relationships/hyperlink" Target="https://drive.google.com/file/d/1Kcc6Yb6BgvKXztFuRDPUqnOMj7qx2XHN/view?usp=sharing" TargetMode="External"/><Relationship Id="rId81" Type="http://schemas.openxmlformats.org/officeDocument/2006/relationships/hyperlink" Target="https://drive.google.com/file/d/1RdybK4p1rfeAclRF_AXmOtiySYWtu3Lp/view?usp=sharing" TargetMode="External"/><Relationship Id="rId73" Type="http://schemas.openxmlformats.org/officeDocument/2006/relationships/hyperlink" Target="https://drive.google.com/file/d/1f1-_0d0__wgEXwTXN0eWUK-GZZHAHxOC/view?usp=drive_link" TargetMode="External"/><Relationship Id="rId72" Type="http://schemas.openxmlformats.org/officeDocument/2006/relationships/hyperlink" Target="https://drive.google.com/file/d/1vy-GAWZ4DGVERnkR-DbJrJLn7N1LrYkr/view?usp=sharing" TargetMode="External"/><Relationship Id="rId75" Type="http://schemas.openxmlformats.org/officeDocument/2006/relationships/hyperlink" Target="https://drive.google.com/file/d/1YSLdyMiQb7_Ro1bUXLwEvUxXP2r9ceOr/view?usp=drive_link" TargetMode="External"/><Relationship Id="rId74" Type="http://schemas.openxmlformats.org/officeDocument/2006/relationships/hyperlink" Target="https://drive.google.com/file/d/1aHfdxM5jtjXsbjXKa1YBKtHKpK3-8HcT/view?usp=drive_link" TargetMode="External"/><Relationship Id="rId77" Type="http://schemas.openxmlformats.org/officeDocument/2006/relationships/hyperlink" Target="https://drive.google.com/file/d/1LlcbVqkaPbCRlWrxiCMe0VVK1A6F17-F/view?usp=drive_link" TargetMode="External"/><Relationship Id="rId76" Type="http://schemas.openxmlformats.org/officeDocument/2006/relationships/hyperlink" Target="https://www.ebay.com/itm/326685495041" TargetMode="External"/><Relationship Id="rId79" Type="http://schemas.openxmlformats.org/officeDocument/2006/relationships/hyperlink" Target="https://drive.google.com/file/d/1oEuHYe-urnWGpZtZy9rlp3UKhEd1RtEL/view?usp=drive_link" TargetMode="External"/><Relationship Id="rId78" Type="http://schemas.openxmlformats.org/officeDocument/2006/relationships/hyperlink" Target="https://drive.google.com/file/d/1GVgItuo7km3Laqrdd6Tyk2ZVE293fu_V/view?usp=sharing" TargetMode="External"/><Relationship Id="rId71" Type="http://schemas.openxmlformats.org/officeDocument/2006/relationships/hyperlink" Target="https://drive.google.com/file/d/1S18t6N28EyAeIlEIVFPTqFVW7E4NdfJ9/view?usp=drive_link" TargetMode="External"/><Relationship Id="rId70" Type="http://schemas.openxmlformats.org/officeDocument/2006/relationships/hyperlink" Target="https://drive.google.com/file/d/1tzB4SQqVQwgPwCv0tC9Q9p7YewwDyGfV/view?usp=sharing" TargetMode="External"/><Relationship Id="rId62" Type="http://schemas.openxmlformats.org/officeDocument/2006/relationships/hyperlink" Target="https://drive.google.com/file/d/1sPdPBBVPN9dBdF9dl1I31VgmkrRgcquM/view?usp=sharing" TargetMode="External"/><Relationship Id="rId61" Type="http://schemas.openxmlformats.org/officeDocument/2006/relationships/hyperlink" Target="https://drive.google.com/file/d/1875yNgcLS31xvqDC9PaA_nBmAAxDEUSD/view?usp=drive_link" TargetMode="External"/><Relationship Id="rId64" Type="http://schemas.openxmlformats.org/officeDocument/2006/relationships/hyperlink" Target="https://www.ebay.com/itm/326685495041" TargetMode="External"/><Relationship Id="rId63" Type="http://schemas.openxmlformats.org/officeDocument/2006/relationships/hyperlink" Target="https://drive.google.com/file/d/1OiGzIMLx18U7gHk98fKYa-VFqO3uC2tc/view?usp=drive_link" TargetMode="External"/><Relationship Id="rId66" Type="http://schemas.openxmlformats.org/officeDocument/2006/relationships/hyperlink" Target="https://drive.google.com/file/d/1HQUu_9Pkoq_WYdGSo0BCjR5JPI-yVePA/view?usp=drive_link" TargetMode="External"/><Relationship Id="rId65" Type="http://schemas.openxmlformats.org/officeDocument/2006/relationships/hyperlink" Target="https://drive.google.com/file/d/1M627YktpZGlpoG0EGe0g_kAXX6dNik7N/view?usp=drive_link" TargetMode="External"/><Relationship Id="rId68" Type="http://schemas.openxmlformats.org/officeDocument/2006/relationships/hyperlink" Target="https://drive.google.com/file/d/1tSfzB6dVl2JI6vUBDbdlhL-MtOGBt2PX/view?usp=drive_link" TargetMode="External"/><Relationship Id="rId67" Type="http://schemas.openxmlformats.org/officeDocument/2006/relationships/hyperlink" Target="https://drive.google.com/file/d/1zBmOKEECgDpOtIzNaRvFO6NrP8kytLBN/view?usp=drive_link" TargetMode="External"/><Relationship Id="rId60" Type="http://schemas.openxmlformats.org/officeDocument/2006/relationships/hyperlink" Target="https://drive.google.com/file/d/1LoSkZitdpxUC5RMA8bmSQA884td6poaP/view?usp=drive_link" TargetMode="External"/><Relationship Id="rId69" Type="http://schemas.openxmlformats.org/officeDocument/2006/relationships/hyperlink" Target="https://drive.google.com/file/d/1neBpB-VHgTm-BZ2Ux58Bz_UvRUKYdppH/view?usp=sharing" TargetMode="External"/><Relationship Id="rId51" Type="http://schemas.openxmlformats.org/officeDocument/2006/relationships/hyperlink" Target="https://drive.google.com/file/d/1Vd6K_ON1nLajWwzdjOpd5NUuoGiQY1eY/view?usp=drive_link" TargetMode="External"/><Relationship Id="rId50" Type="http://schemas.openxmlformats.org/officeDocument/2006/relationships/hyperlink" Target="https://www.ebay.com/itm/326685495041" TargetMode="External"/><Relationship Id="rId53" Type="http://schemas.openxmlformats.org/officeDocument/2006/relationships/hyperlink" Target="https://drive.google.com/file/d/1gDL1E3L1RXhHS64nKAWH7zYUa3RtC63X/view?usp=drive_link" TargetMode="External"/><Relationship Id="rId52" Type="http://schemas.openxmlformats.org/officeDocument/2006/relationships/hyperlink" Target="https://drive.google.com/file/d/1AB3bBVN-7-xdou5qk8RvlTjULA6-A30L/view?usp=drive_link" TargetMode="External"/><Relationship Id="rId55" Type="http://schemas.openxmlformats.org/officeDocument/2006/relationships/hyperlink" Target="https://www.ebay.com/itm/326685495041" TargetMode="External"/><Relationship Id="rId54" Type="http://schemas.openxmlformats.org/officeDocument/2006/relationships/hyperlink" Target="https://drive.google.com/file/d/1KW5hXUJF8_T8gxqEw6FSoP49J-opAl96/view?usp=drive_link" TargetMode="External"/><Relationship Id="rId57" Type="http://schemas.openxmlformats.org/officeDocument/2006/relationships/hyperlink" Target="https://www.ebay.com/itm/197444298442" TargetMode="External"/><Relationship Id="rId56" Type="http://schemas.openxmlformats.org/officeDocument/2006/relationships/hyperlink" Target="https://drive.google.com/file/d/1dbk0Pis6ZClxR9GS11-e8YP2_YXGVdIm/view?usp=sharing" TargetMode="External"/><Relationship Id="rId59" Type="http://schemas.openxmlformats.org/officeDocument/2006/relationships/hyperlink" Target="https://drive.google.com/file/d/1tXCrb-UtxvFtTrJRzx1tLtRE5L_nPqVT/view?usp=drive_link" TargetMode="External"/><Relationship Id="rId58" Type="http://schemas.openxmlformats.org/officeDocument/2006/relationships/hyperlink" Target="https://drive.google.com/file/d/1aG1tWaTTVVyd7OWZdzGXdUhtbWG-xyRo/view?usp=sharing" TargetMode="External"/><Relationship Id="rId107" Type="http://schemas.openxmlformats.org/officeDocument/2006/relationships/hyperlink" Target="https://drive.google.com/file/d/19B2vsFTe3Ff2GQh4SuxLNLu_24a20O0K/view?usp=drive_link" TargetMode="External"/><Relationship Id="rId106" Type="http://schemas.openxmlformats.org/officeDocument/2006/relationships/hyperlink" Target="https://drive.google.com/file/d/15N_p0qd8DMEGejgy6tZ5_Z5piZqzu44y/view?usp=drive_link" TargetMode="External"/><Relationship Id="rId105" Type="http://schemas.openxmlformats.org/officeDocument/2006/relationships/hyperlink" Target="https://drive.google.com/file/d/1opvKIzqa9A_1Nl-QqJfBQ-bF0WPMy8xB/view?usp=drive_link" TargetMode="External"/><Relationship Id="rId104" Type="http://schemas.openxmlformats.org/officeDocument/2006/relationships/hyperlink" Target="https://drive.google.com/file/d/1eLStPaLocrOGroCLuFuiDnj0GPEedtLs/view?usp=drive_link" TargetMode="External"/><Relationship Id="rId109" Type="http://schemas.openxmlformats.org/officeDocument/2006/relationships/hyperlink" Target="https://drive.google.com/file/d/1GDM-CmhRugPecuCiGz7HTz6TypSsk4Ii/view?usp=drive_link" TargetMode="External"/><Relationship Id="rId108" Type="http://schemas.openxmlformats.org/officeDocument/2006/relationships/hyperlink" Target="https://drive.google.com/file/d/11gJNviwmJNqTfCH1OUDtt3s-hVtdmBmV/view?usp=drive_link" TargetMode="External"/><Relationship Id="rId103" Type="http://schemas.openxmlformats.org/officeDocument/2006/relationships/hyperlink" Target="https://drive.google.com/file/d/15cbdz70nSNB6EURMSoWfavp8ZhWZ37_4/view?usp=drive_link" TargetMode="External"/><Relationship Id="rId102" Type="http://schemas.openxmlformats.org/officeDocument/2006/relationships/hyperlink" Target="https://drive.google.com/file/d/10C52iX7Rc_HOOjQQ_9W4vuaWAmtN5aft/view?usp=sharing" TargetMode="External"/><Relationship Id="rId101" Type="http://schemas.openxmlformats.org/officeDocument/2006/relationships/hyperlink" Target="https://drive.google.com/file/d/1zXrPAl2GHHar8PnEtvIJ9mbRmhY3SKep/view?usp=sharing" TargetMode="External"/><Relationship Id="rId100" Type="http://schemas.openxmlformats.org/officeDocument/2006/relationships/hyperlink" Target="https://drive.google.com/file/d/1udxOn_Dy_Za_SR3mzv5vYkNTWgSUGolb/view?usp=drive_link" TargetMode="External"/><Relationship Id="rId129" Type="http://schemas.openxmlformats.org/officeDocument/2006/relationships/hyperlink" Target="https://drive.google.com/file/d/1qdTCs3U2dZCPrZQr_OGrQGsNapVhfcg6/view?usp=sharing" TargetMode="External"/><Relationship Id="rId128" Type="http://schemas.openxmlformats.org/officeDocument/2006/relationships/hyperlink" Target="https://drive.google.com/file/d/1-BMbQc9SMRKYZAkQI7nOPOkS0UhJ1JUV/view?usp=sharing" TargetMode="External"/><Relationship Id="rId127" Type="http://schemas.openxmlformats.org/officeDocument/2006/relationships/hyperlink" Target="https://drive.google.com/file/d/1iIRFXKUfEGYoBpYBdehwqYInQ2pW5o3X/view?usp=drive_link" TargetMode="External"/><Relationship Id="rId126" Type="http://schemas.openxmlformats.org/officeDocument/2006/relationships/hyperlink" Target="https://drive.google.com/file/d/1tuB7Kbn3F7cYxie8oCWySWHxn2pESU7D/view?usp=drive_link" TargetMode="External"/><Relationship Id="rId121" Type="http://schemas.openxmlformats.org/officeDocument/2006/relationships/hyperlink" Target="https://drive.google.com/file/d/1ng3APKbQdp_gP9bX0XbAR2RbDlIkyVlE/view?usp=drive_link" TargetMode="External"/><Relationship Id="rId120" Type="http://schemas.openxmlformats.org/officeDocument/2006/relationships/hyperlink" Target="https://drive.google.com/file/d/1Hlc9P6sI97chfN9SgQ7YtBia1z9rTK4p/view?usp=sharing" TargetMode="External"/><Relationship Id="rId125" Type="http://schemas.openxmlformats.org/officeDocument/2006/relationships/hyperlink" Target="https://drive.google.com/file/d/1c-U5SZgzFls9BQqSydSTKuvC9h2NAF2h/view?usp=drive_link" TargetMode="External"/><Relationship Id="rId124" Type="http://schemas.openxmlformats.org/officeDocument/2006/relationships/hyperlink" Target="https://drive.google.com/file/d/1FRH_z76u2pb_4gqR3A3vbd4_bt411EwS/view?usp=sharing" TargetMode="External"/><Relationship Id="rId123" Type="http://schemas.openxmlformats.org/officeDocument/2006/relationships/hyperlink" Target="https://drive.google.com/file/d/1LB6onbiskh_d_L6Maeim9dJHFmQXp-QO/view?usp=sharing" TargetMode="External"/><Relationship Id="rId122" Type="http://schemas.openxmlformats.org/officeDocument/2006/relationships/hyperlink" Target="https://www.bhphotovideo.com/c/product/1878969-REG/acer_ph16_72_96vc_16_predator_helios_16.html" TargetMode="External"/><Relationship Id="rId95" Type="http://schemas.openxmlformats.org/officeDocument/2006/relationships/hyperlink" Target="https://drive.google.com/file/d/1N-3WJRM_ZYVzi70ABIXjp1FwdsXEaXxp/view?usp=drive_link" TargetMode="External"/><Relationship Id="rId94" Type="http://schemas.openxmlformats.org/officeDocument/2006/relationships/hyperlink" Target="https://drive.google.com/file/d/1CB6j246ndjest2SiAQG6EJZ0vQ9uJH1T/view?usp=drive_link" TargetMode="External"/><Relationship Id="rId97" Type="http://schemas.openxmlformats.org/officeDocument/2006/relationships/hyperlink" Target="https://drive.google.com/file/d/1-nDXYc-nugzTDX3_nuZ8wiQWv36E8aWY/view?usp=sharing" TargetMode="External"/><Relationship Id="rId96" Type="http://schemas.openxmlformats.org/officeDocument/2006/relationships/hyperlink" Target="https://drive.google.com/file/d/1szrx1gG4we4JBaORhFCueSxV9I-tXN9B/view?usp=drive_link" TargetMode="External"/><Relationship Id="rId99" Type="http://schemas.openxmlformats.org/officeDocument/2006/relationships/hyperlink" Target="https://drive.google.com/file/d/1Qm3al3wjPwtjsbxSaFrUaprc6LUHZVAi/view?usp=sharing" TargetMode="External"/><Relationship Id="rId98" Type="http://schemas.openxmlformats.org/officeDocument/2006/relationships/hyperlink" Target="https://drive.google.com/file/d/1ngZeRv6JPBDacvymDxIorNVhw9ePGgEP/view?usp=drive_link" TargetMode="External"/><Relationship Id="rId91" Type="http://schemas.openxmlformats.org/officeDocument/2006/relationships/hyperlink" Target="https://drive.google.com/file/d/159fkCSmXLJBiydspwwDGru0DzXa_ZgMk/view?usp=drive_link" TargetMode="External"/><Relationship Id="rId90" Type="http://schemas.openxmlformats.org/officeDocument/2006/relationships/hyperlink" Target="https://drive.google.com/file/d/1uEjjDcAtDJCL1OiaXqsjUHUsRyfptcEd/view?usp=drive_link" TargetMode="External"/><Relationship Id="rId93" Type="http://schemas.openxmlformats.org/officeDocument/2006/relationships/hyperlink" Target="https://drive.google.com/file/d/1P1C3TpS8hkeMxY3qohrBaadf7LdWS-U6/view?usp=drive_link" TargetMode="External"/><Relationship Id="rId92" Type="http://schemas.openxmlformats.org/officeDocument/2006/relationships/hyperlink" Target="https://drive.google.com/file/d/1lvhLWb0dKrlxeLgjFiiu0qT_GhcW6fA8/view?usp=drive_link" TargetMode="External"/><Relationship Id="rId118" Type="http://schemas.openxmlformats.org/officeDocument/2006/relationships/hyperlink" Target="https://drive.google.com/file/d/1ZYnzMv5nckIH0KjCavoXSCMHARdSDydr/view?usp=sharing" TargetMode="External"/><Relationship Id="rId117" Type="http://schemas.openxmlformats.org/officeDocument/2006/relationships/hyperlink" Target="https://drive.google.com/file/d/1OMwymVCR1A0m3oYucWLs89pQI5Swxael/view?usp=sharing" TargetMode="External"/><Relationship Id="rId116" Type="http://schemas.openxmlformats.org/officeDocument/2006/relationships/hyperlink" Target="https://drive.google.com/file/d/15a5IWUMfV-q2JyVFFBL0RZKbA7dR0Dk2/view?usp=drive_link" TargetMode="External"/><Relationship Id="rId115" Type="http://schemas.openxmlformats.org/officeDocument/2006/relationships/hyperlink" Target="https://drive.google.com/file/d/1xWO4bXKUu4p5RT1itaY348mi4FSdhLwi/view?usp=sharing" TargetMode="External"/><Relationship Id="rId119" Type="http://schemas.openxmlformats.org/officeDocument/2006/relationships/hyperlink" Target="https://www.ebay.com/itm/127210724599" TargetMode="External"/><Relationship Id="rId110" Type="http://schemas.openxmlformats.org/officeDocument/2006/relationships/hyperlink" Target="https://drive.google.com/file/d/18GguDR8hnYpztEDPHnjET-Bic8W-Wi9e/view?usp=drive_link" TargetMode="External"/><Relationship Id="rId114" Type="http://schemas.openxmlformats.org/officeDocument/2006/relationships/hyperlink" Target="https://drive.google.com/file/d/1REO3ITBHIh6W51k2pppXwg5wCFr_XBaw/view?usp=sharing" TargetMode="External"/><Relationship Id="rId113" Type="http://schemas.openxmlformats.org/officeDocument/2006/relationships/hyperlink" Target="https://drive.google.com/file/d/1zHtGXDFo1qaA7Lv9DEfbv1yBR-jQuKxH/view?usp=drive_link" TargetMode="External"/><Relationship Id="rId112" Type="http://schemas.openxmlformats.org/officeDocument/2006/relationships/hyperlink" Target="https://drive.google.com/file/d/1eoVqxDk498viE9QYLAsrULkEf4PrDz99/view?usp=drive_link" TargetMode="External"/><Relationship Id="rId111" Type="http://schemas.openxmlformats.org/officeDocument/2006/relationships/hyperlink" Target="https://drive.google.com/file/d/1iqwgOTqdIsCSv6UZwPrPZeMgRq7fcVOS/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7.88"/>
    <col customWidth="1" min="3" max="3" width="42.25"/>
    <col customWidth="1" min="4" max="4" width="18.0"/>
    <col customWidth="1" min="5" max="5" width="19.0"/>
    <col customWidth="1" min="6" max="6" width="16.13"/>
    <col customWidth="1" min="7" max="7" width="15.38"/>
    <col customWidth="1" min="8" max="9" width="16.38"/>
    <col customWidth="1" min="10" max="10" width="21.5"/>
    <col customWidth="1" min="11" max="11" width="18.88"/>
    <col customWidth="1" min="12" max="12" width="20.75"/>
    <col customWidth="1" min="13" max="13" width="16.88"/>
    <col customWidth="1" min="14" max="14" width="33.63"/>
    <col customWidth="1" min="15" max="15" width="13.5"/>
    <col customWidth="1" min="16" max="16" width="21.5"/>
  </cols>
  <sheetData>
    <row r="1" ht="22.5" customHeight="1">
      <c r="A1" s="1" t="s">
        <v>0</v>
      </c>
      <c r="B1" s="2" t="s">
        <v>1</v>
      </c>
      <c r="C1" s="3" t="s">
        <v>2</v>
      </c>
      <c r="D1" s="2" t="s">
        <v>3</v>
      </c>
      <c r="E1" s="2" t="s">
        <v>4</v>
      </c>
      <c r="F1" s="2" t="s">
        <v>5</v>
      </c>
      <c r="G1" s="2" t="s">
        <v>6</v>
      </c>
      <c r="H1" s="2" t="s">
        <v>7</v>
      </c>
      <c r="I1" s="4" t="s">
        <v>8</v>
      </c>
      <c r="J1" s="4" t="s">
        <v>9</v>
      </c>
      <c r="K1" s="5" t="s">
        <v>10</v>
      </c>
      <c r="L1" s="2" t="s">
        <v>11</v>
      </c>
      <c r="M1" s="2" t="s">
        <v>12</v>
      </c>
      <c r="N1" s="2" t="s">
        <v>13</v>
      </c>
      <c r="O1" s="6" t="s">
        <v>14</v>
      </c>
      <c r="P1" s="6" t="s">
        <v>15</v>
      </c>
      <c r="Q1" s="6" t="s">
        <v>16</v>
      </c>
    </row>
    <row r="2" ht="42.0" customHeight="1">
      <c r="A2" s="7" t="s">
        <v>17</v>
      </c>
      <c r="B2" s="8">
        <v>45626.0</v>
      </c>
      <c r="C2" s="9" t="s">
        <v>18</v>
      </c>
      <c r="D2" s="10" t="s">
        <v>19</v>
      </c>
      <c r="E2" s="10" t="s">
        <v>20</v>
      </c>
      <c r="F2" s="11">
        <v>0.3</v>
      </c>
      <c r="G2" s="12"/>
      <c r="H2" s="13"/>
      <c r="I2" s="14"/>
      <c r="J2" s="15" t="s">
        <v>21</v>
      </c>
      <c r="K2" s="16"/>
      <c r="L2" s="17" t="s">
        <v>21</v>
      </c>
      <c r="M2" s="18"/>
      <c r="N2" s="19"/>
      <c r="O2" s="20"/>
      <c r="P2" s="20"/>
      <c r="Q2" s="21"/>
    </row>
    <row r="3" ht="57.75" customHeight="1">
      <c r="A3" s="7" t="s">
        <v>22</v>
      </c>
      <c r="B3" s="8">
        <v>45617.0</v>
      </c>
      <c r="C3" s="9" t="s">
        <v>23</v>
      </c>
      <c r="D3" s="10" t="s">
        <v>24</v>
      </c>
      <c r="E3" s="10" t="s">
        <v>25</v>
      </c>
      <c r="F3" s="11">
        <v>1.0</v>
      </c>
      <c r="G3" s="12"/>
      <c r="H3" s="13"/>
      <c r="I3" s="14"/>
      <c r="J3" s="22" t="s">
        <v>26</v>
      </c>
      <c r="K3" s="23" t="s">
        <v>27</v>
      </c>
      <c r="L3" s="24" t="s">
        <v>28</v>
      </c>
      <c r="M3" s="18"/>
      <c r="N3" s="19"/>
      <c r="O3" s="20"/>
      <c r="P3" s="20"/>
      <c r="Q3" s="21"/>
    </row>
    <row r="4" ht="45.0" customHeight="1">
      <c r="A4" s="7" t="s">
        <v>22</v>
      </c>
      <c r="B4" s="8">
        <v>45612.0</v>
      </c>
      <c r="C4" s="9" t="s">
        <v>29</v>
      </c>
      <c r="D4" s="10" t="s">
        <v>30</v>
      </c>
      <c r="E4" s="10" t="s">
        <v>31</v>
      </c>
      <c r="F4" s="11">
        <v>0.3</v>
      </c>
      <c r="G4" s="12"/>
      <c r="H4" s="13"/>
      <c r="I4" s="14"/>
      <c r="J4" s="25" t="s">
        <v>32</v>
      </c>
      <c r="K4" s="23" t="s">
        <v>33</v>
      </c>
      <c r="L4" s="24" t="s">
        <v>28</v>
      </c>
      <c r="M4" s="18"/>
      <c r="N4" s="19"/>
      <c r="O4" s="20"/>
      <c r="P4" s="20"/>
      <c r="Q4" s="21"/>
    </row>
    <row r="5" ht="22.5" customHeight="1">
      <c r="A5" s="7" t="s">
        <v>34</v>
      </c>
      <c r="B5" s="8">
        <v>45622.0</v>
      </c>
      <c r="C5" s="9" t="s">
        <v>35</v>
      </c>
      <c r="D5" s="10" t="s">
        <v>36</v>
      </c>
      <c r="E5" s="10" t="s">
        <v>37</v>
      </c>
      <c r="F5" s="11">
        <v>1.0</v>
      </c>
      <c r="G5" s="12"/>
      <c r="H5" s="13"/>
      <c r="I5" s="14"/>
      <c r="J5" s="26" t="s">
        <v>38</v>
      </c>
      <c r="K5" s="23" t="s">
        <v>27</v>
      </c>
      <c r="L5" s="24" t="s">
        <v>28</v>
      </c>
      <c r="M5" s="18"/>
      <c r="N5" s="19"/>
      <c r="O5" s="20"/>
      <c r="P5" s="20"/>
      <c r="Q5" s="21"/>
    </row>
    <row r="6" ht="63.75" customHeight="1">
      <c r="A6" s="7" t="s">
        <v>34</v>
      </c>
      <c r="B6" s="8">
        <v>45625.0</v>
      </c>
      <c r="C6" s="9" t="s">
        <v>39</v>
      </c>
      <c r="D6" s="10" t="s">
        <v>40</v>
      </c>
      <c r="E6" s="10" t="s">
        <v>41</v>
      </c>
      <c r="F6" s="11">
        <v>1.0</v>
      </c>
      <c r="G6" s="12"/>
      <c r="H6" s="13"/>
      <c r="I6" s="14"/>
      <c r="J6" s="26" t="s">
        <v>42</v>
      </c>
      <c r="K6" s="16"/>
      <c r="L6" s="24" t="s">
        <v>28</v>
      </c>
      <c r="M6" s="10" t="s">
        <v>43</v>
      </c>
      <c r="N6" s="27"/>
      <c r="O6" s="20"/>
      <c r="P6" s="20"/>
      <c r="Q6" s="21"/>
    </row>
    <row r="7" ht="42.0" customHeight="1">
      <c r="A7" s="7" t="s">
        <v>17</v>
      </c>
      <c r="B7" s="8">
        <v>45622.0</v>
      </c>
      <c r="C7" s="9" t="s">
        <v>44</v>
      </c>
      <c r="D7" s="10" t="s">
        <v>45</v>
      </c>
      <c r="E7" s="10" t="s">
        <v>46</v>
      </c>
      <c r="F7" s="11">
        <v>0.3</v>
      </c>
      <c r="G7" s="12"/>
      <c r="H7" s="13"/>
      <c r="I7" s="14"/>
      <c r="J7" s="26" t="s">
        <v>47</v>
      </c>
      <c r="K7" s="16"/>
      <c r="L7" s="24" t="s">
        <v>28</v>
      </c>
      <c r="M7" s="10" t="s">
        <v>48</v>
      </c>
      <c r="N7" s="27"/>
      <c r="O7" s="20"/>
      <c r="P7" s="20"/>
      <c r="Q7" s="21"/>
    </row>
    <row r="8" ht="36.75" customHeight="1">
      <c r="A8" s="7" t="s">
        <v>17</v>
      </c>
      <c r="B8" s="8">
        <v>45612.0</v>
      </c>
      <c r="C8" s="9" t="s">
        <v>49</v>
      </c>
      <c r="D8" s="10" t="s">
        <v>50</v>
      </c>
      <c r="E8" s="10" t="s">
        <v>51</v>
      </c>
      <c r="F8" s="11">
        <v>0.3</v>
      </c>
      <c r="G8" s="12"/>
      <c r="H8" s="13"/>
      <c r="I8" s="14"/>
      <c r="J8" s="26" t="s">
        <v>52</v>
      </c>
      <c r="K8" s="16"/>
      <c r="L8" s="24" t="s">
        <v>28</v>
      </c>
      <c r="M8" s="10" t="s">
        <v>53</v>
      </c>
      <c r="N8" s="27"/>
      <c r="O8" s="20"/>
      <c r="P8" s="20"/>
      <c r="Q8" s="21"/>
    </row>
    <row r="9" ht="22.5" customHeight="1">
      <c r="A9" s="7" t="s">
        <v>17</v>
      </c>
      <c r="B9" s="8">
        <v>45612.0</v>
      </c>
      <c r="C9" s="9" t="s">
        <v>49</v>
      </c>
      <c r="D9" s="10" t="s">
        <v>54</v>
      </c>
      <c r="E9" s="10" t="s">
        <v>55</v>
      </c>
      <c r="F9" s="11">
        <v>0.3</v>
      </c>
      <c r="G9" s="12"/>
      <c r="H9" s="13"/>
      <c r="I9" s="14"/>
      <c r="J9" s="26" t="s">
        <v>56</v>
      </c>
      <c r="K9" s="16"/>
      <c r="L9" s="24" t="s">
        <v>28</v>
      </c>
      <c r="M9" s="10" t="s">
        <v>57</v>
      </c>
      <c r="N9" s="27"/>
      <c r="O9" s="20"/>
      <c r="P9" s="20"/>
      <c r="Q9" s="21"/>
    </row>
    <row r="10" ht="22.5" customHeight="1">
      <c r="A10" s="7" t="s">
        <v>34</v>
      </c>
      <c r="B10" s="28"/>
      <c r="C10" s="29" t="s">
        <v>58</v>
      </c>
      <c r="D10" s="10" t="s">
        <v>59</v>
      </c>
      <c r="E10" s="10" t="s">
        <v>60</v>
      </c>
      <c r="F10" s="30" t="s">
        <v>61</v>
      </c>
      <c r="G10" s="12"/>
      <c r="H10" s="13"/>
      <c r="I10" s="14"/>
      <c r="J10" s="26" t="s">
        <v>62</v>
      </c>
      <c r="K10" s="16"/>
      <c r="L10" s="24" t="s">
        <v>28</v>
      </c>
      <c r="M10" s="10"/>
      <c r="N10" s="27"/>
      <c r="O10" s="20"/>
      <c r="P10" s="20"/>
      <c r="Q10" s="21"/>
    </row>
    <row r="11" ht="22.5" customHeight="1">
      <c r="A11" s="7" t="s">
        <v>22</v>
      </c>
      <c r="B11" s="8">
        <v>45614.0</v>
      </c>
      <c r="C11" s="9" t="s">
        <v>63</v>
      </c>
      <c r="D11" s="10" t="s">
        <v>40</v>
      </c>
      <c r="E11" s="10" t="s">
        <v>64</v>
      </c>
      <c r="F11" s="11">
        <v>0.3</v>
      </c>
      <c r="G11" s="12"/>
      <c r="H11" s="13"/>
      <c r="I11" s="14"/>
      <c r="J11" s="26" t="s">
        <v>65</v>
      </c>
      <c r="K11" s="23" t="s">
        <v>27</v>
      </c>
      <c r="L11" s="24" t="s">
        <v>28</v>
      </c>
      <c r="M11" s="18"/>
      <c r="N11" s="19"/>
      <c r="O11" s="20"/>
      <c r="P11" s="20"/>
      <c r="Q11" s="21"/>
    </row>
    <row r="12" ht="22.5" customHeight="1">
      <c r="A12" s="7" t="s">
        <v>34</v>
      </c>
      <c r="B12" s="8">
        <v>45363.0</v>
      </c>
      <c r="C12" s="9" t="s">
        <v>66</v>
      </c>
      <c r="D12" s="10" t="s">
        <v>67</v>
      </c>
      <c r="E12" s="10" t="s">
        <v>68</v>
      </c>
      <c r="F12" s="11">
        <v>1.0</v>
      </c>
      <c r="G12" s="31"/>
      <c r="H12" s="32"/>
      <c r="I12" s="33"/>
      <c r="J12" s="34"/>
      <c r="K12" s="16"/>
      <c r="L12" s="24" t="s">
        <v>28</v>
      </c>
      <c r="M12" s="18"/>
      <c r="N12" s="19"/>
      <c r="O12" s="20"/>
      <c r="P12" s="20"/>
      <c r="Q12" s="21"/>
    </row>
    <row r="13" ht="22.5" customHeight="1">
      <c r="A13" s="7" t="s">
        <v>34</v>
      </c>
      <c r="B13" s="8">
        <v>45617.0</v>
      </c>
      <c r="C13" s="35" t="s">
        <v>69</v>
      </c>
      <c r="D13" s="10" t="s">
        <v>70</v>
      </c>
      <c r="E13" s="10" t="s">
        <v>71</v>
      </c>
      <c r="F13" s="11">
        <v>0.3</v>
      </c>
      <c r="G13" s="31"/>
      <c r="H13" s="32"/>
      <c r="I13" s="33"/>
      <c r="J13" s="26" t="s">
        <v>72</v>
      </c>
      <c r="K13" s="23" t="s">
        <v>27</v>
      </c>
      <c r="L13" s="24" t="s">
        <v>28</v>
      </c>
      <c r="M13" s="18"/>
      <c r="N13" s="19"/>
      <c r="O13" s="20"/>
      <c r="P13" s="20"/>
      <c r="Q13" s="21"/>
    </row>
    <row r="14" ht="22.5" customHeight="1">
      <c r="A14" s="36" t="s">
        <v>34</v>
      </c>
      <c r="B14" s="8">
        <v>45424.0</v>
      </c>
      <c r="C14" s="37" t="s">
        <v>66</v>
      </c>
      <c r="D14" s="10" t="s">
        <v>73</v>
      </c>
      <c r="E14" s="10">
        <v>9.91591855E8</v>
      </c>
      <c r="F14" s="30" t="s">
        <v>61</v>
      </c>
      <c r="G14" s="38">
        <v>2730.0</v>
      </c>
      <c r="H14" s="32"/>
      <c r="I14" s="33"/>
      <c r="J14" s="26">
        <v>6122024.0</v>
      </c>
      <c r="K14" s="23" t="s">
        <v>74</v>
      </c>
      <c r="L14" s="24" t="s">
        <v>28</v>
      </c>
      <c r="M14" s="18"/>
      <c r="N14" s="19"/>
      <c r="O14" s="20"/>
      <c r="P14" s="20"/>
      <c r="Q14" s="21"/>
    </row>
    <row r="15" ht="22.5" customHeight="1">
      <c r="A15" s="36" t="s">
        <v>22</v>
      </c>
      <c r="B15" s="8">
        <v>45612.0</v>
      </c>
      <c r="C15" s="9" t="s">
        <v>23</v>
      </c>
      <c r="D15" s="10" t="s">
        <v>75</v>
      </c>
      <c r="E15" s="10" t="s">
        <v>76</v>
      </c>
      <c r="F15" s="11">
        <v>0.3</v>
      </c>
      <c r="G15" s="31"/>
      <c r="H15" s="32"/>
      <c r="I15" s="33"/>
      <c r="J15" s="26" t="s">
        <v>77</v>
      </c>
      <c r="K15" s="16"/>
      <c r="L15" s="24" t="s">
        <v>28</v>
      </c>
      <c r="M15" s="18"/>
      <c r="N15" s="19"/>
      <c r="O15" s="20"/>
      <c r="P15" s="20"/>
      <c r="Q15" s="21"/>
    </row>
    <row r="16" ht="22.5" customHeight="1">
      <c r="A16" s="36" t="s">
        <v>22</v>
      </c>
      <c r="B16" s="8">
        <v>45619.0</v>
      </c>
      <c r="C16" s="9" t="s">
        <v>23</v>
      </c>
      <c r="D16" s="10" t="s">
        <v>78</v>
      </c>
      <c r="E16" s="10" t="s">
        <v>79</v>
      </c>
      <c r="F16" s="11">
        <v>1.0</v>
      </c>
      <c r="G16" s="31"/>
      <c r="H16" s="32"/>
      <c r="I16" s="33"/>
      <c r="J16" s="26" t="s">
        <v>80</v>
      </c>
      <c r="K16" s="39" t="s">
        <v>81</v>
      </c>
      <c r="L16" s="24" t="s">
        <v>28</v>
      </c>
      <c r="M16" s="10" t="s">
        <v>82</v>
      </c>
      <c r="N16" s="27"/>
      <c r="O16" s="20"/>
      <c r="P16" s="20"/>
      <c r="Q16" s="21"/>
    </row>
    <row r="17" ht="22.5" customHeight="1">
      <c r="A17" s="36" t="s">
        <v>22</v>
      </c>
      <c r="B17" s="8">
        <v>45622.0</v>
      </c>
      <c r="C17" s="9" t="s">
        <v>23</v>
      </c>
      <c r="D17" s="10" t="s">
        <v>83</v>
      </c>
      <c r="E17" s="10" t="s">
        <v>84</v>
      </c>
      <c r="F17" s="11">
        <v>1.0</v>
      </c>
      <c r="G17" s="12"/>
      <c r="H17" s="32"/>
      <c r="I17" s="33"/>
      <c r="J17" s="25" t="s">
        <v>85</v>
      </c>
      <c r="K17" s="39" t="s">
        <v>81</v>
      </c>
      <c r="L17" s="24" t="s">
        <v>28</v>
      </c>
      <c r="M17" s="10" t="s">
        <v>86</v>
      </c>
      <c r="N17" s="27"/>
      <c r="O17" s="20"/>
      <c r="P17" s="20"/>
      <c r="Q17" s="21"/>
    </row>
    <row r="18" ht="22.5" customHeight="1">
      <c r="A18" s="36" t="s">
        <v>22</v>
      </c>
      <c r="B18" s="8">
        <v>45623.0</v>
      </c>
      <c r="C18" s="9" t="s">
        <v>23</v>
      </c>
      <c r="D18" s="10" t="s">
        <v>87</v>
      </c>
      <c r="E18" s="10" t="s">
        <v>88</v>
      </c>
      <c r="F18" s="11">
        <v>1.0</v>
      </c>
      <c r="G18" s="31"/>
      <c r="H18" s="32"/>
      <c r="I18" s="33"/>
      <c r="J18" s="26" t="s">
        <v>89</v>
      </c>
      <c r="K18" s="39" t="s">
        <v>81</v>
      </c>
      <c r="L18" s="24" t="s">
        <v>28</v>
      </c>
      <c r="M18" s="10" t="s">
        <v>90</v>
      </c>
      <c r="N18" s="27"/>
      <c r="O18" s="20"/>
      <c r="P18" s="20"/>
      <c r="Q18" s="21"/>
    </row>
    <row r="19" ht="22.5" customHeight="1">
      <c r="A19" s="36" t="s">
        <v>34</v>
      </c>
      <c r="B19" s="8">
        <v>45577.0</v>
      </c>
      <c r="C19" s="9" t="s">
        <v>35</v>
      </c>
      <c r="D19" s="10" t="s">
        <v>91</v>
      </c>
      <c r="E19" s="10">
        <v>9.93457121E8</v>
      </c>
      <c r="F19" s="11">
        <v>1.0</v>
      </c>
      <c r="G19" s="12">
        <v>14500.0</v>
      </c>
      <c r="H19" s="32"/>
      <c r="I19" s="40" t="s">
        <v>92</v>
      </c>
      <c r="J19" s="41" t="s">
        <v>93</v>
      </c>
      <c r="K19" s="16"/>
      <c r="L19" s="24" t="s">
        <v>28</v>
      </c>
      <c r="M19" s="10"/>
      <c r="N19" s="27"/>
      <c r="O19" s="20"/>
      <c r="P19" s="20"/>
      <c r="Q19" s="21"/>
    </row>
    <row r="20" ht="22.5" customHeight="1">
      <c r="A20" s="36" t="s">
        <v>34</v>
      </c>
      <c r="B20" s="8">
        <v>45608.0</v>
      </c>
      <c r="C20" s="42" t="s">
        <v>94</v>
      </c>
      <c r="D20" s="43" t="s">
        <v>95</v>
      </c>
      <c r="E20" s="10">
        <v>5.1941087782E10</v>
      </c>
      <c r="F20" s="11">
        <v>0.3</v>
      </c>
      <c r="G20" s="12">
        <v>2640.0</v>
      </c>
      <c r="H20" s="13">
        <v>8799.0</v>
      </c>
      <c r="I20" s="40" t="s">
        <v>96</v>
      </c>
      <c r="J20" s="41" t="s">
        <v>97</v>
      </c>
      <c r="K20" s="16"/>
      <c r="L20" s="24" t="s">
        <v>28</v>
      </c>
      <c r="M20" s="18"/>
      <c r="N20" s="19"/>
      <c r="O20" s="20"/>
      <c r="P20" s="20"/>
      <c r="Q20" s="21"/>
    </row>
    <row r="21" ht="22.5" customHeight="1">
      <c r="A21" s="36" t="s">
        <v>17</v>
      </c>
      <c r="B21" s="8">
        <v>45640.0</v>
      </c>
      <c r="C21" s="44" t="s">
        <v>98</v>
      </c>
      <c r="D21" s="10" t="s">
        <v>99</v>
      </c>
      <c r="E21" s="45"/>
      <c r="F21" s="11">
        <v>0.5</v>
      </c>
      <c r="G21" s="46">
        <v>4299.0</v>
      </c>
      <c r="H21" s="13">
        <v>8599.0</v>
      </c>
      <c r="I21" s="47">
        <v>1599.0</v>
      </c>
      <c r="J21" s="26" t="s">
        <v>100</v>
      </c>
      <c r="K21" s="16"/>
      <c r="L21" s="24" t="s">
        <v>28</v>
      </c>
      <c r="M21" s="18"/>
      <c r="N21" s="19"/>
      <c r="O21" s="20"/>
      <c r="P21" s="20"/>
      <c r="Q21" s="21"/>
    </row>
    <row r="22" ht="22.5" customHeight="1">
      <c r="A22" s="36" t="s">
        <v>17</v>
      </c>
      <c r="B22" s="8">
        <v>45640.0</v>
      </c>
      <c r="C22" s="48" t="s">
        <v>101</v>
      </c>
      <c r="D22" s="10" t="s">
        <v>99</v>
      </c>
      <c r="E22" s="45"/>
      <c r="F22" s="11">
        <v>0.5</v>
      </c>
      <c r="G22" s="46">
        <v>135.0</v>
      </c>
      <c r="H22" s="13">
        <v>270.0</v>
      </c>
      <c r="I22" s="14">
        <v>56.0</v>
      </c>
      <c r="J22" s="26" t="s">
        <v>102</v>
      </c>
      <c r="K22" s="16"/>
      <c r="L22" s="24" t="s">
        <v>28</v>
      </c>
      <c r="M22" s="18"/>
      <c r="N22" s="19"/>
      <c r="O22" s="20"/>
      <c r="P22" s="20"/>
      <c r="Q22" s="21"/>
    </row>
    <row r="23" ht="22.5" customHeight="1">
      <c r="A23" s="36" t="s">
        <v>34</v>
      </c>
      <c r="B23" s="8">
        <v>45646.0</v>
      </c>
      <c r="C23" s="49" t="s">
        <v>103</v>
      </c>
      <c r="D23" s="10" t="s">
        <v>104</v>
      </c>
      <c r="E23" s="10" t="s">
        <v>105</v>
      </c>
      <c r="F23" s="11">
        <v>1.0</v>
      </c>
      <c r="G23" s="12">
        <v>10300.0</v>
      </c>
      <c r="H23" s="12">
        <v>10300.0</v>
      </c>
      <c r="I23" s="50" t="s">
        <v>106</v>
      </c>
      <c r="J23" s="26" t="s">
        <v>107</v>
      </c>
      <c r="K23" s="16"/>
      <c r="L23" s="30" t="s">
        <v>108</v>
      </c>
      <c r="M23" s="18"/>
      <c r="N23" s="19"/>
      <c r="O23" s="51"/>
      <c r="P23" s="51"/>
      <c r="Q23" s="52"/>
      <c r="R23" s="53"/>
      <c r="S23" s="53"/>
      <c r="T23" s="53"/>
      <c r="U23" s="53"/>
      <c r="V23" s="53"/>
      <c r="W23" s="53"/>
      <c r="X23" s="53"/>
      <c r="Y23" s="53"/>
      <c r="Z23" s="53"/>
      <c r="AA23" s="53"/>
      <c r="AB23" s="53"/>
      <c r="AC23" s="53"/>
      <c r="AD23" s="53"/>
      <c r="AE23" s="53"/>
      <c r="AF23" s="53"/>
      <c r="AG23" s="53"/>
      <c r="AH23" s="53"/>
    </row>
    <row r="24" ht="22.5" customHeight="1">
      <c r="A24" s="36" t="s">
        <v>34</v>
      </c>
      <c r="B24" s="8">
        <v>46011.0</v>
      </c>
      <c r="C24" s="54" t="s">
        <v>109</v>
      </c>
      <c r="D24" s="10" t="s">
        <v>104</v>
      </c>
      <c r="E24" s="10" t="s">
        <v>110</v>
      </c>
      <c r="F24" s="11">
        <v>1.0</v>
      </c>
      <c r="G24" s="12">
        <v>542.0</v>
      </c>
      <c r="H24" s="12">
        <v>542.0</v>
      </c>
      <c r="I24" s="55">
        <v>109.88</v>
      </c>
      <c r="J24" s="26" t="s">
        <v>111</v>
      </c>
      <c r="K24" s="16"/>
      <c r="L24" s="24" t="s">
        <v>112</v>
      </c>
      <c r="M24" s="10"/>
      <c r="N24" s="27"/>
      <c r="O24" s="20"/>
      <c r="P24" s="20"/>
      <c r="Q24" s="21"/>
    </row>
    <row r="25" ht="22.5" customHeight="1">
      <c r="A25" s="36" t="s">
        <v>34</v>
      </c>
      <c r="B25" s="8">
        <v>46376.0</v>
      </c>
      <c r="C25" s="48" t="s">
        <v>113</v>
      </c>
      <c r="D25" s="10" t="s">
        <v>104</v>
      </c>
      <c r="E25" s="10" t="s">
        <v>114</v>
      </c>
      <c r="F25" s="11">
        <v>1.0</v>
      </c>
      <c r="G25" s="12">
        <v>285.0</v>
      </c>
      <c r="H25" s="12">
        <v>285.0</v>
      </c>
      <c r="I25" s="56" t="s">
        <v>115</v>
      </c>
      <c r="J25" s="26" t="s">
        <v>116</v>
      </c>
      <c r="K25" s="16"/>
      <c r="L25" s="24" t="s">
        <v>112</v>
      </c>
      <c r="M25" s="10"/>
      <c r="N25" s="27"/>
      <c r="O25" s="20"/>
      <c r="P25" s="20"/>
      <c r="Q25" s="21"/>
    </row>
    <row r="26" ht="22.5" customHeight="1">
      <c r="A26" s="36" t="s">
        <v>117</v>
      </c>
      <c r="B26" s="8">
        <v>45646.0</v>
      </c>
      <c r="C26" s="57" t="s">
        <v>118</v>
      </c>
      <c r="D26" s="10" t="s">
        <v>119</v>
      </c>
      <c r="E26" s="10" t="s">
        <v>120</v>
      </c>
      <c r="F26" s="11">
        <v>1.0</v>
      </c>
      <c r="G26" s="46">
        <v>18050.0</v>
      </c>
      <c r="H26" s="13">
        <v>18050.0</v>
      </c>
      <c r="I26" s="58">
        <v>3827.0</v>
      </c>
      <c r="J26" s="26" t="s">
        <v>121</v>
      </c>
      <c r="K26" s="16"/>
      <c r="L26" s="24" t="s">
        <v>28</v>
      </c>
      <c r="M26" s="10" t="s">
        <v>122</v>
      </c>
      <c r="N26" s="27"/>
      <c r="O26" s="20"/>
      <c r="P26" s="20"/>
      <c r="Q26" s="21"/>
    </row>
    <row r="27" ht="22.5" customHeight="1">
      <c r="A27" s="36" t="s">
        <v>34</v>
      </c>
      <c r="B27" s="8">
        <v>45650.0</v>
      </c>
      <c r="C27" s="59" t="s">
        <v>123</v>
      </c>
      <c r="D27" s="10" t="s">
        <v>124</v>
      </c>
      <c r="E27" s="10">
        <v>5.1991327185E10</v>
      </c>
      <c r="F27" s="11">
        <v>1.0</v>
      </c>
      <c r="G27" s="12">
        <v>8249.0</v>
      </c>
      <c r="H27" s="13">
        <v>8249.0</v>
      </c>
      <c r="I27" s="60">
        <v>1649.99</v>
      </c>
      <c r="J27" s="26" t="s">
        <v>125</v>
      </c>
      <c r="K27" s="16"/>
      <c r="L27" s="24" t="s">
        <v>28</v>
      </c>
      <c r="M27" s="10" t="s">
        <v>122</v>
      </c>
      <c r="N27" s="27"/>
      <c r="O27" s="20"/>
      <c r="P27" s="20"/>
      <c r="Q27" s="21"/>
    </row>
    <row r="28" ht="22.5" customHeight="1">
      <c r="A28" s="36" t="s">
        <v>34</v>
      </c>
      <c r="B28" s="8">
        <v>45652.0</v>
      </c>
      <c r="C28" s="61" t="s">
        <v>126</v>
      </c>
      <c r="D28" s="10" t="s">
        <v>127</v>
      </c>
      <c r="E28" s="10">
        <v>5.1927257576E10</v>
      </c>
      <c r="F28" s="11">
        <v>1.0</v>
      </c>
      <c r="G28" s="12">
        <v>11799.0</v>
      </c>
      <c r="H28" s="13">
        <v>11799.0</v>
      </c>
      <c r="I28" s="60">
        <v>2349.0</v>
      </c>
      <c r="J28" s="26" t="s">
        <v>128</v>
      </c>
      <c r="K28" s="16"/>
      <c r="L28" s="24" t="s">
        <v>28</v>
      </c>
      <c r="M28" s="10" t="s">
        <v>122</v>
      </c>
      <c r="N28" s="27"/>
      <c r="O28" s="20"/>
      <c r="P28" s="20"/>
      <c r="Q28" s="21"/>
    </row>
    <row r="29" ht="22.5" customHeight="1">
      <c r="A29" s="36" t="s">
        <v>34</v>
      </c>
      <c r="B29" s="8">
        <v>45654.0</v>
      </c>
      <c r="C29" s="62" t="s">
        <v>129</v>
      </c>
      <c r="D29" s="10" t="s">
        <v>130</v>
      </c>
      <c r="E29" s="10">
        <v>5.1979999426E10</v>
      </c>
      <c r="F29" s="11">
        <v>1.0</v>
      </c>
      <c r="G29" s="12">
        <v>6350.0</v>
      </c>
      <c r="H29" s="13">
        <v>6350.0</v>
      </c>
      <c r="I29" s="14">
        <v>1199.99</v>
      </c>
      <c r="J29" s="26" t="s">
        <v>131</v>
      </c>
      <c r="K29" s="16"/>
      <c r="L29" s="24" t="s">
        <v>28</v>
      </c>
      <c r="M29" s="10" t="s">
        <v>122</v>
      </c>
      <c r="N29" s="27"/>
      <c r="O29" s="20"/>
      <c r="P29" s="20"/>
      <c r="Q29" s="21"/>
    </row>
    <row r="30" ht="22.5" customHeight="1">
      <c r="A30" s="36" t="s">
        <v>34</v>
      </c>
      <c r="B30" s="8">
        <v>45931.0</v>
      </c>
      <c r="C30" s="63" t="s">
        <v>132</v>
      </c>
      <c r="D30" s="10" t="s">
        <v>133</v>
      </c>
      <c r="E30" s="10">
        <v>5.1959438876E10</v>
      </c>
      <c r="F30" s="30" t="s">
        <v>61</v>
      </c>
      <c r="G30" s="12">
        <v>2000.0</v>
      </c>
      <c r="H30" s="13">
        <v>8999.0</v>
      </c>
      <c r="I30" s="14">
        <v>1550.0</v>
      </c>
      <c r="J30" s="26" t="s">
        <v>134</v>
      </c>
      <c r="K30" s="16"/>
      <c r="L30" s="24" t="s">
        <v>28</v>
      </c>
      <c r="M30" s="64" t="s">
        <v>135</v>
      </c>
      <c r="N30" s="65"/>
      <c r="O30" s="20"/>
      <c r="P30" s="20"/>
      <c r="Q30" s="21"/>
    </row>
    <row r="31" ht="22.5" customHeight="1">
      <c r="A31" s="36" t="s">
        <v>22</v>
      </c>
      <c r="B31" s="8">
        <v>45673.0</v>
      </c>
      <c r="C31" s="42" t="s">
        <v>136</v>
      </c>
      <c r="D31" s="10" t="s">
        <v>137</v>
      </c>
      <c r="E31" s="10" t="s">
        <v>138</v>
      </c>
      <c r="F31" s="11">
        <v>1.0</v>
      </c>
      <c r="G31" s="12">
        <v>12599.0</v>
      </c>
      <c r="H31" s="13">
        <v>12599.0</v>
      </c>
      <c r="I31" s="14">
        <v>2599.0</v>
      </c>
      <c r="J31" s="26" t="s">
        <v>139</v>
      </c>
      <c r="K31" s="16"/>
      <c r="L31" s="24" t="s">
        <v>28</v>
      </c>
      <c r="M31" s="10" t="s">
        <v>135</v>
      </c>
      <c r="N31" s="27"/>
      <c r="O31" s="20"/>
      <c r="P31" s="20"/>
      <c r="Q31" s="21"/>
    </row>
    <row r="32" ht="22.5" customHeight="1">
      <c r="A32" s="36" t="s">
        <v>34</v>
      </c>
      <c r="B32" s="8">
        <v>45677.0</v>
      </c>
      <c r="C32" s="66" t="s">
        <v>140</v>
      </c>
      <c r="D32" s="10" t="s">
        <v>141</v>
      </c>
      <c r="E32" s="10">
        <v>5.1981133341E10</v>
      </c>
      <c r="F32" s="11">
        <v>0.3</v>
      </c>
      <c r="G32" s="67">
        <v>4575.0</v>
      </c>
      <c r="H32" s="13">
        <v>15250.0</v>
      </c>
      <c r="I32" s="14">
        <v>2999.0</v>
      </c>
      <c r="J32" s="26" t="s">
        <v>142</v>
      </c>
      <c r="K32" s="16"/>
      <c r="L32" s="24" t="s">
        <v>28</v>
      </c>
      <c r="M32" s="10" t="s">
        <v>135</v>
      </c>
      <c r="N32" s="27"/>
      <c r="O32" s="20"/>
      <c r="P32" s="20"/>
      <c r="Q32" s="21"/>
    </row>
    <row r="33" ht="22.5" customHeight="1">
      <c r="A33" s="36" t="s">
        <v>34</v>
      </c>
      <c r="B33" s="8">
        <v>45677.0</v>
      </c>
      <c r="C33" s="42" t="s">
        <v>101</v>
      </c>
      <c r="D33" s="10" t="s">
        <v>141</v>
      </c>
      <c r="E33" s="10">
        <v>5.1981133341E10</v>
      </c>
      <c r="F33" s="11">
        <v>0.3</v>
      </c>
      <c r="G33" s="67">
        <v>90.0</v>
      </c>
      <c r="H33" s="13">
        <v>298.0</v>
      </c>
      <c r="I33" s="14">
        <v>55.0</v>
      </c>
      <c r="J33" s="34"/>
      <c r="K33" s="16"/>
      <c r="L33" s="24" t="s">
        <v>143</v>
      </c>
      <c r="M33" s="18"/>
      <c r="N33" s="19"/>
      <c r="O33" s="20"/>
      <c r="P33" s="20"/>
      <c r="Q33" s="21"/>
    </row>
    <row r="34" ht="22.5" customHeight="1">
      <c r="A34" s="7" t="s">
        <v>22</v>
      </c>
      <c r="B34" s="8">
        <v>45681.0</v>
      </c>
      <c r="C34" s="42" t="s">
        <v>144</v>
      </c>
      <c r="D34" s="10" t="s">
        <v>145</v>
      </c>
      <c r="E34" s="10" t="s">
        <v>146</v>
      </c>
      <c r="F34" s="11">
        <v>1.0</v>
      </c>
      <c r="G34" s="12">
        <v>11758.95</v>
      </c>
      <c r="H34" s="13">
        <v>11758.95</v>
      </c>
      <c r="I34" s="14">
        <v>2199.0</v>
      </c>
      <c r="J34" s="26" t="s">
        <v>147</v>
      </c>
      <c r="K34" s="16"/>
      <c r="L34" s="24" t="s">
        <v>148</v>
      </c>
      <c r="M34" s="18"/>
      <c r="N34" s="10" t="s">
        <v>149</v>
      </c>
      <c r="O34" s="20"/>
      <c r="P34" s="20"/>
      <c r="Q34" s="21"/>
      <c r="R34" s="68"/>
      <c r="S34" s="68"/>
      <c r="T34" s="68"/>
      <c r="U34" s="68"/>
      <c r="V34" s="68"/>
      <c r="W34" s="68"/>
      <c r="X34" s="68"/>
      <c r="Y34" s="68"/>
      <c r="Z34" s="68"/>
      <c r="AA34" s="68"/>
      <c r="AB34" s="68"/>
      <c r="AC34" s="68"/>
      <c r="AD34" s="68"/>
      <c r="AE34" s="68"/>
      <c r="AF34" s="68"/>
      <c r="AG34" s="68"/>
      <c r="AH34" s="68"/>
    </row>
    <row r="35" ht="22.5" customHeight="1">
      <c r="A35" s="7" t="s">
        <v>117</v>
      </c>
      <c r="B35" s="8">
        <v>45685.0</v>
      </c>
      <c r="C35" s="69" t="s">
        <v>150</v>
      </c>
      <c r="D35" s="10" t="s">
        <v>151</v>
      </c>
      <c r="E35" s="10">
        <v>5.1964445785E10</v>
      </c>
      <c r="F35" s="11">
        <v>0.3</v>
      </c>
      <c r="G35" s="70">
        <v>2369.7</v>
      </c>
      <c r="H35" s="13">
        <v>7899.0</v>
      </c>
      <c r="I35" s="14">
        <v>1399.0</v>
      </c>
      <c r="J35" s="26" t="s">
        <v>152</v>
      </c>
      <c r="K35" s="16"/>
      <c r="L35" s="24" t="s">
        <v>112</v>
      </c>
      <c r="M35" s="18"/>
      <c r="N35" s="71" t="s">
        <v>153</v>
      </c>
      <c r="O35" s="20"/>
      <c r="P35" s="20"/>
      <c r="Q35" s="21"/>
      <c r="R35" s="68"/>
      <c r="S35" s="68"/>
      <c r="T35" s="68"/>
      <c r="U35" s="68"/>
      <c r="V35" s="68"/>
      <c r="W35" s="68"/>
      <c r="X35" s="68"/>
      <c r="Y35" s="68"/>
      <c r="Z35" s="68"/>
      <c r="AA35" s="68"/>
      <c r="AB35" s="68"/>
      <c r="AC35" s="68"/>
      <c r="AD35" s="68"/>
      <c r="AE35" s="68"/>
      <c r="AF35" s="68"/>
      <c r="AG35" s="68"/>
      <c r="AH35" s="68"/>
    </row>
    <row r="36" ht="22.5" customHeight="1">
      <c r="A36" s="7" t="s">
        <v>17</v>
      </c>
      <c r="B36" s="8">
        <v>45687.0</v>
      </c>
      <c r="C36" s="72" t="s">
        <v>154</v>
      </c>
      <c r="D36" s="10" t="s">
        <v>155</v>
      </c>
      <c r="E36" s="10">
        <v>5.192970091E10</v>
      </c>
      <c r="F36" s="30" t="s">
        <v>61</v>
      </c>
      <c r="G36" s="12">
        <v>8500.0</v>
      </c>
      <c r="H36" s="13">
        <v>9499.0</v>
      </c>
      <c r="I36" s="14">
        <v>1899.0</v>
      </c>
      <c r="J36" s="26" t="s">
        <v>156</v>
      </c>
      <c r="K36" s="16"/>
      <c r="L36" s="24" t="s">
        <v>112</v>
      </c>
      <c r="M36" s="18"/>
      <c r="N36" s="10" t="s">
        <v>157</v>
      </c>
      <c r="O36" s="20"/>
      <c r="P36" s="20"/>
      <c r="Q36" s="21"/>
      <c r="R36" s="68"/>
      <c r="S36" s="68"/>
      <c r="T36" s="68"/>
      <c r="U36" s="68"/>
      <c r="V36" s="68"/>
      <c r="W36" s="68"/>
      <c r="X36" s="68"/>
      <c r="Y36" s="68"/>
      <c r="Z36" s="68"/>
      <c r="AA36" s="68"/>
      <c r="AB36" s="68"/>
      <c r="AC36" s="68"/>
      <c r="AD36" s="68"/>
      <c r="AE36" s="68"/>
      <c r="AF36" s="68"/>
      <c r="AG36" s="68"/>
      <c r="AH36" s="68"/>
    </row>
    <row r="37" ht="22.5" customHeight="1">
      <c r="A37" s="7" t="s">
        <v>34</v>
      </c>
      <c r="B37" s="8">
        <v>45692.0</v>
      </c>
      <c r="C37" s="73" t="s">
        <v>158</v>
      </c>
      <c r="D37" s="10" t="s">
        <v>159</v>
      </c>
      <c r="E37" s="10">
        <v>5.1921143451E10</v>
      </c>
      <c r="F37" s="30" t="s">
        <v>61</v>
      </c>
      <c r="G37" s="12">
        <v>7000.0</v>
      </c>
      <c r="H37" s="13">
        <v>9499.0</v>
      </c>
      <c r="I37" s="14">
        <v>1799.0</v>
      </c>
      <c r="J37" s="26" t="s">
        <v>160</v>
      </c>
      <c r="K37" s="16"/>
      <c r="L37" s="24" t="s">
        <v>28</v>
      </c>
      <c r="M37" s="18"/>
      <c r="N37" s="71" t="s">
        <v>161</v>
      </c>
      <c r="O37" s="20"/>
      <c r="P37" s="20"/>
      <c r="Q37" s="21"/>
      <c r="R37" s="68"/>
      <c r="S37" s="68"/>
      <c r="T37" s="68"/>
      <c r="U37" s="68"/>
      <c r="V37" s="68"/>
      <c r="W37" s="68"/>
      <c r="X37" s="68"/>
      <c r="Y37" s="68"/>
      <c r="Z37" s="68"/>
      <c r="AA37" s="68"/>
      <c r="AB37" s="68"/>
      <c r="AC37" s="68"/>
      <c r="AD37" s="68"/>
      <c r="AE37" s="68"/>
      <c r="AF37" s="68"/>
      <c r="AG37" s="68"/>
      <c r="AH37" s="68"/>
    </row>
    <row r="38" ht="22.5" customHeight="1">
      <c r="A38" s="7" t="s">
        <v>162</v>
      </c>
      <c r="B38" s="8">
        <v>45699.0</v>
      </c>
      <c r="C38" s="69" t="s">
        <v>163</v>
      </c>
      <c r="D38" s="10" t="s">
        <v>164</v>
      </c>
      <c r="E38" s="10">
        <v>5.1954537891E10</v>
      </c>
      <c r="F38" s="11">
        <v>1.0</v>
      </c>
      <c r="G38" s="13">
        <v>5999.0</v>
      </c>
      <c r="H38" s="13">
        <v>5999.0</v>
      </c>
      <c r="I38" s="14">
        <v>1099.99</v>
      </c>
      <c r="J38" s="26" t="s">
        <v>165</v>
      </c>
      <c r="K38" s="16"/>
      <c r="L38" s="24" t="s">
        <v>28</v>
      </c>
      <c r="M38" s="18"/>
      <c r="N38" s="71" t="s">
        <v>166</v>
      </c>
      <c r="O38" s="20"/>
      <c r="P38" s="20"/>
      <c r="Q38" s="21"/>
      <c r="R38" s="68"/>
      <c r="S38" s="68"/>
      <c r="T38" s="68"/>
      <c r="U38" s="68"/>
      <c r="V38" s="68"/>
      <c r="W38" s="68"/>
      <c r="X38" s="68"/>
      <c r="Y38" s="68"/>
      <c r="Z38" s="68"/>
      <c r="AA38" s="68"/>
      <c r="AB38" s="68"/>
      <c r="AC38" s="68"/>
      <c r="AD38" s="68"/>
      <c r="AE38" s="68"/>
      <c r="AF38" s="68"/>
      <c r="AG38" s="68"/>
      <c r="AH38" s="68"/>
    </row>
    <row r="39" ht="22.5" customHeight="1">
      <c r="A39" s="7" t="s">
        <v>34</v>
      </c>
      <c r="B39" s="8">
        <v>45713.0</v>
      </c>
      <c r="C39" s="74" t="s">
        <v>167</v>
      </c>
      <c r="D39" s="43" t="s">
        <v>168</v>
      </c>
      <c r="E39" s="10">
        <v>5.198319005E10</v>
      </c>
      <c r="F39" s="11">
        <v>1.0</v>
      </c>
      <c r="G39" s="12">
        <v>8050.0</v>
      </c>
      <c r="H39" s="13">
        <v>8050.0</v>
      </c>
      <c r="I39" s="75">
        <v>1499.99</v>
      </c>
      <c r="J39" s="34"/>
      <c r="K39" s="16"/>
      <c r="L39" s="24" t="s">
        <v>28</v>
      </c>
      <c r="M39" s="18"/>
      <c r="N39" s="19"/>
      <c r="O39" s="20"/>
      <c r="P39" s="20"/>
      <c r="Q39" s="21"/>
      <c r="R39" s="68"/>
      <c r="S39" s="68"/>
      <c r="T39" s="68"/>
      <c r="U39" s="68"/>
      <c r="V39" s="68"/>
      <c r="W39" s="68"/>
      <c r="X39" s="68"/>
      <c r="Y39" s="68"/>
      <c r="Z39" s="68"/>
      <c r="AA39" s="68"/>
      <c r="AB39" s="68"/>
      <c r="AC39" s="68"/>
      <c r="AD39" s="68"/>
      <c r="AE39" s="68"/>
      <c r="AF39" s="68"/>
      <c r="AG39" s="68"/>
      <c r="AH39" s="68"/>
    </row>
    <row r="40" ht="22.5" customHeight="1">
      <c r="A40" s="7" t="s">
        <v>17</v>
      </c>
      <c r="B40" s="8">
        <v>45717.0</v>
      </c>
      <c r="C40" s="74" t="s">
        <v>169</v>
      </c>
      <c r="D40" s="43" t="s">
        <v>170</v>
      </c>
      <c r="E40" s="10">
        <v>5.194209278E10</v>
      </c>
      <c r="F40" s="11">
        <v>0.3</v>
      </c>
      <c r="G40" s="46">
        <v>1769.0</v>
      </c>
      <c r="H40" s="13">
        <v>5899.0</v>
      </c>
      <c r="I40" s="14">
        <v>1099.0</v>
      </c>
      <c r="J40" s="26" t="s">
        <v>171</v>
      </c>
      <c r="K40" s="16"/>
      <c r="L40" s="24" t="s">
        <v>28</v>
      </c>
      <c r="M40" s="18"/>
      <c r="N40" s="19"/>
      <c r="O40" s="20"/>
      <c r="P40" s="20"/>
      <c r="Q40" s="21"/>
      <c r="R40" s="68"/>
      <c r="S40" s="68"/>
      <c r="T40" s="68"/>
      <c r="U40" s="68"/>
      <c r="V40" s="68"/>
      <c r="W40" s="68"/>
      <c r="X40" s="68"/>
      <c r="Y40" s="68"/>
      <c r="Z40" s="68"/>
      <c r="AA40" s="68"/>
      <c r="AB40" s="68"/>
      <c r="AC40" s="68"/>
      <c r="AD40" s="68"/>
      <c r="AE40" s="68"/>
      <c r="AF40" s="68"/>
      <c r="AG40" s="68"/>
      <c r="AH40" s="68"/>
    </row>
    <row r="41" ht="22.5" customHeight="1">
      <c r="A41" s="7" t="s">
        <v>172</v>
      </c>
      <c r="B41" s="8">
        <v>45729.0</v>
      </c>
      <c r="C41" s="76" t="s">
        <v>173</v>
      </c>
      <c r="D41" s="77" t="s">
        <v>174</v>
      </c>
      <c r="E41" s="10">
        <v>5.1980173806E10</v>
      </c>
      <c r="F41" s="11">
        <v>0.3</v>
      </c>
      <c r="G41" s="46" t="s">
        <v>175</v>
      </c>
      <c r="H41" s="78">
        <v>5050.0</v>
      </c>
      <c r="I41" s="14">
        <v>879.99</v>
      </c>
      <c r="J41" s="26" t="s">
        <v>176</v>
      </c>
      <c r="K41" s="16"/>
      <c r="L41" s="24" t="s">
        <v>148</v>
      </c>
      <c r="M41" s="18"/>
      <c r="N41" s="19"/>
      <c r="O41" s="20"/>
      <c r="P41" s="20"/>
      <c r="Q41" s="21"/>
      <c r="R41" s="68"/>
      <c r="S41" s="68"/>
      <c r="T41" s="68"/>
      <c r="U41" s="68"/>
      <c r="V41" s="68"/>
      <c r="W41" s="68"/>
      <c r="X41" s="68"/>
      <c r="Y41" s="68"/>
      <c r="Z41" s="68"/>
      <c r="AA41" s="68"/>
      <c r="AB41" s="68"/>
      <c r="AC41" s="68"/>
      <c r="AD41" s="68"/>
      <c r="AE41" s="68"/>
      <c r="AF41" s="68"/>
      <c r="AG41" s="68"/>
      <c r="AH41" s="68"/>
    </row>
    <row r="42" ht="22.5" customHeight="1">
      <c r="A42" s="7" t="s">
        <v>34</v>
      </c>
      <c r="B42" s="8">
        <v>45747.0</v>
      </c>
      <c r="C42" s="42" t="s">
        <v>177</v>
      </c>
      <c r="D42" s="43" t="s">
        <v>178</v>
      </c>
      <c r="E42" s="10">
        <v>5.1984276566E10</v>
      </c>
      <c r="F42" s="30" t="s">
        <v>61</v>
      </c>
      <c r="G42" s="12">
        <v>2040.79</v>
      </c>
      <c r="H42" s="79">
        <v>10203.97</v>
      </c>
      <c r="I42" s="14">
        <v>2199.0</v>
      </c>
      <c r="J42" s="26" t="s">
        <v>179</v>
      </c>
      <c r="K42" s="16"/>
      <c r="L42" s="24" t="s">
        <v>148</v>
      </c>
      <c r="M42" s="18"/>
      <c r="N42" s="19"/>
      <c r="O42" s="20"/>
      <c r="P42" s="20"/>
      <c r="Q42" s="21"/>
      <c r="R42" s="68"/>
      <c r="S42" s="68"/>
      <c r="T42" s="68"/>
      <c r="U42" s="68"/>
      <c r="V42" s="68"/>
      <c r="W42" s="68"/>
      <c r="X42" s="68"/>
      <c r="Y42" s="68"/>
      <c r="Z42" s="68"/>
      <c r="AA42" s="68"/>
      <c r="AB42" s="68"/>
      <c r="AC42" s="68"/>
      <c r="AD42" s="68"/>
      <c r="AE42" s="68"/>
      <c r="AF42" s="68"/>
      <c r="AG42" s="68"/>
      <c r="AH42" s="68"/>
    </row>
    <row r="43" ht="22.5" customHeight="1">
      <c r="A43" s="7" t="s">
        <v>34</v>
      </c>
      <c r="B43" s="8">
        <v>45749.0</v>
      </c>
      <c r="C43" s="42" t="s">
        <v>180</v>
      </c>
      <c r="D43" s="43" t="s">
        <v>181</v>
      </c>
      <c r="E43" s="10">
        <v>5.1950147869E10</v>
      </c>
      <c r="F43" s="30" t="s">
        <v>61</v>
      </c>
      <c r="G43" s="12">
        <v>1302.54</v>
      </c>
      <c r="H43" s="80" t="s">
        <v>182</v>
      </c>
      <c r="I43" s="14">
        <v>1299.0</v>
      </c>
      <c r="J43" s="26" t="s">
        <v>183</v>
      </c>
      <c r="K43" s="16"/>
      <c r="L43" s="24" t="s">
        <v>28</v>
      </c>
      <c r="M43" s="18"/>
      <c r="N43" s="19"/>
      <c r="O43" s="20"/>
      <c r="P43" s="20"/>
      <c r="Q43" s="21"/>
      <c r="R43" s="68"/>
      <c r="S43" s="68"/>
      <c r="T43" s="68"/>
      <c r="U43" s="68"/>
      <c r="V43" s="68"/>
      <c r="W43" s="68"/>
      <c r="X43" s="68"/>
      <c r="Y43" s="68"/>
      <c r="Z43" s="68"/>
      <c r="AA43" s="68"/>
      <c r="AB43" s="68"/>
      <c r="AC43" s="68"/>
      <c r="AD43" s="68"/>
      <c r="AE43" s="68"/>
      <c r="AF43" s="68"/>
      <c r="AG43" s="68"/>
      <c r="AH43" s="68"/>
    </row>
    <row r="44" ht="22.5" customHeight="1">
      <c r="A44" s="7" t="s">
        <v>17</v>
      </c>
      <c r="B44" s="8">
        <v>45750.0</v>
      </c>
      <c r="C44" s="81" t="s">
        <v>184</v>
      </c>
      <c r="D44" s="10" t="s">
        <v>185</v>
      </c>
      <c r="E44" s="10" t="s">
        <v>186</v>
      </c>
      <c r="F44" s="30" t="s">
        <v>61</v>
      </c>
      <c r="G44" s="82">
        <v>1270.04</v>
      </c>
      <c r="H44" s="13">
        <v>6351.04</v>
      </c>
      <c r="I44" s="14">
        <v>1299.0</v>
      </c>
      <c r="J44" s="26" t="s">
        <v>187</v>
      </c>
      <c r="K44" s="16"/>
      <c r="L44" s="24" t="s">
        <v>28</v>
      </c>
      <c r="M44" s="18"/>
      <c r="N44" s="19"/>
      <c r="O44" s="20"/>
      <c r="P44" s="20"/>
      <c r="Q44" s="21"/>
      <c r="R44" s="68"/>
      <c r="S44" s="68"/>
      <c r="T44" s="68"/>
      <c r="U44" s="68"/>
      <c r="V44" s="68"/>
      <c r="W44" s="68"/>
      <c r="X44" s="68"/>
      <c r="Y44" s="68"/>
      <c r="Z44" s="68"/>
      <c r="AA44" s="68"/>
      <c r="AB44" s="68"/>
      <c r="AC44" s="68"/>
      <c r="AD44" s="68"/>
      <c r="AE44" s="68"/>
      <c r="AF44" s="68"/>
      <c r="AG44" s="68"/>
      <c r="AH44" s="68"/>
    </row>
    <row r="45" ht="22.5" customHeight="1">
      <c r="A45" s="7" t="s">
        <v>162</v>
      </c>
      <c r="B45" s="8">
        <v>45750.0</v>
      </c>
      <c r="C45" s="83" t="s">
        <v>188</v>
      </c>
      <c r="D45" s="10" t="s">
        <v>189</v>
      </c>
      <c r="E45" s="10">
        <v>9.73392553E8</v>
      </c>
      <c r="F45" s="30" t="s">
        <v>61</v>
      </c>
      <c r="G45" s="12">
        <v>1319.0</v>
      </c>
      <c r="H45" s="13">
        <v>4915.0</v>
      </c>
      <c r="I45" s="14">
        <v>949.99</v>
      </c>
      <c r="J45" s="34"/>
      <c r="K45" s="16"/>
      <c r="L45" s="24" t="s">
        <v>143</v>
      </c>
      <c r="M45" s="18"/>
      <c r="N45" s="19"/>
      <c r="O45" s="20"/>
      <c r="P45" s="20"/>
      <c r="Q45" s="21"/>
      <c r="R45" s="68"/>
      <c r="S45" s="68"/>
      <c r="T45" s="68"/>
      <c r="U45" s="68"/>
      <c r="V45" s="68"/>
      <c r="W45" s="68"/>
      <c r="X45" s="68"/>
      <c r="Y45" s="68"/>
      <c r="Z45" s="68"/>
      <c r="AA45" s="68"/>
      <c r="AB45" s="68"/>
      <c r="AC45" s="68"/>
      <c r="AD45" s="68"/>
      <c r="AE45" s="68"/>
      <c r="AF45" s="68"/>
      <c r="AG45" s="68"/>
      <c r="AH45" s="68"/>
    </row>
    <row r="46" ht="22.5" customHeight="1">
      <c r="A46" s="7" t="s">
        <v>34</v>
      </c>
      <c r="B46" s="8">
        <v>45752.0</v>
      </c>
      <c r="C46" s="84" t="s">
        <v>66</v>
      </c>
      <c r="D46" s="10" t="s">
        <v>190</v>
      </c>
      <c r="E46" s="10">
        <v>9.41342884E8</v>
      </c>
      <c r="F46" s="30" t="s">
        <v>61</v>
      </c>
      <c r="G46" s="12">
        <v>1871.2</v>
      </c>
      <c r="H46" s="13">
        <v>9355.8</v>
      </c>
      <c r="I46" s="14">
        <v>1999.99</v>
      </c>
      <c r="J46" s="34"/>
      <c r="K46" s="16"/>
      <c r="L46" s="24" t="s">
        <v>143</v>
      </c>
      <c r="M46" s="18"/>
      <c r="N46" s="19"/>
      <c r="O46" s="20"/>
      <c r="P46" s="20"/>
      <c r="Q46" s="21"/>
      <c r="R46" s="68"/>
      <c r="S46" s="68"/>
      <c r="T46" s="68"/>
      <c r="U46" s="68"/>
      <c r="V46" s="68"/>
      <c r="W46" s="68"/>
      <c r="X46" s="68"/>
      <c r="Y46" s="68"/>
      <c r="Z46" s="68"/>
      <c r="AA46" s="68"/>
      <c r="AB46" s="68"/>
      <c r="AC46" s="68"/>
      <c r="AD46" s="68"/>
      <c r="AE46" s="68"/>
      <c r="AF46" s="68"/>
      <c r="AG46" s="68"/>
      <c r="AH46" s="68"/>
    </row>
    <row r="47" ht="22.5" customHeight="1">
      <c r="A47" s="85" t="s">
        <v>34</v>
      </c>
      <c r="B47" s="86">
        <v>45752.0</v>
      </c>
      <c r="C47" s="87" t="s">
        <v>191</v>
      </c>
      <c r="D47" s="88" t="s">
        <v>192</v>
      </c>
      <c r="E47" s="89">
        <v>5.1976452348E10</v>
      </c>
      <c r="F47" s="90" t="s">
        <v>61</v>
      </c>
      <c r="G47" s="91">
        <v>784.8</v>
      </c>
      <c r="H47" s="92">
        <v>3924.0</v>
      </c>
      <c r="I47" s="93">
        <v>749.99</v>
      </c>
      <c r="J47" s="94" t="s">
        <v>193</v>
      </c>
      <c r="K47" s="95"/>
      <c r="L47" s="96" t="s">
        <v>194</v>
      </c>
      <c r="M47" s="97"/>
      <c r="N47" s="98"/>
      <c r="O47" s="99"/>
      <c r="P47" s="99"/>
      <c r="Q47" s="100"/>
      <c r="R47" s="101"/>
      <c r="S47" s="101"/>
      <c r="T47" s="101"/>
      <c r="U47" s="101"/>
      <c r="V47" s="101"/>
      <c r="W47" s="101"/>
      <c r="X47" s="101"/>
      <c r="Y47" s="101"/>
      <c r="Z47" s="101"/>
      <c r="AA47" s="101"/>
      <c r="AB47" s="101"/>
      <c r="AC47" s="101"/>
      <c r="AD47" s="101"/>
      <c r="AE47" s="101"/>
      <c r="AF47" s="101"/>
      <c r="AG47" s="101"/>
      <c r="AH47" s="101"/>
    </row>
    <row r="48" ht="22.5" customHeight="1">
      <c r="A48" s="7" t="s">
        <v>17</v>
      </c>
      <c r="B48" s="8">
        <v>45752.0</v>
      </c>
      <c r="C48" s="81" t="s">
        <v>184</v>
      </c>
      <c r="D48" s="10" t="s">
        <v>195</v>
      </c>
      <c r="E48" s="10" t="s">
        <v>196</v>
      </c>
      <c r="F48" s="30" t="s">
        <v>61</v>
      </c>
      <c r="G48" s="46">
        <v>2000.0</v>
      </c>
      <c r="H48" s="13">
        <v>6540.0</v>
      </c>
      <c r="I48" s="14">
        <v>1299.0</v>
      </c>
      <c r="J48" s="26" t="s">
        <v>197</v>
      </c>
      <c r="K48" s="16"/>
      <c r="L48" s="24" t="s">
        <v>28</v>
      </c>
      <c r="M48" s="18"/>
      <c r="N48" s="19"/>
      <c r="O48" s="20"/>
      <c r="P48" s="20"/>
      <c r="Q48" s="21"/>
      <c r="R48" s="68"/>
      <c r="S48" s="68"/>
      <c r="T48" s="68"/>
      <c r="U48" s="68"/>
      <c r="V48" s="68"/>
      <c r="W48" s="68"/>
      <c r="X48" s="68"/>
      <c r="Y48" s="68"/>
      <c r="Z48" s="68"/>
      <c r="AA48" s="68"/>
      <c r="AB48" s="68"/>
      <c r="AC48" s="68"/>
      <c r="AD48" s="68"/>
      <c r="AE48" s="68"/>
      <c r="AF48" s="68"/>
      <c r="AG48" s="68"/>
      <c r="AH48" s="68"/>
    </row>
    <row r="49" ht="22.5" customHeight="1">
      <c r="A49" s="7" t="s">
        <v>34</v>
      </c>
      <c r="B49" s="8">
        <v>45752.0</v>
      </c>
      <c r="C49" s="84" t="s">
        <v>198</v>
      </c>
      <c r="D49" s="10" t="s">
        <v>190</v>
      </c>
      <c r="E49" s="10">
        <v>9.41342884E8</v>
      </c>
      <c r="F49" s="30" t="s">
        <v>61</v>
      </c>
      <c r="G49" s="12">
        <v>1871.2</v>
      </c>
      <c r="H49" s="79">
        <v>10040.06</v>
      </c>
      <c r="I49" s="14">
        <v>2159.99</v>
      </c>
      <c r="J49" s="26" t="s">
        <v>199</v>
      </c>
      <c r="K49" s="39" t="s">
        <v>200</v>
      </c>
      <c r="L49" s="24" t="s">
        <v>148</v>
      </c>
      <c r="M49" s="18"/>
      <c r="N49" s="19"/>
      <c r="O49" s="20"/>
      <c r="P49" s="20"/>
      <c r="Q49" s="21"/>
      <c r="R49" s="68"/>
      <c r="S49" s="68"/>
      <c r="T49" s="68"/>
      <c r="U49" s="68"/>
      <c r="V49" s="68"/>
      <c r="W49" s="68"/>
      <c r="X49" s="68"/>
      <c r="Y49" s="68"/>
      <c r="Z49" s="68"/>
      <c r="AA49" s="68"/>
      <c r="AB49" s="68"/>
      <c r="AC49" s="68"/>
      <c r="AD49" s="68"/>
      <c r="AE49" s="68"/>
      <c r="AF49" s="68"/>
      <c r="AG49" s="68"/>
      <c r="AH49" s="68"/>
    </row>
    <row r="50" ht="22.5" customHeight="1">
      <c r="A50" s="7" t="s">
        <v>162</v>
      </c>
      <c r="B50" s="8">
        <v>45756.0</v>
      </c>
      <c r="C50" s="76" t="s">
        <v>201</v>
      </c>
      <c r="D50" s="102" t="s">
        <v>202</v>
      </c>
      <c r="E50" s="10">
        <v>5.1964627601E10</v>
      </c>
      <c r="F50" s="30" t="s">
        <v>61</v>
      </c>
      <c r="G50" s="12">
        <v>1400.0</v>
      </c>
      <c r="H50" s="13">
        <v>6779.0</v>
      </c>
      <c r="I50" s="14">
        <v>1399.0</v>
      </c>
      <c r="J50" s="26" t="s">
        <v>203</v>
      </c>
      <c r="K50" s="39" t="s">
        <v>200</v>
      </c>
      <c r="L50" s="24" t="s">
        <v>148</v>
      </c>
      <c r="M50" s="18"/>
      <c r="N50" s="19"/>
      <c r="O50" s="20"/>
      <c r="P50" s="20"/>
      <c r="Q50" s="21"/>
      <c r="R50" s="68"/>
      <c r="S50" s="68"/>
      <c r="T50" s="68"/>
      <c r="U50" s="68"/>
      <c r="V50" s="68"/>
      <c r="W50" s="68"/>
      <c r="X50" s="68"/>
      <c r="Y50" s="68"/>
      <c r="Z50" s="68"/>
      <c r="AA50" s="68"/>
      <c r="AB50" s="68"/>
      <c r="AC50" s="68"/>
      <c r="AD50" s="68"/>
      <c r="AE50" s="68"/>
      <c r="AF50" s="68"/>
      <c r="AG50" s="68"/>
      <c r="AH50" s="68"/>
    </row>
    <row r="51" ht="22.5" customHeight="1">
      <c r="A51" s="7" t="s">
        <v>162</v>
      </c>
      <c r="B51" s="8">
        <v>45757.0</v>
      </c>
      <c r="C51" s="103" t="s">
        <v>204</v>
      </c>
      <c r="D51" s="102" t="s">
        <v>205</v>
      </c>
      <c r="E51" s="104">
        <v>9.56938344E8</v>
      </c>
      <c r="F51" s="30" t="s">
        <v>61</v>
      </c>
      <c r="G51" s="12">
        <v>1700.0</v>
      </c>
      <c r="H51" s="13">
        <v>9495.0</v>
      </c>
      <c r="I51" s="14">
        <v>1999.99</v>
      </c>
      <c r="J51" s="26" t="s">
        <v>206</v>
      </c>
      <c r="K51" s="16"/>
      <c r="L51" s="24" t="s">
        <v>112</v>
      </c>
      <c r="M51" s="18"/>
      <c r="N51" s="19"/>
      <c r="O51" s="20"/>
      <c r="P51" s="20"/>
      <c r="Q51" s="21"/>
      <c r="R51" s="68"/>
      <c r="S51" s="68"/>
      <c r="T51" s="68"/>
      <c r="U51" s="68"/>
      <c r="V51" s="68"/>
      <c r="W51" s="68"/>
      <c r="X51" s="68"/>
      <c r="Y51" s="68"/>
      <c r="Z51" s="68"/>
      <c r="AA51" s="68"/>
      <c r="AB51" s="68"/>
      <c r="AC51" s="68"/>
      <c r="AD51" s="68"/>
      <c r="AE51" s="68"/>
      <c r="AF51" s="68"/>
      <c r="AG51" s="68"/>
      <c r="AH51" s="68"/>
    </row>
    <row r="52" ht="22.5" customHeight="1">
      <c r="A52" s="7" t="s">
        <v>17</v>
      </c>
      <c r="B52" s="8">
        <v>45757.0</v>
      </c>
      <c r="C52" s="105" t="s">
        <v>207</v>
      </c>
      <c r="D52" s="106" t="s">
        <v>208</v>
      </c>
      <c r="E52" s="10" t="s">
        <v>209</v>
      </c>
      <c r="F52" s="30" t="s">
        <v>61</v>
      </c>
      <c r="G52" s="46">
        <v>3000.0</v>
      </c>
      <c r="H52" s="13">
        <v>5864.0</v>
      </c>
      <c r="I52" s="14">
        <v>1199.0</v>
      </c>
      <c r="J52" s="26" t="s">
        <v>210</v>
      </c>
      <c r="K52" s="16"/>
      <c r="L52" s="24" t="s">
        <v>194</v>
      </c>
      <c r="M52" s="18"/>
      <c r="N52" s="19"/>
      <c r="O52" s="20"/>
      <c r="P52" s="20"/>
      <c r="Q52" s="21"/>
      <c r="R52" s="68"/>
      <c r="S52" s="68"/>
      <c r="T52" s="68"/>
      <c r="U52" s="68"/>
      <c r="V52" s="68"/>
      <c r="W52" s="68"/>
      <c r="X52" s="68"/>
      <c r="Y52" s="68"/>
      <c r="Z52" s="68"/>
      <c r="AA52" s="68"/>
      <c r="AB52" s="68"/>
      <c r="AC52" s="68"/>
      <c r="AD52" s="68"/>
      <c r="AE52" s="68"/>
      <c r="AF52" s="68"/>
      <c r="AG52" s="68"/>
      <c r="AH52" s="68"/>
    </row>
    <row r="53" ht="22.5" customHeight="1">
      <c r="A53" s="7" t="s">
        <v>211</v>
      </c>
      <c r="B53" s="8">
        <v>45757.0</v>
      </c>
      <c r="C53" s="57" t="s">
        <v>212</v>
      </c>
      <c r="D53" s="10" t="s">
        <v>213</v>
      </c>
      <c r="E53" s="10" t="s">
        <v>214</v>
      </c>
      <c r="F53" s="30" t="s">
        <v>61</v>
      </c>
      <c r="G53" s="12">
        <v>1486.63</v>
      </c>
      <c r="H53" s="13">
        <v>4851.06</v>
      </c>
      <c r="I53" s="14">
        <v>999.99</v>
      </c>
      <c r="J53" s="26" t="s">
        <v>215</v>
      </c>
      <c r="K53" s="39" t="s">
        <v>216</v>
      </c>
      <c r="L53" s="24" t="s">
        <v>194</v>
      </c>
      <c r="M53" s="18"/>
      <c r="N53" s="19"/>
      <c r="O53" s="20"/>
      <c r="P53" s="20"/>
      <c r="Q53" s="21"/>
      <c r="R53" s="68"/>
      <c r="S53" s="68"/>
      <c r="T53" s="68"/>
      <c r="U53" s="68"/>
      <c r="V53" s="68"/>
      <c r="W53" s="68"/>
      <c r="X53" s="68"/>
      <c r="Y53" s="68"/>
      <c r="Z53" s="68"/>
      <c r="AA53" s="68"/>
      <c r="AB53" s="68"/>
      <c r="AC53" s="68"/>
      <c r="AD53" s="68"/>
      <c r="AE53" s="68"/>
      <c r="AF53" s="68"/>
      <c r="AG53" s="68"/>
      <c r="AH53" s="68"/>
    </row>
    <row r="54" ht="22.5" customHeight="1">
      <c r="A54" s="7" t="s">
        <v>17</v>
      </c>
      <c r="B54" s="8">
        <v>45758.0</v>
      </c>
      <c r="C54" s="107" t="s">
        <v>217</v>
      </c>
      <c r="D54" s="102" t="s">
        <v>218</v>
      </c>
      <c r="E54" s="10">
        <v>5.1918650414E10</v>
      </c>
      <c r="F54" s="30" t="s">
        <v>61</v>
      </c>
      <c r="G54" s="31"/>
      <c r="H54" s="13">
        <v>7043.64</v>
      </c>
      <c r="I54" s="33"/>
      <c r="J54" s="26" t="s">
        <v>219</v>
      </c>
      <c r="K54" s="39" t="s">
        <v>200</v>
      </c>
      <c r="L54" s="24" t="s">
        <v>148</v>
      </c>
      <c r="M54" s="18"/>
      <c r="N54" s="19"/>
      <c r="O54" s="20"/>
      <c r="P54" s="20"/>
      <c r="Q54" s="21"/>
      <c r="R54" s="68"/>
      <c r="S54" s="68"/>
      <c r="T54" s="68"/>
      <c r="U54" s="68"/>
      <c r="V54" s="68"/>
      <c r="W54" s="68"/>
      <c r="X54" s="68"/>
      <c r="Y54" s="68"/>
      <c r="Z54" s="68"/>
      <c r="AA54" s="68"/>
      <c r="AB54" s="68"/>
      <c r="AC54" s="68"/>
      <c r="AD54" s="68"/>
      <c r="AE54" s="68"/>
      <c r="AF54" s="68"/>
      <c r="AG54" s="68"/>
      <c r="AH54" s="68"/>
    </row>
    <row r="55" ht="22.5" customHeight="1">
      <c r="A55" s="7" t="s">
        <v>162</v>
      </c>
      <c r="B55" s="8">
        <v>45759.0</v>
      </c>
      <c r="C55" s="108" t="s">
        <v>220</v>
      </c>
      <c r="D55" s="104" t="s">
        <v>221</v>
      </c>
      <c r="E55" s="10">
        <v>5.1914786361E10</v>
      </c>
      <c r="F55" s="30" t="s">
        <v>61</v>
      </c>
      <c r="G55" s="12">
        <v>1524.0</v>
      </c>
      <c r="H55" s="13">
        <v>5160.24</v>
      </c>
      <c r="I55" s="14">
        <v>999.99</v>
      </c>
      <c r="J55" s="34"/>
      <c r="K55" s="16"/>
      <c r="L55" s="109"/>
      <c r="M55" s="18"/>
      <c r="N55" s="19"/>
      <c r="O55" s="20"/>
      <c r="P55" s="20"/>
      <c r="Q55" s="21"/>
      <c r="R55" s="68"/>
      <c r="S55" s="68"/>
      <c r="T55" s="68"/>
      <c r="U55" s="68"/>
      <c r="V55" s="68"/>
      <c r="W55" s="68"/>
      <c r="X55" s="68"/>
      <c r="Y55" s="68"/>
      <c r="Z55" s="68"/>
      <c r="AA55" s="68"/>
      <c r="AB55" s="68"/>
      <c r="AC55" s="68"/>
      <c r="AD55" s="68"/>
      <c r="AE55" s="68"/>
      <c r="AF55" s="68"/>
      <c r="AG55" s="68"/>
      <c r="AH55" s="68"/>
    </row>
    <row r="56" ht="22.5" customHeight="1">
      <c r="A56" s="7" t="s">
        <v>34</v>
      </c>
      <c r="B56" s="8">
        <v>45760.0</v>
      </c>
      <c r="C56" s="110" t="s">
        <v>222</v>
      </c>
      <c r="D56" s="102" t="s">
        <v>223</v>
      </c>
      <c r="E56" s="10">
        <v>5.1921829034E10</v>
      </c>
      <c r="F56" s="30" t="s">
        <v>61</v>
      </c>
      <c r="G56" s="12">
        <v>1247.95</v>
      </c>
      <c r="H56" s="13">
        <v>6239.74</v>
      </c>
      <c r="I56" s="14">
        <v>1216.99</v>
      </c>
      <c r="J56" s="34"/>
      <c r="K56" s="16"/>
      <c r="L56" s="24" t="s">
        <v>28</v>
      </c>
      <c r="M56" s="18"/>
      <c r="N56" s="19"/>
      <c r="O56" s="20"/>
      <c r="P56" s="20"/>
      <c r="Q56" s="21"/>
      <c r="R56" s="68"/>
      <c r="S56" s="68"/>
      <c r="T56" s="68"/>
      <c r="U56" s="68"/>
      <c r="V56" s="68"/>
      <c r="W56" s="68"/>
      <c r="X56" s="68"/>
      <c r="Y56" s="68"/>
      <c r="Z56" s="68"/>
      <c r="AA56" s="68"/>
      <c r="AB56" s="68"/>
      <c r="AC56" s="68"/>
      <c r="AD56" s="68"/>
      <c r="AE56" s="68"/>
      <c r="AF56" s="68"/>
      <c r="AG56" s="68"/>
      <c r="AH56" s="68"/>
    </row>
    <row r="57" ht="22.5" customHeight="1">
      <c r="A57" s="7" t="s">
        <v>162</v>
      </c>
      <c r="B57" s="8">
        <v>45760.0</v>
      </c>
      <c r="C57" s="111" t="s">
        <v>224</v>
      </c>
      <c r="D57" s="10" t="s">
        <v>225</v>
      </c>
      <c r="E57" s="10">
        <v>5.1983268383E10</v>
      </c>
      <c r="F57" s="30" t="s">
        <v>61</v>
      </c>
      <c r="G57" s="12">
        <v>1310.0</v>
      </c>
      <c r="H57" s="13">
        <v>6290.75</v>
      </c>
      <c r="I57" s="14">
        <v>1299.0</v>
      </c>
      <c r="J57" s="34"/>
      <c r="K57" s="16"/>
      <c r="L57" s="24" t="s">
        <v>148</v>
      </c>
      <c r="M57" s="18"/>
      <c r="N57" s="19"/>
      <c r="O57" s="20"/>
      <c r="P57" s="20"/>
      <c r="Q57" s="21"/>
      <c r="R57" s="68"/>
      <c r="S57" s="68"/>
      <c r="T57" s="68"/>
      <c r="U57" s="68"/>
      <c r="V57" s="68"/>
      <c r="W57" s="68"/>
      <c r="X57" s="68"/>
      <c r="Y57" s="68"/>
      <c r="Z57" s="68"/>
      <c r="AA57" s="68"/>
      <c r="AB57" s="68"/>
      <c r="AC57" s="68"/>
      <c r="AD57" s="68"/>
      <c r="AE57" s="68"/>
      <c r="AF57" s="68"/>
      <c r="AG57" s="68"/>
      <c r="AH57" s="68"/>
    </row>
    <row r="58" ht="22.5" customHeight="1">
      <c r="A58" s="7" t="s">
        <v>162</v>
      </c>
      <c r="B58" s="112">
        <v>45761.0</v>
      </c>
      <c r="C58" s="113" t="s">
        <v>224</v>
      </c>
      <c r="D58" s="10" t="s">
        <v>226</v>
      </c>
      <c r="E58" s="10">
        <v>9.18383461E8</v>
      </c>
      <c r="F58" s="30" t="s">
        <v>61</v>
      </c>
      <c r="G58" s="12">
        <v>1306.0</v>
      </c>
      <c r="H58" s="12">
        <v>6284.3</v>
      </c>
      <c r="I58" s="114">
        <v>1299.0</v>
      </c>
      <c r="J58" s="34"/>
      <c r="K58" s="16"/>
      <c r="L58" s="24" t="s">
        <v>148</v>
      </c>
      <c r="M58" s="18"/>
      <c r="N58" s="19"/>
      <c r="O58" s="20"/>
      <c r="P58" s="20"/>
      <c r="Q58" s="21"/>
      <c r="R58" s="68"/>
      <c r="S58" s="68"/>
      <c r="T58" s="68"/>
      <c r="U58" s="68"/>
      <c r="V58" s="68"/>
      <c r="W58" s="68"/>
      <c r="X58" s="68"/>
      <c r="Y58" s="68"/>
      <c r="Z58" s="68"/>
      <c r="AA58" s="68"/>
      <c r="AB58" s="68"/>
      <c r="AC58" s="68"/>
      <c r="AD58" s="68"/>
      <c r="AE58" s="68"/>
      <c r="AF58" s="68"/>
      <c r="AG58" s="68"/>
      <c r="AH58" s="68"/>
    </row>
    <row r="59" ht="22.5" customHeight="1">
      <c r="A59" s="7" t="s">
        <v>17</v>
      </c>
      <c r="B59" s="28"/>
      <c r="C59" s="115"/>
      <c r="D59" s="45"/>
      <c r="E59" s="45"/>
      <c r="F59" s="116"/>
      <c r="G59" s="31"/>
      <c r="H59" s="32"/>
      <c r="I59" s="33"/>
      <c r="J59" s="34"/>
      <c r="K59" s="16"/>
      <c r="L59" s="109"/>
      <c r="M59" s="18"/>
      <c r="N59" s="19"/>
      <c r="O59" s="20"/>
      <c r="P59" s="20"/>
      <c r="Q59" s="21"/>
      <c r="R59" s="68"/>
      <c r="S59" s="68"/>
      <c r="T59" s="68"/>
      <c r="U59" s="68"/>
      <c r="V59" s="68"/>
      <c r="W59" s="68"/>
      <c r="X59" s="68"/>
      <c r="Y59" s="68"/>
      <c r="Z59" s="68"/>
      <c r="AA59" s="68"/>
      <c r="AB59" s="68"/>
      <c r="AC59" s="68"/>
      <c r="AD59" s="68"/>
      <c r="AE59" s="68"/>
      <c r="AF59" s="68"/>
      <c r="AG59" s="68"/>
      <c r="AH59" s="68"/>
    </row>
    <row r="60" ht="22.5" customHeight="1">
      <c r="A60" s="7" t="s">
        <v>17</v>
      </c>
      <c r="B60" s="28"/>
      <c r="C60" s="115"/>
      <c r="D60" s="45"/>
      <c r="E60" s="45"/>
      <c r="F60" s="116"/>
      <c r="G60" s="31"/>
      <c r="H60" s="32"/>
      <c r="I60" s="33"/>
      <c r="J60" s="34"/>
      <c r="K60" s="16"/>
      <c r="L60" s="109"/>
      <c r="M60" s="18"/>
      <c r="N60" s="19"/>
      <c r="O60" s="20"/>
      <c r="P60" s="20"/>
      <c r="Q60" s="21"/>
      <c r="R60" s="68"/>
      <c r="S60" s="68"/>
      <c r="T60" s="68"/>
      <c r="U60" s="68"/>
      <c r="V60" s="68"/>
      <c r="W60" s="68"/>
      <c r="X60" s="68"/>
      <c r="Y60" s="68"/>
      <c r="Z60" s="68"/>
      <c r="AA60" s="68"/>
      <c r="AB60" s="68"/>
      <c r="AC60" s="68"/>
      <c r="AD60" s="68"/>
      <c r="AE60" s="68"/>
      <c r="AF60" s="68"/>
      <c r="AG60" s="68"/>
      <c r="AH60" s="68"/>
    </row>
    <row r="61" ht="22.5" customHeight="1">
      <c r="A61" s="7" t="s">
        <v>17</v>
      </c>
      <c r="B61" s="8">
        <v>45763.0</v>
      </c>
      <c r="D61" s="45"/>
      <c r="E61" s="45"/>
      <c r="F61" s="116"/>
      <c r="G61" s="31"/>
      <c r="H61" s="32"/>
      <c r="I61" s="33"/>
      <c r="J61" s="34"/>
      <c r="K61" s="16"/>
      <c r="L61" s="109"/>
      <c r="M61" s="18"/>
      <c r="N61" s="19"/>
      <c r="O61" s="20"/>
      <c r="P61" s="20"/>
      <c r="Q61" s="21"/>
      <c r="R61" s="68"/>
      <c r="S61" s="68"/>
      <c r="T61" s="68"/>
      <c r="U61" s="68"/>
      <c r="V61" s="68"/>
      <c r="W61" s="68"/>
      <c r="X61" s="68"/>
      <c r="Y61" s="68"/>
      <c r="Z61" s="68"/>
      <c r="AA61" s="68"/>
      <c r="AB61" s="68"/>
      <c r="AC61" s="68"/>
      <c r="AD61" s="68"/>
      <c r="AE61" s="68"/>
      <c r="AF61" s="68"/>
      <c r="AG61" s="68"/>
      <c r="AH61" s="68"/>
    </row>
    <row r="62" ht="22.5" customHeight="1">
      <c r="A62" s="7" t="s">
        <v>34</v>
      </c>
      <c r="B62" s="8">
        <v>45774.0</v>
      </c>
      <c r="C62" s="117" t="s">
        <v>227</v>
      </c>
      <c r="D62" s="104" t="s">
        <v>228</v>
      </c>
      <c r="E62" s="10">
        <v>5.1979721077E10</v>
      </c>
      <c r="F62" s="30" t="s">
        <v>61</v>
      </c>
      <c r="G62" s="12">
        <v>1396.13</v>
      </c>
      <c r="H62" s="13">
        <v>6980.63</v>
      </c>
      <c r="I62" s="14">
        <v>1499.99</v>
      </c>
      <c r="J62" s="34"/>
      <c r="K62" s="16"/>
      <c r="L62" s="109"/>
      <c r="M62" s="18"/>
      <c r="N62" s="19"/>
      <c r="O62" s="20"/>
      <c r="P62" s="20"/>
      <c r="Q62" s="21"/>
      <c r="R62" s="68"/>
      <c r="S62" s="68"/>
      <c r="T62" s="68"/>
      <c r="U62" s="68"/>
      <c r="V62" s="68"/>
      <c r="W62" s="68"/>
      <c r="X62" s="68"/>
      <c r="Y62" s="68"/>
      <c r="Z62" s="68"/>
      <c r="AA62" s="68"/>
      <c r="AB62" s="68"/>
      <c r="AC62" s="68"/>
      <c r="AD62" s="68"/>
      <c r="AE62" s="68"/>
      <c r="AF62" s="68"/>
      <c r="AG62" s="68"/>
      <c r="AH62" s="68"/>
    </row>
    <row r="63" ht="22.5" customHeight="1">
      <c r="A63" s="20"/>
      <c r="B63" s="28"/>
      <c r="C63" s="115"/>
      <c r="D63" s="45"/>
      <c r="E63" s="45"/>
      <c r="F63" s="116"/>
      <c r="G63" s="31"/>
      <c r="H63" s="32"/>
      <c r="I63" s="33"/>
      <c r="J63" s="34"/>
      <c r="K63" s="16"/>
      <c r="L63" s="109"/>
      <c r="M63" s="18"/>
      <c r="N63" s="19"/>
      <c r="O63" s="20"/>
      <c r="P63" s="20"/>
      <c r="Q63" s="21"/>
      <c r="R63" s="68"/>
      <c r="S63" s="68"/>
      <c r="T63" s="68"/>
      <c r="U63" s="68"/>
      <c r="V63" s="68"/>
      <c r="W63" s="68"/>
      <c r="X63" s="68"/>
      <c r="Y63" s="68"/>
      <c r="Z63" s="68"/>
      <c r="AA63" s="68"/>
      <c r="AB63" s="68"/>
      <c r="AC63" s="68"/>
      <c r="AD63" s="68"/>
      <c r="AE63" s="68"/>
      <c r="AF63" s="68"/>
      <c r="AG63" s="68"/>
      <c r="AH63" s="68"/>
    </row>
    <row r="64" ht="22.5" customHeight="1">
      <c r="A64" s="118"/>
      <c r="B64" s="119"/>
      <c r="C64" s="120"/>
      <c r="D64" s="121"/>
      <c r="E64" s="121"/>
      <c r="F64" s="122"/>
      <c r="G64" s="123"/>
      <c r="H64" s="124"/>
      <c r="I64" s="125"/>
      <c r="J64" s="126"/>
      <c r="K64" s="127"/>
      <c r="L64" s="128"/>
      <c r="M64" s="129"/>
      <c r="N64" s="130"/>
      <c r="O64" s="118"/>
      <c r="P64" s="118"/>
      <c r="Q64" s="131"/>
    </row>
    <row r="65" ht="22.5" customHeight="1">
      <c r="A65" s="118"/>
      <c r="B65" s="119"/>
      <c r="C65" s="120"/>
      <c r="D65" s="121"/>
      <c r="E65" s="121"/>
      <c r="F65" s="122"/>
      <c r="G65" s="123"/>
      <c r="H65" s="124"/>
      <c r="I65" s="125"/>
      <c r="J65" s="126"/>
      <c r="K65" s="127"/>
      <c r="L65" s="128"/>
      <c r="M65" s="129"/>
      <c r="N65" s="130"/>
      <c r="O65" s="118"/>
      <c r="P65" s="118"/>
      <c r="Q65" s="131"/>
    </row>
    <row r="66" ht="22.5" customHeight="1">
      <c r="A66" s="118"/>
      <c r="B66" s="119"/>
      <c r="C66" s="120"/>
      <c r="D66" s="121"/>
      <c r="E66" s="121"/>
      <c r="F66" s="122"/>
      <c r="G66" s="123"/>
      <c r="H66" s="124"/>
      <c r="I66" s="125"/>
      <c r="J66" s="126"/>
      <c r="K66" s="127"/>
      <c r="L66" s="128"/>
      <c r="M66" s="129"/>
      <c r="N66" s="130"/>
      <c r="O66" s="118"/>
      <c r="P66" s="118"/>
      <c r="Q66" s="131"/>
    </row>
    <row r="67" ht="22.5" customHeight="1">
      <c r="A67" s="118"/>
      <c r="B67" s="119"/>
      <c r="C67" s="120"/>
      <c r="D67" s="121"/>
      <c r="E67" s="121"/>
      <c r="F67" s="122"/>
      <c r="G67" s="123"/>
      <c r="H67" s="124"/>
      <c r="I67" s="125"/>
      <c r="J67" s="126"/>
      <c r="K67" s="127"/>
      <c r="L67" s="128"/>
      <c r="M67" s="129"/>
      <c r="N67" s="130"/>
      <c r="O67" s="118"/>
      <c r="P67" s="118"/>
      <c r="Q67" s="131"/>
    </row>
    <row r="68" ht="22.5" customHeight="1">
      <c r="A68" s="118"/>
      <c r="B68" s="119"/>
      <c r="C68" s="120"/>
      <c r="D68" s="121"/>
      <c r="E68" s="121"/>
      <c r="F68" s="122"/>
      <c r="G68" s="123"/>
      <c r="H68" s="124"/>
      <c r="I68" s="125"/>
      <c r="J68" s="126"/>
      <c r="K68" s="127"/>
      <c r="L68" s="128"/>
      <c r="M68" s="129"/>
      <c r="N68" s="130"/>
      <c r="O68" s="118"/>
      <c r="P68" s="118"/>
      <c r="Q68" s="131"/>
    </row>
    <row r="69" ht="22.5" customHeight="1">
      <c r="A69" s="118"/>
      <c r="B69" s="119"/>
      <c r="C69" s="120"/>
      <c r="D69" s="121"/>
      <c r="E69" s="121"/>
      <c r="F69" s="122"/>
      <c r="G69" s="123"/>
      <c r="H69" s="124"/>
      <c r="I69" s="125"/>
      <c r="J69" s="126"/>
      <c r="K69" s="127"/>
      <c r="L69" s="128"/>
      <c r="M69" s="129"/>
      <c r="N69" s="130"/>
      <c r="O69" s="118"/>
      <c r="P69" s="118"/>
      <c r="Q69" s="131"/>
    </row>
    <row r="70" ht="22.5" customHeight="1">
      <c r="A70" s="118"/>
      <c r="B70" s="119"/>
      <c r="C70" s="120"/>
      <c r="D70" s="121"/>
      <c r="E70" s="121"/>
      <c r="F70" s="122"/>
      <c r="G70" s="123"/>
      <c r="H70" s="124"/>
      <c r="I70" s="125"/>
      <c r="J70" s="126"/>
      <c r="K70" s="127"/>
      <c r="L70" s="128"/>
      <c r="M70" s="129"/>
      <c r="N70" s="130"/>
      <c r="O70" s="118"/>
      <c r="P70" s="118"/>
      <c r="Q70" s="131"/>
    </row>
    <row r="71" ht="22.5" customHeight="1">
      <c r="A71" s="118"/>
      <c r="B71" s="119"/>
      <c r="C71" s="120"/>
      <c r="D71" s="121"/>
      <c r="E71" s="121"/>
      <c r="F71" s="122"/>
      <c r="G71" s="123"/>
      <c r="H71" s="124"/>
      <c r="I71" s="125"/>
      <c r="J71" s="126"/>
      <c r="K71" s="127"/>
      <c r="L71" s="128"/>
      <c r="M71" s="129"/>
      <c r="N71" s="130"/>
      <c r="O71" s="118"/>
      <c r="P71" s="118"/>
      <c r="Q71" s="131"/>
    </row>
    <row r="72" ht="22.5" customHeight="1">
      <c r="A72" s="118"/>
      <c r="B72" s="119"/>
      <c r="C72" s="120"/>
      <c r="D72" s="121"/>
      <c r="E72" s="121"/>
      <c r="F72" s="122"/>
      <c r="G72" s="123"/>
      <c r="H72" s="124"/>
      <c r="I72" s="125"/>
      <c r="J72" s="126"/>
      <c r="K72" s="127"/>
      <c r="L72" s="128"/>
      <c r="M72" s="129"/>
      <c r="N72" s="130"/>
      <c r="O72" s="118"/>
      <c r="P72" s="118"/>
      <c r="Q72" s="131"/>
    </row>
    <row r="73" ht="22.5" customHeight="1">
      <c r="A73" s="118"/>
      <c r="B73" s="119"/>
      <c r="C73" s="120"/>
      <c r="D73" s="121"/>
      <c r="E73" s="121"/>
      <c r="F73" s="122"/>
      <c r="G73" s="123"/>
      <c r="H73" s="124"/>
      <c r="I73" s="125"/>
      <c r="J73" s="126"/>
      <c r="K73" s="127"/>
      <c r="L73" s="128"/>
      <c r="M73" s="129"/>
      <c r="N73" s="130"/>
      <c r="O73" s="118"/>
      <c r="P73" s="118"/>
      <c r="Q73" s="131"/>
    </row>
    <row r="74" ht="22.5" customHeight="1">
      <c r="A74" s="118"/>
      <c r="B74" s="119"/>
      <c r="C74" s="120"/>
      <c r="D74" s="121"/>
      <c r="E74" s="121"/>
      <c r="F74" s="122"/>
      <c r="G74" s="123"/>
      <c r="H74" s="124"/>
      <c r="I74" s="125"/>
      <c r="J74" s="126"/>
      <c r="K74" s="127"/>
      <c r="L74" s="128"/>
      <c r="M74" s="129"/>
      <c r="N74" s="130"/>
      <c r="O74" s="118"/>
      <c r="P74" s="118"/>
      <c r="Q74" s="131"/>
    </row>
    <row r="75" ht="22.5" customHeight="1">
      <c r="A75" s="118"/>
      <c r="B75" s="119"/>
      <c r="C75" s="120"/>
      <c r="D75" s="121"/>
      <c r="E75" s="121"/>
      <c r="F75" s="122"/>
      <c r="G75" s="123"/>
      <c r="H75" s="124"/>
      <c r="I75" s="125"/>
      <c r="J75" s="126"/>
      <c r="K75" s="127"/>
      <c r="L75" s="128"/>
      <c r="M75" s="129"/>
      <c r="N75" s="130"/>
      <c r="O75" s="118"/>
      <c r="P75" s="118"/>
      <c r="Q75" s="131"/>
    </row>
    <row r="76" ht="22.5" customHeight="1">
      <c r="A76" s="118"/>
      <c r="B76" s="119"/>
      <c r="C76" s="120"/>
      <c r="D76" s="121"/>
      <c r="E76" s="121"/>
      <c r="F76" s="122"/>
      <c r="G76" s="123"/>
      <c r="H76" s="124"/>
      <c r="I76" s="125"/>
      <c r="J76" s="126"/>
      <c r="K76" s="127"/>
      <c r="L76" s="128"/>
      <c r="M76" s="129"/>
      <c r="N76" s="130"/>
      <c r="O76" s="118"/>
      <c r="P76" s="118"/>
      <c r="Q76" s="131"/>
    </row>
    <row r="77" ht="22.5" customHeight="1">
      <c r="A77" s="118"/>
      <c r="B77" s="119"/>
      <c r="C77" s="120"/>
      <c r="D77" s="121"/>
      <c r="E77" s="121"/>
      <c r="F77" s="122"/>
      <c r="G77" s="123"/>
      <c r="H77" s="124"/>
      <c r="I77" s="125"/>
      <c r="J77" s="126"/>
      <c r="K77" s="127"/>
      <c r="L77" s="128"/>
      <c r="M77" s="129"/>
      <c r="N77" s="130"/>
      <c r="O77" s="118"/>
      <c r="P77" s="118"/>
      <c r="Q77" s="131"/>
    </row>
    <row r="78" ht="22.5" customHeight="1">
      <c r="A78" s="118"/>
      <c r="B78" s="119"/>
      <c r="C78" s="120"/>
      <c r="D78" s="121"/>
      <c r="E78" s="121"/>
      <c r="F78" s="122"/>
      <c r="G78" s="123"/>
      <c r="H78" s="124"/>
      <c r="I78" s="125"/>
      <c r="J78" s="126"/>
      <c r="K78" s="127"/>
      <c r="L78" s="128"/>
      <c r="M78" s="129"/>
      <c r="N78" s="130"/>
      <c r="O78" s="118"/>
      <c r="P78" s="118"/>
      <c r="Q78" s="131"/>
    </row>
    <row r="79" ht="22.5" customHeight="1">
      <c r="A79" s="118"/>
      <c r="B79" s="119"/>
      <c r="C79" s="120"/>
      <c r="D79" s="121"/>
      <c r="E79" s="121"/>
      <c r="F79" s="122"/>
      <c r="G79" s="123"/>
      <c r="H79" s="124"/>
      <c r="I79" s="125"/>
      <c r="J79" s="126"/>
      <c r="K79" s="127"/>
      <c r="L79" s="128"/>
      <c r="M79" s="129"/>
      <c r="N79" s="130"/>
      <c r="O79" s="118"/>
      <c r="P79" s="118"/>
      <c r="Q79" s="131"/>
    </row>
    <row r="80" ht="22.5" customHeight="1">
      <c r="A80" s="118"/>
      <c r="B80" s="119"/>
      <c r="C80" s="120"/>
      <c r="D80" s="121"/>
      <c r="E80" s="121"/>
      <c r="F80" s="122"/>
      <c r="G80" s="123"/>
      <c r="H80" s="124"/>
      <c r="I80" s="125"/>
      <c r="J80" s="126"/>
      <c r="K80" s="127"/>
      <c r="L80" s="128"/>
      <c r="M80" s="129"/>
      <c r="N80" s="130"/>
      <c r="O80" s="118"/>
      <c r="P80" s="118"/>
      <c r="Q80" s="131"/>
    </row>
    <row r="81" ht="22.5" customHeight="1">
      <c r="A81" s="118"/>
      <c r="B81" s="119"/>
      <c r="C81" s="120"/>
      <c r="D81" s="121"/>
      <c r="E81" s="121"/>
      <c r="F81" s="122"/>
      <c r="G81" s="123"/>
      <c r="H81" s="124"/>
      <c r="I81" s="125"/>
      <c r="J81" s="126"/>
      <c r="K81" s="127"/>
      <c r="L81" s="128"/>
      <c r="M81" s="129"/>
      <c r="N81" s="130"/>
      <c r="O81" s="118"/>
      <c r="P81" s="118"/>
      <c r="Q81" s="131"/>
    </row>
    <row r="82" ht="22.5" customHeight="1">
      <c r="A82" s="118"/>
      <c r="B82" s="119"/>
      <c r="C82" s="120"/>
      <c r="D82" s="121"/>
      <c r="E82" s="121"/>
      <c r="F82" s="122"/>
      <c r="G82" s="123"/>
      <c r="H82" s="124"/>
      <c r="I82" s="125"/>
      <c r="J82" s="126"/>
      <c r="K82" s="127"/>
      <c r="L82" s="128"/>
      <c r="M82" s="129"/>
      <c r="N82" s="130"/>
      <c r="O82" s="118"/>
      <c r="P82" s="118"/>
      <c r="Q82" s="131"/>
    </row>
    <row r="83" ht="22.5" customHeight="1">
      <c r="A83" s="118"/>
      <c r="B83" s="119"/>
      <c r="C83" s="120"/>
      <c r="D83" s="121"/>
      <c r="E83" s="121"/>
      <c r="F83" s="122"/>
      <c r="G83" s="123"/>
      <c r="H83" s="124"/>
      <c r="I83" s="125"/>
      <c r="J83" s="126"/>
      <c r="K83" s="127"/>
      <c r="L83" s="128"/>
      <c r="M83" s="129"/>
      <c r="N83" s="130"/>
      <c r="O83" s="118"/>
      <c r="P83" s="118"/>
      <c r="Q83" s="131"/>
    </row>
    <row r="84" ht="22.5" customHeight="1">
      <c r="A84" s="118"/>
      <c r="B84" s="119"/>
      <c r="C84" s="120"/>
      <c r="D84" s="121"/>
      <c r="E84" s="121"/>
      <c r="F84" s="122"/>
      <c r="G84" s="123"/>
      <c r="H84" s="124"/>
      <c r="I84" s="125"/>
      <c r="J84" s="126"/>
      <c r="K84" s="127"/>
      <c r="L84" s="128"/>
      <c r="M84" s="129"/>
      <c r="N84" s="130"/>
      <c r="O84" s="118"/>
      <c r="P84" s="118"/>
      <c r="Q84" s="131"/>
    </row>
    <row r="85" ht="22.5" customHeight="1">
      <c r="A85" s="118"/>
      <c r="B85" s="119"/>
      <c r="C85" s="120"/>
      <c r="D85" s="121"/>
      <c r="E85" s="121"/>
      <c r="F85" s="122"/>
      <c r="G85" s="123"/>
      <c r="H85" s="124"/>
      <c r="I85" s="125"/>
      <c r="J85" s="126"/>
      <c r="K85" s="127"/>
      <c r="L85" s="128"/>
      <c r="M85" s="129"/>
      <c r="N85" s="130"/>
      <c r="O85" s="118"/>
      <c r="P85" s="118"/>
      <c r="Q85" s="131"/>
    </row>
    <row r="86" ht="22.5" customHeight="1">
      <c r="A86" s="118"/>
      <c r="B86" s="119"/>
      <c r="C86" s="120"/>
      <c r="D86" s="121"/>
      <c r="E86" s="121"/>
      <c r="F86" s="122"/>
      <c r="G86" s="123"/>
      <c r="H86" s="124"/>
      <c r="I86" s="125"/>
      <c r="J86" s="126"/>
      <c r="K86" s="127"/>
      <c r="L86" s="128"/>
      <c r="M86" s="129"/>
      <c r="N86" s="130"/>
      <c r="O86" s="118"/>
      <c r="P86" s="118"/>
      <c r="Q86" s="131"/>
    </row>
    <row r="87" ht="22.5" customHeight="1">
      <c r="A87" s="118"/>
      <c r="B87" s="119"/>
      <c r="C87" s="120"/>
      <c r="D87" s="121"/>
      <c r="E87" s="121"/>
      <c r="F87" s="122"/>
      <c r="G87" s="123"/>
      <c r="H87" s="124"/>
      <c r="I87" s="125"/>
      <c r="J87" s="126"/>
      <c r="K87" s="127"/>
      <c r="L87" s="128"/>
      <c r="M87" s="129"/>
      <c r="N87" s="130"/>
      <c r="O87" s="118"/>
      <c r="P87" s="118"/>
      <c r="Q87" s="131"/>
    </row>
    <row r="88" ht="22.5" customHeight="1">
      <c r="A88" s="118"/>
      <c r="B88" s="119"/>
      <c r="C88" s="120"/>
      <c r="D88" s="121"/>
      <c r="E88" s="121"/>
      <c r="F88" s="122"/>
      <c r="G88" s="123"/>
      <c r="H88" s="124"/>
      <c r="I88" s="125"/>
      <c r="J88" s="126"/>
      <c r="K88" s="127"/>
      <c r="L88" s="128"/>
      <c r="M88" s="129"/>
      <c r="N88" s="130"/>
      <c r="O88" s="118"/>
      <c r="P88" s="118"/>
      <c r="Q88" s="131"/>
    </row>
    <row r="89" ht="22.5" customHeight="1">
      <c r="A89" s="118"/>
      <c r="B89" s="119"/>
      <c r="C89" s="120"/>
      <c r="D89" s="121"/>
      <c r="E89" s="121"/>
      <c r="F89" s="122"/>
      <c r="G89" s="123"/>
      <c r="H89" s="124"/>
      <c r="I89" s="125"/>
      <c r="J89" s="126"/>
      <c r="K89" s="127"/>
      <c r="L89" s="128"/>
      <c r="M89" s="129"/>
      <c r="N89" s="130"/>
      <c r="O89" s="118"/>
      <c r="P89" s="118"/>
      <c r="Q89" s="131"/>
    </row>
    <row r="90" ht="22.5" customHeight="1">
      <c r="A90" s="118"/>
      <c r="B90" s="119"/>
      <c r="C90" s="120"/>
      <c r="D90" s="121"/>
      <c r="E90" s="121"/>
      <c r="F90" s="122"/>
      <c r="G90" s="123"/>
      <c r="H90" s="124"/>
      <c r="I90" s="125"/>
      <c r="J90" s="126"/>
      <c r="K90" s="127"/>
      <c r="L90" s="128"/>
      <c r="M90" s="129"/>
      <c r="N90" s="130"/>
      <c r="O90" s="118"/>
      <c r="P90" s="118"/>
      <c r="Q90" s="131"/>
    </row>
    <row r="91" ht="22.5" customHeight="1">
      <c r="A91" s="118"/>
      <c r="B91" s="119"/>
      <c r="C91" s="120"/>
      <c r="D91" s="121"/>
      <c r="E91" s="121"/>
      <c r="F91" s="122"/>
      <c r="G91" s="123"/>
      <c r="H91" s="124"/>
      <c r="I91" s="125"/>
      <c r="J91" s="126"/>
      <c r="K91" s="127"/>
      <c r="L91" s="128"/>
      <c r="M91" s="129"/>
      <c r="N91" s="130"/>
      <c r="O91" s="118"/>
      <c r="P91" s="118"/>
      <c r="Q91" s="131"/>
    </row>
    <row r="92" ht="22.5" customHeight="1">
      <c r="A92" s="118"/>
      <c r="B92" s="119"/>
      <c r="C92" s="120"/>
      <c r="D92" s="121"/>
      <c r="E92" s="121"/>
      <c r="F92" s="122"/>
      <c r="G92" s="123"/>
      <c r="H92" s="124"/>
      <c r="I92" s="125"/>
      <c r="J92" s="126"/>
      <c r="K92" s="127"/>
      <c r="L92" s="128"/>
      <c r="M92" s="129"/>
      <c r="N92" s="130"/>
      <c r="O92" s="118"/>
      <c r="P92" s="118"/>
      <c r="Q92" s="131"/>
    </row>
    <row r="93" ht="22.5" customHeight="1">
      <c r="A93" s="118"/>
      <c r="B93" s="119"/>
      <c r="C93" s="120"/>
      <c r="D93" s="121"/>
      <c r="E93" s="121"/>
      <c r="F93" s="122"/>
      <c r="G93" s="123"/>
      <c r="H93" s="124"/>
      <c r="I93" s="125"/>
      <c r="J93" s="126"/>
      <c r="K93" s="127"/>
      <c r="L93" s="128"/>
      <c r="M93" s="129"/>
      <c r="N93" s="130"/>
      <c r="O93" s="118"/>
      <c r="P93" s="118"/>
      <c r="Q93" s="131"/>
    </row>
    <row r="94" ht="22.5" customHeight="1">
      <c r="A94" s="118"/>
      <c r="B94" s="119"/>
      <c r="C94" s="120"/>
      <c r="D94" s="121"/>
      <c r="E94" s="121"/>
      <c r="F94" s="122"/>
      <c r="G94" s="123"/>
      <c r="H94" s="124"/>
      <c r="I94" s="125"/>
      <c r="J94" s="126"/>
      <c r="K94" s="127"/>
      <c r="L94" s="128"/>
      <c r="M94" s="129"/>
      <c r="N94" s="130"/>
      <c r="O94" s="118"/>
      <c r="P94" s="118"/>
      <c r="Q94" s="131"/>
    </row>
    <row r="95" ht="22.5" customHeight="1">
      <c r="A95" s="118"/>
      <c r="B95" s="119"/>
      <c r="C95" s="120"/>
      <c r="D95" s="121"/>
      <c r="E95" s="121"/>
      <c r="F95" s="122"/>
      <c r="G95" s="123"/>
      <c r="H95" s="124"/>
      <c r="I95" s="125"/>
      <c r="J95" s="126"/>
      <c r="K95" s="127"/>
      <c r="L95" s="128"/>
      <c r="M95" s="129"/>
      <c r="N95" s="130"/>
      <c r="O95" s="118"/>
      <c r="P95" s="118"/>
      <c r="Q95" s="131"/>
    </row>
    <row r="96" ht="22.5" customHeight="1">
      <c r="A96" s="118"/>
      <c r="B96" s="119"/>
      <c r="C96" s="120"/>
      <c r="D96" s="121"/>
      <c r="E96" s="121"/>
      <c r="F96" s="122"/>
      <c r="G96" s="123"/>
      <c r="H96" s="124"/>
      <c r="I96" s="125"/>
      <c r="J96" s="126"/>
      <c r="K96" s="127"/>
      <c r="L96" s="128"/>
      <c r="M96" s="129"/>
      <c r="N96" s="130"/>
      <c r="O96" s="118"/>
      <c r="P96" s="118"/>
      <c r="Q96" s="131"/>
    </row>
    <row r="97" ht="22.5" customHeight="1">
      <c r="A97" s="118"/>
      <c r="B97" s="119"/>
      <c r="C97" s="120"/>
      <c r="D97" s="121"/>
      <c r="E97" s="121"/>
      <c r="F97" s="122"/>
      <c r="G97" s="123"/>
      <c r="H97" s="124"/>
      <c r="I97" s="125"/>
      <c r="J97" s="126"/>
      <c r="K97" s="127"/>
      <c r="L97" s="128"/>
      <c r="M97" s="129"/>
      <c r="N97" s="130"/>
      <c r="O97" s="118"/>
      <c r="P97" s="118"/>
      <c r="Q97" s="131"/>
    </row>
    <row r="98" ht="22.5" customHeight="1">
      <c r="A98" s="118"/>
      <c r="B98" s="119"/>
      <c r="C98" s="120"/>
      <c r="D98" s="121"/>
      <c r="E98" s="121"/>
      <c r="F98" s="122"/>
      <c r="G98" s="123"/>
      <c r="H98" s="124"/>
      <c r="I98" s="125"/>
      <c r="J98" s="126"/>
      <c r="K98" s="127"/>
      <c r="L98" s="128"/>
      <c r="M98" s="129"/>
      <c r="N98" s="130"/>
      <c r="O98" s="118"/>
      <c r="P98" s="118"/>
      <c r="Q98" s="131"/>
    </row>
    <row r="99" ht="22.5" customHeight="1">
      <c r="A99" s="118"/>
      <c r="B99" s="119"/>
      <c r="C99" s="120"/>
      <c r="D99" s="121"/>
      <c r="E99" s="121"/>
      <c r="F99" s="122"/>
      <c r="G99" s="123"/>
      <c r="H99" s="124"/>
      <c r="I99" s="125"/>
      <c r="J99" s="126"/>
      <c r="K99" s="127"/>
      <c r="L99" s="128"/>
      <c r="M99" s="129"/>
      <c r="N99" s="130"/>
      <c r="O99" s="118"/>
      <c r="P99" s="118"/>
      <c r="Q99" s="131"/>
    </row>
    <row r="100" ht="22.5" customHeight="1">
      <c r="A100" s="118"/>
      <c r="B100" s="119"/>
      <c r="C100" s="120"/>
      <c r="D100" s="121"/>
      <c r="E100" s="121"/>
      <c r="F100" s="122"/>
      <c r="G100" s="123"/>
      <c r="H100" s="124"/>
      <c r="I100" s="125"/>
      <c r="J100" s="126"/>
      <c r="K100" s="127"/>
      <c r="L100" s="128"/>
      <c r="M100" s="129"/>
      <c r="N100" s="130"/>
      <c r="O100" s="118"/>
      <c r="P100" s="118"/>
      <c r="Q100" s="131"/>
    </row>
    <row r="101" ht="22.5" customHeight="1">
      <c r="A101" s="118"/>
      <c r="B101" s="119"/>
      <c r="C101" s="120"/>
      <c r="D101" s="121"/>
      <c r="E101" s="121"/>
      <c r="F101" s="122"/>
      <c r="G101" s="123"/>
      <c r="H101" s="124"/>
      <c r="I101" s="125"/>
      <c r="J101" s="126"/>
      <c r="K101" s="127"/>
      <c r="L101" s="128"/>
      <c r="M101" s="129"/>
      <c r="N101" s="130"/>
      <c r="O101" s="118"/>
      <c r="P101" s="118"/>
      <c r="Q101" s="131"/>
    </row>
    <row r="102" ht="22.5" customHeight="1">
      <c r="A102" s="118"/>
      <c r="B102" s="119"/>
      <c r="C102" s="120"/>
      <c r="D102" s="121"/>
      <c r="E102" s="121"/>
      <c r="F102" s="122"/>
      <c r="G102" s="123"/>
      <c r="H102" s="124"/>
      <c r="I102" s="125"/>
      <c r="J102" s="126"/>
      <c r="K102" s="127"/>
      <c r="L102" s="128"/>
      <c r="M102" s="129"/>
      <c r="N102" s="130"/>
      <c r="O102" s="118"/>
      <c r="P102" s="118"/>
      <c r="Q102" s="131"/>
    </row>
    <row r="103" ht="22.5" customHeight="1">
      <c r="A103" s="118"/>
      <c r="B103" s="119"/>
      <c r="C103" s="120"/>
      <c r="D103" s="121"/>
      <c r="E103" s="121"/>
      <c r="F103" s="122"/>
      <c r="G103" s="123"/>
      <c r="H103" s="124"/>
      <c r="I103" s="125"/>
      <c r="J103" s="126"/>
      <c r="K103" s="127"/>
      <c r="L103" s="128"/>
      <c r="M103" s="129"/>
      <c r="N103" s="130"/>
      <c r="O103" s="118"/>
      <c r="P103" s="118"/>
      <c r="Q103" s="131"/>
    </row>
    <row r="104" ht="22.5" customHeight="1">
      <c r="A104" s="118"/>
      <c r="B104" s="119"/>
      <c r="C104" s="120"/>
      <c r="D104" s="121"/>
      <c r="E104" s="121"/>
      <c r="F104" s="122"/>
      <c r="G104" s="123"/>
      <c r="H104" s="124"/>
      <c r="I104" s="125"/>
      <c r="J104" s="126"/>
      <c r="K104" s="127"/>
      <c r="L104" s="128"/>
      <c r="M104" s="129"/>
      <c r="N104" s="130"/>
      <c r="O104" s="118"/>
      <c r="P104" s="118"/>
      <c r="Q104" s="131"/>
    </row>
    <row r="105" ht="22.5" customHeight="1">
      <c r="A105" s="118"/>
      <c r="B105" s="119"/>
      <c r="C105" s="120"/>
      <c r="D105" s="121"/>
      <c r="E105" s="121"/>
      <c r="F105" s="122"/>
      <c r="G105" s="123"/>
      <c r="H105" s="124"/>
      <c r="I105" s="125"/>
      <c r="J105" s="126"/>
      <c r="K105" s="127"/>
      <c r="L105" s="128"/>
      <c r="M105" s="129"/>
      <c r="N105" s="130"/>
      <c r="O105" s="118"/>
      <c r="P105" s="118"/>
      <c r="Q105" s="131"/>
    </row>
    <row r="106" ht="22.5" customHeight="1">
      <c r="A106" s="118"/>
      <c r="B106" s="119"/>
      <c r="C106" s="120"/>
      <c r="D106" s="121"/>
      <c r="E106" s="121"/>
      <c r="F106" s="122"/>
      <c r="G106" s="123"/>
      <c r="H106" s="124"/>
      <c r="I106" s="125"/>
      <c r="J106" s="126"/>
      <c r="K106" s="127"/>
      <c r="L106" s="128"/>
      <c r="M106" s="129"/>
      <c r="N106" s="130"/>
      <c r="O106" s="118"/>
      <c r="P106" s="118"/>
      <c r="Q106" s="131"/>
    </row>
    <row r="107" ht="22.5" customHeight="1">
      <c r="A107" s="118"/>
      <c r="B107" s="119"/>
      <c r="C107" s="120"/>
      <c r="D107" s="121"/>
      <c r="E107" s="121"/>
      <c r="F107" s="122"/>
      <c r="G107" s="123"/>
      <c r="H107" s="124"/>
      <c r="I107" s="125"/>
      <c r="J107" s="126"/>
      <c r="K107" s="127"/>
      <c r="L107" s="128"/>
      <c r="M107" s="129"/>
      <c r="N107" s="130"/>
      <c r="O107" s="118"/>
      <c r="P107" s="118"/>
      <c r="Q107" s="131"/>
    </row>
    <row r="108" ht="22.5" customHeight="1">
      <c r="A108" s="118"/>
      <c r="B108" s="119"/>
      <c r="C108" s="120"/>
      <c r="D108" s="121"/>
      <c r="E108" s="121"/>
      <c r="F108" s="122"/>
      <c r="G108" s="123"/>
      <c r="H108" s="124"/>
      <c r="I108" s="125"/>
      <c r="J108" s="126"/>
      <c r="K108" s="127"/>
      <c r="L108" s="128"/>
      <c r="M108" s="129"/>
      <c r="N108" s="130"/>
      <c r="O108" s="118"/>
      <c r="P108" s="118"/>
      <c r="Q108" s="131"/>
    </row>
    <row r="109" ht="22.5" customHeight="1">
      <c r="A109" s="118"/>
      <c r="B109" s="119"/>
      <c r="C109" s="120"/>
      <c r="D109" s="121"/>
      <c r="E109" s="121"/>
      <c r="F109" s="122"/>
      <c r="G109" s="123"/>
      <c r="H109" s="124"/>
      <c r="I109" s="125"/>
      <c r="J109" s="126"/>
      <c r="K109" s="127"/>
      <c r="L109" s="128"/>
      <c r="M109" s="129"/>
      <c r="N109" s="130"/>
      <c r="O109" s="118"/>
      <c r="P109" s="118"/>
      <c r="Q109" s="131"/>
    </row>
    <row r="110" ht="22.5" customHeight="1">
      <c r="A110" s="118"/>
      <c r="B110" s="119"/>
      <c r="C110" s="120"/>
      <c r="D110" s="121"/>
      <c r="E110" s="121"/>
      <c r="F110" s="122"/>
      <c r="G110" s="123"/>
      <c r="H110" s="124"/>
      <c r="I110" s="125"/>
      <c r="J110" s="126"/>
      <c r="K110" s="127"/>
      <c r="L110" s="128"/>
      <c r="M110" s="129"/>
      <c r="N110" s="130"/>
      <c r="O110" s="118"/>
      <c r="P110" s="118"/>
      <c r="Q110" s="131"/>
    </row>
    <row r="111" ht="22.5" customHeight="1">
      <c r="A111" s="118"/>
      <c r="B111" s="119"/>
      <c r="C111" s="120"/>
      <c r="D111" s="121"/>
      <c r="E111" s="121"/>
      <c r="F111" s="122"/>
      <c r="G111" s="123"/>
      <c r="H111" s="124"/>
      <c r="I111" s="125"/>
      <c r="J111" s="126"/>
      <c r="K111" s="127"/>
      <c r="L111" s="128"/>
      <c r="M111" s="129"/>
      <c r="N111" s="130"/>
      <c r="O111" s="118"/>
      <c r="P111" s="118"/>
      <c r="Q111" s="131"/>
    </row>
    <row r="112" ht="22.5" customHeight="1">
      <c r="A112" s="118"/>
      <c r="B112" s="119"/>
      <c r="C112" s="120"/>
      <c r="D112" s="121"/>
      <c r="E112" s="121"/>
      <c r="F112" s="122"/>
      <c r="G112" s="123"/>
      <c r="H112" s="124"/>
      <c r="I112" s="125"/>
      <c r="J112" s="126"/>
      <c r="K112" s="127"/>
      <c r="L112" s="128"/>
      <c r="M112" s="129"/>
      <c r="N112" s="130"/>
      <c r="O112" s="118"/>
      <c r="P112" s="118"/>
      <c r="Q112" s="131"/>
    </row>
    <row r="113" ht="22.5" customHeight="1">
      <c r="A113" s="118"/>
      <c r="B113" s="119"/>
      <c r="C113" s="120"/>
      <c r="D113" s="121"/>
      <c r="E113" s="121"/>
      <c r="F113" s="122"/>
      <c r="G113" s="123"/>
      <c r="H113" s="124"/>
      <c r="I113" s="125"/>
      <c r="J113" s="126"/>
      <c r="K113" s="127"/>
      <c r="L113" s="128"/>
      <c r="M113" s="129"/>
      <c r="N113" s="130"/>
      <c r="O113" s="118"/>
      <c r="P113" s="118"/>
      <c r="Q113" s="131"/>
    </row>
    <row r="114" ht="22.5" customHeight="1">
      <c r="A114" s="118"/>
      <c r="B114" s="119"/>
      <c r="C114" s="120"/>
      <c r="D114" s="121"/>
      <c r="E114" s="121"/>
      <c r="F114" s="122"/>
      <c r="G114" s="123"/>
      <c r="H114" s="124"/>
      <c r="I114" s="125"/>
      <c r="J114" s="126"/>
      <c r="K114" s="127"/>
      <c r="L114" s="128"/>
      <c r="M114" s="129"/>
      <c r="N114" s="130"/>
      <c r="O114" s="118"/>
      <c r="P114" s="118"/>
      <c r="Q114" s="131"/>
    </row>
    <row r="115" ht="22.5" customHeight="1">
      <c r="A115" s="118"/>
      <c r="B115" s="119"/>
      <c r="C115" s="120"/>
      <c r="D115" s="121"/>
      <c r="E115" s="121"/>
      <c r="F115" s="122"/>
      <c r="G115" s="123"/>
      <c r="H115" s="124"/>
      <c r="I115" s="125"/>
      <c r="J115" s="126"/>
      <c r="K115" s="127"/>
      <c r="L115" s="128"/>
      <c r="M115" s="129"/>
      <c r="N115" s="130"/>
      <c r="O115" s="118"/>
      <c r="P115" s="118"/>
      <c r="Q115" s="131"/>
    </row>
    <row r="116" ht="22.5" customHeight="1">
      <c r="A116" s="118"/>
      <c r="B116" s="119"/>
      <c r="C116" s="120"/>
      <c r="D116" s="121"/>
      <c r="E116" s="121"/>
      <c r="F116" s="122"/>
      <c r="G116" s="123"/>
      <c r="H116" s="124"/>
      <c r="I116" s="125"/>
      <c r="J116" s="126"/>
      <c r="K116" s="127"/>
      <c r="L116" s="128"/>
      <c r="M116" s="129"/>
      <c r="N116" s="130"/>
      <c r="O116" s="118"/>
      <c r="P116" s="118"/>
      <c r="Q116" s="131"/>
    </row>
    <row r="117" ht="22.5" customHeight="1">
      <c r="A117" s="118"/>
      <c r="B117" s="119"/>
      <c r="C117" s="120"/>
      <c r="D117" s="121"/>
      <c r="E117" s="121"/>
      <c r="F117" s="122"/>
      <c r="G117" s="123"/>
      <c r="H117" s="124"/>
      <c r="I117" s="125"/>
      <c r="J117" s="126"/>
      <c r="K117" s="127"/>
      <c r="L117" s="128"/>
      <c r="M117" s="129"/>
      <c r="N117" s="130"/>
      <c r="O117" s="118"/>
      <c r="P117" s="118"/>
      <c r="Q117" s="131"/>
    </row>
    <row r="118" ht="22.5" customHeight="1">
      <c r="A118" s="118"/>
      <c r="B118" s="119"/>
      <c r="C118" s="120"/>
      <c r="D118" s="121"/>
      <c r="E118" s="121"/>
      <c r="F118" s="122"/>
      <c r="G118" s="123"/>
      <c r="H118" s="124"/>
      <c r="I118" s="125"/>
      <c r="J118" s="126"/>
      <c r="K118" s="127"/>
      <c r="L118" s="128"/>
      <c r="M118" s="129"/>
      <c r="N118" s="130"/>
      <c r="O118" s="118"/>
      <c r="P118" s="118"/>
      <c r="Q118" s="131"/>
    </row>
    <row r="119" ht="22.5" customHeight="1">
      <c r="A119" s="118"/>
      <c r="B119" s="119"/>
      <c r="C119" s="120"/>
      <c r="D119" s="121"/>
      <c r="E119" s="121"/>
      <c r="F119" s="122"/>
      <c r="G119" s="123"/>
      <c r="H119" s="124"/>
      <c r="I119" s="125"/>
      <c r="J119" s="126"/>
      <c r="K119" s="127"/>
      <c r="L119" s="128"/>
      <c r="M119" s="129"/>
      <c r="N119" s="130"/>
      <c r="O119" s="118"/>
      <c r="P119" s="118"/>
      <c r="Q119" s="131"/>
    </row>
    <row r="120" ht="22.5" customHeight="1">
      <c r="A120" s="118"/>
      <c r="B120" s="119"/>
      <c r="C120" s="120"/>
      <c r="D120" s="121"/>
      <c r="E120" s="121"/>
      <c r="F120" s="122"/>
      <c r="G120" s="123"/>
      <c r="H120" s="124"/>
      <c r="I120" s="125"/>
      <c r="J120" s="126"/>
      <c r="K120" s="127"/>
      <c r="L120" s="128"/>
      <c r="M120" s="129"/>
      <c r="N120" s="130"/>
      <c r="O120" s="118"/>
      <c r="P120" s="118"/>
      <c r="Q120" s="131"/>
    </row>
    <row r="121" ht="22.5" customHeight="1">
      <c r="A121" s="118"/>
      <c r="B121" s="119"/>
      <c r="C121" s="120"/>
      <c r="D121" s="121"/>
      <c r="E121" s="121"/>
      <c r="F121" s="122"/>
      <c r="G121" s="123"/>
      <c r="H121" s="124"/>
      <c r="I121" s="125"/>
      <c r="J121" s="126"/>
      <c r="K121" s="127"/>
      <c r="L121" s="128"/>
      <c r="M121" s="129"/>
      <c r="N121" s="130"/>
      <c r="O121" s="118"/>
      <c r="P121" s="118"/>
      <c r="Q121" s="131"/>
    </row>
    <row r="122" ht="22.5" customHeight="1">
      <c r="A122" s="118"/>
      <c r="B122" s="119"/>
      <c r="C122" s="120"/>
      <c r="D122" s="121"/>
      <c r="E122" s="121"/>
      <c r="F122" s="122"/>
      <c r="G122" s="123"/>
      <c r="H122" s="124"/>
      <c r="I122" s="125"/>
      <c r="J122" s="126"/>
      <c r="K122" s="127"/>
      <c r="L122" s="128"/>
      <c r="M122" s="129"/>
      <c r="N122" s="130"/>
      <c r="O122" s="118"/>
      <c r="P122" s="118"/>
      <c r="Q122" s="131"/>
    </row>
    <row r="123" ht="22.5" customHeight="1">
      <c r="A123" s="118"/>
      <c r="B123" s="119"/>
      <c r="C123" s="120"/>
      <c r="D123" s="121"/>
      <c r="E123" s="121"/>
      <c r="F123" s="122"/>
      <c r="G123" s="123"/>
      <c r="H123" s="124"/>
      <c r="I123" s="125"/>
      <c r="J123" s="126"/>
      <c r="K123" s="127"/>
      <c r="L123" s="128"/>
      <c r="M123" s="129"/>
      <c r="N123" s="130"/>
      <c r="O123" s="118"/>
      <c r="P123" s="118"/>
      <c r="Q123" s="131"/>
    </row>
    <row r="124" ht="22.5" customHeight="1">
      <c r="A124" s="118"/>
      <c r="B124" s="119"/>
      <c r="C124" s="120"/>
      <c r="D124" s="121"/>
      <c r="E124" s="121"/>
      <c r="F124" s="122"/>
      <c r="G124" s="123"/>
      <c r="H124" s="124"/>
      <c r="I124" s="125"/>
      <c r="J124" s="126"/>
      <c r="K124" s="127"/>
      <c r="L124" s="128"/>
      <c r="M124" s="129"/>
      <c r="N124" s="130"/>
      <c r="O124" s="118"/>
      <c r="P124" s="118"/>
      <c r="Q124" s="131"/>
    </row>
    <row r="125" ht="22.5" customHeight="1">
      <c r="A125" s="118"/>
      <c r="B125" s="119"/>
      <c r="C125" s="120"/>
      <c r="D125" s="121"/>
      <c r="E125" s="121"/>
      <c r="F125" s="122"/>
      <c r="G125" s="123"/>
      <c r="H125" s="124"/>
      <c r="I125" s="125"/>
      <c r="J125" s="126"/>
      <c r="K125" s="127"/>
      <c r="L125" s="128"/>
      <c r="M125" s="129"/>
      <c r="N125" s="130"/>
      <c r="O125" s="118"/>
      <c r="P125" s="118"/>
      <c r="Q125" s="131"/>
    </row>
    <row r="126" ht="22.5" customHeight="1">
      <c r="A126" s="118"/>
      <c r="B126" s="119"/>
      <c r="C126" s="120"/>
      <c r="D126" s="121"/>
      <c r="E126" s="121"/>
      <c r="F126" s="122"/>
      <c r="G126" s="123"/>
      <c r="H126" s="124"/>
      <c r="I126" s="125"/>
      <c r="J126" s="126"/>
      <c r="K126" s="127"/>
      <c r="L126" s="128"/>
      <c r="M126" s="129"/>
      <c r="N126" s="130"/>
      <c r="O126" s="118"/>
      <c r="P126" s="118"/>
      <c r="Q126" s="131"/>
    </row>
    <row r="127" ht="22.5" customHeight="1">
      <c r="A127" s="118"/>
      <c r="B127" s="119"/>
      <c r="C127" s="120"/>
      <c r="D127" s="121"/>
      <c r="E127" s="121"/>
      <c r="F127" s="122"/>
      <c r="G127" s="123"/>
      <c r="H127" s="124"/>
      <c r="I127" s="125"/>
      <c r="J127" s="126"/>
      <c r="K127" s="127"/>
      <c r="L127" s="128"/>
      <c r="M127" s="129"/>
      <c r="N127" s="130"/>
      <c r="O127" s="118"/>
      <c r="P127" s="118"/>
      <c r="Q127" s="131"/>
    </row>
    <row r="128" ht="22.5" customHeight="1">
      <c r="A128" s="118"/>
      <c r="B128" s="119"/>
      <c r="C128" s="120"/>
      <c r="D128" s="121"/>
      <c r="E128" s="121"/>
      <c r="F128" s="122"/>
      <c r="G128" s="123"/>
      <c r="H128" s="124"/>
      <c r="I128" s="125"/>
      <c r="J128" s="126"/>
      <c r="K128" s="127"/>
      <c r="L128" s="128"/>
      <c r="M128" s="129"/>
      <c r="N128" s="130"/>
      <c r="O128" s="118"/>
      <c r="P128" s="118"/>
      <c r="Q128" s="131"/>
    </row>
    <row r="129" ht="22.5" customHeight="1">
      <c r="A129" s="118"/>
      <c r="B129" s="119"/>
      <c r="C129" s="120"/>
      <c r="D129" s="121"/>
      <c r="E129" s="121"/>
      <c r="F129" s="122"/>
      <c r="G129" s="123"/>
      <c r="H129" s="124"/>
      <c r="I129" s="125"/>
      <c r="J129" s="126"/>
      <c r="K129" s="127"/>
      <c r="L129" s="128"/>
      <c r="M129" s="129"/>
      <c r="N129" s="130"/>
      <c r="O129" s="118"/>
      <c r="P129" s="118"/>
      <c r="Q129" s="131"/>
    </row>
    <row r="130" ht="22.5" customHeight="1">
      <c r="A130" s="118"/>
      <c r="B130" s="119"/>
      <c r="C130" s="120"/>
      <c r="D130" s="121"/>
      <c r="E130" s="121"/>
      <c r="F130" s="122"/>
      <c r="G130" s="123"/>
      <c r="H130" s="124"/>
      <c r="I130" s="125"/>
      <c r="J130" s="126"/>
      <c r="K130" s="127"/>
      <c r="L130" s="128"/>
      <c r="M130" s="129"/>
      <c r="N130" s="130"/>
      <c r="O130" s="118"/>
      <c r="P130" s="118"/>
      <c r="Q130" s="131"/>
    </row>
    <row r="131" ht="22.5" customHeight="1">
      <c r="A131" s="118"/>
      <c r="B131" s="119"/>
      <c r="C131" s="120"/>
      <c r="D131" s="121"/>
      <c r="E131" s="121"/>
      <c r="F131" s="122"/>
      <c r="G131" s="123"/>
      <c r="H131" s="124"/>
      <c r="I131" s="125"/>
      <c r="J131" s="126"/>
      <c r="K131" s="127"/>
      <c r="L131" s="128"/>
      <c r="M131" s="129"/>
      <c r="N131" s="130"/>
      <c r="O131" s="118"/>
      <c r="P131" s="118"/>
      <c r="Q131" s="131"/>
    </row>
    <row r="132" ht="22.5" customHeight="1">
      <c r="A132" s="118"/>
      <c r="B132" s="119"/>
      <c r="C132" s="120"/>
      <c r="D132" s="121"/>
      <c r="E132" s="121"/>
      <c r="F132" s="122"/>
      <c r="G132" s="123"/>
      <c r="H132" s="124"/>
      <c r="I132" s="125"/>
      <c r="J132" s="126"/>
      <c r="K132" s="127"/>
      <c r="L132" s="128"/>
      <c r="M132" s="129"/>
      <c r="N132" s="130"/>
      <c r="O132" s="118"/>
      <c r="P132" s="118"/>
      <c r="Q132" s="131"/>
    </row>
    <row r="133" ht="22.5" customHeight="1">
      <c r="A133" s="118"/>
      <c r="B133" s="119"/>
      <c r="C133" s="120"/>
      <c r="D133" s="121"/>
      <c r="E133" s="121"/>
      <c r="F133" s="122"/>
      <c r="G133" s="123"/>
      <c r="H133" s="124"/>
      <c r="I133" s="125"/>
      <c r="J133" s="126"/>
      <c r="K133" s="127"/>
      <c r="L133" s="128"/>
      <c r="M133" s="129"/>
      <c r="N133" s="130"/>
      <c r="O133" s="118"/>
      <c r="P133" s="118"/>
      <c r="Q133" s="131"/>
    </row>
    <row r="134" ht="22.5" customHeight="1">
      <c r="A134" s="118"/>
      <c r="B134" s="119"/>
      <c r="C134" s="120"/>
      <c r="D134" s="121"/>
      <c r="E134" s="121"/>
      <c r="F134" s="122"/>
      <c r="G134" s="123"/>
      <c r="H134" s="124"/>
      <c r="I134" s="125"/>
      <c r="J134" s="126"/>
      <c r="K134" s="127"/>
      <c r="L134" s="128"/>
      <c r="M134" s="129"/>
      <c r="N134" s="130"/>
      <c r="O134" s="118"/>
      <c r="P134" s="118"/>
      <c r="Q134" s="131"/>
    </row>
    <row r="135" ht="22.5" customHeight="1">
      <c r="A135" s="118"/>
      <c r="B135" s="119"/>
      <c r="C135" s="120"/>
      <c r="D135" s="121"/>
      <c r="E135" s="121"/>
      <c r="F135" s="122"/>
      <c r="G135" s="123"/>
      <c r="H135" s="124"/>
      <c r="I135" s="125"/>
      <c r="J135" s="126"/>
      <c r="K135" s="127"/>
      <c r="L135" s="128"/>
      <c r="M135" s="129"/>
      <c r="N135" s="130"/>
      <c r="O135" s="118"/>
      <c r="P135" s="118"/>
      <c r="Q135" s="131"/>
    </row>
    <row r="136" ht="22.5" customHeight="1">
      <c r="A136" s="118"/>
      <c r="B136" s="119"/>
      <c r="C136" s="120"/>
      <c r="D136" s="121"/>
      <c r="E136" s="121"/>
      <c r="F136" s="122"/>
      <c r="G136" s="123"/>
      <c r="H136" s="124"/>
      <c r="I136" s="125"/>
      <c r="J136" s="126"/>
      <c r="K136" s="127"/>
      <c r="L136" s="128"/>
      <c r="M136" s="129"/>
      <c r="N136" s="130"/>
      <c r="O136" s="118"/>
      <c r="P136" s="118"/>
      <c r="Q136" s="131"/>
    </row>
    <row r="137" ht="22.5" customHeight="1">
      <c r="A137" s="118"/>
      <c r="B137" s="119"/>
      <c r="C137" s="120"/>
      <c r="D137" s="121"/>
      <c r="E137" s="121"/>
      <c r="F137" s="122"/>
      <c r="G137" s="123"/>
      <c r="H137" s="124"/>
      <c r="I137" s="125"/>
      <c r="J137" s="126"/>
      <c r="K137" s="127"/>
      <c r="L137" s="128"/>
      <c r="M137" s="129"/>
      <c r="N137" s="130"/>
      <c r="O137" s="118"/>
      <c r="P137" s="118"/>
      <c r="Q137" s="131"/>
    </row>
    <row r="138" ht="22.5" customHeight="1">
      <c r="A138" s="118"/>
      <c r="B138" s="119"/>
      <c r="C138" s="120"/>
      <c r="D138" s="121"/>
      <c r="E138" s="121"/>
      <c r="F138" s="122"/>
      <c r="G138" s="123"/>
      <c r="H138" s="124"/>
      <c r="I138" s="125"/>
      <c r="J138" s="126"/>
      <c r="K138" s="127"/>
      <c r="L138" s="128"/>
      <c r="M138" s="129"/>
      <c r="N138" s="130"/>
      <c r="O138" s="118"/>
      <c r="P138" s="118"/>
      <c r="Q138" s="131"/>
    </row>
    <row r="139" ht="22.5" customHeight="1">
      <c r="A139" s="118"/>
      <c r="B139" s="119"/>
      <c r="C139" s="120"/>
      <c r="D139" s="121"/>
      <c r="E139" s="121"/>
      <c r="F139" s="122"/>
      <c r="G139" s="123"/>
      <c r="H139" s="124"/>
      <c r="I139" s="125"/>
      <c r="J139" s="126"/>
      <c r="K139" s="127"/>
      <c r="L139" s="128"/>
      <c r="M139" s="129"/>
      <c r="N139" s="130"/>
      <c r="O139" s="118"/>
      <c r="P139" s="118"/>
      <c r="Q139" s="131"/>
    </row>
    <row r="140" ht="22.5" customHeight="1">
      <c r="A140" s="118"/>
      <c r="B140" s="119"/>
      <c r="C140" s="120"/>
      <c r="D140" s="121"/>
      <c r="E140" s="121"/>
      <c r="F140" s="122"/>
      <c r="G140" s="123"/>
      <c r="H140" s="124"/>
      <c r="I140" s="125"/>
      <c r="J140" s="126"/>
      <c r="K140" s="127"/>
      <c r="L140" s="128"/>
      <c r="M140" s="129"/>
      <c r="N140" s="130"/>
      <c r="O140" s="118"/>
      <c r="P140" s="118"/>
      <c r="Q140" s="131"/>
    </row>
    <row r="141" ht="22.5" customHeight="1">
      <c r="A141" s="118"/>
      <c r="B141" s="119"/>
      <c r="C141" s="120"/>
      <c r="D141" s="121"/>
      <c r="E141" s="121"/>
      <c r="F141" s="122"/>
      <c r="G141" s="123"/>
      <c r="H141" s="124"/>
      <c r="I141" s="125"/>
      <c r="J141" s="126"/>
      <c r="K141" s="127"/>
      <c r="L141" s="128"/>
      <c r="M141" s="129"/>
      <c r="N141" s="130"/>
      <c r="O141" s="118"/>
      <c r="P141" s="118"/>
      <c r="Q141" s="131"/>
    </row>
    <row r="142" ht="22.5" customHeight="1">
      <c r="A142" s="118"/>
      <c r="B142" s="119"/>
      <c r="C142" s="120"/>
      <c r="D142" s="121"/>
      <c r="E142" s="121"/>
      <c r="F142" s="122"/>
      <c r="G142" s="123"/>
      <c r="H142" s="124"/>
      <c r="I142" s="125"/>
      <c r="J142" s="126"/>
      <c r="K142" s="127"/>
      <c r="L142" s="128"/>
      <c r="M142" s="129"/>
      <c r="N142" s="130"/>
      <c r="O142" s="118"/>
      <c r="P142" s="118"/>
      <c r="Q142" s="131"/>
    </row>
    <row r="143" ht="22.5" customHeight="1">
      <c r="A143" s="118"/>
      <c r="B143" s="119"/>
      <c r="C143" s="120"/>
      <c r="D143" s="121"/>
      <c r="E143" s="121"/>
      <c r="F143" s="122"/>
      <c r="G143" s="123"/>
      <c r="H143" s="124"/>
      <c r="I143" s="125"/>
      <c r="J143" s="126"/>
      <c r="K143" s="127"/>
      <c r="L143" s="128"/>
      <c r="M143" s="129"/>
      <c r="N143" s="130"/>
      <c r="O143" s="118"/>
      <c r="P143" s="118"/>
      <c r="Q143" s="131"/>
    </row>
    <row r="144" ht="22.5" customHeight="1">
      <c r="A144" s="118"/>
      <c r="B144" s="119"/>
      <c r="C144" s="120"/>
      <c r="D144" s="121"/>
      <c r="E144" s="121"/>
      <c r="F144" s="122"/>
      <c r="G144" s="123"/>
      <c r="H144" s="124"/>
      <c r="I144" s="125"/>
      <c r="J144" s="126"/>
      <c r="K144" s="127"/>
      <c r="L144" s="128"/>
      <c r="M144" s="129"/>
      <c r="N144" s="130"/>
      <c r="O144" s="118"/>
      <c r="P144" s="118"/>
      <c r="Q144" s="131"/>
    </row>
    <row r="145" ht="22.5" customHeight="1">
      <c r="A145" s="118"/>
      <c r="B145" s="119"/>
      <c r="C145" s="120"/>
      <c r="D145" s="121"/>
      <c r="E145" s="121"/>
      <c r="F145" s="122"/>
      <c r="G145" s="123"/>
      <c r="H145" s="124"/>
      <c r="I145" s="125"/>
      <c r="J145" s="126"/>
      <c r="K145" s="127"/>
      <c r="L145" s="128"/>
      <c r="M145" s="129"/>
      <c r="N145" s="130"/>
      <c r="O145" s="118"/>
      <c r="P145" s="118"/>
      <c r="Q145" s="131"/>
    </row>
    <row r="146" ht="22.5" customHeight="1">
      <c r="A146" s="118"/>
      <c r="B146" s="119"/>
      <c r="C146" s="120"/>
      <c r="D146" s="121"/>
      <c r="E146" s="121"/>
      <c r="F146" s="122"/>
      <c r="G146" s="123"/>
      <c r="H146" s="124"/>
      <c r="I146" s="125"/>
      <c r="J146" s="126"/>
      <c r="K146" s="127"/>
      <c r="L146" s="128"/>
      <c r="M146" s="129"/>
      <c r="N146" s="130"/>
      <c r="O146" s="118"/>
      <c r="P146" s="118"/>
      <c r="Q146" s="131"/>
    </row>
    <row r="147" ht="22.5" customHeight="1">
      <c r="A147" s="118"/>
      <c r="B147" s="119"/>
      <c r="C147" s="120"/>
      <c r="D147" s="121"/>
      <c r="E147" s="121"/>
      <c r="F147" s="122"/>
      <c r="G147" s="123"/>
      <c r="H147" s="124"/>
      <c r="I147" s="125"/>
      <c r="J147" s="126"/>
      <c r="K147" s="127"/>
      <c r="L147" s="128"/>
      <c r="M147" s="129"/>
      <c r="N147" s="130"/>
      <c r="O147" s="118"/>
      <c r="P147" s="118"/>
      <c r="Q147" s="131"/>
    </row>
    <row r="148" ht="22.5" customHeight="1">
      <c r="A148" s="118"/>
      <c r="B148" s="119"/>
      <c r="C148" s="120"/>
      <c r="D148" s="121"/>
      <c r="E148" s="121"/>
      <c r="F148" s="122"/>
      <c r="G148" s="123"/>
      <c r="H148" s="124"/>
      <c r="I148" s="125"/>
      <c r="J148" s="126"/>
      <c r="K148" s="127"/>
      <c r="L148" s="128"/>
      <c r="M148" s="129"/>
      <c r="N148" s="130"/>
      <c r="O148" s="118"/>
      <c r="P148" s="118"/>
      <c r="Q148" s="131"/>
    </row>
    <row r="149" ht="22.5" customHeight="1">
      <c r="A149" s="118"/>
      <c r="B149" s="119"/>
      <c r="C149" s="120"/>
      <c r="D149" s="121"/>
      <c r="E149" s="121"/>
      <c r="F149" s="122"/>
      <c r="G149" s="123"/>
      <c r="H149" s="124"/>
      <c r="I149" s="125"/>
      <c r="J149" s="126"/>
      <c r="K149" s="127"/>
      <c r="L149" s="128"/>
      <c r="M149" s="129"/>
      <c r="N149" s="130"/>
      <c r="O149" s="118"/>
      <c r="P149" s="118"/>
      <c r="Q149" s="131"/>
    </row>
    <row r="150" ht="22.5" customHeight="1">
      <c r="A150" s="118"/>
      <c r="B150" s="119"/>
      <c r="C150" s="120"/>
      <c r="D150" s="121"/>
      <c r="E150" s="121"/>
      <c r="F150" s="122"/>
      <c r="G150" s="123"/>
      <c r="H150" s="124"/>
      <c r="I150" s="125"/>
      <c r="J150" s="126"/>
      <c r="K150" s="127"/>
      <c r="L150" s="128"/>
      <c r="M150" s="129"/>
      <c r="N150" s="130"/>
      <c r="O150" s="118"/>
      <c r="P150" s="118"/>
      <c r="Q150" s="131"/>
    </row>
    <row r="151" ht="22.5" customHeight="1">
      <c r="A151" s="118"/>
      <c r="B151" s="119"/>
      <c r="C151" s="120"/>
      <c r="D151" s="121"/>
      <c r="E151" s="121"/>
      <c r="F151" s="122"/>
      <c r="G151" s="123"/>
      <c r="H151" s="124"/>
      <c r="I151" s="125"/>
      <c r="J151" s="126"/>
      <c r="K151" s="127"/>
      <c r="L151" s="128"/>
      <c r="M151" s="129"/>
      <c r="N151" s="130"/>
      <c r="O151" s="118"/>
      <c r="P151" s="118"/>
      <c r="Q151" s="131"/>
    </row>
    <row r="152" ht="22.5" customHeight="1">
      <c r="A152" s="118"/>
      <c r="B152" s="119"/>
      <c r="C152" s="120"/>
      <c r="D152" s="121"/>
      <c r="E152" s="121"/>
      <c r="F152" s="122"/>
      <c r="G152" s="123"/>
      <c r="H152" s="124"/>
      <c r="I152" s="125"/>
      <c r="J152" s="126"/>
      <c r="K152" s="127"/>
      <c r="L152" s="128"/>
      <c r="M152" s="129"/>
      <c r="N152" s="130"/>
      <c r="O152" s="118"/>
      <c r="P152" s="118"/>
      <c r="Q152" s="131"/>
    </row>
    <row r="153" ht="22.5" customHeight="1">
      <c r="A153" s="118"/>
      <c r="B153" s="119"/>
      <c r="C153" s="120"/>
      <c r="D153" s="121"/>
      <c r="E153" s="121"/>
      <c r="F153" s="122"/>
      <c r="G153" s="123"/>
      <c r="H153" s="124"/>
      <c r="I153" s="125"/>
      <c r="J153" s="126"/>
      <c r="K153" s="127"/>
      <c r="L153" s="128"/>
      <c r="M153" s="129"/>
      <c r="N153" s="130"/>
      <c r="O153" s="118"/>
      <c r="P153" s="118"/>
      <c r="Q153" s="131"/>
    </row>
    <row r="154" ht="22.5" customHeight="1">
      <c r="A154" s="118"/>
      <c r="B154" s="119"/>
      <c r="C154" s="120"/>
      <c r="D154" s="121"/>
      <c r="E154" s="121"/>
      <c r="F154" s="122"/>
      <c r="G154" s="123"/>
      <c r="H154" s="124"/>
      <c r="I154" s="125"/>
      <c r="J154" s="126"/>
      <c r="K154" s="127"/>
      <c r="L154" s="128"/>
      <c r="M154" s="129"/>
      <c r="N154" s="130"/>
      <c r="O154" s="118"/>
      <c r="P154" s="118"/>
      <c r="Q154" s="131"/>
    </row>
    <row r="155" ht="22.5" customHeight="1">
      <c r="A155" s="118"/>
      <c r="B155" s="119"/>
      <c r="C155" s="120"/>
      <c r="D155" s="121"/>
      <c r="E155" s="121"/>
      <c r="F155" s="122"/>
      <c r="G155" s="123"/>
      <c r="H155" s="124"/>
      <c r="I155" s="125"/>
      <c r="J155" s="126"/>
      <c r="K155" s="127"/>
      <c r="L155" s="128"/>
      <c r="M155" s="129"/>
      <c r="N155" s="130"/>
      <c r="O155" s="118"/>
      <c r="P155" s="118"/>
      <c r="Q155" s="131"/>
    </row>
    <row r="156" ht="22.5" customHeight="1">
      <c r="A156" s="118"/>
      <c r="B156" s="119"/>
      <c r="C156" s="120"/>
      <c r="D156" s="121"/>
      <c r="E156" s="121"/>
      <c r="F156" s="122"/>
      <c r="G156" s="123"/>
      <c r="H156" s="124"/>
      <c r="I156" s="125"/>
      <c r="J156" s="126"/>
      <c r="K156" s="127"/>
      <c r="L156" s="128"/>
      <c r="M156" s="129"/>
      <c r="N156" s="130"/>
      <c r="O156" s="118"/>
      <c r="P156" s="118"/>
      <c r="Q156" s="131"/>
    </row>
    <row r="157" ht="22.5" customHeight="1">
      <c r="A157" s="118"/>
      <c r="B157" s="119"/>
      <c r="C157" s="120"/>
      <c r="D157" s="121"/>
      <c r="E157" s="121"/>
      <c r="F157" s="122"/>
      <c r="G157" s="123"/>
      <c r="H157" s="124"/>
      <c r="I157" s="125"/>
      <c r="J157" s="126"/>
      <c r="K157" s="127"/>
      <c r="L157" s="128"/>
      <c r="M157" s="129"/>
      <c r="N157" s="130"/>
      <c r="O157" s="118"/>
      <c r="P157" s="118"/>
      <c r="Q157" s="131"/>
    </row>
    <row r="158" ht="22.5" customHeight="1">
      <c r="A158" s="118"/>
      <c r="B158" s="119"/>
      <c r="C158" s="120"/>
      <c r="D158" s="121"/>
      <c r="E158" s="121"/>
      <c r="F158" s="122"/>
      <c r="G158" s="123"/>
      <c r="H158" s="124"/>
      <c r="I158" s="125"/>
      <c r="J158" s="126"/>
      <c r="K158" s="127"/>
      <c r="L158" s="128"/>
      <c r="M158" s="129"/>
      <c r="N158" s="130"/>
      <c r="O158" s="118"/>
      <c r="P158" s="118"/>
      <c r="Q158" s="131"/>
    </row>
    <row r="159" ht="22.5" customHeight="1">
      <c r="A159" s="118"/>
      <c r="B159" s="119"/>
      <c r="C159" s="120"/>
      <c r="D159" s="121"/>
      <c r="E159" s="121"/>
      <c r="F159" s="122"/>
      <c r="G159" s="123"/>
      <c r="H159" s="124"/>
      <c r="I159" s="125"/>
      <c r="J159" s="126"/>
      <c r="K159" s="127"/>
      <c r="L159" s="128"/>
      <c r="M159" s="129"/>
      <c r="N159" s="130"/>
      <c r="O159" s="118"/>
      <c r="P159" s="118"/>
      <c r="Q159" s="131"/>
    </row>
    <row r="160" ht="22.5" customHeight="1">
      <c r="A160" s="118"/>
      <c r="B160" s="119"/>
      <c r="C160" s="120"/>
      <c r="D160" s="121"/>
      <c r="E160" s="121"/>
      <c r="F160" s="122"/>
      <c r="G160" s="123"/>
      <c r="H160" s="124"/>
      <c r="I160" s="125"/>
      <c r="J160" s="126"/>
      <c r="K160" s="127"/>
      <c r="L160" s="128"/>
      <c r="M160" s="129"/>
      <c r="N160" s="130"/>
      <c r="O160" s="118"/>
      <c r="P160" s="118"/>
      <c r="Q160" s="131"/>
    </row>
    <row r="161" ht="22.5" customHeight="1">
      <c r="A161" s="118"/>
      <c r="B161" s="119"/>
      <c r="C161" s="120"/>
      <c r="D161" s="121"/>
      <c r="E161" s="121"/>
      <c r="F161" s="122"/>
      <c r="G161" s="123"/>
      <c r="H161" s="124"/>
      <c r="I161" s="125"/>
      <c r="J161" s="126"/>
      <c r="K161" s="127"/>
      <c r="L161" s="128"/>
      <c r="M161" s="129"/>
      <c r="N161" s="130"/>
      <c r="O161" s="118"/>
      <c r="P161" s="118"/>
      <c r="Q161" s="131"/>
    </row>
    <row r="162" ht="22.5" customHeight="1">
      <c r="A162" s="118"/>
      <c r="B162" s="119"/>
      <c r="C162" s="120"/>
      <c r="D162" s="121"/>
      <c r="E162" s="121"/>
      <c r="F162" s="122"/>
      <c r="G162" s="123"/>
      <c r="H162" s="124"/>
      <c r="I162" s="125"/>
      <c r="J162" s="126"/>
      <c r="K162" s="127"/>
      <c r="L162" s="128"/>
      <c r="M162" s="129"/>
      <c r="N162" s="130"/>
      <c r="O162" s="118"/>
      <c r="P162" s="118"/>
      <c r="Q162" s="131"/>
    </row>
    <row r="163" ht="22.5" customHeight="1">
      <c r="A163" s="118"/>
      <c r="B163" s="119"/>
      <c r="C163" s="120"/>
      <c r="D163" s="121"/>
      <c r="E163" s="121"/>
      <c r="F163" s="122"/>
      <c r="G163" s="123"/>
      <c r="H163" s="124"/>
      <c r="I163" s="125"/>
      <c r="J163" s="126"/>
      <c r="K163" s="127"/>
      <c r="L163" s="128"/>
      <c r="M163" s="129"/>
      <c r="N163" s="130"/>
      <c r="O163" s="118"/>
      <c r="P163" s="118"/>
      <c r="Q163" s="131"/>
    </row>
    <row r="164" ht="22.5" customHeight="1">
      <c r="A164" s="118"/>
      <c r="B164" s="119"/>
      <c r="C164" s="120"/>
      <c r="D164" s="121"/>
      <c r="E164" s="121"/>
      <c r="F164" s="122"/>
      <c r="G164" s="123"/>
      <c r="H164" s="124"/>
      <c r="I164" s="125"/>
      <c r="J164" s="126"/>
      <c r="K164" s="127"/>
      <c r="L164" s="128"/>
      <c r="M164" s="129"/>
      <c r="N164" s="130"/>
      <c r="O164" s="118"/>
      <c r="P164" s="118"/>
      <c r="Q164" s="131"/>
    </row>
    <row r="165" ht="22.5" customHeight="1">
      <c r="A165" s="118"/>
      <c r="B165" s="119"/>
      <c r="C165" s="120"/>
      <c r="D165" s="121"/>
      <c r="E165" s="121"/>
      <c r="F165" s="122"/>
      <c r="G165" s="123"/>
      <c r="H165" s="124"/>
      <c r="I165" s="125"/>
      <c r="J165" s="126"/>
      <c r="K165" s="127"/>
      <c r="L165" s="128"/>
      <c r="M165" s="129"/>
      <c r="N165" s="130"/>
      <c r="O165" s="118"/>
      <c r="P165" s="118"/>
      <c r="Q165" s="131"/>
    </row>
    <row r="166" ht="22.5" customHeight="1">
      <c r="A166" s="118"/>
      <c r="B166" s="119"/>
      <c r="C166" s="120"/>
      <c r="D166" s="121"/>
      <c r="E166" s="121"/>
      <c r="F166" s="122"/>
      <c r="G166" s="123"/>
      <c r="H166" s="124"/>
      <c r="I166" s="125"/>
      <c r="J166" s="126"/>
      <c r="K166" s="127"/>
      <c r="L166" s="128"/>
      <c r="M166" s="129"/>
      <c r="N166" s="130"/>
      <c r="O166" s="118"/>
      <c r="P166" s="118"/>
      <c r="Q166" s="131"/>
    </row>
    <row r="167" ht="22.5" customHeight="1">
      <c r="A167" s="118"/>
      <c r="B167" s="119"/>
      <c r="C167" s="120"/>
      <c r="D167" s="121"/>
      <c r="E167" s="121"/>
      <c r="F167" s="122"/>
      <c r="G167" s="123"/>
      <c r="H167" s="124"/>
      <c r="I167" s="125"/>
      <c r="J167" s="126"/>
      <c r="K167" s="127"/>
      <c r="L167" s="128"/>
      <c r="M167" s="129"/>
      <c r="N167" s="130"/>
      <c r="O167" s="118"/>
      <c r="P167" s="118"/>
      <c r="Q167" s="131"/>
    </row>
    <row r="168" ht="22.5" customHeight="1">
      <c r="A168" s="118"/>
      <c r="B168" s="119"/>
      <c r="C168" s="120"/>
      <c r="D168" s="121"/>
      <c r="E168" s="121"/>
      <c r="F168" s="122"/>
      <c r="G168" s="123"/>
      <c r="H168" s="124"/>
      <c r="I168" s="125"/>
      <c r="J168" s="126"/>
      <c r="K168" s="127"/>
      <c r="L168" s="128"/>
      <c r="M168" s="129"/>
      <c r="N168" s="130"/>
      <c r="O168" s="118"/>
      <c r="P168" s="118"/>
      <c r="Q168" s="131"/>
    </row>
    <row r="169" ht="22.5" customHeight="1">
      <c r="A169" s="118"/>
      <c r="B169" s="119"/>
      <c r="C169" s="120"/>
      <c r="D169" s="121"/>
      <c r="E169" s="121"/>
      <c r="F169" s="122"/>
      <c r="G169" s="123"/>
      <c r="H169" s="124"/>
      <c r="I169" s="125"/>
      <c r="J169" s="126"/>
      <c r="K169" s="127"/>
      <c r="L169" s="128"/>
      <c r="M169" s="129"/>
      <c r="N169" s="130"/>
      <c r="O169" s="118"/>
      <c r="P169" s="118"/>
      <c r="Q169" s="131"/>
    </row>
    <row r="170" ht="22.5" customHeight="1">
      <c r="A170" s="118"/>
      <c r="B170" s="119"/>
      <c r="C170" s="120"/>
      <c r="D170" s="121"/>
      <c r="E170" s="121"/>
      <c r="F170" s="122"/>
      <c r="G170" s="123"/>
      <c r="H170" s="124"/>
      <c r="I170" s="125"/>
      <c r="J170" s="126"/>
      <c r="K170" s="127"/>
      <c r="L170" s="128"/>
      <c r="M170" s="129"/>
      <c r="N170" s="130"/>
      <c r="O170" s="118"/>
      <c r="P170" s="118"/>
      <c r="Q170" s="131"/>
    </row>
    <row r="171" ht="22.5" customHeight="1">
      <c r="A171" s="118"/>
      <c r="B171" s="119"/>
      <c r="C171" s="120"/>
      <c r="D171" s="121"/>
      <c r="E171" s="121"/>
      <c r="F171" s="122"/>
      <c r="G171" s="123"/>
      <c r="H171" s="124"/>
      <c r="I171" s="125"/>
      <c r="J171" s="126"/>
      <c r="K171" s="127"/>
      <c r="L171" s="128"/>
      <c r="M171" s="129"/>
      <c r="N171" s="130"/>
      <c r="O171" s="118"/>
      <c r="P171" s="118"/>
      <c r="Q171" s="131"/>
    </row>
    <row r="172" ht="22.5" customHeight="1">
      <c r="A172" s="118"/>
      <c r="B172" s="119"/>
      <c r="C172" s="120"/>
      <c r="D172" s="121"/>
      <c r="E172" s="121"/>
      <c r="F172" s="122"/>
      <c r="G172" s="123"/>
      <c r="H172" s="124"/>
      <c r="I172" s="125"/>
      <c r="J172" s="126"/>
      <c r="K172" s="127"/>
      <c r="L172" s="128"/>
      <c r="M172" s="129"/>
      <c r="N172" s="130"/>
      <c r="O172" s="118"/>
      <c r="P172" s="118"/>
      <c r="Q172" s="131"/>
    </row>
    <row r="173" ht="22.5" customHeight="1">
      <c r="A173" s="118"/>
      <c r="B173" s="119"/>
      <c r="C173" s="120"/>
      <c r="D173" s="121"/>
      <c r="E173" s="121"/>
      <c r="F173" s="122"/>
      <c r="G173" s="123"/>
      <c r="H173" s="124"/>
      <c r="I173" s="125"/>
      <c r="J173" s="126"/>
      <c r="K173" s="127"/>
      <c r="L173" s="128"/>
      <c r="M173" s="129"/>
      <c r="N173" s="130"/>
      <c r="O173" s="118"/>
      <c r="P173" s="118"/>
      <c r="Q173" s="131"/>
    </row>
    <row r="174" ht="22.5" customHeight="1">
      <c r="A174" s="118"/>
      <c r="B174" s="119"/>
      <c r="C174" s="120"/>
      <c r="D174" s="121"/>
      <c r="E174" s="121"/>
      <c r="F174" s="122"/>
      <c r="G174" s="123"/>
      <c r="H174" s="124"/>
      <c r="I174" s="125"/>
      <c r="J174" s="126"/>
      <c r="K174" s="127"/>
      <c r="L174" s="128"/>
      <c r="M174" s="129"/>
      <c r="N174" s="130"/>
      <c r="O174" s="118"/>
      <c r="P174" s="118"/>
      <c r="Q174" s="131"/>
    </row>
    <row r="175" ht="22.5" customHeight="1">
      <c r="A175" s="118"/>
      <c r="B175" s="119"/>
      <c r="C175" s="120"/>
      <c r="D175" s="121"/>
      <c r="E175" s="121"/>
      <c r="F175" s="122"/>
      <c r="G175" s="123"/>
      <c r="H175" s="124"/>
      <c r="I175" s="125"/>
      <c r="J175" s="126"/>
      <c r="K175" s="127"/>
      <c r="L175" s="128"/>
      <c r="M175" s="129"/>
      <c r="N175" s="130"/>
      <c r="O175" s="118"/>
      <c r="P175" s="118"/>
      <c r="Q175" s="131"/>
    </row>
    <row r="176" ht="22.5" customHeight="1">
      <c r="A176" s="118"/>
      <c r="B176" s="119"/>
      <c r="C176" s="120"/>
      <c r="D176" s="121"/>
      <c r="E176" s="121"/>
      <c r="F176" s="122"/>
      <c r="G176" s="123"/>
      <c r="H176" s="124"/>
      <c r="I176" s="125"/>
      <c r="J176" s="126"/>
      <c r="K176" s="127"/>
      <c r="L176" s="128"/>
      <c r="M176" s="129"/>
      <c r="N176" s="130"/>
      <c r="O176" s="118"/>
      <c r="P176" s="118"/>
      <c r="Q176" s="131"/>
    </row>
    <row r="177" ht="22.5" customHeight="1">
      <c r="A177" s="118"/>
      <c r="B177" s="119"/>
      <c r="C177" s="120"/>
      <c r="D177" s="121"/>
      <c r="E177" s="121"/>
      <c r="F177" s="122"/>
      <c r="G177" s="123"/>
      <c r="H177" s="124"/>
      <c r="I177" s="125"/>
      <c r="J177" s="126"/>
      <c r="K177" s="127"/>
      <c r="L177" s="128"/>
      <c r="M177" s="129"/>
      <c r="N177" s="130"/>
      <c r="O177" s="118"/>
      <c r="P177" s="118"/>
      <c r="Q177" s="131"/>
    </row>
    <row r="178" ht="22.5" customHeight="1">
      <c r="A178" s="118"/>
      <c r="B178" s="119"/>
      <c r="C178" s="120"/>
      <c r="D178" s="121"/>
      <c r="E178" s="121"/>
      <c r="F178" s="122"/>
      <c r="G178" s="123"/>
      <c r="H178" s="124"/>
      <c r="I178" s="125"/>
      <c r="J178" s="126"/>
      <c r="K178" s="127"/>
      <c r="L178" s="128"/>
      <c r="M178" s="129"/>
      <c r="N178" s="130"/>
      <c r="O178" s="118"/>
      <c r="P178" s="118"/>
      <c r="Q178" s="131"/>
    </row>
    <row r="179" ht="22.5" customHeight="1">
      <c r="A179" s="118"/>
      <c r="B179" s="119"/>
      <c r="C179" s="120"/>
      <c r="D179" s="121"/>
      <c r="E179" s="121"/>
      <c r="F179" s="122"/>
      <c r="G179" s="123"/>
      <c r="H179" s="124"/>
      <c r="I179" s="125"/>
      <c r="J179" s="126"/>
      <c r="K179" s="127"/>
      <c r="L179" s="128"/>
      <c r="M179" s="129"/>
      <c r="N179" s="130"/>
      <c r="O179" s="118"/>
      <c r="P179" s="118"/>
      <c r="Q179" s="131"/>
    </row>
    <row r="180" ht="22.5" customHeight="1">
      <c r="A180" s="118"/>
      <c r="B180" s="119"/>
      <c r="C180" s="120"/>
      <c r="D180" s="121"/>
      <c r="E180" s="121"/>
      <c r="F180" s="122"/>
      <c r="G180" s="123"/>
      <c r="H180" s="124"/>
      <c r="I180" s="125"/>
      <c r="J180" s="126"/>
      <c r="K180" s="127"/>
      <c r="L180" s="128"/>
      <c r="M180" s="129"/>
      <c r="N180" s="130"/>
      <c r="O180" s="118"/>
      <c r="P180" s="118"/>
      <c r="Q180" s="131"/>
    </row>
    <row r="181" ht="22.5" customHeight="1">
      <c r="A181" s="118"/>
      <c r="B181" s="119"/>
      <c r="C181" s="120"/>
      <c r="D181" s="121"/>
      <c r="E181" s="121"/>
      <c r="F181" s="122"/>
      <c r="G181" s="123"/>
      <c r="H181" s="124"/>
      <c r="I181" s="125"/>
      <c r="J181" s="126"/>
      <c r="K181" s="127"/>
      <c r="L181" s="128"/>
      <c r="M181" s="129"/>
      <c r="N181" s="130"/>
      <c r="O181" s="118"/>
      <c r="P181" s="118"/>
      <c r="Q181" s="131"/>
    </row>
    <row r="182" ht="22.5" customHeight="1">
      <c r="A182" s="118"/>
      <c r="B182" s="119"/>
      <c r="C182" s="120"/>
      <c r="D182" s="121"/>
      <c r="E182" s="121"/>
      <c r="F182" s="122"/>
      <c r="G182" s="123"/>
      <c r="H182" s="124"/>
      <c r="I182" s="125"/>
      <c r="J182" s="126"/>
      <c r="K182" s="127"/>
      <c r="L182" s="128"/>
      <c r="M182" s="129"/>
      <c r="N182" s="130"/>
      <c r="O182" s="118"/>
      <c r="P182" s="118"/>
      <c r="Q182" s="131"/>
    </row>
    <row r="183" ht="22.5" customHeight="1">
      <c r="A183" s="118"/>
      <c r="B183" s="119"/>
      <c r="C183" s="120"/>
      <c r="D183" s="121"/>
      <c r="E183" s="121"/>
      <c r="F183" s="122"/>
      <c r="G183" s="123"/>
      <c r="H183" s="124"/>
      <c r="I183" s="125"/>
      <c r="J183" s="126"/>
      <c r="K183" s="127"/>
      <c r="L183" s="128"/>
      <c r="M183" s="129"/>
      <c r="N183" s="130"/>
      <c r="O183" s="118"/>
      <c r="P183" s="118"/>
      <c r="Q183" s="131"/>
    </row>
    <row r="184" ht="22.5" customHeight="1">
      <c r="A184" s="118"/>
      <c r="B184" s="119"/>
      <c r="C184" s="120"/>
      <c r="D184" s="121"/>
      <c r="E184" s="121"/>
      <c r="F184" s="122"/>
      <c r="G184" s="123"/>
      <c r="H184" s="124"/>
      <c r="I184" s="125"/>
      <c r="J184" s="126"/>
      <c r="K184" s="127"/>
      <c r="L184" s="128"/>
      <c r="M184" s="129"/>
      <c r="N184" s="130"/>
      <c r="O184" s="118"/>
      <c r="P184" s="118"/>
      <c r="Q184" s="131"/>
    </row>
    <row r="185" ht="22.5" customHeight="1">
      <c r="A185" s="118"/>
      <c r="B185" s="119"/>
      <c r="C185" s="120"/>
      <c r="D185" s="121"/>
      <c r="E185" s="121"/>
      <c r="F185" s="122"/>
      <c r="G185" s="123"/>
      <c r="H185" s="124"/>
      <c r="I185" s="125"/>
      <c r="J185" s="126"/>
      <c r="K185" s="127"/>
      <c r="L185" s="128"/>
      <c r="M185" s="129"/>
      <c r="N185" s="130"/>
      <c r="O185" s="118"/>
      <c r="P185" s="118"/>
      <c r="Q185" s="131"/>
    </row>
    <row r="186" ht="22.5" customHeight="1">
      <c r="A186" s="118"/>
      <c r="B186" s="119"/>
      <c r="C186" s="120"/>
      <c r="D186" s="121"/>
      <c r="E186" s="121"/>
      <c r="F186" s="122"/>
      <c r="G186" s="123"/>
      <c r="H186" s="124"/>
      <c r="I186" s="125"/>
      <c r="J186" s="126"/>
      <c r="K186" s="127"/>
      <c r="L186" s="128"/>
      <c r="M186" s="129"/>
      <c r="N186" s="130"/>
      <c r="O186" s="118"/>
      <c r="P186" s="118"/>
      <c r="Q186" s="131"/>
    </row>
    <row r="187" ht="22.5" customHeight="1">
      <c r="A187" s="118"/>
      <c r="B187" s="119"/>
      <c r="C187" s="120"/>
      <c r="D187" s="121"/>
      <c r="E187" s="121"/>
      <c r="F187" s="122"/>
      <c r="G187" s="123"/>
      <c r="H187" s="124"/>
      <c r="I187" s="125"/>
      <c r="J187" s="126"/>
      <c r="K187" s="127"/>
      <c r="L187" s="128"/>
      <c r="M187" s="129"/>
      <c r="N187" s="130"/>
      <c r="O187" s="118"/>
      <c r="P187" s="118"/>
      <c r="Q187" s="131"/>
    </row>
    <row r="188" ht="22.5" customHeight="1">
      <c r="A188" s="118"/>
      <c r="B188" s="119"/>
      <c r="C188" s="120"/>
      <c r="D188" s="121"/>
      <c r="E188" s="121"/>
      <c r="F188" s="122"/>
      <c r="G188" s="123"/>
      <c r="H188" s="124"/>
      <c r="I188" s="125"/>
      <c r="J188" s="126"/>
      <c r="K188" s="127"/>
      <c r="L188" s="128"/>
      <c r="M188" s="129"/>
      <c r="N188" s="130"/>
      <c r="O188" s="118"/>
      <c r="P188" s="118"/>
      <c r="Q188" s="131"/>
    </row>
    <row r="189" ht="22.5" customHeight="1">
      <c r="A189" s="118"/>
      <c r="B189" s="119"/>
      <c r="C189" s="120"/>
      <c r="D189" s="121"/>
      <c r="E189" s="121"/>
      <c r="F189" s="122"/>
      <c r="G189" s="123"/>
      <c r="H189" s="124"/>
      <c r="I189" s="125"/>
      <c r="J189" s="126"/>
      <c r="K189" s="127"/>
      <c r="L189" s="128"/>
      <c r="M189" s="129"/>
      <c r="N189" s="130"/>
      <c r="O189" s="118"/>
      <c r="P189" s="118"/>
      <c r="Q189" s="131"/>
    </row>
    <row r="190" ht="22.5" customHeight="1">
      <c r="A190" s="118"/>
      <c r="B190" s="119"/>
      <c r="C190" s="120"/>
      <c r="D190" s="121"/>
      <c r="E190" s="121"/>
      <c r="F190" s="122"/>
      <c r="G190" s="123"/>
      <c r="H190" s="124"/>
      <c r="I190" s="125"/>
      <c r="J190" s="126"/>
      <c r="K190" s="127"/>
      <c r="L190" s="128"/>
      <c r="M190" s="129"/>
      <c r="N190" s="130"/>
      <c r="O190" s="118"/>
      <c r="P190" s="118"/>
      <c r="Q190" s="131"/>
    </row>
    <row r="191" ht="22.5" customHeight="1">
      <c r="A191" s="118"/>
      <c r="B191" s="119"/>
      <c r="C191" s="120"/>
      <c r="D191" s="121"/>
      <c r="E191" s="121"/>
      <c r="F191" s="122"/>
      <c r="G191" s="123"/>
      <c r="H191" s="124"/>
      <c r="I191" s="125"/>
      <c r="J191" s="126"/>
      <c r="K191" s="127"/>
      <c r="L191" s="128"/>
      <c r="M191" s="129"/>
      <c r="N191" s="130"/>
      <c r="O191" s="118"/>
      <c r="P191" s="118"/>
      <c r="Q191" s="131"/>
    </row>
    <row r="192" ht="22.5" customHeight="1">
      <c r="A192" s="118"/>
      <c r="B192" s="119"/>
      <c r="C192" s="120"/>
      <c r="D192" s="121"/>
      <c r="E192" s="121"/>
      <c r="F192" s="122"/>
      <c r="G192" s="123"/>
      <c r="H192" s="124"/>
      <c r="I192" s="125"/>
      <c r="J192" s="126"/>
      <c r="K192" s="127"/>
      <c r="L192" s="128"/>
      <c r="M192" s="129"/>
      <c r="N192" s="130"/>
      <c r="O192" s="118"/>
      <c r="P192" s="118"/>
      <c r="Q192" s="131"/>
    </row>
    <row r="193" ht="22.5" customHeight="1">
      <c r="A193" s="118"/>
      <c r="B193" s="119"/>
      <c r="C193" s="120"/>
      <c r="D193" s="121"/>
      <c r="E193" s="121"/>
      <c r="F193" s="122"/>
      <c r="G193" s="123"/>
      <c r="H193" s="124"/>
      <c r="I193" s="125"/>
      <c r="J193" s="126"/>
      <c r="K193" s="127"/>
      <c r="L193" s="128"/>
      <c r="M193" s="129"/>
      <c r="N193" s="130"/>
      <c r="O193" s="118"/>
      <c r="P193" s="118"/>
      <c r="Q193" s="131"/>
    </row>
    <row r="194" ht="22.5" customHeight="1">
      <c r="A194" s="118"/>
      <c r="B194" s="119"/>
      <c r="C194" s="120"/>
      <c r="D194" s="121"/>
      <c r="E194" s="121"/>
      <c r="F194" s="122"/>
      <c r="G194" s="123"/>
      <c r="H194" s="124"/>
      <c r="I194" s="125"/>
      <c r="J194" s="126"/>
      <c r="K194" s="127"/>
      <c r="L194" s="128"/>
      <c r="M194" s="129"/>
      <c r="N194" s="130"/>
      <c r="O194" s="118"/>
      <c r="P194" s="118"/>
      <c r="Q194" s="131"/>
    </row>
    <row r="195" ht="22.5" customHeight="1">
      <c r="A195" s="118"/>
      <c r="B195" s="119"/>
      <c r="C195" s="120"/>
      <c r="D195" s="121"/>
      <c r="E195" s="121"/>
      <c r="F195" s="122"/>
      <c r="G195" s="123"/>
      <c r="H195" s="124"/>
      <c r="I195" s="125"/>
      <c r="J195" s="126"/>
      <c r="K195" s="127"/>
      <c r="L195" s="128"/>
      <c r="M195" s="129"/>
      <c r="N195" s="130"/>
      <c r="O195" s="118"/>
      <c r="P195" s="118"/>
      <c r="Q195" s="131"/>
    </row>
    <row r="196" ht="22.5" customHeight="1">
      <c r="A196" s="118"/>
      <c r="B196" s="119"/>
      <c r="C196" s="120"/>
      <c r="D196" s="121"/>
      <c r="E196" s="121"/>
      <c r="F196" s="122"/>
      <c r="G196" s="123"/>
      <c r="H196" s="124"/>
      <c r="I196" s="125"/>
      <c r="J196" s="126"/>
      <c r="K196" s="127"/>
      <c r="L196" s="128"/>
      <c r="M196" s="129"/>
      <c r="N196" s="130"/>
      <c r="O196" s="118"/>
      <c r="P196" s="118"/>
      <c r="Q196" s="131"/>
    </row>
    <row r="197" ht="22.5" customHeight="1">
      <c r="A197" s="118"/>
      <c r="B197" s="119"/>
      <c r="C197" s="120"/>
      <c r="D197" s="121"/>
      <c r="E197" s="121"/>
      <c r="F197" s="122"/>
      <c r="G197" s="123"/>
      <c r="H197" s="124"/>
      <c r="I197" s="125"/>
      <c r="J197" s="126"/>
      <c r="K197" s="127"/>
      <c r="L197" s="128"/>
      <c r="M197" s="129"/>
      <c r="N197" s="130"/>
      <c r="O197" s="118"/>
      <c r="P197" s="118"/>
      <c r="Q197" s="131"/>
    </row>
    <row r="198" ht="22.5" customHeight="1">
      <c r="A198" s="118"/>
      <c r="B198" s="119"/>
      <c r="C198" s="120"/>
      <c r="D198" s="121"/>
      <c r="E198" s="121"/>
      <c r="F198" s="122"/>
      <c r="G198" s="123"/>
      <c r="H198" s="124"/>
      <c r="I198" s="125"/>
      <c r="J198" s="126"/>
      <c r="K198" s="127"/>
      <c r="L198" s="128"/>
      <c r="M198" s="129"/>
      <c r="N198" s="130"/>
      <c r="O198" s="118"/>
      <c r="P198" s="118"/>
      <c r="Q198" s="131"/>
    </row>
    <row r="199" ht="22.5" customHeight="1">
      <c r="A199" s="118"/>
      <c r="B199" s="119"/>
      <c r="C199" s="120"/>
      <c r="D199" s="121"/>
      <c r="E199" s="121"/>
      <c r="F199" s="122"/>
      <c r="G199" s="123"/>
      <c r="H199" s="124"/>
      <c r="I199" s="125"/>
      <c r="J199" s="126"/>
      <c r="K199" s="127"/>
      <c r="L199" s="128"/>
      <c r="M199" s="129"/>
      <c r="N199" s="130"/>
      <c r="O199" s="118"/>
      <c r="P199" s="118"/>
      <c r="Q199" s="131"/>
    </row>
    <row r="200" ht="22.5" customHeight="1">
      <c r="A200" s="118"/>
      <c r="B200" s="119"/>
      <c r="C200" s="120"/>
      <c r="D200" s="121"/>
      <c r="E200" s="121"/>
      <c r="F200" s="122"/>
      <c r="G200" s="123"/>
      <c r="H200" s="124"/>
      <c r="I200" s="125"/>
      <c r="J200" s="126"/>
      <c r="K200" s="127"/>
      <c r="L200" s="128"/>
      <c r="M200" s="129"/>
      <c r="N200" s="130"/>
      <c r="O200" s="118"/>
      <c r="P200" s="118"/>
      <c r="Q200" s="131"/>
    </row>
    <row r="201" ht="22.5" customHeight="1">
      <c r="A201" s="118"/>
      <c r="B201" s="119"/>
      <c r="C201" s="120"/>
      <c r="D201" s="121"/>
      <c r="E201" s="121"/>
      <c r="F201" s="122"/>
      <c r="G201" s="123"/>
      <c r="H201" s="124"/>
      <c r="I201" s="125"/>
      <c r="J201" s="126"/>
      <c r="K201" s="127"/>
      <c r="L201" s="128"/>
      <c r="M201" s="129"/>
      <c r="N201" s="130"/>
      <c r="O201" s="118"/>
      <c r="P201" s="118"/>
      <c r="Q201" s="131"/>
    </row>
    <row r="202" ht="22.5" customHeight="1">
      <c r="A202" s="118"/>
      <c r="B202" s="119"/>
      <c r="C202" s="120"/>
      <c r="D202" s="121"/>
      <c r="E202" s="121"/>
      <c r="F202" s="122"/>
      <c r="G202" s="123"/>
      <c r="H202" s="124"/>
      <c r="I202" s="125"/>
      <c r="J202" s="126"/>
      <c r="K202" s="127"/>
      <c r="L202" s="128"/>
      <c r="M202" s="129"/>
      <c r="N202" s="130"/>
      <c r="O202" s="118"/>
      <c r="P202" s="118"/>
      <c r="Q202" s="131"/>
    </row>
    <row r="203" ht="22.5" customHeight="1">
      <c r="A203" s="118"/>
      <c r="B203" s="119"/>
      <c r="C203" s="120"/>
      <c r="D203" s="121"/>
      <c r="E203" s="121"/>
      <c r="F203" s="122"/>
      <c r="G203" s="123"/>
      <c r="H203" s="124"/>
      <c r="I203" s="125"/>
      <c r="J203" s="126"/>
      <c r="K203" s="127"/>
      <c r="L203" s="128"/>
      <c r="M203" s="129"/>
      <c r="N203" s="130"/>
      <c r="O203" s="118"/>
      <c r="P203" s="118"/>
      <c r="Q203" s="131"/>
    </row>
    <row r="204" ht="22.5" customHeight="1">
      <c r="A204" s="118"/>
      <c r="B204" s="119"/>
      <c r="C204" s="120"/>
      <c r="D204" s="121"/>
      <c r="E204" s="121"/>
      <c r="F204" s="122"/>
      <c r="G204" s="123"/>
      <c r="H204" s="124"/>
      <c r="I204" s="125"/>
      <c r="J204" s="126"/>
      <c r="K204" s="127"/>
      <c r="L204" s="128"/>
      <c r="M204" s="129"/>
      <c r="N204" s="130"/>
      <c r="O204" s="118"/>
      <c r="P204" s="118"/>
      <c r="Q204" s="131"/>
    </row>
    <row r="205" ht="22.5" customHeight="1">
      <c r="A205" s="118"/>
      <c r="B205" s="119"/>
      <c r="C205" s="120"/>
      <c r="D205" s="121"/>
      <c r="E205" s="121"/>
      <c r="F205" s="122"/>
      <c r="G205" s="123"/>
      <c r="H205" s="124"/>
      <c r="I205" s="125"/>
      <c r="J205" s="126"/>
      <c r="K205" s="127"/>
      <c r="L205" s="128"/>
      <c r="M205" s="129"/>
      <c r="N205" s="130"/>
      <c r="O205" s="118"/>
      <c r="P205" s="118"/>
      <c r="Q205" s="131"/>
    </row>
    <row r="206" ht="22.5" customHeight="1">
      <c r="A206" s="118"/>
      <c r="B206" s="119"/>
      <c r="C206" s="120"/>
      <c r="D206" s="121"/>
      <c r="E206" s="121"/>
      <c r="F206" s="122"/>
      <c r="G206" s="123"/>
      <c r="H206" s="124"/>
      <c r="I206" s="125"/>
      <c r="J206" s="126"/>
      <c r="K206" s="127"/>
      <c r="L206" s="128"/>
      <c r="M206" s="129"/>
      <c r="N206" s="130"/>
      <c r="O206" s="118"/>
      <c r="P206" s="118"/>
      <c r="Q206" s="131"/>
    </row>
    <row r="207" ht="22.5" customHeight="1">
      <c r="A207" s="118"/>
      <c r="B207" s="119"/>
      <c r="C207" s="120"/>
      <c r="D207" s="121"/>
      <c r="E207" s="121"/>
      <c r="F207" s="122"/>
      <c r="G207" s="123"/>
      <c r="H207" s="124"/>
      <c r="I207" s="125"/>
      <c r="J207" s="126"/>
      <c r="K207" s="127"/>
      <c r="L207" s="128"/>
      <c r="M207" s="129"/>
      <c r="N207" s="130"/>
      <c r="O207" s="118"/>
      <c r="P207" s="118"/>
      <c r="Q207" s="131"/>
    </row>
    <row r="208" ht="22.5" customHeight="1">
      <c r="A208" s="118"/>
      <c r="B208" s="119"/>
      <c r="C208" s="120"/>
      <c r="D208" s="121"/>
      <c r="E208" s="121"/>
      <c r="F208" s="122"/>
      <c r="G208" s="123"/>
      <c r="H208" s="124"/>
      <c r="I208" s="125"/>
      <c r="J208" s="126"/>
      <c r="K208" s="127"/>
      <c r="L208" s="128"/>
      <c r="M208" s="129"/>
      <c r="N208" s="130"/>
      <c r="O208" s="118"/>
      <c r="P208" s="118"/>
      <c r="Q208" s="131"/>
    </row>
    <row r="209" ht="22.5" customHeight="1">
      <c r="A209" s="118"/>
      <c r="B209" s="119"/>
      <c r="C209" s="120"/>
      <c r="D209" s="121"/>
      <c r="E209" s="121"/>
      <c r="F209" s="122"/>
      <c r="G209" s="123"/>
      <c r="H209" s="124"/>
      <c r="I209" s="125"/>
      <c r="J209" s="126"/>
      <c r="K209" s="127"/>
      <c r="L209" s="128"/>
      <c r="M209" s="129"/>
      <c r="N209" s="130"/>
      <c r="O209" s="118"/>
      <c r="P209" s="118"/>
      <c r="Q209" s="131"/>
    </row>
    <row r="210" ht="22.5" customHeight="1">
      <c r="A210" s="118"/>
      <c r="B210" s="119"/>
      <c r="C210" s="120"/>
      <c r="D210" s="121"/>
      <c r="E210" s="121"/>
      <c r="F210" s="122"/>
      <c r="G210" s="123"/>
      <c r="H210" s="124"/>
      <c r="I210" s="125"/>
      <c r="J210" s="126"/>
      <c r="K210" s="127"/>
      <c r="L210" s="128"/>
      <c r="M210" s="129"/>
      <c r="N210" s="130"/>
      <c r="O210" s="118"/>
      <c r="P210" s="118"/>
      <c r="Q210" s="131"/>
    </row>
    <row r="211" ht="22.5" customHeight="1">
      <c r="A211" s="118"/>
      <c r="B211" s="119"/>
      <c r="C211" s="120"/>
      <c r="D211" s="121"/>
      <c r="E211" s="121"/>
      <c r="F211" s="122"/>
      <c r="G211" s="123"/>
      <c r="H211" s="124"/>
      <c r="I211" s="125"/>
      <c r="J211" s="126"/>
      <c r="K211" s="127"/>
      <c r="L211" s="128"/>
      <c r="M211" s="129"/>
      <c r="N211" s="130"/>
      <c r="O211" s="118"/>
      <c r="P211" s="118"/>
      <c r="Q211" s="131"/>
    </row>
    <row r="212" ht="22.5" customHeight="1">
      <c r="A212" s="118"/>
      <c r="B212" s="119"/>
      <c r="C212" s="120"/>
      <c r="D212" s="121"/>
      <c r="E212" s="121"/>
      <c r="F212" s="122"/>
      <c r="G212" s="123"/>
      <c r="H212" s="124"/>
      <c r="I212" s="125"/>
      <c r="J212" s="126"/>
      <c r="K212" s="127"/>
      <c r="L212" s="128"/>
      <c r="M212" s="129"/>
      <c r="N212" s="130"/>
      <c r="O212" s="118"/>
      <c r="P212" s="118"/>
      <c r="Q212" s="131"/>
    </row>
    <row r="213" ht="22.5" customHeight="1">
      <c r="A213" s="118"/>
      <c r="B213" s="119"/>
      <c r="C213" s="120"/>
      <c r="D213" s="121"/>
      <c r="E213" s="121"/>
      <c r="F213" s="122"/>
      <c r="G213" s="123"/>
      <c r="H213" s="124"/>
      <c r="I213" s="125"/>
      <c r="J213" s="126"/>
      <c r="K213" s="127"/>
      <c r="L213" s="128"/>
      <c r="M213" s="129"/>
      <c r="N213" s="130"/>
      <c r="O213" s="118"/>
      <c r="P213" s="118"/>
      <c r="Q213" s="131"/>
    </row>
    <row r="214" ht="22.5" customHeight="1">
      <c r="A214" s="118"/>
      <c r="B214" s="119"/>
      <c r="C214" s="120"/>
      <c r="D214" s="121"/>
      <c r="E214" s="121"/>
      <c r="F214" s="122"/>
      <c r="G214" s="123"/>
      <c r="H214" s="124"/>
      <c r="I214" s="125"/>
      <c r="J214" s="126"/>
      <c r="K214" s="127"/>
      <c r="L214" s="128"/>
      <c r="M214" s="129"/>
      <c r="N214" s="130"/>
      <c r="O214" s="118"/>
      <c r="P214" s="118"/>
      <c r="Q214" s="131"/>
    </row>
    <row r="215" ht="22.5" customHeight="1">
      <c r="A215" s="118"/>
      <c r="B215" s="119"/>
      <c r="C215" s="120"/>
      <c r="D215" s="121"/>
      <c r="E215" s="121"/>
      <c r="F215" s="122"/>
      <c r="G215" s="123"/>
      <c r="H215" s="124"/>
      <c r="I215" s="125"/>
      <c r="J215" s="126"/>
      <c r="K215" s="127"/>
      <c r="L215" s="128"/>
      <c r="M215" s="129"/>
      <c r="N215" s="130"/>
      <c r="O215" s="118"/>
      <c r="P215" s="118"/>
      <c r="Q215" s="131"/>
    </row>
    <row r="216" ht="22.5" customHeight="1">
      <c r="A216" s="118"/>
      <c r="B216" s="119"/>
      <c r="C216" s="120"/>
      <c r="D216" s="121"/>
      <c r="E216" s="121"/>
      <c r="F216" s="122"/>
      <c r="G216" s="123"/>
      <c r="H216" s="124"/>
      <c r="I216" s="125"/>
      <c r="J216" s="126"/>
      <c r="K216" s="127"/>
      <c r="L216" s="128"/>
      <c r="M216" s="129"/>
      <c r="N216" s="130"/>
      <c r="O216" s="118"/>
      <c r="P216" s="118"/>
      <c r="Q216" s="131"/>
    </row>
    <row r="217" ht="22.5" customHeight="1">
      <c r="A217" s="118"/>
      <c r="B217" s="119"/>
      <c r="C217" s="120"/>
      <c r="D217" s="121"/>
      <c r="E217" s="121"/>
      <c r="F217" s="122"/>
      <c r="G217" s="123"/>
      <c r="H217" s="124"/>
      <c r="I217" s="125"/>
      <c r="J217" s="126"/>
      <c r="K217" s="127"/>
      <c r="L217" s="128"/>
      <c r="M217" s="129"/>
      <c r="N217" s="130"/>
      <c r="O217" s="118"/>
      <c r="P217" s="118"/>
      <c r="Q217" s="131"/>
    </row>
    <row r="218" ht="22.5" customHeight="1">
      <c r="A218" s="118"/>
      <c r="B218" s="119"/>
      <c r="C218" s="120"/>
      <c r="D218" s="121"/>
      <c r="E218" s="121"/>
      <c r="F218" s="122"/>
      <c r="G218" s="123"/>
      <c r="H218" s="124"/>
      <c r="I218" s="125"/>
      <c r="J218" s="126"/>
      <c r="K218" s="127"/>
      <c r="L218" s="128"/>
      <c r="M218" s="129"/>
      <c r="N218" s="130"/>
      <c r="O218" s="118"/>
      <c r="P218" s="118"/>
      <c r="Q218" s="131"/>
    </row>
    <row r="219" ht="22.5" customHeight="1">
      <c r="A219" s="118"/>
      <c r="B219" s="119"/>
      <c r="C219" s="120"/>
      <c r="D219" s="121"/>
      <c r="E219" s="121"/>
      <c r="F219" s="122"/>
      <c r="G219" s="123"/>
      <c r="H219" s="124"/>
      <c r="I219" s="125"/>
      <c r="J219" s="126"/>
      <c r="K219" s="127"/>
      <c r="L219" s="128"/>
      <c r="M219" s="129"/>
      <c r="N219" s="130"/>
      <c r="O219" s="118"/>
      <c r="P219" s="118"/>
      <c r="Q219" s="131"/>
    </row>
    <row r="220" ht="22.5" customHeight="1">
      <c r="A220" s="118"/>
      <c r="B220" s="119"/>
      <c r="C220" s="120"/>
      <c r="D220" s="121"/>
      <c r="E220" s="121"/>
      <c r="F220" s="122"/>
      <c r="G220" s="123"/>
      <c r="H220" s="124"/>
      <c r="I220" s="125"/>
      <c r="J220" s="126"/>
      <c r="K220" s="127"/>
      <c r="L220" s="128"/>
      <c r="M220" s="129"/>
      <c r="N220" s="130"/>
      <c r="O220" s="118"/>
      <c r="P220" s="118"/>
      <c r="Q220" s="131"/>
    </row>
    <row r="221" ht="22.5" customHeight="1">
      <c r="A221" s="118"/>
      <c r="B221" s="119"/>
      <c r="C221" s="120"/>
      <c r="D221" s="121"/>
      <c r="E221" s="121"/>
      <c r="F221" s="122"/>
      <c r="G221" s="123"/>
      <c r="H221" s="124"/>
      <c r="I221" s="125"/>
      <c r="J221" s="126"/>
      <c r="K221" s="127"/>
      <c r="L221" s="128"/>
      <c r="M221" s="129"/>
      <c r="N221" s="130"/>
      <c r="O221" s="118"/>
      <c r="P221" s="118"/>
      <c r="Q221" s="131"/>
    </row>
    <row r="222" ht="22.5" customHeight="1">
      <c r="A222" s="118"/>
      <c r="B222" s="119"/>
      <c r="C222" s="120"/>
      <c r="D222" s="121"/>
      <c r="E222" s="121"/>
      <c r="F222" s="122"/>
      <c r="G222" s="123"/>
      <c r="H222" s="124"/>
      <c r="I222" s="125"/>
      <c r="J222" s="126"/>
      <c r="K222" s="127"/>
      <c r="L222" s="128"/>
      <c r="M222" s="129"/>
      <c r="N222" s="130"/>
      <c r="O222" s="118"/>
      <c r="P222" s="118"/>
      <c r="Q222" s="131"/>
    </row>
    <row r="223" ht="22.5" customHeight="1">
      <c r="A223" s="118"/>
      <c r="B223" s="119"/>
      <c r="C223" s="120"/>
      <c r="D223" s="121"/>
      <c r="E223" s="121"/>
      <c r="F223" s="122"/>
      <c r="G223" s="123"/>
      <c r="H223" s="124"/>
      <c r="I223" s="125"/>
      <c r="J223" s="126"/>
      <c r="K223" s="127"/>
      <c r="L223" s="128"/>
      <c r="M223" s="129"/>
      <c r="N223" s="130"/>
      <c r="O223" s="118"/>
      <c r="P223" s="118"/>
      <c r="Q223" s="131"/>
    </row>
    <row r="224" ht="22.5" customHeight="1">
      <c r="A224" s="118"/>
      <c r="B224" s="119"/>
      <c r="C224" s="120"/>
      <c r="D224" s="121"/>
      <c r="E224" s="121"/>
      <c r="F224" s="122"/>
      <c r="G224" s="123"/>
      <c r="H224" s="124"/>
      <c r="I224" s="125"/>
      <c r="J224" s="126"/>
      <c r="K224" s="127"/>
      <c r="L224" s="128"/>
      <c r="M224" s="129"/>
      <c r="N224" s="130"/>
      <c r="O224" s="118"/>
      <c r="P224" s="118"/>
      <c r="Q224" s="131"/>
    </row>
    <row r="225" ht="22.5" customHeight="1">
      <c r="A225" s="118"/>
      <c r="B225" s="119"/>
      <c r="C225" s="120"/>
      <c r="D225" s="121"/>
      <c r="E225" s="121"/>
      <c r="F225" s="122"/>
      <c r="G225" s="123"/>
      <c r="H225" s="124"/>
      <c r="I225" s="125"/>
      <c r="J225" s="126"/>
      <c r="K225" s="127"/>
      <c r="L225" s="128"/>
      <c r="M225" s="129"/>
      <c r="N225" s="130"/>
      <c r="O225" s="118"/>
      <c r="P225" s="118"/>
      <c r="Q225" s="131"/>
    </row>
    <row r="226" ht="22.5" customHeight="1">
      <c r="A226" s="118"/>
      <c r="B226" s="119"/>
      <c r="C226" s="120"/>
      <c r="D226" s="121"/>
      <c r="E226" s="121"/>
      <c r="F226" s="122"/>
      <c r="G226" s="123"/>
      <c r="H226" s="124"/>
      <c r="I226" s="125"/>
      <c r="J226" s="126"/>
      <c r="K226" s="127"/>
      <c r="L226" s="128"/>
      <c r="M226" s="129"/>
      <c r="N226" s="130"/>
      <c r="O226" s="118"/>
      <c r="P226" s="118"/>
      <c r="Q226" s="131"/>
    </row>
    <row r="227" ht="22.5" customHeight="1">
      <c r="A227" s="118"/>
      <c r="B227" s="119"/>
      <c r="C227" s="120"/>
      <c r="D227" s="121"/>
      <c r="E227" s="121"/>
      <c r="F227" s="122"/>
      <c r="G227" s="123"/>
      <c r="H227" s="124"/>
      <c r="I227" s="125"/>
      <c r="J227" s="126"/>
      <c r="K227" s="127"/>
      <c r="L227" s="128"/>
      <c r="M227" s="129"/>
      <c r="N227" s="130"/>
      <c r="O227" s="118"/>
      <c r="P227" s="118"/>
      <c r="Q227" s="131"/>
    </row>
    <row r="228" ht="22.5" customHeight="1">
      <c r="A228" s="118"/>
      <c r="B228" s="119"/>
      <c r="C228" s="120"/>
      <c r="D228" s="121"/>
      <c r="E228" s="121"/>
      <c r="F228" s="122"/>
      <c r="G228" s="123"/>
      <c r="H228" s="124"/>
      <c r="I228" s="125"/>
      <c r="J228" s="126"/>
      <c r="K228" s="127"/>
      <c r="L228" s="128"/>
      <c r="M228" s="129"/>
      <c r="N228" s="130"/>
      <c r="O228" s="118"/>
      <c r="P228" s="118"/>
      <c r="Q228" s="131"/>
    </row>
    <row r="229" ht="22.5" customHeight="1">
      <c r="A229" s="118"/>
      <c r="B229" s="119"/>
      <c r="C229" s="120"/>
      <c r="D229" s="121"/>
      <c r="E229" s="121"/>
      <c r="F229" s="122"/>
      <c r="G229" s="123"/>
      <c r="H229" s="124"/>
      <c r="I229" s="125"/>
      <c r="J229" s="126"/>
      <c r="K229" s="127"/>
      <c r="L229" s="128"/>
      <c r="M229" s="129"/>
      <c r="N229" s="130"/>
      <c r="O229" s="118"/>
      <c r="P229" s="118"/>
      <c r="Q229" s="131"/>
    </row>
    <row r="230" ht="22.5" customHeight="1">
      <c r="A230" s="118"/>
      <c r="B230" s="119"/>
      <c r="C230" s="120"/>
      <c r="D230" s="121"/>
      <c r="E230" s="121"/>
      <c r="F230" s="122"/>
      <c r="G230" s="123"/>
      <c r="H230" s="124"/>
      <c r="I230" s="125"/>
      <c r="J230" s="126"/>
      <c r="K230" s="127"/>
      <c r="L230" s="128"/>
      <c r="M230" s="129"/>
      <c r="N230" s="130"/>
      <c r="O230" s="118"/>
      <c r="P230" s="118"/>
      <c r="Q230" s="131"/>
    </row>
    <row r="231" ht="22.5" customHeight="1">
      <c r="A231" s="118"/>
      <c r="B231" s="119"/>
      <c r="C231" s="120"/>
      <c r="D231" s="121"/>
      <c r="E231" s="121"/>
      <c r="F231" s="122"/>
      <c r="G231" s="123"/>
      <c r="H231" s="124"/>
      <c r="I231" s="125"/>
      <c r="J231" s="126"/>
      <c r="K231" s="127"/>
      <c r="L231" s="128"/>
      <c r="M231" s="129"/>
      <c r="N231" s="130"/>
      <c r="O231" s="118"/>
      <c r="P231" s="118"/>
      <c r="Q231" s="131"/>
    </row>
    <row r="232" ht="22.5" customHeight="1">
      <c r="A232" s="118"/>
      <c r="B232" s="119"/>
      <c r="C232" s="120"/>
      <c r="D232" s="121"/>
      <c r="E232" s="121"/>
      <c r="F232" s="122"/>
      <c r="G232" s="123"/>
      <c r="H232" s="124"/>
      <c r="I232" s="125"/>
      <c r="J232" s="126"/>
      <c r="K232" s="127"/>
      <c r="L232" s="128"/>
      <c r="M232" s="129"/>
      <c r="N232" s="130"/>
      <c r="O232" s="118"/>
      <c r="P232" s="118"/>
      <c r="Q232" s="131"/>
    </row>
    <row r="233" ht="22.5" customHeight="1">
      <c r="A233" s="118"/>
      <c r="B233" s="119"/>
      <c r="C233" s="120"/>
      <c r="D233" s="121"/>
      <c r="E233" s="121"/>
      <c r="F233" s="122"/>
      <c r="G233" s="123"/>
      <c r="H233" s="124"/>
      <c r="I233" s="125"/>
      <c r="J233" s="126"/>
      <c r="K233" s="127"/>
      <c r="L233" s="128"/>
      <c r="M233" s="129"/>
      <c r="N233" s="130"/>
      <c r="O233" s="118"/>
      <c r="P233" s="118"/>
      <c r="Q233" s="131"/>
    </row>
    <row r="234" ht="22.5" customHeight="1">
      <c r="A234" s="118"/>
      <c r="B234" s="119"/>
      <c r="C234" s="120"/>
      <c r="D234" s="121"/>
      <c r="E234" s="121"/>
      <c r="F234" s="122"/>
      <c r="G234" s="123"/>
      <c r="H234" s="124"/>
      <c r="I234" s="125"/>
      <c r="J234" s="126"/>
      <c r="K234" s="127"/>
      <c r="L234" s="128"/>
      <c r="M234" s="129"/>
      <c r="N234" s="130"/>
      <c r="O234" s="118"/>
      <c r="P234" s="118"/>
      <c r="Q234" s="131"/>
    </row>
    <row r="235" ht="22.5" customHeight="1">
      <c r="A235" s="118"/>
      <c r="B235" s="119"/>
      <c r="C235" s="120"/>
      <c r="D235" s="121"/>
      <c r="E235" s="121"/>
      <c r="F235" s="122"/>
      <c r="G235" s="123"/>
      <c r="H235" s="124"/>
      <c r="I235" s="125"/>
      <c r="J235" s="126"/>
      <c r="K235" s="127"/>
      <c r="L235" s="128"/>
      <c r="M235" s="129"/>
      <c r="N235" s="130"/>
      <c r="O235" s="118"/>
      <c r="P235" s="118"/>
      <c r="Q235" s="131"/>
    </row>
    <row r="236" ht="22.5" customHeight="1">
      <c r="A236" s="118"/>
      <c r="B236" s="119"/>
      <c r="C236" s="120"/>
      <c r="D236" s="121"/>
      <c r="E236" s="121"/>
      <c r="F236" s="122"/>
      <c r="G236" s="123"/>
      <c r="H236" s="124"/>
      <c r="I236" s="125"/>
      <c r="J236" s="126"/>
      <c r="K236" s="127"/>
      <c r="L236" s="128"/>
      <c r="M236" s="129"/>
      <c r="N236" s="130"/>
      <c r="O236" s="118"/>
      <c r="P236" s="118"/>
      <c r="Q236" s="131"/>
    </row>
    <row r="237" ht="22.5" customHeight="1">
      <c r="A237" s="118"/>
      <c r="B237" s="119"/>
      <c r="C237" s="120"/>
      <c r="D237" s="121"/>
      <c r="E237" s="121"/>
      <c r="F237" s="122"/>
      <c r="G237" s="123"/>
      <c r="H237" s="124"/>
      <c r="I237" s="125"/>
      <c r="J237" s="126"/>
      <c r="K237" s="127"/>
      <c r="L237" s="128"/>
      <c r="M237" s="129"/>
      <c r="N237" s="130"/>
      <c r="O237" s="118"/>
      <c r="P237" s="118"/>
      <c r="Q237" s="131"/>
    </row>
    <row r="238" ht="22.5" customHeight="1">
      <c r="A238" s="118"/>
      <c r="B238" s="119"/>
      <c r="C238" s="120"/>
      <c r="D238" s="121"/>
      <c r="E238" s="121"/>
      <c r="F238" s="122"/>
      <c r="G238" s="123"/>
      <c r="H238" s="124"/>
      <c r="I238" s="125"/>
      <c r="J238" s="126"/>
      <c r="K238" s="127"/>
      <c r="L238" s="128"/>
      <c r="M238" s="129"/>
      <c r="N238" s="130"/>
      <c r="O238" s="118"/>
      <c r="P238" s="118"/>
      <c r="Q238" s="131"/>
    </row>
    <row r="239" ht="22.5" customHeight="1">
      <c r="A239" s="118"/>
      <c r="B239" s="119"/>
      <c r="C239" s="120"/>
      <c r="D239" s="121"/>
      <c r="E239" s="121"/>
      <c r="F239" s="122"/>
      <c r="G239" s="123"/>
      <c r="H239" s="124"/>
      <c r="I239" s="125"/>
      <c r="J239" s="126"/>
      <c r="K239" s="127"/>
      <c r="L239" s="128"/>
      <c r="M239" s="129"/>
      <c r="N239" s="130"/>
      <c r="O239" s="118"/>
      <c r="P239" s="118"/>
      <c r="Q239" s="131"/>
    </row>
    <row r="240" ht="22.5" customHeight="1">
      <c r="A240" s="118"/>
      <c r="B240" s="119"/>
      <c r="C240" s="120"/>
      <c r="D240" s="121"/>
      <c r="E240" s="121"/>
      <c r="F240" s="122"/>
      <c r="G240" s="123"/>
      <c r="H240" s="124"/>
      <c r="I240" s="125"/>
      <c r="J240" s="126"/>
      <c r="K240" s="127"/>
      <c r="L240" s="128"/>
      <c r="M240" s="129"/>
      <c r="N240" s="130"/>
      <c r="O240" s="118"/>
      <c r="P240" s="118"/>
      <c r="Q240" s="131"/>
    </row>
    <row r="241" ht="22.5" customHeight="1">
      <c r="A241" s="118"/>
      <c r="B241" s="119"/>
      <c r="C241" s="120"/>
      <c r="D241" s="121"/>
      <c r="E241" s="121"/>
      <c r="F241" s="122"/>
      <c r="G241" s="123"/>
      <c r="H241" s="124"/>
      <c r="I241" s="125"/>
      <c r="J241" s="126"/>
      <c r="K241" s="127"/>
      <c r="L241" s="128"/>
      <c r="M241" s="129"/>
      <c r="N241" s="130"/>
      <c r="O241" s="118"/>
      <c r="P241" s="118"/>
      <c r="Q241" s="131"/>
    </row>
    <row r="242" ht="22.5" customHeight="1">
      <c r="A242" s="118"/>
      <c r="B242" s="119"/>
      <c r="C242" s="120"/>
      <c r="D242" s="121"/>
      <c r="E242" s="121"/>
      <c r="F242" s="122"/>
      <c r="G242" s="123"/>
      <c r="H242" s="124"/>
      <c r="I242" s="125"/>
      <c r="J242" s="126"/>
      <c r="K242" s="127"/>
      <c r="L242" s="128"/>
      <c r="M242" s="129"/>
      <c r="N242" s="130"/>
      <c r="O242" s="118"/>
      <c r="P242" s="118"/>
      <c r="Q242" s="131"/>
    </row>
    <row r="243" ht="22.5" customHeight="1">
      <c r="A243" s="118"/>
      <c r="B243" s="119"/>
      <c r="C243" s="120"/>
      <c r="D243" s="121"/>
      <c r="E243" s="121"/>
      <c r="F243" s="122"/>
      <c r="G243" s="123"/>
      <c r="H243" s="124"/>
      <c r="I243" s="125"/>
      <c r="J243" s="126"/>
      <c r="K243" s="127"/>
      <c r="L243" s="128"/>
      <c r="M243" s="129"/>
      <c r="N243" s="130"/>
      <c r="O243" s="118"/>
      <c r="P243" s="118"/>
      <c r="Q243" s="131"/>
    </row>
    <row r="244" ht="22.5" customHeight="1">
      <c r="A244" s="118"/>
      <c r="B244" s="119"/>
      <c r="C244" s="120"/>
      <c r="D244" s="121"/>
      <c r="E244" s="121"/>
      <c r="F244" s="122"/>
      <c r="G244" s="123"/>
      <c r="H244" s="124"/>
      <c r="I244" s="125"/>
      <c r="J244" s="126"/>
      <c r="K244" s="127"/>
      <c r="L244" s="128"/>
      <c r="M244" s="129"/>
      <c r="N244" s="130"/>
      <c r="O244" s="118"/>
      <c r="P244" s="118"/>
      <c r="Q244" s="131"/>
    </row>
    <row r="245" ht="22.5" customHeight="1">
      <c r="A245" s="118"/>
      <c r="B245" s="119"/>
      <c r="C245" s="120"/>
      <c r="D245" s="121"/>
      <c r="E245" s="121"/>
      <c r="F245" s="122"/>
      <c r="G245" s="123"/>
      <c r="H245" s="124"/>
      <c r="I245" s="125"/>
      <c r="J245" s="126"/>
      <c r="K245" s="127"/>
      <c r="L245" s="128"/>
      <c r="M245" s="129"/>
      <c r="N245" s="130"/>
      <c r="O245" s="118"/>
      <c r="P245" s="118"/>
      <c r="Q245" s="131"/>
    </row>
    <row r="246" ht="22.5" customHeight="1">
      <c r="A246" s="118"/>
      <c r="B246" s="119"/>
      <c r="C246" s="120"/>
      <c r="D246" s="121"/>
      <c r="E246" s="121"/>
      <c r="F246" s="122"/>
      <c r="G246" s="123"/>
      <c r="H246" s="124"/>
      <c r="I246" s="125"/>
      <c r="J246" s="126"/>
      <c r="K246" s="127"/>
      <c r="L246" s="128"/>
      <c r="M246" s="129"/>
      <c r="N246" s="130"/>
      <c r="O246" s="118"/>
      <c r="P246" s="118"/>
      <c r="Q246" s="131"/>
    </row>
    <row r="247" ht="22.5" customHeight="1">
      <c r="A247" s="118"/>
      <c r="B247" s="119"/>
      <c r="C247" s="120"/>
      <c r="D247" s="121"/>
      <c r="E247" s="121"/>
      <c r="F247" s="122"/>
      <c r="G247" s="123"/>
      <c r="H247" s="124"/>
      <c r="I247" s="125"/>
      <c r="J247" s="126"/>
      <c r="K247" s="127"/>
      <c r="L247" s="128"/>
      <c r="M247" s="129"/>
      <c r="N247" s="130"/>
      <c r="O247" s="118"/>
      <c r="P247" s="118"/>
      <c r="Q247" s="131"/>
    </row>
    <row r="248" ht="22.5" customHeight="1">
      <c r="A248" s="118"/>
      <c r="B248" s="119"/>
      <c r="C248" s="120"/>
      <c r="D248" s="121"/>
      <c r="E248" s="121"/>
      <c r="F248" s="122"/>
      <c r="G248" s="123"/>
      <c r="H248" s="124"/>
      <c r="I248" s="125"/>
      <c r="J248" s="126"/>
      <c r="K248" s="127"/>
      <c r="L248" s="128"/>
      <c r="M248" s="129"/>
      <c r="N248" s="130"/>
      <c r="O248" s="118"/>
      <c r="P248" s="118"/>
      <c r="Q248" s="131"/>
    </row>
    <row r="249" ht="22.5" customHeight="1">
      <c r="A249" s="118"/>
      <c r="B249" s="119"/>
      <c r="C249" s="120"/>
      <c r="D249" s="121"/>
      <c r="E249" s="121"/>
      <c r="F249" s="122"/>
      <c r="G249" s="123"/>
      <c r="H249" s="124"/>
      <c r="I249" s="125"/>
      <c r="J249" s="126"/>
      <c r="K249" s="127"/>
      <c r="L249" s="128"/>
      <c r="M249" s="129"/>
      <c r="N249" s="130"/>
      <c r="O249" s="118"/>
      <c r="P249" s="118"/>
      <c r="Q249" s="131"/>
    </row>
    <row r="250" ht="22.5" customHeight="1">
      <c r="A250" s="118"/>
      <c r="B250" s="119"/>
      <c r="C250" s="120"/>
      <c r="D250" s="121"/>
      <c r="E250" s="121"/>
      <c r="F250" s="122"/>
      <c r="G250" s="123"/>
      <c r="H250" s="124"/>
      <c r="I250" s="125"/>
      <c r="J250" s="126"/>
      <c r="K250" s="127"/>
      <c r="L250" s="128"/>
      <c r="M250" s="129"/>
      <c r="N250" s="130"/>
      <c r="O250" s="118"/>
      <c r="P250" s="118"/>
      <c r="Q250" s="131"/>
    </row>
    <row r="251" ht="22.5" customHeight="1">
      <c r="A251" s="118"/>
      <c r="B251" s="119"/>
      <c r="C251" s="120"/>
      <c r="D251" s="121"/>
      <c r="E251" s="121"/>
      <c r="F251" s="122"/>
      <c r="G251" s="123"/>
      <c r="H251" s="124"/>
      <c r="I251" s="125"/>
      <c r="J251" s="126"/>
      <c r="K251" s="127"/>
      <c r="L251" s="128"/>
      <c r="M251" s="129"/>
      <c r="N251" s="130"/>
      <c r="O251" s="118"/>
      <c r="P251" s="118"/>
      <c r="Q251" s="131"/>
    </row>
    <row r="252" ht="22.5" customHeight="1">
      <c r="A252" s="118"/>
      <c r="B252" s="119"/>
      <c r="C252" s="120"/>
      <c r="D252" s="121"/>
      <c r="E252" s="121"/>
      <c r="F252" s="122"/>
      <c r="G252" s="123"/>
      <c r="H252" s="124"/>
      <c r="I252" s="125"/>
      <c r="J252" s="126"/>
      <c r="K252" s="127"/>
      <c r="L252" s="128"/>
      <c r="M252" s="129"/>
      <c r="N252" s="130"/>
      <c r="O252" s="118"/>
      <c r="P252" s="118"/>
      <c r="Q252" s="131"/>
    </row>
    <row r="253" ht="22.5" customHeight="1">
      <c r="A253" s="118"/>
      <c r="B253" s="119"/>
      <c r="C253" s="120"/>
      <c r="D253" s="121"/>
      <c r="E253" s="121"/>
      <c r="F253" s="122"/>
      <c r="G253" s="123"/>
      <c r="H253" s="124"/>
      <c r="I253" s="125"/>
      <c r="J253" s="126"/>
      <c r="K253" s="127"/>
      <c r="L253" s="128"/>
      <c r="M253" s="129"/>
      <c r="N253" s="130"/>
      <c r="O253" s="118"/>
      <c r="P253" s="118"/>
      <c r="Q253" s="131"/>
    </row>
    <row r="254" ht="22.5" customHeight="1">
      <c r="A254" s="118"/>
      <c r="B254" s="119"/>
      <c r="C254" s="120"/>
      <c r="D254" s="121"/>
      <c r="E254" s="121"/>
      <c r="F254" s="122"/>
      <c r="G254" s="123"/>
      <c r="H254" s="124"/>
      <c r="I254" s="125"/>
      <c r="J254" s="126"/>
      <c r="K254" s="127"/>
      <c r="L254" s="128"/>
      <c r="M254" s="129"/>
      <c r="N254" s="130"/>
      <c r="O254" s="118"/>
      <c r="P254" s="118"/>
      <c r="Q254" s="131"/>
    </row>
    <row r="255" ht="22.5" customHeight="1">
      <c r="A255" s="118"/>
      <c r="B255" s="119"/>
      <c r="C255" s="120"/>
      <c r="D255" s="121"/>
      <c r="E255" s="121"/>
      <c r="F255" s="122"/>
      <c r="G255" s="123"/>
      <c r="H255" s="124"/>
      <c r="I255" s="125"/>
      <c r="J255" s="126"/>
      <c r="K255" s="127"/>
      <c r="L255" s="128"/>
      <c r="M255" s="129"/>
      <c r="N255" s="130"/>
      <c r="O255" s="118"/>
      <c r="P255" s="118"/>
      <c r="Q255" s="131"/>
    </row>
    <row r="256" ht="22.5" customHeight="1">
      <c r="A256" s="118"/>
      <c r="B256" s="119"/>
      <c r="C256" s="120"/>
      <c r="D256" s="121"/>
      <c r="E256" s="121"/>
      <c r="F256" s="122"/>
      <c r="G256" s="123"/>
      <c r="H256" s="124"/>
      <c r="I256" s="125"/>
      <c r="J256" s="126"/>
      <c r="K256" s="127"/>
      <c r="L256" s="128"/>
      <c r="M256" s="129"/>
      <c r="N256" s="130"/>
      <c r="O256" s="118"/>
      <c r="P256" s="118"/>
      <c r="Q256" s="131"/>
    </row>
    <row r="257" ht="22.5" customHeight="1">
      <c r="A257" s="118"/>
      <c r="B257" s="119"/>
      <c r="C257" s="120"/>
      <c r="D257" s="121"/>
      <c r="E257" s="121"/>
      <c r="F257" s="122"/>
      <c r="G257" s="123"/>
      <c r="H257" s="124"/>
      <c r="I257" s="125"/>
      <c r="J257" s="126"/>
      <c r="K257" s="127"/>
      <c r="L257" s="128"/>
      <c r="M257" s="129"/>
      <c r="N257" s="130"/>
      <c r="O257" s="118"/>
      <c r="P257" s="118"/>
      <c r="Q257" s="131"/>
    </row>
    <row r="258" ht="22.5" customHeight="1">
      <c r="A258" s="118"/>
      <c r="B258" s="119"/>
      <c r="C258" s="120"/>
      <c r="D258" s="121"/>
      <c r="E258" s="121"/>
      <c r="F258" s="122"/>
      <c r="G258" s="123"/>
      <c r="H258" s="124"/>
      <c r="I258" s="125"/>
      <c r="J258" s="126"/>
      <c r="K258" s="127"/>
      <c r="L258" s="128"/>
      <c r="M258" s="129"/>
      <c r="N258" s="130"/>
      <c r="O258" s="118"/>
      <c r="P258" s="118"/>
      <c r="Q258" s="131"/>
    </row>
    <row r="259" ht="22.5" customHeight="1">
      <c r="A259" s="118"/>
      <c r="B259" s="119"/>
      <c r="C259" s="120"/>
      <c r="D259" s="121"/>
      <c r="E259" s="121"/>
      <c r="F259" s="122"/>
      <c r="G259" s="123"/>
      <c r="H259" s="124"/>
      <c r="I259" s="125"/>
      <c r="J259" s="126"/>
      <c r="K259" s="127"/>
      <c r="L259" s="128"/>
      <c r="M259" s="129"/>
      <c r="N259" s="130"/>
      <c r="O259" s="118"/>
      <c r="P259" s="118"/>
      <c r="Q259" s="131"/>
    </row>
    <row r="260" ht="22.5" customHeight="1">
      <c r="A260" s="118"/>
      <c r="B260" s="119"/>
      <c r="C260" s="120"/>
      <c r="D260" s="121"/>
      <c r="E260" s="121"/>
      <c r="F260" s="122"/>
      <c r="G260" s="123"/>
      <c r="H260" s="124"/>
      <c r="I260" s="125"/>
      <c r="J260" s="126"/>
      <c r="K260" s="127"/>
      <c r="L260" s="128"/>
      <c r="M260" s="129"/>
      <c r="N260" s="130"/>
      <c r="O260" s="118"/>
      <c r="P260" s="118"/>
      <c r="Q260" s="131"/>
    </row>
    <row r="261" ht="22.5" customHeight="1">
      <c r="A261" s="118"/>
      <c r="B261" s="119"/>
      <c r="C261" s="120"/>
      <c r="D261" s="121"/>
      <c r="E261" s="121"/>
      <c r="F261" s="122"/>
      <c r="G261" s="123"/>
      <c r="H261" s="124"/>
      <c r="I261" s="125"/>
      <c r="J261" s="126"/>
      <c r="K261" s="127"/>
      <c r="L261" s="128"/>
      <c r="M261" s="129"/>
      <c r="N261" s="130"/>
      <c r="O261" s="118"/>
      <c r="P261" s="118"/>
      <c r="Q261" s="131"/>
    </row>
    <row r="262" ht="22.5" customHeight="1">
      <c r="A262" s="118"/>
      <c r="B262" s="119"/>
      <c r="C262" s="120"/>
      <c r="D262" s="121"/>
      <c r="E262" s="121"/>
      <c r="F262" s="122"/>
      <c r="G262" s="123"/>
      <c r="H262" s="124"/>
      <c r="I262" s="125"/>
      <c r="J262" s="126"/>
      <c r="K262" s="127"/>
      <c r="L262" s="128"/>
      <c r="M262" s="129"/>
      <c r="N262" s="130"/>
      <c r="O262" s="118"/>
      <c r="P262" s="118"/>
      <c r="Q262" s="131"/>
    </row>
    <row r="263" ht="22.5" customHeight="1">
      <c r="A263" s="118"/>
      <c r="B263" s="119"/>
      <c r="C263" s="120"/>
      <c r="D263" s="121"/>
      <c r="E263" s="121"/>
      <c r="F263" s="122"/>
      <c r="G263" s="123"/>
      <c r="H263" s="124"/>
      <c r="I263" s="125"/>
      <c r="J263" s="126"/>
      <c r="K263" s="127"/>
      <c r="L263" s="128"/>
      <c r="M263" s="129"/>
      <c r="N263" s="130"/>
      <c r="O263" s="118"/>
      <c r="P263" s="118"/>
      <c r="Q263" s="131"/>
    </row>
    <row r="264" ht="22.5" customHeight="1">
      <c r="A264" s="118"/>
      <c r="B264" s="119"/>
      <c r="C264" s="120"/>
      <c r="D264" s="121"/>
      <c r="E264" s="121"/>
      <c r="F264" s="122"/>
      <c r="G264" s="123"/>
      <c r="H264" s="124"/>
      <c r="I264" s="125"/>
      <c r="J264" s="126"/>
      <c r="K264" s="127"/>
      <c r="L264" s="128"/>
      <c r="M264" s="129"/>
      <c r="N264" s="130"/>
      <c r="O264" s="118"/>
      <c r="P264" s="118"/>
      <c r="Q264" s="131"/>
    </row>
    <row r="265" ht="22.5" customHeight="1">
      <c r="A265" s="118"/>
      <c r="B265" s="119"/>
      <c r="C265" s="120"/>
      <c r="D265" s="121"/>
      <c r="E265" s="121"/>
      <c r="F265" s="122"/>
      <c r="G265" s="123"/>
      <c r="H265" s="124"/>
      <c r="I265" s="125"/>
      <c r="J265" s="126"/>
      <c r="K265" s="127"/>
      <c r="L265" s="128"/>
      <c r="M265" s="129"/>
      <c r="N265" s="130"/>
      <c r="O265" s="118"/>
      <c r="P265" s="118"/>
      <c r="Q265" s="131"/>
    </row>
    <row r="266" ht="22.5" customHeight="1">
      <c r="A266" s="118"/>
      <c r="B266" s="119"/>
      <c r="C266" s="120"/>
      <c r="D266" s="121"/>
      <c r="E266" s="121"/>
      <c r="F266" s="122"/>
      <c r="G266" s="123"/>
      <c r="H266" s="124"/>
      <c r="I266" s="125"/>
      <c r="J266" s="126"/>
      <c r="K266" s="127"/>
      <c r="L266" s="128"/>
      <c r="M266" s="129"/>
      <c r="N266" s="130"/>
      <c r="O266" s="118"/>
      <c r="P266" s="118"/>
      <c r="Q266" s="131"/>
    </row>
    <row r="267" ht="22.5" customHeight="1">
      <c r="A267" s="118"/>
      <c r="B267" s="119"/>
      <c r="C267" s="120"/>
      <c r="D267" s="121"/>
      <c r="E267" s="121"/>
      <c r="F267" s="122"/>
      <c r="G267" s="123"/>
      <c r="H267" s="124"/>
      <c r="I267" s="125"/>
      <c r="J267" s="126"/>
      <c r="K267" s="127"/>
      <c r="L267" s="128"/>
      <c r="M267" s="129"/>
      <c r="N267" s="130"/>
      <c r="O267" s="118"/>
      <c r="P267" s="118"/>
      <c r="Q267" s="131"/>
    </row>
    <row r="268" ht="22.5" customHeight="1">
      <c r="A268" s="118"/>
      <c r="B268" s="119"/>
      <c r="C268" s="120"/>
      <c r="D268" s="121"/>
      <c r="E268" s="121"/>
      <c r="F268" s="122"/>
      <c r="G268" s="123"/>
      <c r="H268" s="124"/>
      <c r="I268" s="125"/>
      <c r="J268" s="126"/>
      <c r="K268" s="127"/>
      <c r="L268" s="128"/>
      <c r="M268" s="129"/>
      <c r="N268" s="130"/>
      <c r="O268" s="118"/>
      <c r="P268" s="118"/>
      <c r="Q268" s="131"/>
    </row>
    <row r="269" ht="22.5" customHeight="1">
      <c r="A269" s="118"/>
      <c r="B269" s="119"/>
      <c r="C269" s="120"/>
      <c r="D269" s="121"/>
      <c r="E269" s="121"/>
      <c r="F269" s="122"/>
      <c r="G269" s="123"/>
      <c r="H269" s="124"/>
      <c r="I269" s="125"/>
      <c r="J269" s="126"/>
      <c r="K269" s="127"/>
      <c r="L269" s="128"/>
      <c r="M269" s="129"/>
      <c r="N269" s="130"/>
      <c r="O269" s="118"/>
      <c r="P269" s="118"/>
      <c r="Q269" s="131"/>
    </row>
    <row r="270" ht="22.5" customHeight="1">
      <c r="A270" s="118"/>
      <c r="B270" s="119"/>
      <c r="C270" s="120"/>
      <c r="D270" s="121"/>
      <c r="E270" s="121"/>
      <c r="F270" s="122"/>
      <c r="G270" s="123"/>
      <c r="H270" s="124"/>
      <c r="I270" s="125"/>
      <c r="J270" s="126"/>
      <c r="K270" s="127"/>
      <c r="L270" s="128"/>
      <c r="M270" s="129"/>
      <c r="N270" s="130"/>
      <c r="O270" s="118"/>
      <c r="P270" s="118"/>
      <c r="Q270" s="131"/>
    </row>
    <row r="271" ht="22.5" customHeight="1">
      <c r="A271" s="118"/>
      <c r="B271" s="119"/>
      <c r="C271" s="120"/>
      <c r="D271" s="121"/>
      <c r="E271" s="121"/>
      <c r="F271" s="122"/>
      <c r="G271" s="123"/>
      <c r="H271" s="124"/>
      <c r="I271" s="125"/>
      <c r="J271" s="126"/>
      <c r="K271" s="127"/>
      <c r="L271" s="128"/>
      <c r="M271" s="129"/>
      <c r="N271" s="130"/>
      <c r="O271" s="118"/>
      <c r="P271" s="118"/>
      <c r="Q271" s="131"/>
    </row>
    <row r="272" ht="22.5" customHeight="1">
      <c r="A272" s="118"/>
      <c r="B272" s="119"/>
      <c r="C272" s="120"/>
      <c r="D272" s="121"/>
      <c r="E272" s="121"/>
      <c r="F272" s="122"/>
      <c r="G272" s="123"/>
      <c r="H272" s="124"/>
      <c r="I272" s="125"/>
      <c r="J272" s="126"/>
      <c r="K272" s="127"/>
      <c r="L272" s="128"/>
      <c r="M272" s="129"/>
      <c r="N272" s="130"/>
      <c r="O272" s="118"/>
      <c r="P272" s="118"/>
      <c r="Q272" s="131"/>
    </row>
    <row r="273" ht="22.5" customHeight="1">
      <c r="A273" s="118"/>
      <c r="B273" s="119"/>
      <c r="C273" s="120"/>
      <c r="D273" s="121"/>
      <c r="E273" s="121"/>
      <c r="F273" s="122"/>
      <c r="G273" s="123"/>
      <c r="H273" s="124"/>
      <c r="I273" s="125"/>
      <c r="J273" s="126"/>
      <c r="K273" s="127"/>
      <c r="L273" s="128"/>
      <c r="M273" s="129"/>
      <c r="N273" s="130"/>
      <c r="O273" s="118"/>
      <c r="P273" s="118"/>
      <c r="Q273" s="131"/>
    </row>
    <row r="274" ht="22.5" customHeight="1">
      <c r="A274" s="118"/>
      <c r="B274" s="119"/>
      <c r="C274" s="120"/>
      <c r="D274" s="121"/>
      <c r="E274" s="121"/>
      <c r="F274" s="122"/>
      <c r="G274" s="123"/>
      <c r="H274" s="124"/>
      <c r="I274" s="125"/>
      <c r="J274" s="126"/>
      <c r="K274" s="127"/>
      <c r="L274" s="128"/>
      <c r="M274" s="129"/>
      <c r="N274" s="130"/>
      <c r="O274" s="118"/>
      <c r="P274" s="118"/>
      <c r="Q274" s="131"/>
    </row>
    <row r="275" ht="22.5" customHeight="1">
      <c r="A275" s="118"/>
      <c r="B275" s="119"/>
      <c r="C275" s="120"/>
      <c r="D275" s="121"/>
      <c r="E275" s="121"/>
      <c r="F275" s="122"/>
      <c r="G275" s="123"/>
      <c r="H275" s="124"/>
      <c r="I275" s="125"/>
      <c r="J275" s="126"/>
      <c r="K275" s="127"/>
      <c r="L275" s="128"/>
      <c r="M275" s="129"/>
      <c r="N275" s="130"/>
      <c r="O275" s="118"/>
      <c r="P275" s="118"/>
      <c r="Q275" s="131"/>
    </row>
    <row r="276" ht="22.5" customHeight="1">
      <c r="A276" s="118"/>
      <c r="B276" s="119"/>
      <c r="C276" s="120"/>
      <c r="D276" s="121"/>
      <c r="E276" s="121"/>
      <c r="F276" s="122"/>
      <c r="G276" s="123"/>
      <c r="H276" s="124"/>
      <c r="I276" s="125"/>
      <c r="J276" s="126"/>
      <c r="K276" s="127"/>
      <c r="L276" s="128"/>
      <c r="M276" s="129"/>
      <c r="N276" s="130"/>
      <c r="O276" s="118"/>
      <c r="P276" s="118"/>
      <c r="Q276" s="131"/>
    </row>
    <row r="277" ht="22.5" customHeight="1">
      <c r="A277" s="118"/>
      <c r="B277" s="119"/>
      <c r="C277" s="120"/>
      <c r="D277" s="121"/>
      <c r="E277" s="121"/>
      <c r="F277" s="122"/>
      <c r="G277" s="123"/>
      <c r="H277" s="124"/>
      <c r="I277" s="125"/>
      <c r="J277" s="126"/>
      <c r="K277" s="127"/>
      <c r="L277" s="128"/>
      <c r="M277" s="129"/>
      <c r="N277" s="130"/>
      <c r="O277" s="118"/>
      <c r="P277" s="118"/>
      <c r="Q277" s="131"/>
    </row>
    <row r="278" ht="22.5" customHeight="1">
      <c r="A278" s="118"/>
      <c r="B278" s="119"/>
      <c r="C278" s="120"/>
      <c r="D278" s="121"/>
      <c r="E278" s="121"/>
      <c r="F278" s="122"/>
      <c r="G278" s="123"/>
      <c r="H278" s="124"/>
      <c r="I278" s="125"/>
      <c r="J278" s="126"/>
      <c r="K278" s="127"/>
      <c r="L278" s="128"/>
      <c r="M278" s="129"/>
      <c r="N278" s="130"/>
      <c r="O278" s="118"/>
      <c r="P278" s="118"/>
      <c r="Q278" s="131"/>
    </row>
    <row r="279" ht="22.5" customHeight="1">
      <c r="A279" s="118"/>
      <c r="B279" s="119"/>
      <c r="C279" s="120"/>
      <c r="D279" s="121"/>
      <c r="E279" s="121"/>
      <c r="F279" s="122"/>
      <c r="G279" s="123"/>
      <c r="H279" s="124"/>
      <c r="I279" s="125"/>
      <c r="J279" s="126"/>
      <c r="K279" s="127"/>
      <c r="L279" s="128"/>
      <c r="M279" s="129"/>
      <c r="N279" s="130"/>
      <c r="O279" s="118"/>
      <c r="P279" s="118"/>
      <c r="Q279" s="131"/>
    </row>
    <row r="280" ht="22.5" customHeight="1">
      <c r="A280" s="118"/>
      <c r="B280" s="119"/>
      <c r="C280" s="120"/>
      <c r="D280" s="121"/>
      <c r="E280" s="121"/>
      <c r="F280" s="122"/>
      <c r="G280" s="123"/>
      <c r="H280" s="124"/>
      <c r="I280" s="125"/>
      <c r="J280" s="126"/>
      <c r="K280" s="127"/>
      <c r="L280" s="128"/>
      <c r="M280" s="129"/>
      <c r="N280" s="130"/>
      <c r="O280" s="118"/>
      <c r="P280" s="118"/>
      <c r="Q280" s="131"/>
    </row>
    <row r="281" ht="22.5" customHeight="1">
      <c r="A281" s="118"/>
      <c r="B281" s="119"/>
      <c r="C281" s="120"/>
      <c r="D281" s="121"/>
      <c r="E281" s="121"/>
      <c r="F281" s="122"/>
      <c r="G281" s="123"/>
      <c r="H281" s="124"/>
      <c r="I281" s="125"/>
      <c r="J281" s="126"/>
      <c r="K281" s="127"/>
      <c r="L281" s="128"/>
      <c r="M281" s="129"/>
      <c r="N281" s="130"/>
      <c r="O281" s="118"/>
      <c r="P281" s="118"/>
      <c r="Q281" s="131"/>
    </row>
    <row r="282" ht="22.5" customHeight="1">
      <c r="A282" s="118"/>
      <c r="B282" s="119"/>
      <c r="C282" s="120"/>
      <c r="D282" s="121"/>
      <c r="E282" s="121"/>
      <c r="F282" s="122"/>
      <c r="G282" s="123"/>
      <c r="H282" s="124"/>
      <c r="I282" s="125"/>
      <c r="J282" s="126"/>
      <c r="K282" s="127"/>
      <c r="L282" s="128"/>
      <c r="M282" s="129"/>
      <c r="N282" s="130"/>
      <c r="O282" s="118"/>
      <c r="P282" s="118"/>
      <c r="Q282" s="131"/>
    </row>
    <row r="283" ht="22.5" customHeight="1">
      <c r="A283" s="118"/>
      <c r="B283" s="119"/>
      <c r="C283" s="120"/>
      <c r="D283" s="121"/>
      <c r="E283" s="121"/>
      <c r="F283" s="122"/>
      <c r="G283" s="123"/>
      <c r="H283" s="124"/>
      <c r="I283" s="125"/>
      <c r="J283" s="126"/>
      <c r="K283" s="127"/>
      <c r="L283" s="128"/>
      <c r="M283" s="129"/>
      <c r="N283" s="130"/>
      <c r="O283" s="118"/>
      <c r="P283" s="118"/>
      <c r="Q283" s="131"/>
    </row>
    <row r="284" ht="22.5" customHeight="1">
      <c r="A284" s="118"/>
      <c r="B284" s="119"/>
      <c r="C284" s="120"/>
      <c r="D284" s="121"/>
      <c r="E284" s="121"/>
      <c r="F284" s="122"/>
      <c r="G284" s="123"/>
      <c r="H284" s="124"/>
      <c r="I284" s="125"/>
      <c r="J284" s="126"/>
      <c r="K284" s="127"/>
      <c r="L284" s="128"/>
      <c r="M284" s="129"/>
      <c r="N284" s="130"/>
      <c r="O284" s="118"/>
      <c r="P284" s="118"/>
      <c r="Q284" s="131"/>
    </row>
    <row r="285" ht="22.5" customHeight="1">
      <c r="A285" s="118"/>
      <c r="B285" s="119"/>
      <c r="C285" s="120"/>
      <c r="D285" s="121"/>
      <c r="E285" s="121"/>
      <c r="F285" s="122"/>
      <c r="G285" s="123"/>
      <c r="H285" s="124"/>
      <c r="I285" s="125"/>
      <c r="J285" s="126"/>
      <c r="K285" s="127"/>
      <c r="L285" s="128"/>
      <c r="M285" s="129"/>
      <c r="N285" s="130"/>
      <c r="O285" s="118"/>
      <c r="P285" s="118"/>
      <c r="Q285" s="131"/>
    </row>
    <row r="286" ht="22.5" customHeight="1">
      <c r="A286" s="118"/>
      <c r="B286" s="119"/>
      <c r="C286" s="120"/>
      <c r="D286" s="121"/>
      <c r="E286" s="121"/>
      <c r="F286" s="122"/>
      <c r="G286" s="123"/>
      <c r="H286" s="124"/>
      <c r="I286" s="125"/>
      <c r="J286" s="126"/>
      <c r="K286" s="127"/>
      <c r="L286" s="128"/>
      <c r="M286" s="129"/>
      <c r="N286" s="130"/>
      <c r="O286" s="118"/>
      <c r="P286" s="118"/>
      <c r="Q286" s="131"/>
    </row>
    <row r="287" ht="22.5" customHeight="1">
      <c r="A287" s="118"/>
      <c r="B287" s="119"/>
      <c r="C287" s="120"/>
      <c r="D287" s="121"/>
      <c r="E287" s="121"/>
      <c r="F287" s="122"/>
      <c r="G287" s="123"/>
      <c r="H287" s="124"/>
      <c r="I287" s="125"/>
      <c r="J287" s="126"/>
      <c r="K287" s="127"/>
      <c r="L287" s="128"/>
      <c r="M287" s="129"/>
      <c r="N287" s="130"/>
      <c r="O287" s="118"/>
      <c r="P287" s="118"/>
      <c r="Q287" s="131"/>
    </row>
    <row r="288" ht="22.5" customHeight="1">
      <c r="A288" s="118"/>
      <c r="B288" s="119"/>
      <c r="C288" s="120"/>
      <c r="D288" s="121"/>
      <c r="E288" s="121"/>
      <c r="F288" s="122"/>
      <c r="G288" s="123"/>
      <c r="H288" s="124"/>
      <c r="I288" s="125"/>
      <c r="J288" s="126"/>
      <c r="K288" s="127"/>
      <c r="L288" s="128"/>
      <c r="M288" s="129"/>
      <c r="N288" s="130"/>
      <c r="O288" s="118"/>
      <c r="P288" s="118"/>
      <c r="Q288" s="131"/>
    </row>
    <row r="289" ht="22.5" customHeight="1">
      <c r="A289" s="118"/>
      <c r="B289" s="119"/>
      <c r="C289" s="120"/>
      <c r="D289" s="121"/>
      <c r="E289" s="121"/>
      <c r="F289" s="122"/>
      <c r="G289" s="123"/>
      <c r="H289" s="124"/>
      <c r="I289" s="125"/>
      <c r="J289" s="126"/>
      <c r="K289" s="127"/>
      <c r="L289" s="128"/>
      <c r="M289" s="129"/>
      <c r="N289" s="130"/>
      <c r="O289" s="118"/>
      <c r="P289" s="118"/>
      <c r="Q289" s="131"/>
    </row>
    <row r="290" ht="22.5" customHeight="1">
      <c r="A290" s="118"/>
      <c r="B290" s="119"/>
      <c r="C290" s="120"/>
      <c r="D290" s="121"/>
      <c r="E290" s="121"/>
      <c r="F290" s="122"/>
      <c r="G290" s="123"/>
      <c r="H290" s="124"/>
      <c r="I290" s="125"/>
      <c r="J290" s="126"/>
      <c r="K290" s="127"/>
      <c r="L290" s="128"/>
      <c r="M290" s="129"/>
      <c r="N290" s="130"/>
      <c r="O290" s="118"/>
      <c r="P290" s="118"/>
      <c r="Q290" s="131"/>
    </row>
    <row r="291" ht="22.5" customHeight="1">
      <c r="A291" s="118"/>
      <c r="B291" s="119"/>
      <c r="C291" s="120"/>
      <c r="D291" s="121"/>
      <c r="E291" s="121"/>
      <c r="F291" s="122"/>
      <c r="G291" s="123"/>
      <c r="H291" s="124"/>
      <c r="I291" s="125"/>
      <c r="J291" s="126"/>
      <c r="K291" s="127"/>
      <c r="L291" s="128"/>
      <c r="M291" s="129"/>
      <c r="N291" s="130"/>
      <c r="O291" s="118"/>
      <c r="P291" s="118"/>
      <c r="Q291" s="131"/>
    </row>
    <row r="292" ht="22.5" customHeight="1">
      <c r="A292" s="118"/>
      <c r="B292" s="119"/>
      <c r="C292" s="120"/>
      <c r="D292" s="121"/>
      <c r="E292" s="121"/>
      <c r="F292" s="122"/>
      <c r="G292" s="123"/>
      <c r="H292" s="124"/>
      <c r="I292" s="125"/>
      <c r="J292" s="126"/>
      <c r="K292" s="127"/>
      <c r="L292" s="128"/>
      <c r="M292" s="129"/>
      <c r="N292" s="130"/>
      <c r="O292" s="118"/>
      <c r="P292" s="118"/>
      <c r="Q292" s="131"/>
    </row>
    <row r="293" ht="22.5" customHeight="1">
      <c r="A293" s="118"/>
      <c r="B293" s="119"/>
      <c r="C293" s="120"/>
      <c r="D293" s="121"/>
      <c r="E293" s="121"/>
      <c r="F293" s="122"/>
      <c r="G293" s="123"/>
      <c r="H293" s="124"/>
      <c r="I293" s="125"/>
      <c r="J293" s="126"/>
      <c r="K293" s="127"/>
      <c r="L293" s="128"/>
      <c r="M293" s="129"/>
      <c r="N293" s="130"/>
      <c r="O293" s="118"/>
      <c r="P293" s="118"/>
      <c r="Q293" s="131"/>
    </row>
    <row r="294" ht="22.5" customHeight="1">
      <c r="A294" s="118"/>
      <c r="B294" s="119"/>
      <c r="C294" s="120"/>
      <c r="D294" s="121"/>
      <c r="E294" s="121"/>
      <c r="F294" s="122"/>
      <c r="G294" s="123"/>
      <c r="H294" s="124"/>
      <c r="I294" s="125"/>
      <c r="J294" s="126"/>
      <c r="K294" s="127"/>
      <c r="L294" s="128"/>
      <c r="M294" s="129"/>
      <c r="N294" s="130"/>
      <c r="O294" s="118"/>
      <c r="P294" s="118"/>
      <c r="Q294" s="131"/>
    </row>
    <row r="295" ht="22.5" customHeight="1">
      <c r="A295" s="118"/>
      <c r="B295" s="119"/>
      <c r="C295" s="120"/>
      <c r="D295" s="121"/>
      <c r="E295" s="121"/>
      <c r="F295" s="122"/>
      <c r="G295" s="123"/>
      <c r="H295" s="124"/>
      <c r="I295" s="125"/>
      <c r="J295" s="126"/>
      <c r="K295" s="127"/>
      <c r="L295" s="128"/>
      <c r="M295" s="129"/>
      <c r="N295" s="130"/>
      <c r="O295" s="118"/>
      <c r="P295" s="118"/>
      <c r="Q295" s="131"/>
    </row>
    <row r="296" ht="22.5" customHeight="1">
      <c r="A296" s="118"/>
      <c r="B296" s="119"/>
      <c r="C296" s="120"/>
      <c r="D296" s="121"/>
      <c r="E296" s="121"/>
      <c r="F296" s="122"/>
      <c r="G296" s="123"/>
      <c r="H296" s="124"/>
      <c r="I296" s="125"/>
      <c r="J296" s="126"/>
      <c r="K296" s="127"/>
      <c r="L296" s="128"/>
      <c r="M296" s="129"/>
      <c r="N296" s="130"/>
      <c r="O296" s="118"/>
      <c r="P296" s="118"/>
      <c r="Q296" s="131"/>
    </row>
    <row r="297" ht="22.5" customHeight="1">
      <c r="A297" s="118"/>
      <c r="B297" s="119"/>
      <c r="C297" s="120"/>
      <c r="D297" s="121"/>
      <c r="E297" s="121"/>
      <c r="F297" s="122"/>
      <c r="G297" s="123"/>
      <c r="H297" s="124"/>
      <c r="I297" s="125"/>
      <c r="J297" s="126"/>
      <c r="K297" s="127"/>
      <c r="L297" s="128"/>
      <c r="M297" s="129"/>
      <c r="N297" s="130"/>
      <c r="O297" s="118"/>
      <c r="P297" s="118"/>
      <c r="Q297" s="131"/>
    </row>
    <row r="298" ht="22.5" customHeight="1">
      <c r="A298" s="118"/>
      <c r="B298" s="119"/>
      <c r="C298" s="120"/>
      <c r="D298" s="121"/>
      <c r="E298" s="121"/>
      <c r="F298" s="122"/>
      <c r="G298" s="123"/>
      <c r="H298" s="124"/>
      <c r="I298" s="125"/>
      <c r="J298" s="126"/>
      <c r="K298" s="127"/>
      <c r="L298" s="128"/>
      <c r="M298" s="129"/>
      <c r="N298" s="130"/>
      <c r="O298" s="118"/>
      <c r="P298" s="118"/>
      <c r="Q298" s="131"/>
    </row>
    <row r="299" ht="22.5" customHeight="1">
      <c r="A299" s="118"/>
      <c r="B299" s="119"/>
      <c r="C299" s="120"/>
      <c r="D299" s="121"/>
      <c r="E299" s="121"/>
      <c r="F299" s="122"/>
      <c r="G299" s="123"/>
      <c r="H299" s="124"/>
      <c r="I299" s="125"/>
      <c r="J299" s="126"/>
      <c r="K299" s="127"/>
      <c r="L299" s="128"/>
      <c r="M299" s="129"/>
      <c r="N299" s="130"/>
      <c r="O299" s="118"/>
      <c r="P299" s="118"/>
      <c r="Q299" s="131"/>
    </row>
    <row r="300" ht="22.5" customHeight="1">
      <c r="A300" s="118"/>
      <c r="B300" s="119"/>
      <c r="C300" s="120"/>
      <c r="D300" s="121"/>
      <c r="E300" s="121"/>
      <c r="F300" s="122"/>
      <c r="G300" s="123"/>
      <c r="H300" s="124"/>
      <c r="I300" s="125"/>
      <c r="J300" s="126"/>
      <c r="K300" s="127"/>
      <c r="L300" s="128"/>
      <c r="M300" s="129"/>
      <c r="N300" s="130"/>
      <c r="O300" s="118"/>
      <c r="P300" s="118"/>
      <c r="Q300" s="131"/>
    </row>
    <row r="301" ht="22.5" customHeight="1">
      <c r="A301" s="118"/>
      <c r="B301" s="119"/>
      <c r="C301" s="120"/>
      <c r="D301" s="121"/>
      <c r="E301" s="121"/>
      <c r="F301" s="122"/>
      <c r="G301" s="123"/>
      <c r="H301" s="124"/>
      <c r="I301" s="125"/>
      <c r="J301" s="126"/>
      <c r="K301" s="127"/>
      <c r="L301" s="128"/>
      <c r="M301" s="129"/>
      <c r="N301" s="130"/>
      <c r="O301" s="118"/>
      <c r="P301" s="118"/>
      <c r="Q301" s="131"/>
    </row>
    <row r="302" ht="22.5" customHeight="1">
      <c r="A302" s="118"/>
      <c r="B302" s="119"/>
      <c r="C302" s="120"/>
      <c r="D302" s="121"/>
      <c r="E302" s="121"/>
      <c r="F302" s="122"/>
      <c r="G302" s="123"/>
      <c r="H302" s="124"/>
      <c r="I302" s="125"/>
      <c r="J302" s="126"/>
      <c r="K302" s="127"/>
      <c r="L302" s="128"/>
      <c r="M302" s="129"/>
      <c r="N302" s="130"/>
      <c r="O302" s="118"/>
      <c r="P302" s="118"/>
      <c r="Q302" s="131"/>
    </row>
    <row r="303" ht="22.5" customHeight="1">
      <c r="A303" s="118"/>
      <c r="B303" s="119"/>
      <c r="C303" s="120"/>
      <c r="D303" s="121"/>
      <c r="E303" s="121"/>
      <c r="F303" s="122"/>
      <c r="G303" s="123"/>
      <c r="H303" s="124"/>
      <c r="I303" s="125"/>
      <c r="J303" s="126"/>
      <c r="K303" s="127"/>
      <c r="L303" s="128"/>
      <c r="M303" s="129"/>
      <c r="N303" s="130"/>
      <c r="O303" s="118"/>
      <c r="P303" s="118"/>
      <c r="Q303" s="131"/>
    </row>
    <row r="304" ht="22.5" customHeight="1">
      <c r="A304" s="118"/>
      <c r="B304" s="119"/>
      <c r="C304" s="120"/>
      <c r="D304" s="121"/>
      <c r="E304" s="121"/>
      <c r="F304" s="122"/>
      <c r="G304" s="123"/>
      <c r="H304" s="124"/>
      <c r="I304" s="125"/>
      <c r="J304" s="126"/>
      <c r="K304" s="127"/>
      <c r="L304" s="128"/>
      <c r="M304" s="129"/>
      <c r="N304" s="130"/>
      <c r="O304" s="118"/>
      <c r="P304" s="118"/>
      <c r="Q304" s="131"/>
    </row>
    <row r="305" ht="22.5" customHeight="1">
      <c r="A305" s="118"/>
      <c r="B305" s="119"/>
      <c r="C305" s="120"/>
      <c r="D305" s="121"/>
      <c r="E305" s="121"/>
      <c r="F305" s="122"/>
      <c r="G305" s="123"/>
      <c r="H305" s="124"/>
      <c r="I305" s="125"/>
      <c r="J305" s="126"/>
      <c r="K305" s="127"/>
      <c r="L305" s="128"/>
      <c r="M305" s="129"/>
      <c r="N305" s="130"/>
      <c r="O305" s="118"/>
      <c r="P305" s="118"/>
      <c r="Q305" s="131"/>
    </row>
    <row r="306" ht="22.5" customHeight="1">
      <c r="A306" s="118"/>
      <c r="B306" s="119"/>
      <c r="C306" s="120"/>
      <c r="D306" s="121"/>
      <c r="E306" s="121"/>
      <c r="F306" s="122"/>
      <c r="G306" s="123"/>
      <c r="H306" s="124"/>
      <c r="I306" s="125"/>
      <c r="J306" s="126"/>
      <c r="K306" s="127"/>
      <c r="L306" s="128"/>
      <c r="M306" s="129"/>
      <c r="N306" s="130"/>
      <c r="O306" s="118"/>
      <c r="P306" s="118"/>
      <c r="Q306" s="131"/>
    </row>
    <row r="307" ht="22.5" customHeight="1">
      <c r="A307" s="118"/>
      <c r="B307" s="119"/>
      <c r="C307" s="120"/>
      <c r="D307" s="121"/>
      <c r="E307" s="121"/>
      <c r="F307" s="122"/>
      <c r="G307" s="123"/>
      <c r="H307" s="124"/>
      <c r="I307" s="125"/>
      <c r="J307" s="126"/>
      <c r="K307" s="127"/>
      <c r="L307" s="128"/>
      <c r="M307" s="129"/>
      <c r="N307" s="130"/>
      <c r="O307" s="118"/>
      <c r="P307" s="118"/>
      <c r="Q307" s="131"/>
    </row>
    <row r="308" ht="22.5" customHeight="1">
      <c r="A308" s="118"/>
      <c r="B308" s="119"/>
      <c r="C308" s="120"/>
      <c r="D308" s="121"/>
      <c r="E308" s="121"/>
      <c r="F308" s="122"/>
      <c r="G308" s="123"/>
      <c r="H308" s="124"/>
      <c r="I308" s="125"/>
      <c r="J308" s="126"/>
      <c r="K308" s="127"/>
      <c r="L308" s="128"/>
      <c r="M308" s="129"/>
      <c r="N308" s="130"/>
      <c r="O308" s="118"/>
      <c r="P308" s="118"/>
      <c r="Q308" s="131"/>
    </row>
    <row r="309" ht="22.5" customHeight="1">
      <c r="A309" s="118"/>
      <c r="B309" s="119"/>
      <c r="C309" s="120"/>
      <c r="D309" s="121"/>
      <c r="E309" s="121"/>
      <c r="F309" s="122"/>
      <c r="G309" s="123"/>
      <c r="H309" s="124"/>
      <c r="I309" s="125"/>
      <c r="J309" s="126"/>
      <c r="K309" s="127"/>
      <c r="L309" s="128"/>
      <c r="M309" s="129"/>
      <c r="N309" s="130"/>
      <c r="O309" s="118"/>
      <c r="P309" s="118"/>
      <c r="Q309" s="131"/>
    </row>
    <row r="310" ht="22.5" customHeight="1">
      <c r="A310" s="118"/>
      <c r="B310" s="119"/>
      <c r="C310" s="120"/>
      <c r="D310" s="121"/>
      <c r="E310" s="121"/>
      <c r="F310" s="122"/>
      <c r="G310" s="123"/>
      <c r="H310" s="124"/>
      <c r="I310" s="125"/>
      <c r="J310" s="126"/>
      <c r="K310" s="127"/>
      <c r="L310" s="128"/>
      <c r="M310" s="129"/>
      <c r="N310" s="130"/>
      <c r="O310" s="118"/>
      <c r="P310" s="118"/>
      <c r="Q310" s="131"/>
    </row>
    <row r="311" ht="22.5" customHeight="1">
      <c r="A311" s="118"/>
      <c r="B311" s="119"/>
      <c r="C311" s="120"/>
      <c r="D311" s="121"/>
      <c r="E311" s="121"/>
      <c r="F311" s="122"/>
      <c r="G311" s="123"/>
      <c r="H311" s="124"/>
      <c r="I311" s="125"/>
      <c r="J311" s="126"/>
      <c r="K311" s="127"/>
      <c r="L311" s="128"/>
      <c r="M311" s="129"/>
      <c r="N311" s="130"/>
      <c r="O311" s="118"/>
      <c r="P311" s="118"/>
      <c r="Q311" s="131"/>
    </row>
    <row r="312" ht="22.5" customHeight="1">
      <c r="A312" s="118"/>
      <c r="B312" s="119"/>
      <c r="C312" s="120"/>
      <c r="D312" s="121"/>
      <c r="E312" s="121"/>
      <c r="F312" s="122"/>
      <c r="G312" s="123"/>
      <c r="H312" s="124"/>
      <c r="I312" s="125"/>
      <c r="J312" s="126"/>
      <c r="K312" s="127"/>
      <c r="L312" s="128"/>
      <c r="M312" s="129"/>
      <c r="N312" s="130"/>
      <c r="O312" s="118"/>
      <c r="P312" s="118"/>
      <c r="Q312" s="131"/>
    </row>
    <row r="313" ht="22.5" customHeight="1">
      <c r="A313" s="118"/>
      <c r="B313" s="119"/>
      <c r="C313" s="120"/>
      <c r="D313" s="121"/>
      <c r="E313" s="121"/>
      <c r="F313" s="122"/>
      <c r="G313" s="123"/>
      <c r="H313" s="124"/>
      <c r="I313" s="125"/>
      <c r="J313" s="126"/>
      <c r="K313" s="127"/>
      <c r="L313" s="128"/>
      <c r="M313" s="129"/>
      <c r="N313" s="130"/>
      <c r="O313" s="118"/>
      <c r="P313" s="118"/>
      <c r="Q313" s="131"/>
    </row>
    <row r="314" ht="22.5" customHeight="1">
      <c r="A314" s="118"/>
      <c r="B314" s="119"/>
      <c r="C314" s="120"/>
      <c r="D314" s="121"/>
      <c r="E314" s="121"/>
      <c r="F314" s="122"/>
      <c r="G314" s="123"/>
      <c r="H314" s="124"/>
      <c r="I314" s="125"/>
      <c r="J314" s="126"/>
      <c r="K314" s="127"/>
      <c r="L314" s="128"/>
      <c r="M314" s="129"/>
      <c r="N314" s="130"/>
      <c r="O314" s="118"/>
      <c r="P314" s="118"/>
      <c r="Q314" s="131"/>
    </row>
    <row r="315" ht="22.5" customHeight="1">
      <c r="A315" s="118"/>
      <c r="B315" s="119"/>
      <c r="C315" s="120"/>
      <c r="D315" s="121"/>
      <c r="E315" s="121"/>
      <c r="F315" s="122"/>
      <c r="G315" s="123"/>
      <c r="H315" s="124"/>
      <c r="I315" s="125"/>
      <c r="J315" s="126"/>
      <c r="K315" s="127"/>
      <c r="L315" s="128"/>
      <c r="M315" s="129"/>
      <c r="N315" s="130"/>
      <c r="O315" s="118"/>
      <c r="P315" s="118"/>
      <c r="Q315" s="131"/>
    </row>
    <row r="316" ht="22.5" customHeight="1">
      <c r="A316" s="118"/>
      <c r="B316" s="119"/>
      <c r="C316" s="120"/>
      <c r="D316" s="121"/>
      <c r="E316" s="121"/>
      <c r="F316" s="122"/>
      <c r="G316" s="123"/>
      <c r="H316" s="124"/>
      <c r="I316" s="125"/>
      <c r="J316" s="126"/>
      <c r="K316" s="127"/>
      <c r="L316" s="128"/>
      <c r="M316" s="129"/>
      <c r="N316" s="130"/>
      <c r="O316" s="118"/>
      <c r="P316" s="118"/>
      <c r="Q316" s="131"/>
    </row>
    <row r="317" ht="22.5" customHeight="1">
      <c r="A317" s="118"/>
      <c r="B317" s="119"/>
      <c r="C317" s="120"/>
      <c r="D317" s="121"/>
      <c r="E317" s="121"/>
      <c r="F317" s="122"/>
      <c r="G317" s="123"/>
      <c r="H317" s="124"/>
      <c r="I317" s="125"/>
      <c r="J317" s="126"/>
      <c r="K317" s="127"/>
      <c r="L317" s="128"/>
      <c r="M317" s="129"/>
      <c r="N317" s="130"/>
      <c r="O317" s="118"/>
      <c r="P317" s="118"/>
      <c r="Q317" s="131"/>
    </row>
    <row r="318" ht="22.5" customHeight="1">
      <c r="A318" s="118"/>
      <c r="B318" s="119"/>
      <c r="C318" s="120"/>
      <c r="D318" s="121"/>
      <c r="E318" s="121"/>
      <c r="F318" s="122"/>
      <c r="G318" s="123"/>
      <c r="H318" s="124"/>
      <c r="I318" s="125"/>
      <c r="J318" s="126"/>
      <c r="K318" s="127"/>
      <c r="L318" s="128"/>
      <c r="M318" s="129"/>
      <c r="N318" s="130"/>
      <c r="O318" s="118"/>
      <c r="P318" s="118"/>
      <c r="Q318" s="131"/>
    </row>
    <row r="319" ht="22.5" customHeight="1">
      <c r="A319" s="118"/>
      <c r="B319" s="119"/>
      <c r="C319" s="120"/>
      <c r="D319" s="121"/>
      <c r="E319" s="121"/>
      <c r="F319" s="122"/>
      <c r="G319" s="123"/>
      <c r="H319" s="124"/>
      <c r="I319" s="125"/>
      <c r="J319" s="126"/>
      <c r="K319" s="127"/>
      <c r="L319" s="128"/>
      <c r="M319" s="129"/>
      <c r="N319" s="130"/>
      <c r="O319" s="118"/>
      <c r="P319" s="118"/>
      <c r="Q319" s="131"/>
    </row>
    <row r="320" ht="22.5" customHeight="1">
      <c r="A320" s="118"/>
      <c r="B320" s="119"/>
      <c r="C320" s="120"/>
      <c r="D320" s="121"/>
      <c r="E320" s="121"/>
      <c r="F320" s="122"/>
      <c r="G320" s="123"/>
      <c r="H320" s="124"/>
      <c r="I320" s="125"/>
      <c r="J320" s="126"/>
      <c r="K320" s="127"/>
      <c r="L320" s="128"/>
      <c r="M320" s="129"/>
      <c r="N320" s="130"/>
      <c r="O320" s="118"/>
      <c r="P320" s="118"/>
      <c r="Q320" s="131"/>
    </row>
    <row r="321" ht="22.5" customHeight="1">
      <c r="A321" s="118"/>
      <c r="B321" s="119"/>
      <c r="C321" s="120"/>
      <c r="D321" s="121"/>
      <c r="E321" s="121"/>
      <c r="F321" s="122"/>
      <c r="G321" s="123"/>
      <c r="H321" s="124"/>
      <c r="I321" s="125"/>
      <c r="J321" s="126"/>
      <c r="K321" s="127"/>
      <c r="L321" s="128"/>
      <c r="M321" s="129"/>
      <c r="N321" s="130"/>
      <c r="O321" s="118"/>
      <c r="P321" s="118"/>
      <c r="Q321" s="131"/>
    </row>
    <row r="322" ht="22.5" customHeight="1">
      <c r="A322" s="118"/>
      <c r="B322" s="119"/>
      <c r="C322" s="120"/>
      <c r="D322" s="121"/>
      <c r="E322" s="121"/>
      <c r="F322" s="122"/>
      <c r="G322" s="123"/>
      <c r="H322" s="124"/>
      <c r="I322" s="125"/>
      <c r="J322" s="126"/>
      <c r="K322" s="127"/>
      <c r="L322" s="128"/>
      <c r="M322" s="129"/>
      <c r="N322" s="130"/>
      <c r="O322" s="118"/>
      <c r="P322" s="118"/>
      <c r="Q322" s="131"/>
    </row>
    <row r="323" ht="22.5" customHeight="1">
      <c r="A323" s="118"/>
      <c r="B323" s="119"/>
      <c r="C323" s="120"/>
      <c r="D323" s="121"/>
      <c r="E323" s="121"/>
      <c r="F323" s="122"/>
      <c r="G323" s="123"/>
      <c r="H323" s="124"/>
      <c r="I323" s="125"/>
      <c r="J323" s="126"/>
      <c r="K323" s="127"/>
      <c r="L323" s="128"/>
      <c r="M323" s="129"/>
      <c r="N323" s="130"/>
      <c r="O323" s="118"/>
      <c r="P323" s="118"/>
      <c r="Q323" s="131"/>
    </row>
    <row r="324" ht="22.5" customHeight="1">
      <c r="A324" s="118"/>
      <c r="B324" s="119"/>
      <c r="C324" s="120"/>
      <c r="D324" s="121"/>
      <c r="E324" s="121"/>
      <c r="F324" s="122"/>
      <c r="G324" s="123"/>
      <c r="H324" s="124"/>
      <c r="I324" s="125"/>
      <c r="J324" s="126"/>
      <c r="K324" s="127"/>
      <c r="L324" s="128"/>
      <c r="M324" s="129"/>
      <c r="N324" s="130"/>
      <c r="O324" s="118"/>
      <c r="P324" s="118"/>
      <c r="Q324" s="131"/>
    </row>
    <row r="325" ht="22.5" customHeight="1">
      <c r="A325" s="118"/>
      <c r="B325" s="119"/>
      <c r="C325" s="120"/>
      <c r="D325" s="121"/>
      <c r="E325" s="121"/>
      <c r="F325" s="122"/>
      <c r="G325" s="123"/>
      <c r="H325" s="124"/>
      <c r="I325" s="125"/>
      <c r="J325" s="126"/>
      <c r="K325" s="127"/>
      <c r="L325" s="128"/>
      <c r="M325" s="129"/>
      <c r="N325" s="130"/>
      <c r="O325" s="118"/>
      <c r="P325" s="118"/>
      <c r="Q325" s="131"/>
    </row>
    <row r="326" ht="22.5" customHeight="1">
      <c r="A326" s="118"/>
      <c r="B326" s="119"/>
      <c r="C326" s="120"/>
      <c r="D326" s="121"/>
      <c r="E326" s="121"/>
      <c r="F326" s="122"/>
      <c r="G326" s="123"/>
      <c r="H326" s="124"/>
      <c r="I326" s="125"/>
      <c r="J326" s="126"/>
      <c r="K326" s="127"/>
      <c r="L326" s="128"/>
      <c r="M326" s="129"/>
      <c r="N326" s="130"/>
      <c r="O326" s="118"/>
      <c r="P326" s="118"/>
      <c r="Q326" s="131"/>
    </row>
    <row r="327" ht="22.5" customHeight="1">
      <c r="A327" s="118"/>
      <c r="B327" s="119"/>
      <c r="C327" s="120"/>
      <c r="D327" s="121"/>
      <c r="E327" s="121"/>
      <c r="F327" s="122"/>
      <c r="G327" s="123"/>
      <c r="H327" s="124"/>
      <c r="I327" s="125"/>
      <c r="J327" s="126"/>
      <c r="K327" s="127"/>
      <c r="L327" s="128"/>
      <c r="M327" s="129"/>
      <c r="N327" s="130"/>
      <c r="O327" s="118"/>
      <c r="P327" s="118"/>
      <c r="Q327" s="131"/>
    </row>
    <row r="328" ht="22.5" customHeight="1">
      <c r="A328" s="118"/>
      <c r="B328" s="119"/>
      <c r="C328" s="120"/>
      <c r="D328" s="121"/>
      <c r="E328" s="121"/>
      <c r="F328" s="122"/>
      <c r="G328" s="123"/>
      <c r="H328" s="124"/>
      <c r="I328" s="125"/>
      <c r="J328" s="126"/>
      <c r="K328" s="127"/>
      <c r="L328" s="128"/>
      <c r="M328" s="129"/>
      <c r="N328" s="130"/>
      <c r="O328" s="118"/>
      <c r="P328" s="118"/>
      <c r="Q328" s="131"/>
    </row>
    <row r="329" ht="22.5" customHeight="1">
      <c r="A329" s="118"/>
      <c r="B329" s="119"/>
      <c r="C329" s="120"/>
      <c r="D329" s="121"/>
      <c r="E329" s="121"/>
      <c r="F329" s="122"/>
      <c r="G329" s="123"/>
      <c r="H329" s="124"/>
      <c r="I329" s="125"/>
      <c r="J329" s="126"/>
      <c r="K329" s="127"/>
      <c r="L329" s="128"/>
      <c r="M329" s="129"/>
      <c r="N329" s="130"/>
      <c r="O329" s="118"/>
      <c r="P329" s="118"/>
      <c r="Q329" s="131"/>
    </row>
    <row r="330" ht="22.5" customHeight="1">
      <c r="A330" s="118"/>
      <c r="B330" s="119"/>
      <c r="C330" s="120"/>
      <c r="D330" s="121"/>
      <c r="E330" s="121"/>
      <c r="F330" s="122"/>
      <c r="G330" s="123"/>
      <c r="H330" s="124"/>
      <c r="I330" s="125"/>
      <c r="J330" s="126"/>
      <c r="K330" s="127"/>
      <c r="L330" s="128"/>
      <c r="M330" s="129"/>
      <c r="N330" s="130"/>
      <c r="O330" s="118"/>
      <c r="P330" s="118"/>
      <c r="Q330" s="131"/>
    </row>
    <row r="331" ht="22.5" customHeight="1">
      <c r="A331" s="118"/>
      <c r="B331" s="119"/>
      <c r="C331" s="120"/>
      <c r="D331" s="121"/>
      <c r="E331" s="121"/>
      <c r="F331" s="122"/>
      <c r="G331" s="123"/>
      <c r="H331" s="124"/>
      <c r="I331" s="125"/>
      <c r="J331" s="126"/>
      <c r="K331" s="127"/>
      <c r="L331" s="128"/>
      <c r="M331" s="129"/>
      <c r="N331" s="130"/>
      <c r="O331" s="118"/>
      <c r="P331" s="118"/>
      <c r="Q331" s="131"/>
    </row>
    <row r="332" ht="22.5" customHeight="1">
      <c r="A332" s="118"/>
      <c r="B332" s="119"/>
      <c r="C332" s="120"/>
      <c r="D332" s="121"/>
      <c r="E332" s="121"/>
      <c r="F332" s="122"/>
      <c r="G332" s="123"/>
      <c r="H332" s="124"/>
      <c r="I332" s="125"/>
      <c r="J332" s="126"/>
      <c r="K332" s="127"/>
      <c r="L332" s="128"/>
      <c r="M332" s="129"/>
      <c r="N332" s="130"/>
      <c r="O332" s="118"/>
      <c r="P332" s="118"/>
      <c r="Q332" s="131"/>
    </row>
    <row r="333" ht="22.5" customHeight="1">
      <c r="A333" s="118"/>
      <c r="B333" s="119"/>
      <c r="C333" s="120"/>
      <c r="D333" s="121"/>
      <c r="E333" s="121"/>
      <c r="F333" s="122"/>
      <c r="G333" s="123"/>
      <c r="H333" s="124"/>
      <c r="I333" s="125"/>
      <c r="J333" s="126"/>
      <c r="K333" s="127"/>
      <c r="L333" s="128"/>
      <c r="M333" s="129"/>
      <c r="N333" s="130"/>
      <c r="O333" s="118"/>
      <c r="P333" s="118"/>
      <c r="Q333" s="131"/>
    </row>
    <row r="334" ht="22.5" customHeight="1">
      <c r="A334" s="118"/>
      <c r="B334" s="119"/>
      <c r="C334" s="120"/>
      <c r="D334" s="121"/>
      <c r="E334" s="121"/>
      <c r="F334" s="122"/>
      <c r="G334" s="123"/>
      <c r="H334" s="124"/>
      <c r="I334" s="125"/>
      <c r="J334" s="126"/>
      <c r="K334" s="127"/>
      <c r="L334" s="128"/>
      <c r="M334" s="129"/>
      <c r="N334" s="130"/>
      <c r="O334" s="118"/>
      <c r="P334" s="118"/>
      <c r="Q334" s="131"/>
    </row>
    <row r="335" ht="22.5" customHeight="1">
      <c r="A335" s="118"/>
      <c r="B335" s="119"/>
      <c r="C335" s="120"/>
      <c r="D335" s="121"/>
      <c r="E335" s="121"/>
      <c r="F335" s="122"/>
      <c r="G335" s="123"/>
      <c r="H335" s="124"/>
      <c r="I335" s="125"/>
      <c r="J335" s="126"/>
      <c r="K335" s="127"/>
      <c r="L335" s="128"/>
      <c r="M335" s="129"/>
      <c r="N335" s="130"/>
      <c r="O335" s="118"/>
      <c r="P335" s="118"/>
      <c r="Q335" s="131"/>
    </row>
    <row r="336" ht="22.5" customHeight="1">
      <c r="A336" s="118"/>
      <c r="B336" s="119"/>
      <c r="C336" s="120"/>
      <c r="D336" s="121"/>
      <c r="E336" s="121"/>
      <c r="F336" s="122"/>
      <c r="G336" s="123"/>
      <c r="H336" s="124"/>
      <c r="I336" s="125"/>
      <c r="J336" s="126"/>
      <c r="K336" s="127"/>
      <c r="L336" s="128"/>
      <c r="M336" s="129"/>
      <c r="N336" s="130"/>
      <c r="O336" s="118"/>
      <c r="P336" s="118"/>
      <c r="Q336" s="131"/>
    </row>
    <row r="337" ht="22.5" customHeight="1">
      <c r="A337" s="118"/>
      <c r="B337" s="119"/>
      <c r="C337" s="120"/>
      <c r="D337" s="121"/>
      <c r="E337" s="121"/>
      <c r="F337" s="122"/>
      <c r="G337" s="123"/>
      <c r="H337" s="124"/>
      <c r="I337" s="125"/>
      <c r="J337" s="126"/>
      <c r="K337" s="127"/>
      <c r="L337" s="128"/>
      <c r="M337" s="129"/>
      <c r="N337" s="130"/>
      <c r="O337" s="118"/>
      <c r="P337" s="118"/>
      <c r="Q337" s="131"/>
    </row>
    <row r="338" ht="22.5" customHeight="1">
      <c r="A338" s="118"/>
      <c r="B338" s="119"/>
      <c r="C338" s="120"/>
      <c r="D338" s="121"/>
      <c r="E338" s="121"/>
      <c r="F338" s="122"/>
      <c r="G338" s="123"/>
      <c r="H338" s="124"/>
      <c r="I338" s="125"/>
      <c r="J338" s="126"/>
      <c r="K338" s="127"/>
      <c r="L338" s="128"/>
      <c r="M338" s="129"/>
      <c r="N338" s="130"/>
      <c r="O338" s="118"/>
      <c r="P338" s="118"/>
      <c r="Q338" s="131"/>
    </row>
    <row r="339" ht="22.5" customHeight="1">
      <c r="A339" s="118"/>
      <c r="B339" s="119"/>
      <c r="C339" s="120"/>
      <c r="D339" s="121"/>
      <c r="E339" s="121"/>
      <c r="F339" s="122"/>
      <c r="G339" s="123"/>
      <c r="H339" s="124"/>
      <c r="I339" s="125"/>
      <c r="J339" s="126"/>
      <c r="K339" s="127"/>
      <c r="L339" s="128"/>
      <c r="M339" s="129"/>
      <c r="N339" s="130"/>
      <c r="O339" s="118"/>
      <c r="P339" s="118"/>
      <c r="Q339" s="131"/>
    </row>
    <row r="340" ht="22.5" customHeight="1">
      <c r="A340" s="118"/>
      <c r="B340" s="119"/>
      <c r="C340" s="120"/>
      <c r="D340" s="121"/>
      <c r="E340" s="121"/>
      <c r="F340" s="122"/>
      <c r="G340" s="123"/>
      <c r="H340" s="124"/>
      <c r="I340" s="125"/>
      <c r="J340" s="126"/>
      <c r="K340" s="127"/>
      <c r="L340" s="128"/>
      <c r="M340" s="129"/>
      <c r="N340" s="130"/>
      <c r="O340" s="118"/>
      <c r="P340" s="118"/>
      <c r="Q340" s="131"/>
    </row>
    <row r="341" ht="22.5" customHeight="1">
      <c r="A341" s="118"/>
      <c r="B341" s="119"/>
      <c r="C341" s="120"/>
      <c r="D341" s="121"/>
      <c r="E341" s="121"/>
      <c r="F341" s="122"/>
      <c r="G341" s="123"/>
      <c r="H341" s="124"/>
      <c r="I341" s="125"/>
      <c r="J341" s="126"/>
      <c r="K341" s="127"/>
      <c r="L341" s="128"/>
      <c r="M341" s="129"/>
      <c r="N341" s="130"/>
      <c r="O341" s="118"/>
      <c r="P341" s="118"/>
      <c r="Q341" s="131"/>
    </row>
    <row r="342" ht="22.5" customHeight="1">
      <c r="A342" s="118"/>
      <c r="B342" s="119"/>
      <c r="C342" s="120"/>
      <c r="D342" s="121"/>
      <c r="E342" s="121"/>
      <c r="F342" s="122"/>
      <c r="G342" s="123"/>
      <c r="H342" s="124"/>
      <c r="I342" s="125"/>
      <c r="J342" s="126"/>
      <c r="K342" s="127"/>
      <c r="L342" s="128"/>
      <c r="M342" s="129"/>
      <c r="N342" s="130"/>
      <c r="O342" s="118"/>
      <c r="P342" s="118"/>
      <c r="Q342" s="131"/>
    </row>
    <row r="343" ht="22.5" customHeight="1">
      <c r="A343" s="118"/>
      <c r="B343" s="119"/>
      <c r="C343" s="120"/>
      <c r="D343" s="121"/>
      <c r="E343" s="121"/>
      <c r="F343" s="122"/>
      <c r="G343" s="123"/>
      <c r="H343" s="124"/>
      <c r="I343" s="125"/>
      <c r="J343" s="126"/>
      <c r="K343" s="127"/>
      <c r="L343" s="128"/>
      <c r="M343" s="129"/>
      <c r="N343" s="130"/>
      <c r="O343" s="118"/>
      <c r="P343" s="118"/>
      <c r="Q343" s="131"/>
    </row>
    <row r="344" ht="22.5" customHeight="1">
      <c r="A344" s="118"/>
      <c r="B344" s="119"/>
      <c r="C344" s="120"/>
      <c r="D344" s="121"/>
      <c r="E344" s="121"/>
      <c r="F344" s="122"/>
      <c r="G344" s="123"/>
      <c r="H344" s="124"/>
      <c r="I344" s="125"/>
      <c r="J344" s="126"/>
      <c r="K344" s="127"/>
      <c r="L344" s="128"/>
      <c r="M344" s="129"/>
      <c r="N344" s="130"/>
      <c r="O344" s="118"/>
      <c r="P344" s="118"/>
      <c r="Q344" s="131"/>
    </row>
    <row r="345" ht="22.5" customHeight="1">
      <c r="A345" s="118"/>
      <c r="B345" s="119"/>
      <c r="C345" s="120"/>
      <c r="D345" s="121"/>
      <c r="E345" s="121"/>
      <c r="F345" s="122"/>
      <c r="G345" s="123"/>
      <c r="H345" s="124"/>
      <c r="I345" s="125"/>
      <c r="J345" s="126"/>
      <c r="K345" s="127"/>
      <c r="L345" s="128"/>
      <c r="M345" s="129"/>
      <c r="N345" s="130"/>
      <c r="O345" s="118"/>
      <c r="P345" s="118"/>
      <c r="Q345" s="131"/>
    </row>
    <row r="346" ht="22.5" customHeight="1">
      <c r="A346" s="118"/>
      <c r="B346" s="119"/>
      <c r="C346" s="120"/>
      <c r="D346" s="121"/>
      <c r="E346" s="121"/>
      <c r="F346" s="122"/>
      <c r="G346" s="123"/>
      <c r="H346" s="124"/>
      <c r="I346" s="125"/>
      <c r="J346" s="126"/>
      <c r="K346" s="127"/>
      <c r="L346" s="128"/>
      <c r="M346" s="129"/>
      <c r="N346" s="130"/>
      <c r="O346" s="118"/>
      <c r="P346" s="118"/>
      <c r="Q346" s="131"/>
    </row>
    <row r="347" ht="22.5" customHeight="1">
      <c r="A347" s="118"/>
      <c r="B347" s="119"/>
      <c r="C347" s="120"/>
      <c r="D347" s="121"/>
      <c r="E347" s="121"/>
      <c r="F347" s="122"/>
      <c r="G347" s="123"/>
      <c r="H347" s="124"/>
      <c r="I347" s="125"/>
      <c r="J347" s="126"/>
      <c r="K347" s="127"/>
      <c r="L347" s="128"/>
      <c r="M347" s="129"/>
      <c r="N347" s="130"/>
      <c r="O347" s="118"/>
      <c r="P347" s="118"/>
      <c r="Q347" s="131"/>
    </row>
    <row r="348" ht="22.5" customHeight="1">
      <c r="A348" s="118"/>
      <c r="B348" s="119"/>
      <c r="C348" s="120"/>
      <c r="D348" s="121"/>
      <c r="E348" s="121"/>
      <c r="F348" s="122"/>
      <c r="G348" s="123"/>
      <c r="H348" s="124"/>
      <c r="I348" s="125"/>
      <c r="J348" s="126"/>
      <c r="K348" s="127"/>
      <c r="L348" s="128"/>
      <c r="M348" s="129"/>
      <c r="N348" s="130"/>
      <c r="O348" s="118"/>
      <c r="P348" s="118"/>
      <c r="Q348" s="131"/>
    </row>
    <row r="349" ht="22.5" customHeight="1">
      <c r="A349" s="118"/>
      <c r="B349" s="119"/>
      <c r="C349" s="120"/>
      <c r="D349" s="121"/>
      <c r="E349" s="121"/>
      <c r="F349" s="122"/>
      <c r="G349" s="123"/>
      <c r="H349" s="124"/>
      <c r="I349" s="125"/>
      <c r="J349" s="126"/>
      <c r="K349" s="127"/>
      <c r="L349" s="128"/>
      <c r="M349" s="129"/>
      <c r="N349" s="130"/>
      <c r="O349" s="118"/>
      <c r="P349" s="118"/>
      <c r="Q349" s="131"/>
    </row>
    <row r="350" ht="22.5" customHeight="1">
      <c r="A350" s="118"/>
      <c r="B350" s="119"/>
      <c r="C350" s="120"/>
      <c r="D350" s="121"/>
      <c r="E350" s="121"/>
      <c r="F350" s="122"/>
      <c r="G350" s="123"/>
      <c r="H350" s="124"/>
      <c r="I350" s="125"/>
      <c r="J350" s="126"/>
      <c r="K350" s="127"/>
      <c r="L350" s="128"/>
      <c r="M350" s="129"/>
      <c r="N350" s="130"/>
      <c r="O350" s="118"/>
      <c r="P350" s="118"/>
      <c r="Q350" s="131"/>
    </row>
    <row r="351" ht="22.5" customHeight="1">
      <c r="A351" s="118"/>
      <c r="B351" s="119"/>
      <c r="C351" s="120"/>
      <c r="D351" s="121"/>
      <c r="E351" s="121"/>
      <c r="F351" s="122"/>
      <c r="G351" s="123"/>
      <c r="H351" s="124"/>
      <c r="I351" s="125"/>
      <c r="J351" s="126"/>
      <c r="K351" s="127"/>
      <c r="L351" s="128"/>
      <c r="M351" s="129"/>
      <c r="N351" s="130"/>
      <c r="O351" s="118"/>
      <c r="P351" s="118"/>
      <c r="Q351" s="131"/>
    </row>
    <row r="352" ht="22.5" customHeight="1">
      <c r="A352" s="118"/>
      <c r="B352" s="119"/>
      <c r="C352" s="120"/>
      <c r="D352" s="121"/>
      <c r="E352" s="121"/>
      <c r="F352" s="122"/>
      <c r="G352" s="123"/>
      <c r="H352" s="124"/>
      <c r="I352" s="125"/>
      <c r="J352" s="126"/>
      <c r="K352" s="127"/>
      <c r="L352" s="128"/>
      <c r="M352" s="129"/>
      <c r="N352" s="130"/>
      <c r="O352" s="118"/>
      <c r="P352" s="118"/>
      <c r="Q352" s="131"/>
    </row>
    <row r="353" ht="22.5" customHeight="1">
      <c r="A353" s="118"/>
      <c r="B353" s="119"/>
      <c r="C353" s="120"/>
      <c r="D353" s="121"/>
      <c r="E353" s="121"/>
      <c r="F353" s="122"/>
      <c r="G353" s="123"/>
      <c r="H353" s="124"/>
      <c r="I353" s="125"/>
      <c r="J353" s="126"/>
      <c r="K353" s="127"/>
      <c r="L353" s="128"/>
      <c r="M353" s="129"/>
      <c r="N353" s="130"/>
      <c r="O353" s="118"/>
      <c r="P353" s="118"/>
      <c r="Q353" s="131"/>
    </row>
    <row r="354" ht="22.5" customHeight="1">
      <c r="A354" s="118"/>
      <c r="B354" s="119"/>
      <c r="C354" s="120"/>
      <c r="D354" s="121"/>
      <c r="E354" s="121"/>
      <c r="F354" s="122"/>
      <c r="G354" s="123"/>
      <c r="H354" s="124"/>
      <c r="I354" s="125"/>
      <c r="J354" s="126"/>
      <c r="K354" s="127"/>
      <c r="L354" s="128"/>
      <c r="M354" s="129"/>
      <c r="N354" s="130"/>
      <c r="O354" s="118"/>
      <c r="P354" s="118"/>
      <c r="Q354" s="131"/>
    </row>
    <row r="355" ht="22.5" customHeight="1">
      <c r="A355" s="118"/>
      <c r="B355" s="119"/>
      <c r="C355" s="120"/>
      <c r="D355" s="121"/>
      <c r="E355" s="121"/>
      <c r="F355" s="122"/>
      <c r="G355" s="123"/>
      <c r="H355" s="124"/>
      <c r="I355" s="125"/>
      <c r="J355" s="126"/>
      <c r="K355" s="127"/>
      <c r="L355" s="128"/>
      <c r="M355" s="129"/>
      <c r="N355" s="130"/>
      <c r="O355" s="118"/>
      <c r="P355" s="118"/>
      <c r="Q355" s="131"/>
    </row>
    <row r="356" ht="22.5" customHeight="1">
      <c r="A356" s="118"/>
      <c r="B356" s="119"/>
      <c r="C356" s="120"/>
      <c r="D356" s="121"/>
      <c r="E356" s="121"/>
      <c r="F356" s="122"/>
      <c r="G356" s="123"/>
      <c r="H356" s="124"/>
      <c r="I356" s="125"/>
      <c r="J356" s="126"/>
      <c r="K356" s="127"/>
      <c r="L356" s="128"/>
      <c r="M356" s="129"/>
      <c r="N356" s="130"/>
      <c r="O356" s="118"/>
      <c r="P356" s="118"/>
      <c r="Q356" s="131"/>
    </row>
    <row r="357" ht="22.5" customHeight="1">
      <c r="A357" s="118"/>
      <c r="B357" s="119"/>
      <c r="C357" s="120"/>
      <c r="D357" s="121"/>
      <c r="E357" s="121"/>
      <c r="F357" s="122"/>
      <c r="G357" s="123"/>
      <c r="H357" s="124"/>
      <c r="I357" s="125"/>
      <c r="J357" s="126"/>
      <c r="K357" s="127"/>
      <c r="L357" s="128"/>
      <c r="M357" s="129"/>
      <c r="N357" s="130"/>
      <c r="O357" s="118"/>
      <c r="P357" s="118"/>
      <c r="Q357" s="131"/>
    </row>
    <row r="358" ht="22.5" customHeight="1">
      <c r="A358" s="118"/>
      <c r="B358" s="119"/>
      <c r="C358" s="120"/>
      <c r="D358" s="121"/>
      <c r="E358" s="121"/>
      <c r="F358" s="122"/>
      <c r="G358" s="123"/>
      <c r="H358" s="124"/>
      <c r="I358" s="125"/>
      <c r="J358" s="126"/>
      <c r="K358" s="127"/>
      <c r="L358" s="128"/>
      <c r="M358" s="129"/>
      <c r="N358" s="130"/>
      <c r="O358" s="118"/>
      <c r="P358" s="118"/>
      <c r="Q358" s="131"/>
    </row>
    <row r="359" ht="22.5" customHeight="1">
      <c r="A359" s="118"/>
      <c r="B359" s="119"/>
      <c r="C359" s="120"/>
      <c r="D359" s="121"/>
      <c r="E359" s="121"/>
      <c r="F359" s="122"/>
      <c r="G359" s="123"/>
      <c r="H359" s="124"/>
      <c r="I359" s="125"/>
      <c r="J359" s="126"/>
      <c r="K359" s="127"/>
      <c r="L359" s="128"/>
      <c r="M359" s="129"/>
      <c r="N359" s="130"/>
      <c r="O359" s="118"/>
      <c r="P359" s="118"/>
      <c r="Q359" s="131"/>
    </row>
    <row r="360" ht="22.5" customHeight="1">
      <c r="A360" s="118"/>
      <c r="B360" s="119"/>
      <c r="C360" s="120"/>
      <c r="D360" s="121"/>
      <c r="E360" s="121"/>
      <c r="F360" s="122"/>
      <c r="G360" s="123"/>
      <c r="H360" s="124"/>
      <c r="I360" s="125"/>
      <c r="J360" s="126"/>
      <c r="K360" s="127"/>
      <c r="L360" s="128"/>
      <c r="M360" s="129"/>
      <c r="N360" s="130"/>
      <c r="O360" s="118"/>
      <c r="P360" s="118"/>
      <c r="Q360" s="131"/>
    </row>
    <row r="361" ht="22.5" customHeight="1">
      <c r="A361" s="118"/>
      <c r="B361" s="119"/>
      <c r="C361" s="120"/>
      <c r="D361" s="121"/>
      <c r="E361" s="121"/>
      <c r="F361" s="122"/>
      <c r="G361" s="123"/>
      <c r="H361" s="124"/>
      <c r="I361" s="125"/>
      <c r="J361" s="126"/>
      <c r="K361" s="127"/>
      <c r="L361" s="128"/>
      <c r="M361" s="129"/>
      <c r="N361" s="130"/>
      <c r="O361" s="118"/>
      <c r="P361" s="118"/>
      <c r="Q361" s="131"/>
    </row>
    <row r="362" ht="22.5" customHeight="1">
      <c r="A362" s="118"/>
      <c r="B362" s="119"/>
      <c r="C362" s="120"/>
      <c r="D362" s="121"/>
      <c r="E362" s="121"/>
      <c r="F362" s="122"/>
      <c r="G362" s="123"/>
      <c r="H362" s="124"/>
      <c r="I362" s="125"/>
      <c r="J362" s="126"/>
      <c r="K362" s="127"/>
      <c r="L362" s="128"/>
      <c r="M362" s="129"/>
      <c r="N362" s="130"/>
      <c r="O362" s="118"/>
      <c r="P362" s="118"/>
      <c r="Q362" s="131"/>
    </row>
    <row r="363" ht="22.5" customHeight="1">
      <c r="A363" s="118"/>
      <c r="B363" s="119"/>
      <c r="C363" s="120"/>
      <c r="D363" s="121"/>
      <c r="E363" s="121"/>
      <c r="F363" s="122"/>
      <c r="G363" s="123"/>
      <c r="H363" s="124"/>
      <c r="I363" s="125"/>
      <c r="J363" s="126"/>
      <c r="K363" s="127"/>
      <c r="L363" s="128"/>
      <c r="M363" s="129"/>
      <c r="N363" s="130"/>
      <c r="O363" s="118"/>
      <c r="P363" s="118"/>
      <c r="Q363" s="131"/>
    </row>
    <row r="364" ht="22.5" customHeight="1">
      <c r="A364" s="118"/>
      <c r="B364" s="119"/>
      <c r="C364" s="120"/>
      <c r="D364" s="121"/>
      <c r="E364" s="121"/>
      <c r="F364" s="122"/>
      <c r="G364" s="123"/>
      <c r="H364" s="124"/>
      <c r="I364" s="125"/>
      <c r="J364" s="126"/>
      <c r="K364" s="127"/>
      <c r="L364" s="128"/>
      <c r="M364" s="129"/>
      <c r="N364" s="130"/>
      <c r="O364" s="118"/>
      <c r="P364" s="118"/>
      <c r="Q364" s="131"/>
    </row>
    <row r="365" ht="22.5" customHeight="1">
      <c r="A365" s="118"/>
      <c r="B365" s="119"/>
      <c r="C365" s="120"/>
      <c r="D365" s="121"/>
      <c r="E365" s="121"/>
      <c r="F365" s="122"/>
      <c r="G365" s="123"/>
      <c r="H365" s="124"/>
      <c r="I365" s="125"/>
      <c r="J365" s="126"/>
      <c r="K365" s="127"/>
      <c r="L365" s="128"/>
      <c r="M365" s="129"/>
      <c r="N365" s="130"/>
      <c r="O365" s="118"/>
      <c r="P365" s="118"/>
      <c r="Q365" s="131"/>
    </row>
    <row r="366" ht="22.5" customHeight="1">
      <c r="A366" s="118"/>
      <c r="B366" s="119"/>
      <c r="C366" s="120"/>
      <c r="D366" s="121"/>
      <c r="E366" s="121"/>
      <c r="F366" s="122"/>
      <c r="G366" s="123"/>
      <c r="H366" s="124"/>
      <c r="I366" s="125"/>
      <c r="J366" s="126"/>
      <c r="K366" s="127"/>
      <c r="L366" s="128"/>
      <c r="M366" s="129"/>
      <c r="N366" s="130"/>
      <c r="O366" s="118"/>
      <c r="P366" s="118"/>
      <c r="Q366" s="131"/>
    </row>
    <row r="367" ht="22.5" customHeight="1">
      <c r="A367" s="118"/>
      <c r="B367" s="119"/>
      <c r="C367" s="120"/>
      <c r="D367" s="121"/>
      <c r="E367" s="121"/>
      <c r="F367" s="122"/>
      <c r="G367" s="123"/>
      <c r="H367" s="124"/>
      <c r="I367" s="125"/>
      <c r="J367" s="126"/>
      <c r="K367" s="127"/>
      <c r="L367" s="128"/>
      <c r="M367" s="129"/>
      <c r="N367" s="130"/>
      <c r="O367" s="118"/>
      <c r="P367" s="118"/>
      <c r="Q367" s="131"/>
    </row>
    <row r="368" ht="22.5" customHeight="1">
      <c r="A368" s="118"/>
      <c r="B368" s="119"/>
      <c r="C368" s="120"/>
      <c r="D368" s="121"/>
      <c r="E368" s="121"/>
      <c r="F368" s="122"/>
      <c r="G368" s="123"/>
      <c r="H368" s="124"/>
      <c r="I368" s="125"/>
      <c r="J368" s="126"/>
      <c r="K368" s="127"/>
      <c r="L368" s="128"/>
      <c r="M368" s="129"/>
      <c r="N368" s="130"/>
      <c r="O368" s="118"/>
      <c r="P368" s="118"/>
      <c r="Q368" s="131"/>
    </row>
    <row r="369" ht="22.5" customHeight="1">
      <c r="A369" s="118"/>
      <c r="B369" s="119"/>
      <c r="C369" s="120"/>
      <c r="D369" s="121"/>
      <c r="E369" s="121"/>
      <c r="F369" s="122"/>
      <c r="G369" s="123"/>
      <c r="H369" s="124"/>
      <c r="I369" s="125"/>
      <c r="J369" s="126"/>
      <c r="K369" s="127"/>
      <c r="L369" s="128"/>
      <c r="M369" s="129"/>
      <c r="N369" s="130"/>
      <c r="O369" s="118"/>
      <c r="P369" s="118"/>
      <c r="Q369" s="131"/>
    </row>
    <row r="370" ht="22.5" customHeight="1">
      <c r="A370" s="118"/>
      <c r="B370" s="119"/>
      <c r="C370" s="120"/>
      <c r="D370" s="121"/>
      <c r="E370" s="121"/>
      <c r="F370" s="122"/>
      <c r="G370" s="123"/>
      <c r="H370" s="124"/>
      <c r="I370" s="125"/>
      <c r="J370" s="126"/>
      <c r="K370" s="127"/>
      <c r="L370" s="128"/>
      <c r="M370" s="129"/>
      <c r="N370" s="130"/>
      <c r="O370" s="118"/>
      <c r="P370" s="118"/>
      <c r="Q370" s="131"/>
    </row>
    <row r="371" ht="22.5" customHeight="1">
      <c r="A371" s="118"/>
      <c r="B371" s="119"/>
      <c r="C371" s="120"/>
      <c r="D371" s="121"/>
      <c r="E371" s="121"/>
      <c r="F371" s="122"/>
      <c r="G371" s="123"/>
      <c r="H371" s="124"/>
      <c r="I371" s="125"/>
      <c r="J371" s="126"/>
      <c r="K371" s="127"/>
      <c r="L371" s="128"/>
      <c r="M371" s="129"/>
      <c r="N371" s="130"/>
      <c r="O371" s="118"/>
      <c r="P371" s="118"/>
      <c r="Q371" s="131"/>
    </row>
    <row r="372" ht="22.5" customHeight="1">
      <c r="A372" s="118"/>
      <c r="B372" s="119"/>
      <c r="C372" s="120"/>
      <c r="D372" s="121"/>
      <c r="E372" s="121"/>
      <c r="F372" s="122"/>
      <c r="G372" s="123"/>
      <c r="H372" s="124"/>
      <c r="I372" s="125"/>
      <c r="J372" s="126"/>
      <c r="K372" s="127"/>
      <c r="L372" s="128"/>
      <c r="M372" s="129"/>
      <c r="N372" s="130"/>
      <c r="O372" s="118"/>
      <c r="P372" s="118"/>
      <c r="Q372" s="131"/>
    </row>
    <row r="373" ht="22.5" customHeight="1">
      <c r="A373" s="118"/>
      <c r="B373" s="119"/>
      <c r="C373" s="120"/>
      <c r="D373" s="121"/>
      <c r="E373" s="121"/>
      <c r="F373" s="122"/>
      <c r="G373" s="123"/>
      <c r="H373" s="124"/>
      <c r="I373" s="125"/>
      <c r="J373" s="126"/>
      <c r="K373" s="127"/>
      <c r="L373" s="128"/>
      <c r="M373" s="129"/>
      <c r="N373" s="130"/>
      <c r="O373" s="118"/>
      <c r="P373" s="118"/>
      <c r="Q373" s="131"/>
    </row>
    <row r="374" ht="22.5" customHeight="1">
      <c r="A374" s="118"/>
      <c r="B374" s="119"/>
      <c r="C374" s="120"/>
      <c r="D374" s="121"/>
      <c r="E374" s="121"/>
      <c r="F374" s="122"/>
      <c r="G374" s="123"/>
      <c r="H374" s="124"/>
      <c r="I374" s="125"/>
      <c r="J374" s="126"/>
      <c r="K374" s="127"/>
      <c r="L374" s="128"/>
      <c r="M374" s="129"/>
      <c r="N374" s="130"/>
      <c r="O374" s="118"/>
      <c r="P374" s="118"/>
      <c r="Q374" s="131"/>
    </row>
    <row r="375" ht="22.5" customHeight="1">
      <c r="A375" s="118"/>
      <c r="B375" s="119"/>
      <c r="C375" s="120"/>
      <c r="D375" s="121"/>
      <c r="E375" s="121"/>
      <c r="F375" s="122"/>
      <c r="G375" s="123"/>
      <c r="H375" s="124"/>
      <c r="I375" s="125"/>
      <c r="J375" s="126"/>
      <c r="K375" s="127"/>
      <c r="L375" s="128"/>
      <c r="M375" s="129"/>
      <c r="N375" s="130"/>
      <c r="O375" s="118"/>
      <c r="P375" s="118"/>
      <c r="Q375" s="131"/>
    </row>
    <row r="376" ht="22.5" customHeight="1">
      <c r="A376" s="118"/>
      <c r="B376" s="119"/>
      <c r="C376" s="120"/>
      <c r="D376" s="121"/>
      <c r="E376" s="121"/>
      <c r="F376" s="122"/>
      <c r="G376" s="123"/>
      <c r="H376" s="124"/>
      <c r="I376" s="125"/>
      <c r="J376" s="126"/>
      <c r="K376" s="127"/>
      <c r="L376" s="128"/>
      <c r="M376" s="129"/>
      <c r="N376" s="130"/>
      <c r="O376" s="118"/>
      <c r="P376" s="118"/>
      <c r="Q376" s="131"/>
    </row>
    <row r="377" ht="22.5" customHeight="1">
      <c r="A377" s="118"/>
      <c r="B377" s="119"/>
      <c r="C377" s="120"/>
      <c r="D377" s="121"/>
      <c r="E377" s="121"/>
      <c r="F377" s="122"/>
      <c r="G377" s="123"/>
      <c r="H377" s="124"/>
      <c r="I377" s="125"/>
      <c r="J377" s="126"/>
      <c r="K377" s="127"/>
      <c r="L377" s="128"/>
      <c r="M377" s="129"/>
      <c r="N377" s="130"/>
      <c r="O377" s="118"/>
      <c r="P377" s="118"/>
      <c r="Q377" s="131"/>
    </row>
    <row r="378" ht="22.5" customHeight="1">
      <c r="A378" s="118"/>
      <c r="B378" s="119"/>
      <c r="C378" s="120"/>
      <c r="D378" s="121"/>
      <c r="E378" s="121"/>
      <c r="F378" s="122"/>
      <c r="G378" s="123"/>
      <c r="H378" s="124"/>
      <c r="I378" s="125"/>
      <c r="J378" s="126"/>
      <c r="K378" s="127"/>
      <c r="L378" s="128"/>
      <c r="M378" s="129"/>
      <c r="N378" s="130"/>
      <c r="O378" s="118"/>
      <c r="P378" s="118"/>
      <c r="Q378" s="131"/>
    </row>
    <row r="379" ht="22.5" customHeight="1">
      <c r="A379" s="118"/>
      <c r="B379" s="119"/>
      <c r="C379" s="120"/>
      <c r="D379" s="121"/>
      <c r="E379" s="121"/>
      <c r="F379" s="122"/>
      <c r="G379" s="123"/>
      <c r="H379" s="124"/>
      <c r="I379" s="125"/>
      <c r="J379" s="126"/>
      <c r="K379" s="127"/>
      <c r="L379" s="128"/>
      <c r="M379" s="129"/>
      <c r="N379" s="130"/>
      <c r="O379" s="118"/>
      <c r="P379" s="118"/>
      <c r="Q379" s="131"/>
    </row>
    <row r="380" ht="22.5" customHeight="1">
      <c r="A380" s="118"/>
      <c r="B380" s="119"/>
      <c r="C380" s="120"/>
      <c r="D380" s="121"/>
      <c r="E380" s="121"/>
      <c r="F380" s="122"/>
      <c r="G380" s="123"/>
      <c r="H380" s="124"/>
      <c r="I380" s="125"/>
      <c r="J380" s="126"/>
      <c r="K380" s="127"/>
      <c r="L380" s="128"/>
      <c r="M380" s="129"/>
      <c r="N380" s="130"/>
      <c r="O380" s="118"/>
      <c r="P380" s="118"/>
      <c r="Q380" s="131"/>
    </row>
    <row r="381" ht="22.5" customHeight="1">
      <c r="A381" s="118"/>
      <c r="B381" s="119"/>
      <c r="C381" s="120"/>
      <c r="D381" s="121"/>
      <c r="E381" s="121"/>
      <c r="F381" s="122"/>
      <c r="G381" s="123"/>
      <c r="H381" s="124"/>
      <c r="I381" s="125"/>
      <c r="J381" s="126"/>
      <c r="K381" s="127"/>
      <c r="L381" s="128"/>
      <c r="M381" s="129"/>
      <c r="N381" s="130"/>
      <c r="O381" s="118"/>
      <c r="P381" s="118"/>
      <c r="Q381" s="131"/>
    </row>
    <row r="382" ht="22.5" customHeight="1">
      <c r="A382" s="118"/>
      <c r="B382" s="119"/>
      <c r="C382" s="120"/>
      <c r="D382" s="121"/>
      <c r="E382" s="121"/>
      <c r="F382" s="122"/>
      <c r="G382" s="123"/>
      <c r="H382" s="124"/>
      <c r="I382" s="125"/>
      <c r="J382" s="126"/>
      <c r="K382" s="127"/>
      <c r="L382" s="128"/>
      <c r="M382" s="129"/>
      <c r="N382" s="130"/>
      <c r="O382" s="118"/>
      <c r="P382" s="118"/>
      <c r="Q382" s="131"/>
    </row>
    <row r="383" ht="22.5" customHeight="1">
      <c r="A383" s="118"/>
      <c r="B383" s="119"/>
      <c r="C383" s="120"/>
      <c r="D383" s="121"/>
      <c r="E383" s="121"/>
      <c r="F383" s="122"/>
      <c r="G383" s="123"/>
      <c r="H383" s="124"/>
      <c r="I383" s="125"/>
      <c r="J383" s="126"/>
      <c r="K383" s="127"/>
      <c r="L383" s="128"/>
      <c r="M383" s="129"/>
      <c r="N383" s="130"/>
      <c r="O383" s="118"/>
      <c r="P383" s="118"/>
      <c r="Q383" s="131"/>
    </row>
    <row r="384" ht="22.5" customHeight="1">
      <c r="A384" s="118"/>
      <c r="B384" s="119"/>
      <c r="C384" s="120"/>
      <c r="D384" s="121"/>
      <c r="E384" s="121"/>
      <c r="F384" s="122"/>
      <c r="G384" s="123"/>
      <c r="H384" s="124"/>
      <c r="I384" s="125"/>
      <c r="J384" s="126"/>
      <c r="K384" s="127"/>
      <c r="L384" s="128"/>
      <c r="M384" s="129"/>
      <c r="N384" s="130"/>
      <c r="O384" s="118"/>
      <c r="P384" s="118"/>
      <c r="Q384" s="131"/>
    </row>
    <row r="385" ht="22.5" customHeight="1">
      <c r="A385" s="118"/>
      <c r="B385" s="119"/>
      <c r="C385" s="120"/>
      <c r="D385" s="121"/>
      <c r="E385" s="121"/>
      <c r="F385" s="122"/>
      <c r="G385" s="123"/>
      <c r="H385" s="124"/>
      <c r="I385" s="125"/>
      <c r="J385" s="126"/>
      <c r="K385" s="127"/>
      <c r="L385" s="128"/>
      <c r="M385" s="129"/>
      <c r="N385" s="130"/>
      <c r="O385" s="118"/>
      <c r="P385" s="118"/>
      <c r="Q385" s="131"/>
    </row>
    <row r="386" ht="22.5" customHeight="1">
      <c r="A386" s="118"/>
      <c r="B386" s="119"/>
      <c r="C386" s="120"/>
      <c r="D386" s="121"/>
      <c r="E386" s="121"/>
      <c r="F386" s="122"/>
      <c r="G386" s="123"/>
      <c r="H386" s="124"/>
      <c r="I386" s="125"/>
      <c r="J386" s="126"/>
      <c r="K386" s="127"/>
      <c r="L386" s="128"/>
      <c r="M386" s="129"/>
      <c r="N386" s="130"/>
      <c r="O386" s="118"/>
      <c r="P386" s="118"/>
      <c r="Q386" s="131"/>
    </row>
    <row r="387" ht="22.5" customHeight="1">
      <c r="A387" s="118"/>
      <c r="B387" s="119"/>
      <c r="C387" s="120"/>
      <c r="D387" s="121"/>
      <c r="E387" s="121"/>
      <c r="F387" s="122"/>
      <c r="G387" s="123"/>
      <c r="H387" s="124"/>
      <c r="I387" s="125"/>
      <c r="J387" s="126"/>
      <c r="K387" s="127"/>
      <c r="L387" s="128"/>
      <c r="M387" s="129"/>
      <c r="N387" s="130"/>
      <c r="O387" s="118"/>
      <c r="P387" s="118"/>
      <c r="Q387" s="131"/>
    </row>
    <row r="388" ht="22.5" customHeight="1">
      <c r="A388" s="118"/>
      <c r="B388" s="119"/>
      <c r="C388" s="120"/>
      <c r="D388" s="121"/>
      <c r="E388" s="121"/>
      <c r="F388" s="122"/>
      <c r="G388" s="123"/>
      <c r="H388" s="124"/>
      <c r="I388" s="125"/>
      <c r="J388" s="126"/>
      <c r="K388" s="127"/>
      <c r="L388" s="128"/>
      <c r="M388" s="129"/>
      <c r="N388" s="130"/>
      <c r="O388" s="118"/>
      <c r="P388" s="118"/>
      <c r="Q388" s="131"/>
    </row>
    <row r="389" ht="22.5" customHeight="1">
      <c r="A389" s="118"/>
      <c r="B389" s="119"/>
      <c r="C389" s="120"/>
      <c r="D389" s="121"/>
      <c r="E389" s="121"/>
      <c r="F389" s="122"/>
      <c r="G389" s="123"/>
      <c r="H389" s="124"/>
      <c r="I389" s="125"/>
      <c r="J389" s="126"/>
      <c r="K389" s="127"/>
      <c r="L389" s="128"/>
      <c r="M389" s="129"/>
      <c r="N389" s="130"/>
      <c r="O389" s="118"/>
      <c r="P389" s="118"/>
      <c r="Q389" s="131"/>
    </row>
    <row r="390" ht="22.5" customHeight="1">
      <c r="A390" s="118"/>
      <c r="B390" s="119"/>
      <c r="C390" s="120"/>
      <c r="D390" s="121"/>
      <c r="E390" s="121"/>
      <c r="F390" s="122"/>
      <c r="G390" s="123"/>
      <c r="H390" s="124"/>
      <c r="I390" s="125"/>
      <c r="J390" s="126"/>
      <c r="K390" s="127"/>
      <c r="L390" s="128"/>
      <c r="M390" s="129"/>
      <c r="N390" s="130"/>
      <c r="O390" s="118"/>
      <c r="P390" s="118"/>
      <c r="Q390" s="131"/>
    </row>
    <row r="391" ht="22.5" customHeight="1">
      <c r="A391" s="118"/>
      <c r="B391" s="119"/>
      <c r="C391" s="120"/>
      <c r="D391" s="121"/>
      <c r="E391" s="121"/>
      <c r="F391" s="122"/>
      <c r="G391" s="123"/>
      <c r="H391" s="124"/>
      <c r="I391" s="125"/>
      <c r="J391" s="126"/>
      <c r="K391" s="127"/>
      <c r="L391" s="128"/>
      <c r="M391" s="129"/>
      <c r="N391" s="130"/>
      <c r="O391" s="118"/>
      <c r="P391" s="118"/>
      <c r="Q391" s="131"/>
    </row>
    <row r="392" ht="22.5" customHeight="1">
      <c r="A392" s="118"/>
      <c r="B392" s="119"/>
      <c r="C392" s="120"/>
      <c r="D392" s="121"/>
      <c r="E392" s="121"/>
      <c r="F392" s="122"/>
      <c r="G392" s="123"/>
      <c r="H392" s="124"/>
      <c r="I392" s="125"/>
      <c r="J392" s="126"/>
      <c r="K392" s="127"/>
      <c r="L392" s="128"/>
      <c r="M392" s="129"/>
      <c r="N392" s="130"/>
      <c r="O392" s="118"/>
      <c r="P392" s="118"/>
      <c r="Q392" s="131"/>
    </row>
    <row r="393" ht="22.5" customHeight="1">
      <c r="A393" s="118"/>
      <c r="B393" s="119"/>
      <c r="C393" s="120"/>
      <c r="D393" s="121"/>
      <c r="E393" s="121"/>
      <c r="F393" s="122"/>
      <c r="G393" s="123"/>
      <c r="H393" s="124"/>
      <c r="I393" s="125"/>
      <c r="J393" s="126"/>
      <c r="K393" s="127"/>
      <c r="L393" s="128"/>
      <c r="M393" s="129"/>
      <c r="N393" s="130"/>
      <c r="O393" s="118"/>
      <c r="P393" s="118"/>
      <c r="Q393" s="131"/>
    </row>
    <row r="394" ht="22.5" customHeight="1">
      <c r="A394" s="118"/>
      <c r="B394" s="119"/>
      <c r="C394" s="120"/>
      <c r="D394" s="121"/>
      <c r="E394" s="121"/>
      <c r="F394" s="122"/>
      <c r="G394" s="123"/>
      <c r="H394" s="124"/>
      <c r="I394" s="125"/>
      <c r="J394" s="126"/>
      <c r="K394" s="127"/>
      <c r="L394" s="128"/>
      <c r="M394" s="129"/>
      <c r="N394" s="130"/>
      <c r="O394" s="118"/>
      <c r="P394" s="118"/>
      <c r="Q394" s="131"/>
    </row>
    <row r="395" ht="22.5" customHeight="1">
      <c r="A395" s="118"/>
      <c r="B395" s="119"/>
      <c r="C395" s="120"/>
      <c r="D395" s="121"/>
      <c r="E395" s="121"/>
      <c r="F395" s="122"/>
      <c r="G395" s="123"/>
      <c r="H395" s="124"/>
      <c r="I395" s="125"/>
      <c r="J395" s="126"/>
      <c r="K395" s="127"/>
      <c r="L395" s="128"/>
      <c r="M395" s="129"/>
      <c r="N395" s="130"/>
      <c r="O395" s="118"/>
      <c r="P395" s="118"/>
      <c r="Q395" s="131"/>
    </row>
    <row r="396" ht="22.5" customHeight="1">
      <c r="A396" s="118"/>
      <c r="B396" s="119"/>
      <c r="C396" s="120"/>
      <c r="D396" s="121"/>
      <c r="E396" s="121"/>
      <c r="F396" s="122"/>
      <c r="G396" s="123"/>
      <c r="H396" s="124"/>
      <c r="I396" s="125"/>
      <c r="J396" s="126"/>
      <c r="K396" s="127"/>
      <c r="L396" s="128"/>
      <c r="M396" s="129"/>
      <c r="N396" s="130"/>
      <c r="O396" s="118"/>
      <c r="P396" s="118"/>
      <c r="Q396" s="131"/>
    </row>
    <row r="397" ht="22.5" customHeight="1">
      <c r="A397" s="118"/>
      <c r="B397" s="119"/>
      <c r="C397" s="120"/>
      <c r="D397" s="121"/>
      <c r="E397" s="121"/>
      <c r="F397" s="122"/>
      <c r="G397" s="123"/>
      <c r="H397" s="124"/>
      <c r="I397" s="125"/>
      <c r="J397" s="126"/>
      <c r="K397" s="127"/>
      <c r="L397" s="128"/>
      <c r="M397" s="129"/>
      <c r="N397" s="130"/>
      <c r="O397" s="118"/>
      <c r="P397" s="118"/>
      <c r="Q397" s="131"/>
    </row>
    <row r="398" ht="22.5" customHeight="1">
      <c r="A398" s="118"/>
      <c r="B398" s="119"/>
      <c r="C398" s="120"/>
      <c r="D398" s="121"/>
      <c r="E398" s="121"/>
      <c r="F398" s="122"/>
      <c r="G398" s="123"/>
      <c r="H398" s="124"/>
      <c r="I398" s="125"/>
      <c r="J398" s="126"/>
      <c r="K398" s="127"/>
      <c r="L398" s="128"/>
      <c r="M398" s="129"/>
      <c r="N398" s="130"/>
      <c r="O398" s="118"/>
      <c r="P398" s="118"/>
      <c r="Q398" s="131"/>
    </row>
    <row r="399" ht="22.5" customHeight="1">
      <c r="A399" s="118"/>
      <c r="B399" s="119"/>
      <c r="C399" s="120"/>
      <c r="D399" s="121"/>
      <c r="E399" s="121"/>
      <c r="F399" s="122"/>
      <c r="G399" s="123"/>
      <c r="H399" s="124"/>
      <c r="I399" s="125"/>
      <c r="J399" s="126"/>
      <c r="K399" s="127"/>
      <c r="L399" s="128"/>
      <c r="M399" s="129"/>
      <c r="N399" s="130"/>
      <c r="O399" s="118"/>
      <c r="P399" s="118"/>
      <c r="Q399" s="131"/>
    </row>
    <row r="400" ht="22.5" customHeight="1">
      <c r="A400" s="118"/>
      <c r="B400" s="119"/>
      <c r="C400" s="120"/>
      <c r="D400" s="121"/>
      <c r="E400" s="121"/>
      <c r="F400" s="122"/>
      <c r="G400" s="123"/>
      <c r="H400" s="124"/>
      <c r="I400" s="125"/>
      <c r="J400" s="126"/>
      <c r="K400" s="127"/>
      <c r="L400" s="128"/>
      <c r="M400" s="129"/>
      <c r="N400" s="130"/>
      <c r="O400" s="118"/>
      <c r="P400" s="118"/>
      <c r="Q400" s="131"/>
    </row>
    <row r="401" ht="22.5" customHeight="1">
      <c r="A401" s="118"/>
      <c r="B401" s="119"/>
      <c r="C401" s="120"/>
      <c r="D401" s="121"/>
      <c r="E401" s="121"/>
      <c r="F401" s="122"/>
      <c r="G401" s="123"/>
      <c r="H401" s="124"/>
      <c r="I401" s="125"/>
      <c r="J401" s="126"/>
      <c r="K401" s="127"/>
      <c r="L401" s="128"/>
      <c r="M401" s="129"/>
      <c r="N401" s="130"/>
      <c r="O401" s="118"/>
      <c r="P401" s="118"/>
      <c r="Q401" s="131"/>
    </row>
    <row r="402" ht="22.5" customHeight="1">
      <c r="A402" s="118"/>
      <c r="B402" s="119"/>
      <c r="C402" s="120"/>
      <c r="D402" s="121"/>
      <c r="E402" s="121"/>
      <c r="F402" s="122"/>
      <c r="G402" s="123"/>
      <c r="H402" s="124"/>
      <c r="I402" s="125"/>
      <c r="J402" s="126"/>
      <c r="K402" s="127"/>
      <c r="L402" s="128"/>
      <c r="M402" s="129"/>
      <c r="N402" s="130"/>
      <c r="O402" s="118"/>
      <c r="P402" s="118"/>
      <c r="Q402" s="131"/>
    </row>
    <row r="403" ht="22.5" customHeight="1">
      <c r="A403" s="118"/>
      <c r="B403" s="119"/>
      <c r="C403" s="120"/>
      <c r="D403" s="121"/>
      <c r="E403" s="121"/>
      <c r="F403" s="122"/>
      <c r="G403" s="123"/>
      <c r="H403" s="124"/>
      <c r="I403" s="125"/>
      <c r="J403" s="126"/>
      <c r="K403" s="127"/>
      <c r="L403" s="128"/>
      <c r="M403" s="129"/>
      <c r="N403" s="130"/>
      <c r="O403" s="118"/>
      <c r="P403" s="118"/>
      <c r="Q403" s="131"/>
    </row>
    <row r="404" ht="22.5" customHeight="1">
      <c r="A404" s="118"/>
      <c r="B404" s="119"/>
      <c r="C404" s="120"/>
      <c r="D404" s="121"/>
      <c r="E404" s="121"/>
      <c r="F404" s="122"/>
      <c r="G404" s="123"/>
      <c r="H404" s="124"/>
      <c r="I404" s="125"/>
      <c r="J404" s="126"/>
      <c r="K404" s="127"/>
      <c r="L404" s="128"/>
      <c r="M404" s="129"/>
      <c r="N404" s="130"/>
      <c r="O404" s="118"/>
      <c r="P404" s="118"/>
      <c r="Q404" s="131"/>
    </row>
    <row r="405" ht="22.5" customHeight="1">
      <c r="A405" s="118"/>
      <c r="B405" s="119"/>
      <c r="C405" s="120"/>
      <c r="D405" s="121"/>
      <c r="E405" s="121"/>
      <c r="F405" s="122"/>
      <c r="G405" s="123"/>
      <c r="H405" s="124"/>
      <c r="I405" s="125"/>
      <c r="J405" s="126"/>
      <c r="K405" s="127"/>
      <c r="L405" s="128"/>
      <c r="M405" s="129"/>
      <c r="N405" s="130"/>
      <c r="O405" s="118"/>
      <c r="P405" s="118"/>
      <c r="Q405" s="131"/>
    </row>
    <row r="406" ht="22.5" customHeight="1">
      <c r="A406" s="118"/>
      <c r="B406" s="119"/>
      <c r="C406" s="120"/>
      <c r="D406" s="121"/>
      <c r="E406" s="121"/>
      <c r="F406" s="122"/>
      <c r="G406" s="123"/>
      <c r="H406" s="124"/>
      <c r="I406" s="125"/>
      <c r="J406" s="126"/>
      <c r="K406" s="127"/>
      <c r="L406" s="128"/>
      <c r="M406" s="129"/>
      <c r="N406" s="130"/>
      <c r="O406" s="118"/>
      <c r="P406" s="118"/>
      <c r="Q406" s="131"/>
    </row>
    <row r="407" ht="22.5" customHeight="1">
      <c r="A407" s="118"/>
      <c r="B407" s="119"/>
      <c r="C407" s="120"/>
      <c r="D407" s="121"/>
      <c r="E407" s="121"/>
      <c r="F407" s="122"/>
      <c r="G407" s="123"/>
      <c r="H407" s="124"/>
      <c r="I407" s="125"/>
      <c r="J407" s="126"/>
      <c r="K407" s="127"/>
      <c r="L407" s="128"/>
      <c r="M407" s="129"/>
      <c r="N407" s="130"/>
      <c r="O407" s="118"/>
      <c r="P407" s="118"/>
      <c r="Q407" s="131"/>
    </row>
    <row r="408" ht="22.5" customHeight="1">
      <c r="A408" s="118"/>
      <c r="B408" s="119"/>
      <c r="C408" s="120"/>
      <c r="D408" s="121"/>
      <c r="E408" s="121"/>
      <c r="F408" s="122"/>
      <c r="G408" s="123"/>
      <c r="H408" s="124"/>
      <c r="I408" s="125"/>
      <c r="J408" s="126"/>
      <c r="K408" s="127"/>
      <c r="L408" s="128"/>
      <c r="M408" s="129"/>
      <c r="N408" s="130"/>
      <c r="O408" s="118"/>
      <c r="P408" s="118"/>
      <c r="Q408" s="131"/>
    </row>
    <row r="409" ht="22.5" customHeight="1">
      <c r="A409" s="118"/>
      <c r="B409" s="119"/>
      <c r="C409" s="120"/>
      <c r="D409" s="121"/>
      <c r="E409" s="121"/>
      <c r="F409" s="122"/>
      <c r="G409" s="123"/>
      <c r="H409" s="124"/>
      <c r="I409" s="125"/>
      <c r="J409" s="126"/>
      <c r="K409" s="127"/>
      <c r="L409" s="128"/>
      <c r="M409" s="129"/>
      <c r="N409" s="130"/>
      <c r="O409" s="118"/>
      <c r="P409" s="118"/>
      <c r="Q409" s="131"/>
    </row>
    <row r="410" ht="22.5" customHeight="1">
      <c r="A410" s="118"/>
      <c r="B410" s="119"/>
      <c r="C410" s="120"/>
      <c r="D410" s="121"/>
      <c r="E410" s="121"/>
      <c r="F410" s="122"/>
      <c r="G410" s="123"/>
      <c r="H410" s="124"/>
      <c r="I410" s="125"/>
      <c r="J410" s="126"/>
      <c r="K410" s="127"/>
      <c r="L410" s="128"/>
      <c r="M410" s="129"/>
      <c r="N410" s="130"/>
      <c r="O410" s="118"/>
      <c r="P410" s="118"/>
      <c r="Q410" s="131"/>
    </row>
    <row r="411" ht="22.5" customHeight="1">
      <c r="A411" s="118"/>
      <c r="B411" s="119"/>
      <c r="C411" s="120"/>
      <c r="D411" s="121"/>
      <c r="E411" s="121"/>
      <c r="F411" s="122"/>
      <c r="G411" s="123"/>
      <c r="H411" s="124"/>
      <c r="I411" s="125"/>
      <c r="J411" s="126"/>
      <c r="K411" s="127"/>
      <c r="L411" s="128"/>
      <c r="M411" s="129"/>
      <c r="N411" s="130"/>
      <c r="O411" s="118"/>
      <c r="P411" s="118"/>
      <c r="Q411" s="131"/>
    </row>
    <row r="412" ht="22.5" customHeight="1">
      <c r="A412" s="118"/>
      <c r="B412" s="119"/>
      <c r="C412" s="120"/>
      <c r="D412" s="121"/>
      <c r="E412" s="121"/>
      <c r="F412" s="122"/>
      <c r="G412" s="123"/>
      <c r="H412" s="124"/>
      <c r="I412" s="125"/>
      <c r="J412" s="126"/>
      <c r="K412" s="127"/>
      <c r="L412" s="128"/>
      <c r="M412" s="129"/>
      <c r="N412" s="130"/>
      <c r="O412" s="118"/>
      <c r="P412" s="118"/>
      <c r="Q412" s="131"/>
    </row>
    <row r="413" ht="22.5" customHeight="1">
      <c r="A413" s="118"/>
      <c r="B413" s="119"/>
      <c r="C413" s="120"/>
      <c r="D413" s="121"/>
      <c r="E413" s="121"/>
      <c r="F413" s="122"/>
      <c r="G413" s="123"/>
      <c r="H413" s="124"/>
      <c r="I413" s="125"/>
      <c r="J413" s="126"/>
      <c r="K413" s="127"/>
      <c r="L413" s="128"/>
      <c r="M413" s="129"/>
      <c r="N413" s="130"/>
      <c r="O413" s="118"/>
      <c r="P413" s="118"/>
      <c r="Q413" s="131"/>
    </row>
    <row r="414" ht="22.5" customHeight="1">
      <c r="A414" s="118"/>
      <c r="B414" s="119"/>
      <c r="C414" s="120"/>
      <c r="D414" s="121"/>
      <c r="E414" s="121"/>
      <c r="F414" s="122"/>
      <c r="G414" s="123"/>
      <c r="H414" s="124"/>
      <c r="I414" s="125"/>
      <c r="J414" s="126"/>
      <c r="K414" s="127"/>
      <c r="L414" s="128"/>
      <c r="M414" s="129"/>
      <c r="N414" s="130"/>
      <c r="O414" s="118"/>
      <c r="P414" s="118"/>
      <c r="Q414" s="131"/>
    </row>
    <row r="415" ht="22.5" customHeight="1">
      <c r="A415" s="118"/>
      <c r="B415" s="119"/>
      <c r="C415" s="120"/>
      <c r="D415" s="121"/>
      <c r="E415" s="121"/>
      <c r="F415" s="122"/>
      <c r="G415" s="123"/>
      <c r="H415" s="124"/>
      <c r="I415" s="125"/>
      <c r="J415" s="126"/>
      <c r="K415" s="127"/>
      <c r="L415" s="128"/>
      <c r="M415" s="129"/>
      <c r="N415" s="130"/>
      <c r="O415" s="118"/>
      <c r="P415" s="118"/>
      <c r="Q415" s="131"/>
    </row>
    <row r="416" ht="22.5" customHeight="1">
      <c r="A416" s="118"/>
      <c r="B416" s="119"/>
      <c r="C416" s="120"/>
      <c r="D416" s="121"/>
      <c r="E416" s="121"/>
      <c r="F416" s="122"/>
      <c r="G416" s="123"/>
      <c r="H416" s="124"/>
      <c r="I416" s="125"/>
      <c r="J416" s="126"/>
      <c r="K416" s="127"/>
      <c r="L416" s="128"/>
      <c r="M416" s="129"/>
      <c r="N416" s="130"/>
      <c r="O416" s="118"/>
      <c r="P416" s="118"/>
      <c r="Q416" s="131"/>
    </row>
    <row r="417" ht="22.5" customHeight="1">
      <c r="A417" s="118"/>
      <c r="B417" s="119"/>
      <c r="C417" s="120"/>
      <c r="D417" s="121"/>
      <c r="E417" s="121"/>
      <c r="F417" s="122"/>
      <c r="G417" s="123"/>
      <c r="H417" s="124"/>
      <c r="I417" s="125"/>
      <c r="J417" s="126"/>
      <c r="K417" s="127"/>
      <c r="L417" s="128"/>
      <c r="M417" s="129"/>
      <c r="N417" s="130"/>
      <c r="O417" s="118"/>
      <c r="P417" s="118"/>
      <c r="Q417" s="131"/>
    </row>
    <row r="418" ht="22.5" customHeight="1">
      <c r="A418" s="118"/>
      <c r="B418" s="119"/>
      <c r="C418" s="120"/>
      <c r="D418" s="121"/>
      <c r="E418" s="121"/>
      <c r="F418" s="122"/>
      <c r="G418" s="123"/>
      <c r="H418" s="124"/>
      <c r="I418" s="125"/>
      <c r="J418" s="126"/>
      <c r="K418" s="127"/>
      <c r="L418" s="128"/>
      <c r="M418" s="129"/>
      <c r="N418" s="130"/>
      <c r="O418" s="118"/>
      <c r="P418" s="118"/>
      <c r="Q418" s="131"/>
    </row>
    <row r="419" ht="22.5" customHeight="1">
      <c r="A419" s="118"/>
      <c r="B419" s="119"/>
      <c r="C419" s="120"/>
      <c r="D419" s="121"/>
      <c r="E419" s="121"/>
      <c r="F419" s="122"/>
      <c r="G419" s="123"/>
      <c r="H419" s="124"/>
      <c r="I419" s="125"/>
      <c r="J419" s="126"/>
      <c r="K419" s="127"/>
      <c r="L419" s="128"/>
      <c r="M419" s="129"/>
      <c r="N419" s="130"/>
      <c r="O419" s="118"/>
      <c r="P419" s="118"/>
      <c r="Q419" s="131"/>
    </row>
    <row r="420" ht="22.5" customHeight="1">
      <c r="A420" s="118"/>
      <c r="B420" s="119"/>
      <c r="C420" s="120"/>
      <c r="D420" s="121"/>
      <c r="E420" s="121"/>
      <c r="F420" s="122"/>
      <c r="G420" s="123"/>
      <c r="H420" s="124"/>
      <c r="I420" s="125"/>
      <c r="J420" s="126"/>
      <c r="K420" s="127"/>
      <c r="L420" s="128"/>
      <c r="M420" s="129"/>
      <c r="N420" s="130"/>
      <c r="O420" s="118"/>
      <c r="P420" s="118"/>
      <c r="Q420" s="131"/>
    </row>
    <row r="421" ht="22.5" customHeight="1">
      <c r="A421" s="118"/>
      <c r="B421" s="119"/>
      <c r="C421" s="120"/>
      <c r="D421" s="121"/>
      <c r="E421" s="121"/>
      <c r="F421" s="122"/>
      <c r="G421" s="123"/>
      <c r="H421" s="124"/>
      <c r="I421" s="125"/>
      <c r="J421" s="126"/>
      <c r="K421" s="127"/>
      <c r="L421" s="128"/>
      <c r="M421" s="129"/>
      <c r="N421" s="130"/>
      <c r="O421" s="118"/>
      <c r="P421" s="118"/>
      <c r="Q421" s="131"/>
    </row>
    <row r="422" ht="22.5" customHeight="1">
      <c r="A422" s="118"/>
      <c r="B422" s="119"/>
      <c r="C422" s="120"/>
      <c r="D422" s="121"/>
      <c r="E422" s="121"/>
      <c r="F422" s="122"/>
      <c r="G422" s="123"/>
      <c r="H422" s="124"/>
      <c r="I422" s="125"/>
      <c r="J422" s="126"/>
      <c r="K422" s="127"/>
      <c r="L422" s="128"/>
      <c r="M422" s="129"/>
      <c r="N422" s="130"/>
      <c r="O422" s="118"/>
      <c r="P422" s="118"/>
      <c r="Q422" s="131"/>
    </row>
    <row r="423" ht="22.5" customHeight="1">
      <c r="A423" s="118"/>
      <c r="B423" s="119"/>
      <c r="C423" s="120"/>
      <c r="D423" s="121"/>
      <c r="E423" s="121"/>
      <c r="F423" s="122"/>
      <c r="G423" s="123"/>
      <c r="H423" s="124"/>
      <c r="I423" s="125"/>
      <c r="J423" s="126"/>
      <c r="K423" s="127"/>
      <c r="L423" s="128"/>
      <c r="M423" s="129"/>
      <c r="N423" s="130"/>
      <c r="O423" s="118"/>
      <c r="P423" s="118"/>
      <c r="Q423" s="131"/>
    </row>
    <row r="424" ht="22.5" customHeight="1">
      <c r="A424" s="118"/>
      <c r="B424" s="119"/>
      <c r="C424" s="120"/>
      <c r="D424" s="121"/>
      <c r="E424" s="121"/>
      <c r="F424" s="122"/>
      <c r="G424" s="123"/>
      <c r="H424" s="124"/>
      <c r="I424" s="125"/>
      <c r="J424" s="126"/>
      <c r="K424" s="127"/>
      <c r="L424" s="128"/>
      <c r="M424" s="129"/>
      <c r="N424" s="130"/>
      <c r="O424" s="118"/>
      <c r="P424" s="118"/>
      <c r="Q424" s="131"/>
    </row>
    <row r="425" ht="22.5" customHeight="1">
      <c r="A425" s="118"/>
      <c r="B425" s="119"/>
      <c r="C425" s="120"/>
      <c r="D425" s="121"/>
      <c r="E425" s="121"/>
      <c r="F425" s="122"/>
      <c r="G425" s="123"/>
      <c r="H425" s="124"/>
      <c r="I425" s="125"/>
      <c r="J425" s="126"/>
      <c r="K425" s="127"/>
      <c r="L425" s="128"/>
      <c r="M425" s="129"/>
      <c r="N425" s="130"/>
      <c r="O425" s="118"/>
      <c r="P425" s="118"/>
      <c r="Q425" s="131"/>
    </row>
    <row r="426" ht="22.5" customHeight="1">
      <c r="A426" s="118"/>
      <c r="B426" s="119"/>
      <c r="C426" s="120"/>
      <c r="D426" s="121"/>
      <c r="E426" s="121"/>
      <c r="F426" s="122"/>
      <c r="G426" s="123"/>
      <c r="H426" s="124"/>
      <c r="I426" s="125"/>
      <c r="J426" s="126"/>
      <c r="K426" s="127"/>
      <c r="L426" s="128"/>
      <c r="M426" s="129"/>
      <c r="N426" s="130"/>
      <c r="O426" s="118"/>
      <c r="P426" s="118"/>
      <c r="Q426" s="131"/>
    </row>
    <row r="427" ht="22.5" customHeight="1">
      <c r="A427" s="118"/>
      <c r="B427" s="119"/>
      <c r="C427" s="120"/>
      <c r="D427" s="121"/>
      <c r="E427" s="121"/>
      <c r="F427" s="122"/>
      <c r="G427" s="123"/>
      <c r="H427" s="124"/>
      <c r="I427" s="125"/>
      <c r="J427" s="126"/>
      <c r="K427" s="127"/>
      <c r="L427" s="128"/>
      <c r="M427" s="129"/>
      <c r="N427" s="130"/>
      <c r="O427" s="118"/>
      <c r="P427" s="118"/>
      <c r="Q427" s="131"/>
    </row>
    <row r="428" ht="22.5" customHeight="1">
      <c r="A428" s="118"/>
      <c r="B428" s="119"/>
      <c r="C428" s="120"/>
      <c r="D428" s="121"/>
      <c r="E428" s="121"/>
      <c r="F428" s="122"/>
      <c r="G428" s="123"/>
      <c r="H428" s="124"/>
      <c r="I428" s="125"/>
      <c r="J428" s="126"/>
      <c r="K428" s="127"/>
      <c r="L428" s="128"/>
      <c r="M428" s="129"/>
      <c r="N428" s="130"/>
      <c r="O428" s="118"/>
      <c r="P428" s="118"/>
      <c r="Q428" s="131"/>
    </row>
    <row r="429" ht="22.5" customHeight="1">
      <c r="A429" s="118"/>
      <c r="B429" s="119"/>
      <c r="C429" s="120"/>
      <c r="D429" s="121"/>
      <c r="E429" s="121"/>
      <c r="F429" s="122"/>
      <c r="G429" s="123"/>
      <c r="H429" s="124"/>
      <c r="I429" s="125"/>
      <c r="J429" s="126"/>
      <c r="K429" s="127"/>
      <c r="L429" s="128"/>
      <c r="M429" s="129"/>
      <c r="N429" s="130"/>
      <c r="O429" s="118"/>
      <c r="P429" s="118"/>
      <c r="Q429" s="131"/>
    </row>
    <row r="430" ht="22.5" customHeight="1">
      <c r="A430" s="118"/>
      <c r="B430" s="119"/>
      <c r="C430" s="120"/>
      <c r="D430" s="121"/>
      <c r="E430" s="121"/>
      <c r="F430" s="122"/>
      <c r="G430" s="123"/>
      <c r="H430" s="124"/>
      <c r="I430" s="125"/>
      <c r="J430" s="126"/>
      <c r="K430" s="127"/>
      <c r="L430" s="128"/>
      <c r="M430" s="129"/>
      <c r="N430" s="130"/>
      <c r="O430" s="118"/>
      <c r="P430" s="118"/>
      <c r="Q430" s="131"/>
    </row>
    <row r="431" ht="22.5" customHeight="1">
      <c r="A431" s="118"/>
      <c r="B431" s="119"/>
      <c r="C431" s="120"/>
      <c r="D431" s="121"/>
      <c r="E431" s="121"/>
      <c r="F431" s="122"/>
      <c r="G431" s="123"/>
      <c r="H431" s="124"/>
      <c r="I431" s="125"/>
      <c r="J431" s="126"/>
      <c r="K431" s="127"/>
      <c r="L431" s="128"/>
      <c r="M431" s="129"/>
      <c r="N431" s="130"/>
      <c r="O431" s="118"/>
      <c r="P431" s="118"/>
      <c r="Q431" s="131"/>
    </row>
    <row r="432" ht="22.5" customHeight="1">
      <c r="A432" s="118"/>
      <c r="B432" s="119"/>
      <c r="C432" s="120"/>
      <c r="D432" s="121"/>
      <c r="E432" s="121"/>
      <c r="F432" s="122"/>
      <c r="G432" s="123"/>
      <c r="H432" s="124"/>
      <c r="I432" s="125"/>
      <c r="J432" s="126"/>
      <c r="K432" s="127"/>
      <c r="L432" s="128"/>
      <c r="M432" s="129"/>
      <c r="N432" s="130"/>
      <c r="O432" s="118"/>
      <c r="P432" s="118"/>
      <c r="Q432" s="131"/>
    </row>
    <row r="433" ht="22.5" customHeight="1">
      <c r="A433" s="118"/>
      <c r="B433" s="119"/>
      <c r="C433" s="120"/>
      <c r="D433" s="121"/>
      <c r="E433" s="121"/>
      <c r="F433" s="122"/>
      <c r="G433" s="123"/>
      <c r="H433" s="124"/>
      <c r="I433" s="125"/>
      <c r="J433" s="126"/>
      <c r="K433" s="127"/>
      <c r="L433" s="128"/>
      <c r="M433" s="129"/>
      <c r="N433" s="130"/>
      <c r="O433" s="118"/>
      <c r="P433" s="118"/>
      <c r="Q433" s="131"/>
    </row>
    <row r="434" ht="22.5" customHeight="1">
      <c r="A434" s="118"/>
      <c r="B434" s="119"/>
      <c r="C434" s="120"/>
      <c r="D434" s="121"/>
      <c r="E434" s="121"/>
      <c r="F434" s="122"/>
      <c r="G434" s="123"/>
      <c r="H434" s="124"/>
      <c r="I434" s="125"/>
      <c r="J434" s="126"/>
      <c r="K434" s="127"/>
      <c r="L434" s="128"/>
      <c r="M434" s="129"/>
      <c r="N434" s="130"/>
      <c r="O434" s="118"/>
      <c r="P434" s="118"/>
      <c r="Q434" s="131"/>
    </row>
    <row r="435" ht="22.5" customHeight="1">
      <c r="A435" s="118"/>
      <c r="B435" s="119"/>
      <c r="C435" s="120"/>
      <c r="D435" s="121"/>
      <c r="E435" s="121"/>
      <c r="F435" s="122"/>
      <c r="G435" s="123"/>
      <c r="H435" s="124"/>
      <c r="I435" s="125"/>
      <c r="J435" s="126"/>
      <c r="K435" s="127"/>
      <c r="L435" s="128"/>
      <c r="M435" s="129"/>
      <c r="N435" s="130"/>
      <c r="O435" s="118"/>
      <c r="P435" s="118"/>
      <c r="Q435" s="131"/>
    </row>
    <row r="436" ht="22.5" customHeight="1">
      <c r="A436" s="118"/>
      <c r="B436" s="119"/>
      <c r="C436" s="120"/>
      <c r="D436" s="121"/>
      <c r="E436" s="121"/>
      <c r="F436" s="122"/>
      <c r="G436" s="123"/>
      <c r="H436" s="124"/>
      <c r="I436" s="125"/>
      <c r="J436" s="126"/>
      <c r="K436" s="127"/>
      <c r="L436" s="128"/>
      <c r="M436" s="129"/>
      <c r="N436" s="130"/>
      <c r="O436" s="118"/>
      <c r="P436" s="118"/>
      <c r="Q436" s="131"/>
    </row>
    <row r="437" ht="22.5" customHeight="1">
      <c r="A437" s="118"/>
      <c r="B437" s="119"/>
      <c r="C437" s="120"/>
      <c r="D437" s="121"/>
      <c r="E437" s="121"/>
      <c r="F437" s="122"/>
      <c r="G437" s="123"/>
      <c r="H437" s="124"/>
      <c r="I437" s="125"/>
      <c r="J437" s="126"/>
      <c r="K437" s="127"/>
      <c r="L437" s="128"/>
      <c r="M437" s="129"/>
      <c r="N437" s="130"/>
      <c r="O437" s="118"/>
      <c r="P437" s="118"/>
      <c r="Q437" s="131"/>
    </row>
    <row r="438" ht="22.5" customHeight="1">
      <c r="A438" s="118"/>
      <c r="B438" s="119"/>
      <c r="C438" s="120"/>
      <c r="D438" s="121"/>
      <c r="E438" s="121"/>
      <c r="F438" s="122"/>
      <c r="G438" s="123"/>
      <c r="H438" s="124"/>
      <c r="I438" s="125"/>
      <c r="J438" s="126"/>
      <c r="K438" s="127"/>
      <c r="L438" s="128"/>
      <c r="M438" s="129"/>
      <c r="N438" s="130"/>
      <c r="O438" s="118"/>
      <c r="P438" s="118"/>
      <c r="Q438" s="131"/>
    </row>
    <row r="439" ht="22.5" customHeight="1">
      <c r="A439" s="118"/>
      <c r="B439" s="119"/>
      <c r="C439" s="120"/>
      <c r="D439" s="121"/>
      <c r="E439" s="121"/>
      <c r="F439" s="122"/>
      <c r="G439" s="123"/>
      <c r="H439" s="124"/>
      <c r="I439" s="125"/>
      <c r="J439" s="126"/>
      <c r="K439" s="127"/>
      <c r="L439" s="128"/>
      <c r="M439" s="129"/>
      <c r="N439" s="130"/>
      <c r="O439" s="118"/>
      <c r="P439" s="118"/>
      <c r="Q439" s="131"/>
    </row>
    <row r="440" ht="22.5" customHeight="1">
      <c r="A440" s="118"/>
      <c r="B440" s="119"/>
      <c r="C440" s="120"/>
      <c r="D440" s="121"/>
      <c r="E440" s="121"/>
      <c r="F440" s="122"/>
      <c r="G440" s="123"/>
      <c r="H440" s="124"/>
      <c r="I440" s="125"/>
      <c r="J440" s="126"/>
      <c r="K440" s="127"/>
      <c r="L440" s="128"/>
      <c r="M440" s="129"/>
      <c r="N440" s="130"/>
      <c r="O440" s="118"/>
      <c r="P440" s="118"/>
      <c r="Q440" s="131"/>
    </row>
    <row r="441" ht="22.5" customHeight="1">
      <c r="A441" s="118"/>
      <c r="B441" s="119"/>
      <c r="C441" s="120"/>
      <c r="D441" s="121"/>
      <c r="E441" s="121"/>
      <c r="F441" s="122"/>
      <c r="G441" s="123"/>
      <c r="H441" s="124"/>
      <c r="I441" s="125"/>
      <c r="J441" s="126"/>
      <c r="K441" s="127"/>
      <c r="L441" s="128"/>
      <c r="M441" s="129"/>
      <c r="N441" s="130"/>
      <c r="O441" s="118"/>
      <c r="P441" s="118"/>
      <c r="Q441" s="131"/>
    </row>
    <row r="442" ht="22.5" customHeight="1">
      <c r="A442" s="118"/>
      <c r="B442" s="119"/>
      <c r="C442" s="120"/>
      <c r="D442" s="121"/>
      <c r="E442" s="121"/>
      <c r="F442" s="122"/>
      <c r="G442" s="123"/>
      <c r="H442" s="124"/>
      <c r="I442" s="125"/>
      <c r="J442" s="126"/>
      <c r="K442" s="127"/>
      <c r="L442" s="128"/>
      <c r="M442" s="129"/>
      <c r="N442" s="130"/>
      <c r="O442" s="118"/>
      <c r="P442" s="118"/>
      <c r="Q442" s="131"/>
    </row>
    <row r="443" ht="22.5" customHeight="1">
      <c r="A443" s="118"/>
      <c r="B443" s="119"/>
      <c r="C443" s="120"/>
      <c r="D443" s="121"/>
      <c r="E443" s="121"/>
      <c r="F443" s="122"/>
      <c r="G443" s="123"/>
      <c r="H443" s="124"/>
      <c r="I443" s="125"/>
      <c r="J443" s="126"/>
      <c r="K443" s="127"/>
      <c r="L443" s="128"/>
      <c r="M443" s="129"/>
      <c r="N443" s="130"/>
      <c r="O443" s="118"/>
      <c r="P443" s="118"/>
      <c r="Q443" s="131"/>
    </row>
    <row r="444" ht="22.5" customHeight="1">
      <c r="A444" s="118"/>
      <c r="B444" s="119"/>
      <c r="C444" s="120"/>
      <c r="D444" s="121"/>
      <c r="E444" s="121"/>
      <c r="F444" s="122"/>
      <c r="G444" s="123"/>
      <c r="H444" s="124"/>
      <c r="I444" s="125"/>
      <c r="J444" s="126"/>
      <c r="K444" s="127"/>
      <c r="L444" s="128"/>
      <c r="M444" s="129"/>
      <c r="N444" s="130"/>
      <c r="O444" s="118"/>
      <c r="P444" s="118"/>
      <c r="Q444" s="131"/>
    </row>
    <row r="445" ht="22.5" customHeight="1">
      <c r="A445" s="118"/>
      <c r="B445" s="119"/>
      <c r="C445" s="120"/>
      <c r="D445" s="121"/>
      <c r="E445" s="121"/>
      <c r="F445" s="122"/>
      <c r="G445" s="123"/>
      <c r="H445" s="124"/>
      <c r="I445" s="125"/>
      <c r="J445" s="126"/>
      <c r="K445" s="127"/>
      <c r="L445" s="128"/>
      <c r="M445" s="129"/>
      <c r="N445" s="130"/>
      <c r="O445" s="118"/>
      <c r="P445" s="118"/>
      <c r="Q445" s="131"/>
    </row>
    <row r="446" ht="22.5" customHeight="1">
      <c r="A446" s="118"/>
      <c r="B446" s="119"/>
      <c r="C446" s="120"/>
      <c r="D446" s="121"/>
      <c r="E446" s="121"/>
      <c r="F446" s="122"/>
      <c r="G446" s="123"/>
      <c r="H446" s="124"/>
      <c r="I446" s="125"/>
      <c r="J446" s="126"/>
      <c r="K446" s="127"/>
      <c r="L446" s="128"/>
      <c r="M446" s="129"/>
      <c r="N446" s="130"/>
      <c r="O446" s="118"/>
      <c r="P446" s="118"/>
      <c r="Q446" s="131"/>
    </row>
    <row r="447" ht="22.5" customHeight="1">
      <c r="A447" s="118"/>
      <c r="B447" s="119"/>
      <c r="C447" s="120"/>
      <c r="D447" s="121"/>
      <c r="E447" s="121"/>
      <c r="F447" s="122"/>
      <c r="G447" s="123"/>
      <c r="H447" s="124"/>
      <c r="I447" s="125"/>
      <c r="J447" s="126"/>
      <c r="K447" s="127"/>
      <c r="L447" s="128"/>
      <c r="M447" s="129"/>
      <c r="N447" s="130"/>
      <c r="O447" s="118"/>
      <c r="P447" s="118"/>
      <c r="Q447" s="131"/>
    </row>
    <row r="448" ht="22.5" customHeight="1">
      <c r="A448" s="118"/>
      <c r="B448" s="119"/>
      <c r="C448" s="120"/>
      <c r="D448" s="121"/>
      <c r="E448" s="121"/>
      <c r="F448" s="122"/>
      <c r="G448" s="123"/>
      <c r="H448" s="124"/>
      <c r="I448" s="125"/>
      <c r="J448" s="126"/>
      <c r="K448" s="127"/>
      <c r="L448" s="128"/>
      <c r="M448" s="129"/>
      <c r="N448" s="130"/>
      <c r="O448" s="118"/>
      <c r="P448" s="118"/>
      <c r="Q448" s="131"/>
    </row>
    <row r="449" ht="22.5" customHeight="1">
      <c r="A449" s="118"/>
      <c r="B449" s="119"/>
      <c r="C449" s="120"/>
      <c r="D449" s="121"/>
      <c r="E449" s="121"/>
      <c r="F449" s="122"/>
      <c r="G449" s="123"/>
      <c r="H449" s="124"/>
      <c r="I449" s="125"/>
      <c r="J449" s="126"/>
      <c r="K449" s="127"/>
      <c r="L449" s="128"/>
      <c r="M449" s="129"/>
      <c r="N449" s="130"/>
      <c r="O449" s="118"/>
      <c r="P449" s="118"/>
      <c r="Q449" s="131"/>
    </row>
    <row r="450" ht="22.5" customHeight="1">
      <c r="A450" s="118"/>
      <c r="B450" s="119"/>
      <c r="C450" s="120"/>
      <c r="D450" s="121"/>
      <c r="E450" s="121"/>
      <c r="F450" s="122"/>
      <c r="G450" s="123"/>
      <c r="H450" s="124"/>
      <c r="I450" s="125"/>
      <c r="J450" s="126"/>
      <c r="K450" s="127"/>
      <c r="L450" s="128"/>
      <c r="M450" s="129"/>
      <c r="N450" s="130"/>
      <c r="O450" s="118"/>
      <c r="P450" s="118"/>
      <c r="Q450" s="131"/>
    </row>
    <row r="451" ht="22.5" customHeight="1">
      <c r="A451" s="118"/>
      <c r="B451" s="119"/>
      <c r="C451" s="120"/>
      <c r="D451" s="121"/>
      <c r="E451" s="121"/>
      <c r="F451" s="122"/>
      <c r="G451" s="123"/>
      <c r="H451" s="124"/>
      <c r="I451" s="125"/>
      <c r="J451" s="126"/>
      <c r="K451" s="127"/>
      <c r="L451" s="128"/>
      <c r="M451" s="129"/>
      <c r="N451" s="130"/>
      <c r="O451" s="118"/>
      <c r="P451" s="118"/>
      <c r="Q451" s="131"/>
    </row>
    <row r="452" ht="22.5" customHeight="1">
      <c r="A452" s="118"/>
      <c r="B452" s="119"/>
      <c r="C452" s="120"/>
      <c r="D452" s="121"/>
      <c r="E452" s="121"/>
      <c r="F452" s="122"/>
      <c r="G452" s="123"/>
      <c r="H452" s="124"/>
      <c r="I452" s="125"/>
      <c r="J452" s="126"/>
      <c r="K452" s="127"/>
      <c r="L452" s="128"/>
      <c r="M452" s="129"/>
      <c r="N452" s="130"/>
      <c r="O452" s="118"/>
      <c r="P452" s="118"/>
      <c r="Q452" s="131"/>
    </row>
    <row r="453" ht="22.5" customHeight="1">
      <c r="A453" s="118"/>
      <c r="B453" s="119"/>
      <c r="C453" s="120"/>
      <c r="D453" s="121"/>
      <c r="E453" s="121"/>
      <c r="F453" s="122"/>
      <c r="G453" s="123"/>
      <c r="H453" s="124"/>
      <c r="I453" s="125"/>
      <c r="J453" s="126"/>
      <c r="K453" s="127"/>
      <c r="L453" s="128"/>
      <c r="M453" s="129"/>
      <c r="N453" s="130"/>
      <c r="O453" s="118"/>
      <c r="P453" s="118"/>
      <c r="Q453" s="131"/>
    </row>
    <row r="454" ht="22.5" customHeight="1">
      <c r="A454" s="118"/>
      <c r="B454" s="119"/>
      <c r="C454" s="120"/>
      <c r="D454" s="121"/>
      <c r="E454" s="121"/>
      <c r="F454" s="122"/>
      <c r="G454" s="123"/>
      <c r="H454" s="124"/>
      <c r="I454" s="125"/>
      <c r="J454" s="126"/>
      <c r="K454" s="127"/>
      <c r="L454" s="128"/>
      <c r="M454" s="129"/>
      <c r="N454" s="130"/>
      <c r="O454" s="118"/>
      <c r="P454" s="118"/>
      <c r="Q454" s="131"/>
    </row>
    <row r="455" ht="22.5" customHeight="1">
      <c r="A455" s="118"/>
      <c r="B455" s="119"/>
      <c r="C455" s="120"/>
      <c r="D455" s="121"/>
      <c r="E455" s="121"/>
      <c r="F455" s="122"/>
      <c r="G455" s="123"/>
      <c r="H455" s="124"/>
      <c r="I455" s="125"/>
      <c r="J455" s="126"/>
      <c r="K455" s="127"/>
      <c r="L455" s="128"/>
      <c r="M455" s="129"/>
      <c r="N455" s="130"/>
      <c r="O455" s="118"/>
      <c r="P455" s="118"/>
      <c r="Q455" s="131"/>
    </row>
    <row r="456" ht="22.5" customHeight="1">
      <c r="A456" s="118"/>
      <c r="B456" s="119"/>
      <c r="C456" s="120"/>
      <c r="D456" s="121"/>
      <c r="E456" s="121"/>
      <c r="F456" s="122"/>
      <c r="G456" s="123"/>
      <c r="H456" s="124"/>
      <c r="I456" s="125"/>
      <c r="J456" s="126"/>
      <c r="K456" s="127"/>
      <c r="L456" s="128"/>
      <c r="M456" s="129"/>
      <c r="N456" s="130"/>
      <c r="O456" s="118"/>
      <c r="P456" s="118"/>
      <c r="Q456" s="131"/>
    </row>
    <row r="457" ht="22.5" customHeight="1">
      <c r="A457" s="118"/>
      <c r="B457" s="119"/>
      <c r="C457" s="120"/>
      <c r="D457" s="121"/>
      <c r="E457" s="121"/>
      <c r="F457" s="122"/>
      <c r="G457" s="123"/>
      <c r="H457" s="124"/>
      <c r="I457" s="125"/>
      <c r="J457" s="126"/>
      <c r="K457" s="127"/>
      <c r="L457" s="128"/>
      <c r="M457" s="129"/>
      <c r="N457" s="130"/>
      <c r="O457" s="118"/>
      <c r="P457" s="118"/>
      <c r="Q457" s="131"/>
    </row>
    <row r="458" ht="22.5" customHeight="1">
      <c r="A458" s="118"/>
      <c r="B458" s="119"/>
      <c r="C458" s="120"/>
      <c r="D458" s="121"/>
      <c r="E458" s="121"/>
      <c r="F458" s="122"/>
      <c r="G458" s="123"/>
      <c r="H458" s="124"/>
      <c r="I458" s="125"/>
      <c r="J458" s="126"/>
      <c r="K458" s="127"/>
      <c r="L458" s="128"/>
      <c r="M458" s="129"/>
      <c r="N458" s="130"/>
      <c r="O458" s="118"/>
      <c r="P458" s="118"/>
      <c r="Q458" s="131"/>
    </row>
    <row r="459" ht="22.5" customHeight="1">
      <c r="A459" s="118"/>
      <c r="B459" s="119"/>
      <c r="C459" s="120"/>
      <c r="D459" s="121"/>
      <c r="E459" s="121"/>
      <c r="F459" s="122"/>
      <c r="G459" s="123"/>
      <c r="H459" s="124"/>
      <c r="I459" s="125"/>
      <c r="J459" s="126"/>
      <c r="K459" s="127"/>
      <c r="L459" s="128"/>
      <c r="M459" s="129"/>
      <c r="N459" s="130"/>
      <c r="O459" s="118"/>
      <c r="P459" s="118"/>
      <c r="Q459" s="131"/>
    </row>
    <row r="460" ht="22.5" customHeight="1">
      <c r="A460" s="118"/>
      <c r="B460" s="119"/>
      <c r="C460" s="120"/>
      <c r="D460" s="121"/>
      <c r="E460" s="121"/>
      <c r="F460" s="122"/>
      <c r="G460" s="123"/>
      <c r="H460" s="124"/>
      <c r="I460" s="125"/>
      <c r="J460" s="126"/>
      <c r="K460" s="127"/>
      <c r="L460" s="128"/>
      <c r="M460" s="129"/>
      <c r="N460" s="130"/>
      <c r="O460" s="118"/>
      <c r="P460" s="118"/>
      <c r="Q460" s="131"/>
    </row>
    <row r="461" ht="22.5" customHeight="1">
      <c r="A461" s="118"/>
      <c r="B461" s="119"/>
      <c r="C461" s="120"/>
      <c r="D461" s="121"/>
      <c r="E461" s="121"/>
      <c r="F461" s="122"/>
      <c r="G461" s="123"/>
      <c r="H461" s="124"/>
      <c r="I461" s="125"/>
      <c r="J461" s="126"/>
      <c r="K461" s="127"/>
      <c r="L461" s="128"/>
      <c r="M461" s="129"/>
      <c r="N461" s="130"/>
      <c r="O461" s="118"/>
      <c r="P461" s="118"/>
      <c r="Q461" s="131"/>
    </row>
    <row r="462" ht="22.5" customHeight="1">
      <c r="A462" s="118"/>
      <c r="B462" s="119"/>
      <c r="C462" s="120"/>
      <c r="D462" s="121"/>
      <c r="E462" s="121"/>
      <c r="F462" s="122"/>
      <c r="G462" s="123"/>
      <c r="H462" s="124"/>
      <c r="I462" s="125"/>
      <c r="J462" s="126"/>
      <c r="K462" s="127"/>
      <c r="L462" s="128"/>
      <c r="M462" s="129"/>
      <c r="N462" s="130"/>
      <c r="O462" s="118"/>
      <c r="P462" s="118"/>
      <c r="Q462" s="131"/>
    </row>
    <row r="463" ht="22.5" customHeight="1">
      <c r="A463" s="118"/>
      <c r="B463" s="119"/>
      <c r="C463" s="120"/>
      <c r="D463" s="121"/>
      <c r="E463" s="121"/>
      <c r="F463" s="122"/>
      <c r="G463" s="123"/>
      <c r="H463" s="124"/>
      <c r="I463" s="125"/>
      <c r="J463" s="126"/>
      <c r="K463" s="127"/>
      <c r="L463" s="128"/>
      <c r="M463" s="129"/>
      <c r="N463" s="130"/>
      <c r="O463" s="118"/>
      <c r="P463" s="118"/>
      <c r="Q463" s="131"/>
    </row>
    <row r="464" ht="22.5" customHeight="1">
      <c r="A464" s="118"/>
      <c r="B464" s="119"/>
      <c r="C464" s="120"/>
      <c r="D464" s="121"/>
      <c r="E464" s="121"/>
      <c r="F464" s="122"/>
      <c r="G464" s="123"/>
      <c r="H464" s="124"/>
      <c r="I464" s="125"/>
      <c r="J464" s="126"/>
      <c r="K464" s="127"/>
      <c r="L464" s="128"/>
      <c r="M464" s="129"/>
      <c r="N464" s="130"/>
      <c r="O464" s="118"/>
      <c r="P464" s="118"/>
      <c r="Q464" s="131"/>
    </row>
    <row r="465" ht="22.5" customHeight="1">
      <c r="A465" s="118"/>
      <c r="B465" s="119"/>
      <c r="C465" s="120"/>
      <c r="D465" s="121"/>
      <c r="E465" s="121"/>
      <c r="F465" s="122"/>
      <c r="G465" s="123"/>
      <c r="H465" s="124"/>
      <c r="I465" s="125"/>
      <c r="J465" s="126"/>
      <c r="K465" s="127"/>
      <c r="L465" s="128"/>
      <c r="M465" s="129"/>
      <c r="N465" s="130"/>
      <c r="O465" s="118"/>
      <c r="P465" s="118"/>
      <c r="Q465" s="131"/>
    </row>
    <row r="466" ht="22.5" customHeight="1">
      <c r="A466" s="118"/>
      <c r="B466" s="119"/>
      <c r="C466" s="120"/>
      <c r="D466" s="121"/>
      <c r="E466" s="121"/>
      <c r="F466" s="122"/>
      <c r="G466" s="123"/>
      <c r="H466" s="124"/>
      <c r="I466" s="125"/>
      <c r="J466" s="126"/>
      <c r="K466" s="127"/>
      <c r="L466" s="128"/>
      <c r="M466" s="129"/>
      <c r="N466" s="130"/>
      <c r="O466" s="118"/>
      <c r="P466" s="118"/>
      <c r="Q466" s="131"/>
    </row>
    <row r="467" ht="22.5" customHeight="1">
      <c r="A467" s="118"/>
      <c r="B467" s="119"/>
      <c r="C467" s="120"/>
      <c r="D467" s="121"/>
      <c r="E467" s="121"/>
      <c r="F467" s="122"/>
      <c r="G467" s="123"/>
      <c r="H467" s="124"/>
      <c r="I467" s="125"/>
      <c r="J467" s="126"/>
      <c r="K467" s="127"/>
      <c r="L467" s="128"/>
      <c r="M467" s="129"/>
      <c r="N467" s="130"/>
      <c r="O467" s="118"/>
      <c r="P467" s="118"/>
      <c r="Q467" s="131"/>
    </row>
    <row r="468" ht="22.5" customHeight="1">
      <c r="A468" s="118"/>
      <c r="B468" s="119"/>
      <c r="C468" s="120"/>
      <c r="D468" s="121"/>
      <c r="E468" s="121"/>
      <c r="F468" s="122"/>
      <c r="G468" s="123"/>
      <c r="H468" s="124"/>
      <c r="I468" s="125"/>
      <c r="J468" s="126"/>
      <c r="K468" s="127"/>
      <c r="L468" s="128"/>
      <c r="M468" s="129"/>
      <c r="N468" s="130"/>
      <c r="O468" s="118"/>
      <c r="P468" s="118"/>
      <c r="Q468" s="131"/>
    </row>
    <row r="469" ht="22.5" customHeight="1">
      <c r="A469" s="118"/>
      <c r="B469" s="119"/>
      <c r="C469" s="120"/>
      <c r="D469" s="121"/>
      <c r="E469" s="121"/>
      <c r="F469" s="122"/>
      <c r="G469" s="123"/>
      <c r="H469" s="124"/>
      <c r="I469" s="125"/>
      <c r="J469" s="126"/>
      <c r="K469" s="127"/>
      <c r="L469" s="128"/>
      <c r="M469" s="129"/>
      <c r="N469" s="130"/>
      <c r="O469" s="118"/>
      <c r="P469" s="118"/>
      <c r="Q469" s="131"/>
    </row>
    <row r="470" ht="22.5" customHeight="1">
      <c r="A470" s="118"/>
      <c r="B470" s="119"/>
      <c r="C470" s="120"/>
      <c r="D470" s="121"/>
      <c r="E470" s="121"/>
      <c r="F470" s="122"/>
      <c r="G470" s="123"/>
      <c r="H470" s="124"/>
      <c r="I470" s="125"/>
      <c r="J470" s="126"/>
      <c r="K470" s="127"/>
      <c r="L470" s="128"/>
      <c r="M470" s="129"/>
      <c r="N470" s="130"/>
      <c r="O470" s="118"/>
      <c r="P470" s="118"/>
      <c r="Q470" s="131"/>
    </row>
    <row r="471" ht="22.5" customHeight="1">
      <c r="A471" s="118"/>
      <c r="B471" s="119"/>
      <c r="C471" s="120"/>
      <c r="D471" s="121"/>
      <c r="E471" s="121"/>
      <c r="F471" s="122"/>
      <c r="G471" s="123"/>
      <c r="H471" s="124"/>
      <c r="I471" s="125"/>
      <c r="J471" s="126"/>
      <c r="K471" s="127"/>
      <c r="L471" s="128"/>
      <c r="M471" s="129"/>
      <c r="N471" s="130"/>
      <c r="O471" s="118"/>
      <c r="P471" s="118"/>
      <c r="Q471" s="131"/>
    </row>
    <row r="472" ht="22.5" customHeight="1">
      <c r="A472" s="118"/>
      <c r="B472" s="119"/>
      <c r="C472" s="120"/>
      <c r="D472" s="121"/>
      <c r="E472" s="121"/>
      <c r="F472" s="122"/>
      <c r="G472" s="123"/>
      <c r="H472" s="124"/>
      <c r="I472" s="125"/>
      <c r="J472" s="126"/>
      <c r="K472" s="127"/>
      <c r="L472" s="128"/>
      <c r="M472" s="129"/>
      <c r="N472" s="130"/>
      <c r="O472" s="118"/>
      <c r="P472" s="118"/>
      <c r="Q472" s="131"/>
    </row>
    <row r="473" ht="22.5" customHeight="1">
      <c r="A473" s="118"/>
      <c r="B473" s="119"/>
      <c r="C473" s="120"/>
      <c r="D473" s="121"/>
      <c r="E473" s="121"/>
      <c r="F473" s="122"/>
      <c r="G473" s="123"/>
      <c r="H473" s="124"/>
      <c r="I473" s="125"/>
      <c r="J473" s="126"/>
      <c r="K473" s="127"/>
      <c r="L473" s="128"/>
      <c r="M473" s="129"/>
      <c r="N473" s="130"/>
      <c r="O473" s="118"/>
      <c r="P473" s="118"/>
      <c r="Q473" s="131"/>
    </row>
    <row r="474" ht="22.5" customHeight="1">
      <c r="A474" s="118"/>
      <c r="B474" s="119"/>
      <c r="C474" s="120"/>
      <c r="D474" s="121"/>
      <c r="E474" s="121"/>
      <c r="F474" s="122"/>
      <c r="G474" s="123"/>
      <c r="H474" s="124"/>
      <c r="I474" s="125"/>
      <c r="J474" s="126"/>
      <c r="K474" s="127"/>
      <c r="L474" s="128"/>
      <c r="M474" s="129"/>
      <c r="N474" s="130"/>
      <c r="O474" s="118"/>
      <c r="P474" s="118"/>
      <c r="Q474" s="131"/>
    </row>
    <row r="475" ht="22.5" customHeight="1">
      <c r="A475" s="118"/>
      <c r="B475" s="119"/>
      <c r="C475" s="120"/>
      <c r="D475" s="121"/>
      <c r="E475" s="121"/>
      <c r="F475" s="122"/>
      <c r="G475" s="123"/>
      <c r="H475" s="124"/>
      <c r="I475" s="125"/>
      <c r="J475" s="126"/>
      <c r="K475" s="127"/>
      <c r="L475" s="128"/>
      <c r="M475" s="129"/>
      <c r="N475" s="130"/>
      <c r="O475" s="118"/>
      <c r="P475" s="118"/>
      <c r="Q475" s="131"/>
    </row>
    <row r="476" ht="22.5" customHeight="1">
      <c r="A476" s="118"/>
      <c r="B476" s="119"/>
      <c r="C476" s="120"/>
      <c r="D476" s="121"/>
      <c r="E476" s="121"/>
      <c r="F476" s="122"/>
      <c r="G476" s="123"/>
      <c r="H476" s="124"/>
      <c r="I476" s="125"/>
      <c r="J476" s="126"/>
      <c r="K476" s="127"/>
      <c r="L476" s="128"/>
      <c r="M476" s="129"/>
      <c r="N476" s="130"/>
      <c r="O476" s="118"/>
      <c r="P476" s="118"/>
      <c r="Q476" s="131"/>
    </row>
    <row r="477" ht="22.5" customHeight="1">
      <c r="A477" s="118"/>
      <c r="B477" s="119"/>
      <c r="C477" s="120"/>
      <c r="D477" s="121"/>
      <c r="E477" s="121"/>
      <c r="F477" s="122"/>
      <c r="G477" s="123"/>
      <c r="H477" s="124"/>
      <c r="I477" s="125"/>
      <c r="J477" s="126"/>
      <c r="K477" s="127"/>
      <c r="L477" s="128"/>
      <c r="M477" s="129"/>
      <c r="N477" s="130"/>
      <c r="O477" s="118"/>
      <c r="P477" s="118"/>
      <c r="Q477" s="131"/>
    </row>
    <row r="478" ht="22.5" customHeight="1">
      <c r="A478" s="118"/>
      <c r="B478" s="119"/>
      <c r="C478" s="120"/>
      <c r="D478" s="121"/>
      <c r="E478" s="121"/>
      <c r="F478" s="122"/>
      <c r="G478" s="123"/>
      <c r="H478" s="124"/>
      <c r="I478" s="125"/>
      <c r="J478" s="126"/>
      <c r="K478" s="127"/>
      <c r="L478" s="128"/>
      <c r="M478" s="129"/>
      <c r="N478" s="130"/>
      <c r="O478" s="118"/>
      <c r="P478" s="118"/>
      <c r="Q478" s="131"/>
    </row>
    <row r="479" ht="22.5" customHeight="1">
      <c r="A479" s="118"/>
      <c r="B479" s="119"/>
      <c r="C479" s="120"/>
      <c r="D479" s="121"/>
      <c r="E479" s="121"/>
      <c r="F479" s="122"/>
      <c r="G479" s="123"/>
      <c r="H479" s="124"/>
      <c r="I479" s="125"/>
      <c r="J479" s="126"/>
      <c r="K479" s="127"/>
      <c r="L479" s="128"/>
      <c r="M479" s="129"/>
      <c r="N479" s="130"/>
      <c r="O479" s="118"/>
      <c r="P479" s="118"/>
      <c r="Q479" s="131"/>
    </row>
    <row r="480" ht="22.5" customHeight="1">
      <c r="A480" s="118"/>
      <c r="B480" s="119"/>
      <c r="C480" s="120"/>
      <c r="D480" s="121"/>
      <c r="E480" s="121"/>
      <c r="F480" s="122"/>
      <c r="G480" s="123"/>
      <c r="H480" s="124"/>
      <c r="I480" s="125"/>
      <c r="J480" s="126"/>
      <c r="K480" s="127"/>
      <c r="L480" s="128"/>
      <c r="M480" s="129"/>
      <c r="N480" s="130"/>
      <c r="O480" s="118"/>
      <c r="P480" s="118"/>
      <c r="Q480" s="131"/>
    </row>
    <row r="481" ht="22.5" customHeight="1">
      <c r="A481" s="118"/>
      <c r="B481" s="119"/>
      <c r="C481" s="120"/>
      <c r="D481" s="121"/>
      <c r="E481" s="121"/>
      <c r="F481" s="122"/>
      <c r="G481" s="123"/>
      <c r="H481" s="124"/>
      <c r="I481" s="125"/>
      <c r="J481" s="126"/>
      <c r="K481" s="127"/>
      <c r="L481" s="128"/>
      <c r="M481" s="129"/>
      <c r="N481" s="130"/>
      <c r="O481" s="118"/>
      <c r="P481" s="118"/>
      <c r="Q481" s="131"/>
    </row>
    <row r="482" ht="22.5" customHeight="1">
      <c r="A482" s="118"/>
      <c r="B482" s="119"/>
      <c r="C482" s="120"/>
      <c r="D482" s="121"/>
      <c r="E482" s="121"/>
      <c r="F482" s="122"/>
      <c r="G482" s="123"/>
      <c r="H482" s="124"/>
      <c r="I482" s="125"/>
      <c r="J482" s="126"/>
      <c r="K482" s="127"/>
      <c r="L482" s="128"/>
      <c r="M482" s="129"/>
      <c r="N482" s="130"/>
      <c r="O482" s="118"/>
      <c r="P482" s="118"/>
      <c r="Q482" s="131"/>
    </row>
    <row r="483" ht="22.5" customHeight="1">
      <c r="A483" s="118"/>
      <c r="B483" s="119"/>
      <c r="C483" s="120"/>
      <c r="D483" s="121"/>
      <c r="E483" s="121"/>
      <c r="F483" s="122"/>
      <c r="G483" s="123"/>
      <c r="H483" s="124"/>
      <c r="I483" s="125"/>
      <c r="J483" s="126"/>
      <c r="K483" s="127"/>
      <c r="L483" s="128"/>
      <c r="M483" s="129"/>
      <c r="N483" s="130"/>
      <c r="O483" s="118"/>
      <c r="P483" s="118"/>
      <c r="Q483" s="131"/>
    </row>
    <row r="484" ht="22.5" customHeight="1">
      <c r="A484" s="118"/>
      <c r="B484" s="119"/>
      <c r="C484" s="120"/>
      <c r="D484" s="121"/>
      <c r="E484" s="121"/>
      <c r="F484" s="122"/>
      <c r="G484" s="123"/>
      <c r="H484" s="124"/>
      <c r="I484" s="125"/>
      <c r="J484" s="126"/>
      <c r="K484" s="127"/>
      <c r="L484" s="128"/>
      <c r="M484" s="129"/>
      <c r="N484" s="130"/>
      <c r="O484" s="118"/>
      <c r="P484" s="118"/>
      <c r="Q484" s="131"/>
    </row>
    <row r="485" ht="22.5" customHeight="1">
      <c r="A485" s="118"/>
      <c r="B485" s="119"/>
      <c r="C485" s="120"/>
      <c r="D485" s="121"/>
      <c r="E485" s="121"/>
      <c r="F485" s="122"/>
      <c r="G485" s="123"/>
      <c r="H485" s="124"/>
      <c r="I485" s="125"/>
      <c r="J485" s="126"/>
      <c r="K485" s="127"/>
      <c r="L485" s="128"/>
      <c r="M485" s="129"/>
      <c r="N485" s="130"/>
      <c r="O485" s="118"/>
      <c r="P485" s="118"/>
      <c r="Q485" s="131"/>
    </row>
    <row r="486" ht="22.5" customHeight="1">
      <c r="A486" s="118"/>
      <c r="B486" s="119"/>
      <c r="C486" s="120"/>
      <c r="D486" s="121"/>
      <c r="E486" s="121"/>
      <c r="F486" s="122"/>
      <c r="G486" s="123"/>
      <c r="H486" s="124"/>
      <c r="I486" s="125"/>
      <c r="J486" s="126"/>
      <c r="K486" s="127"/>
      <c r="L486" s="128"/>
      <c r="M486" s="129"/>
      <c r="N486" s="130"/>
      <c r="O486" s="118"/>
      <c r="P486" s="118"/>
      <c r="Q486" s="131"/>
    </row>
    <row r="487" ht="22.5" customHeight="1">
      <c r="A487" s="118"/>
      <c r="B487" s="119"/>
      <c r="C487" s="120"/>
      <c r="D487" s="121"/>
      <c r="E487" s="121"/>
      <c r="F487" s="122"/>
      <c r="G487" s="123"/>
      <c r="H487" s="124"/>
      <c r="I487" s="125"/>
      <c r="J487" s="126"/>
      <c r="K487" s="127"/>
      <c r="L487" s="128"/>
      <c r="M487" s="129"/>
      <c r="N487" s="130"/>
      <c r="O487" s="118"/>
      <c r="P487" s="118"/>
      <c r="Q487" s="131"/>
    </row>
    <row r="488" ht="22.5" customHeight="1">
      <c r="A488" s="118"/>
      <c r="B488" s="119"/>
      <c r="C488" s="120"/>
      <c r="D488" s="121"/>
      <c r="E488" s="121"/>
      <c r="F488" s="122"/>
      <c r="G488" s="123"/>
      <c r="H488" s="124"/>
      <c r="I488" s="125"/>
      <c r="J488" s="126"/>
      <c r="K488" s="127"/>
      <c r="L488" s="128"/>
      <c r="M488" s="129"/>
      <c r="N488" s="130"/>
      <c r="O488" s="118"/>
      <c r="P488" s="118"/>
      <c r="Q488" s="131"/>
    </row>
    <row r="489" ht="22.5" customHeight="1">
      <c r="A489" s="118"/>
      <c r="B489" s="119"/>
      <c r="C489" s="120"/>
      <c r="D489" s="121"/>
      <c r="E489" s="121"/>
      <c r="F489" s="122"/>
      <c r="G489" s="123"/>
      <c r="H489" s="124"/>
      <c r="I489" s="125"/>
      <c r="J489" s="126"/>
      <c r="K489" s="127"/>
      <c r="L489" s="128"/>
      <c r="M489" s="129"/>
      <c r="N489" s="130"/>
      <c r="O489" s="118"/>
      <c r="P489" s="118"/>
      <c r="Q489" s="131"/>
    </row>
    <row r="490" ht="22.5" customHeight="1">
      <c r="A490" s="118"/>
      <c r="B490" s="119"/>
      <c r="C490" s="120"/>
      <c r="D490" s="121"/>
      <c r="E490" s="121"/>
      <c r="F490" s="122"/>
      <c r="G490" s="123"/>
      <c r="H490" s="124"/>
      <c r="I490" s="125"/>
      <c r="J490" s="126"/>
      <c r="K490" s="127"/>
      <c r="L490" s="128"/>
      <c r="M490" s="129"/>
      <c r="N490" s="130"/>
      <c r="O490" s="118"/>
      <c r="P490" s="118"/>
      <c r="Q490" s="131"/>
    </row>
    <row r="491" ht="22.5" customHeight="1">
      <c r="A491" s="118"/>
      <c r="B491" s="119"/>
      <c r="C491" s="120"/>
      <c r="D491" s="121"/>
      <c r="E491" s="121"/>
      <c r="F491" s="122"/>
      <c r="G491" s="123"/>
      <c r="H491" s="124"/>
      <c r="I491" s="125"/>
      <c r="J491" s="126"/>
      <c r="K491" s="127"/>
      <c r="L491" s="128"/>
      <c r="M491" s="129"/>
      <c r="N491" s="130"/>
      <c r="O491" s="118"/>
      <c r="P491" s="118"/>
      <c r="Q491" s="131"/>
    </row>
    <row r="492" ht="22.5" customHeight="1">
      <c r="A492" s="118"/>
      <c r="B492" s="119"/>
      <c r="C492" s="120"/>
      <c r="D492" s="121"/>
      <c r="E492" s="121"/>
      <c r="F492" s="122"/>
      <c r="G492" s="123"/>
      <c r="H492" s="124"/>
      <c r="I492" s="125"/>
      <c r="J492" s="126"/>
      <c r="K492" s="127"/>
      <c r="L492" s="128"/>
      <c r="M492" s="129"/>
      <c r="N492" s="130"/>
      <c r="O492" s="118"/>
      <c r="P492" s="118"/>
      <c r="Q492" s="131"/>
    </row>
    <row r="493" ht="22.5" customHeight="1">
      <c r="A493" s="118"/>
      <c r="B493" s="119"/>
      <c r="C493" s="120"/>
      <c r="D493" s="121"/>
      <c r="E493" s="121"/>
      <c r="F493" s="122"/>
      <c r="G493" s="123"/>
      <c r="H493" s="124"/>
      <c r="I493" s="125"/>
      <c r="J493" s="126"/>
      <c r="K493" s="127"/>
      <c r="L493" s="128"/>
      <c r="M493" s="129"/>
      <c r="N493" s="130"/>
      <c r="O493" s="118"/>
      <c r="P493" s="118"/>
      <c r="Q493" s="131"/>
    </row>
    <row r="494" ht="22.5" customHeight="1">
      <c r="A494" s="118"/>
      <c r="B494" s="119"/>
      <c r="C494" s="120"/>
      <c r="D494" s="121"/>
      <c r="E494" s="121"/>
      <c r="F494" s="122"/>
      <c r="G494" s="123"/>
      <c r="H494" s="124"/>
      <c r="I494" s="125"/>
      <c r="J494" s="126"/>
      <c r="K494" s="127"/>
      <c r="L494" s="128"/>
      <c r="M494" s="129"/>
      <c r="N494" s="130"/>
      <c r="O494" s="118"/>
      <c r="P494" s="118"/>
      <c r="Q494" s="131"/>
    </row>
    <row r="495" ht="22.5" customHeight="1">
      <c r="A495" s="118"/>
      <c r="B495" s="119"/>
      <c r="C495" s="120"/>
      <c r="D495" s="121"/>
      <c r="E495" s="121"/>
      <c r="F495" s="122"/>
      <c r="G495" s="123"/>
      <c r="H495" s="124"/>
      <c r="I495" s="125"/>
      <c r="J495" s="126"/>
      <c r="K495" s="127"/>
      <c r="L495" s="128"/>
      <c r="M495" s="129"/>
      <c r="N495" s="130"/>
      <c r="O495" s="118"/>
      <c r="P495" s="118"/>
      <c r="Q495" s="131"/>
    </row>
    <row r="496" ht="22.5" customHeight="1">
      <c r="A496" s="118"/>
      <c r="B496" s="119"/>
      <c r="C496" s="120"/>
      <c r="D496" s="121"/>
      <c r="E496" s="121"/>
      <c r="F496" s="122"/>
      <c r="G496" s="123"/>
      <c r="H496" s="124"/>
      <c r="I496" s="125"/>
      <c r="J496" s="126"/>
      <c r="K496" s="127"/>
      <c r="L496" s="128"/>
      <c r="M496" s="129"/>
      <c r="N496" s="130"/>
      <c r="O496" s="118"/>
      <c r="P496" s="118"/>
      <c r="Q496" s="131"/>
    </row>
    <row r="497" ht="22.5" customHeight="1">
      <c r="A497" s="118"/>
      <c r="B497" s="119"/>
      <c r="C497" s="120"/>
      <c r="D497" s="121"/>
      <c r="E497" s="121"/>
      <c r="F497" s="122"/>
      <c r="G497" s="123"/>
      <c r="H497" s="124"/>
      <c r="I497" s="125"/>
      <c r="J497" s="126"/>
      <c r="K497" s="127"/>
      <c r="L497" s="128"/>
      <c r="M497" s="129"/>
      <c r="N497" s="130"/>
      <c r="O497" s="118"/>
      <c r="P497" s="118"/>
      <c r="Q497" s="131"/>
    </row>
    <row r="498" ht="22.5" customHeight="1">
      <c r="A498" s="118"/>
      <c r="B498" s="119"/>
      <c r="C498" s="120"/>
      <c r="D498" s="121"/>
      <c r="E498" s="121"/>
      <c r="F498" s="122"/>
      <c r="G498" s="123"/>
      <c r="H498" s="124"/>
      <c r="I498" s="125"/>
      <c r="J498" s="126"/>
      <c r="K498" s="127"/>
      <c r="L498" s="128"/>
      <c r="M498" s="129"/>
      <c r="N498" s="130"/>
      <c r="O498" s="118"/>
      <c r="P498" s="118"/>
      <c r="Q498" s="131"/>
    </row>
    <row r="499" ht="22.5" customHeight="1">
      <c r="A499" s="118"/>
      <c r="B499" s="119"/>
      <c r="C499" s="120"/>
      <c r="D499" s="121"/>
      <c r="E499" s="121"/>
      <c r="F499" s="122"/>
      <c r="G499" s="123"/>
      <c r="H499" s="124"/>
      <c r="I499" s="125"/>
      <c r="J499" s="126"/>
      <c r="K499" s="127"/>
      <c r="L499" s="128"/>
      <c r="M499" s="129"/>
      <c r="N499" s="130"/>
      <c r="O499" s="118"/>
      <c r="P499" s="118"/>
      <c r="Q499" s="131"/>
    </row>
    <row r="500" ht="22.5" customHeight="1">
      <c r="A500" s="118"/>
      <c r="B500" s="119"/>
      <c r="C500" s="120"/>
      <c r="D500" s="121"/>
      <c r="E500" s="121"/>
      <c r="F500" s="122"/>
      <c r="G500" s="123"/>
      <c r="H500" s="124"/>
      <c r="I500" s="125"/>
      <c r="J500" s="126"/>
      <c r="K500" s="127"/>
      <c r="L500" s="128"/>
      <c r="M500" s="129"/>
      <c r="N500" s="130"/>
      <c r="O500" s="118"/>
      <c r="P500" s="118"/>
      <c r="Q500" s="131"/>
    </row>
    <row r="501" ht="22.5" customHeight="1">
      <c r="A501" s="118"/>
      <c r="B501" s="119"/>
      <c r="C501" s="120"/>
      <c r="D501" s="121"/>
      <c r="E501" s="121"/>
      <c r="F501" s="122"/>
      <c r="G501" s="123"/>
      <c r="H501" s="124"/>
      <c r="I501" s="125"/>
      <c r="J501" s="126"/>
      <c r="K501" s="127"/>
      <c r="L501" s="128"/>
      <c r="M501" s="129"/>
      <c r="N501" s="130"/>
      <c r="O501" s="118"/>
      <c r="P501" s="118"/>
      <c r="Q501" s="131"/>
    </row>
    <row r="502" ht="22.5" customHeight="1">
      <c r="A502" s="118"/>
      <c r="B502" s="119"/>
      <c r="C502" s="120"/>
      <c r="D502" s="121"/>
      <c r="E502" s="121"/>
      <c r="F502" s="122"/>
      <c r="G502" s="123"/>
      <c r="H502" s="124"/>
      <c r="I502" s="125"/>
      <c r="J502" s="126"/>
      <c r="K502" s="127"/>
      <c r="L502" s="128"/>
      <c r="M502" s="129"/>
      <c r="N502" s="130"/>
      <c r="O502" s="118"/>
      <c r="P502" s="118"/>
      <c r="Q502" s="131"/>
    </row>
    <row r="503" ht="22.5" customHeight="1">
      <c r="A503" s="118"/>
      <c r="B503" s="119"/>
      <c r="C503" s="120"/>
      <c r="D503" s="121"/>
      <c r="E503" s="121"/>
      <c r="F503" s="122"/>
      <c r="G503" s="123"/>
      <c r="H503" s="124"/>
      <c r="I503" s="125"/>
      <c r="J503" s="126"/>
      <c r="K503" s="127"/>
      <c r="L503" s="128"/>
      <c r="M503" s="129"/>
      <c r="N503" s="130"/>
      <c r="O503" s="118"/>
      <c r="P503" s="118"/>
      <c r="Q503" s="131"/>
    </row>
    <row r="504" ht="22.5" customHeight="1">
      <c r="A504" s="118"/>
      <c r="B504" s="119"/>
      <c r="C504" s="120"/>
      <c r="D504" s="121"/>
      <c r="E504" s="121"/>
      <c r="F504" s="122"/>
      <c r="G504" s="123"/>
      <c r="H504" s="124"/>
      <c r="I504" s="125"/>
      <c r="J504" s="126"/>
      <c r="K504" s="127"/>
      <c r="L504" s="128"/>
      <c r="M504" s="129"/>
      <c r="N504" s="130"/>
      <c r="O504" s="118"/>
      <c r="P504" s="118"/>
      <c r="Q504" s="131"/>
    </row>
    <row r="505" ht="22.5" customHeight="1">
      <c r="A505" s="118"/>
      <c r="B505" s="119"/>
      <c r="C505" s="120"/>
      <c r="D505" s="121"/>
      <c r="E505" s="121"/>
      <c r="F505" s="122"/>
      <c r="G505" s="123"/>
      <c r="H505" s="124"/>
      <c r="I505" s="125"/>
      <c r="J505" s="126"/>
      <c r="K505" s="127"/>
      <c r="L505" s="128"/>
      <c r="M505" s="129"/>
      <c r="N505" s="130"/>
      <c r="O505" s="118"/>
      <c r="P505" s="118"/>
      <c r="Q505" s="131"/>
    </row>
    <row r="506" ht="22.5" customHeight="1">
      <c r="A506" s="118"/>
      <c r="B506" s="119"/>
      <c r="C506" s="120"/>
      <c r="D506" s="121"/>
      <c r="E506" s="121"/>
      <c r="F506" s="122"/>
      <c r="G506" s="123"/>
      <c r="H506" s="124"/>
      <c r="I506" s="125"/>
      <c r="J506" s="126"/>
      <c r="K506" s="127"/>
      <c r="L506" s="128"/>
      <c r="M506" s="129"/>
      <c r="N506" s="130"/>
      <c r="O506" s="118"/>
      <c r="P506" s="118"/>
      <c r="Q506" s="131"/>
    </row>
    <row r="507" ht="22.5" customHeight="1">
      <c r="A507" s="118"/>
      <c r="B507" s="119"/>
      <c r="C507" s="120"/>
      <c r="D507" s="121"/>
      <c r="E507" s="121"/>
      <c r="F507" s="122"/>
      <c r="G507" s="123"/>
      <c r="H507" s="124"/>
      <c r="I507" s="125"/>
      <c r="J507" s="126"/>
      <c r="K507" s="127"/>
      <c r="L507" s="128"/>
      <c r="M507" s="129"/>
      <c r="N507" s="130"/>
      <c r="O507" s="118"/>
      <c r="P507" s="118"/>
      <c r="Q507" s="131"/>
    </row>
    <row r="508" ht="22.5" customHeight="1">
      <c r="A508" s="118"/>
      <c r="B508" s="119"/>
      <c r="C508" s="120"/>
      <c r="D508" s="121"/>
      <c r="E508" s="121"/>
      <c r="F508" s="122"/>
      <c r="G508" s="123"/>
      <c r="H508" s="124"/>
      <c r="I508" s="125"/>
      <c r="J508" s="126"/>
      <c r="K508" s="127"/>
      <c r="L508" s="128"/>
      <c r="M508" s="129"/>
      <c r="N508" s="130"/>
      <c r="O508" s="118"/>
      <c r="P508" s="118"/>
      <c r="Q508" s="131"/>
    </row>
    <row r="509" ht="22.5" customHeight="1">
      <c r="A509" s="118"/>
      <c r="B509" s="119"/>
      <c r="C509" s="120"/>
      <c r="D509" s="121"/>
      <c r="E509" s="121"/>
      <c r="F509" s="122"/>
      <c r="G509" s="123"/>
      <c r="H509" s="124"/>
      <c r="I509" s="125"/>
      <c r="J509" s="126"/>
      <c r="K509" s="127"/>
      <c r="L509" s="128"/>
      <c r="M509" s="129"/>
      <c r="N509" s="130"/>
      <c r="O509" s="118"/>
      <c r="P509" s="118"/>
      <c r="Q509" s="131"/>
    </row>
    <row r="510" ht="22.5" customHeight="1">
      <c r="A510" s="118"/>
      <c r="B510" s="119"/>
      <c r="C510" s="120"/>
      <c r="D510" s="121"/>
      <c r="E510" s="121"/>
      <c r="F510" s="122"/>
      <c r="G510" s="123"/>
      <c r="H510" s="124"/>
      <c r="I510" s="125"/>
      <c r="J510" s="126"/>
      <c r="K510" s="127"/>
      <c r="L510" s="128"/>
      <c r="M510" s="129"/>
      <c r="N510" s="130"/>
      <c r="O510" s="118"/>
      <c r="P510" s="118"/>
      <c r="Q510" s="131"/>
    </row>
    <row r="511" ht="22.5" customHeight="1">
      <c r="A511" s="118"/>
      <c r="B511" s="119"/>
      <c r="C511" s="120"/>
      <c r="D511" s="121"/>
      <c r="E511" s="121"/>
      <c r="F511" s="122"/>
      <c r="G511" s="123"/>
      <c r="H511" s="124"/>
      <c r="I511" s="125"/>
      <c r="J511" s="126"/>
      <c r="K511" s="127"/>
      <c r="L511" s="128"/>
      <c r="M511" s="129"/>
      <c r="N511" s="130"/>
      <c r="O511" s="118"/>
      <c r="P511" s="118"/>
      <c r="Q511" s="131"/>
    </row>
    <row r="512" ht="22.5" customHeight="1">
      <c r="A512" s="118"/>
      <c r="B512" s="119"/>
      <c r="C512" s="120"/>
      <c r="D512" s="121"/>
      <c r="E512" s="121"/>
      <c r="F512" s="122"/>
      <c r="G512" s="123"/>
      <c r="H512" s="124"/>
      <c r="I512" s="125"/>
      <c r="J512" s="126"/>
      <c r="K512" s="127"/>
      <c r="L512" s="128"/>
      <c r="M512" s="129"/>
      <c r="N512" s="130"/>
      <c r="O512" s="118"/>
      <c r="P512" s="118"/>
      <c r="Q512" s="131"/>
    </row>
    <row r="513" ht="22.5" customHeight="1">
      <c r="A513" s="118"/>
      <c r="B513" s="119"/>
      <c r="C513" s="120"/>
      <c r="D513" s="121"/>
      <c r="E513" s="121"/>
      <c r="F513" s="122"/>
      <c r="G513" s="123"/>
      <c r="H513" s="124"/>
      <c r="I513" s="125"/>
      <c r="J513" s="126"/>
      <c r="K513" s="127"/>
      <c r="L513" s="128"/>
      <c r="M513" s="129"/>
      <c r="N513" s="130"/>
      <c r="O513" s="118"/>
      <c r="P513" s="118"/>
      <c r="Q513" s="131"/>
    </row>
    <row r="514" ht="22.5" customHeight="1">
      <c r="A514" s="118"/>
      <c r="B514" s="119"/>
      <c r="C514" s="120"/>
      <c r="D514" s="121"/>
      <c r="E514" s="121"/>
      <c r="F514" s="122"/>
      <c r="G514" s="123"/>
      <c r="H514" s="124"/>
      <c r="I514" s="125"/>
      <c r="J514" s="126"/>
      <c r="K514" s="127"/>
      <c r="L514" s="128"/>
      <c r="M514" s="129"/>
      <c r="N514" s="130"/>
      <c r="O514" s="118"/>
      <c r="P514" s="118"/>
      <c r="Q514" s="131"/>
    </row>
    <row r="515" ht="22.5" customHeight="1">
      <c r="A515" s="118"/>
      <c r="B515" s="119"/>
      <c r="C515" s="120"/>
      <c r="D515" s="121"/>
      <c r="E515" s="121"/>
      <c r="F515" s="122"/>
      <c r="G515" s="123"/>
      <c r="H515" s="124"/>
      <c r="I515" s="125"/>
      <c r="J515" s="126"/>
      <c r="K515" s="127"/>
      <c r="L515" s="128"/>
      <c r="M515" s="129"/>
      <c r="N515" s="130"/>
      <c r="O515" s="118"/>
      <c r="P515" s="118"/>
      <c r="Q515" s="131"/>
    </row>
    <row r="516" ht="22.5" customHeight="1">
      <c r="A516" s="118"/>
      <c r="B516" s="119"/>
      <c r="C516" s="120"/>
      <c r="D516" s="121"/>
      <c r="E516" s="121"/>
      <c r="F516" s="122"/>
      <c r="G516" s="123"/>
      <c r="H516" s="124"/>
      <c r="I516" s="125"/>
      <c r="J516" s="126"/>
      <c r="K516" s="127"/>
      <c r="L516" s="128"/>
      <c r="M516" s="129"/>
      <c r="N516" s="130"/>
      <c r="O516" s="118"/>
      <c r="P516" s="118"/>
      <c r="Q516" s="131"/>
    </row>
    <row r="517" ht="22.5" customHeight="1">
      <c r="A517" s="118"/>
      <c r="B517" s="119"/>
      <c r="C517" s="120"/>
      <c r="D517" s="121"/>
      <c r="E517" s="121"/>
      <c r="F517" s="122"/>
      <c r="G517" s="123"/>
      <c r="H517" s="124"/>
      <c r="I517" s="125"/>
      <c r="J517" s="126"/>
      <c r="K517" s="127"/>
      <c r="L517" s="128"/>
      <c r="M517" s="129"/>
      <c r="N517" s="130"/>
      <c r="O517" s="118"/>
      <c r="P517" s="118"/>
      <c r="Q517" s="131"/>
    </row>
    <row r="518" ht="22.5" customHeight="1">
      <c r="A518" s="118"/>
      <c r="B518" s="119"/>
      <c r="C518" s="120"/>
      <c r="D518" s="121"/>
      <c r="E518" s="121"/>
      <c r="F518" s="122"/>
      <c r="G518" s="123"/>
      <c r="H518" s="124"/>
      <c r="I518" s="125"/>
      <c r="J518" s="126"/>
      <c r="K518" s="127"/>
      <c r="L518" s="128"/>
      <c r="M518" s="129"/>
      <c r="N518" s="130"/>
      <c r="O518" s="118"/>
      <c r="P518" s="118"/>
      <c r="Q518" s="131"/>
    </row>
    <row r="519" ht="22.5" customHeight="1">
      <c r="A519" s="118"/>
      <c r="B519" s="119"/>
      <c r="C519" s="120"/>
      <c r="D519" s="121"/>
      <c r="E519" s="121"/>
      <c r="F519" s="122"/>
      <c r="G519" s="123"/>
      <c r="H519" s="124"/>
      <c r="I519" s="125"/>
      <c r="J519" s="126"/>
      <c r="K519" s="127"/>
      <c r="L519" s="128"/>
      <c r="M519" s="129"/>
      <c r="N519" s="130"/>
      <c r="O519" s="118"/>
      <c r="P519" s="118"/>
      <c r="Q519" s="131"/>
    </row>
    <row r="520" ht="22.5" customHeight="1">
      <c r="A520" s="118"/>
      <c r="B520" s="119"/>
      <c r="C520" s="120"/>
      <c r="D520" s="121"/>
      <c r="E520" s="121"/>
      <c r="F520" s="122"/>
      <c r="G520" s="123"/>
      <c r="H520" s="124"/>
      <c r="I520" s="125"/>
      <c r="J520" s="126"/>
      <c r="K520" s="127"/>
      <c r="L520" s="128"/>
      <c r="M520" s="129"/>
      <c r="N520" s="130"/>
      <c r="O520" s="118"/>
      <c r="P520" s="118"/>
      <c r="Q520" s="131"/>
    </row>
    <row r="521" ht="22.5" customHeight="1">
      <c r="A521" s="118"/>
      <c r="B521" s="119"/>
      <c r="C521" s="120"/>
      <c r="D521" s="121"/>
      <c r="E521" s="121"/>
      <c r="F521" s="122"/>
      <c r="G521" s="123"/>
      <c r="H521" s="124"/>
      <c r="I521" s="125"/>
      <c r="J521" s="126"/>
      <c r="K521" s="127"/>
      <c r="L521" s="128"/>
      <c r="M521" s="129"/>
      <c r="N521" s="130"/>
      <c r="O521" s="118"/>
      <c r="P521" s="118"/>
      <c r="Q521" s="131"/>
    </row>
    <row r="522" ht="22.5" customHeight="1">
      <c r="A522" s="118"/>
      <c r="B522" s="119"/>
      <c r="C522" s="120"/>
      <c r="D522" s="121"/>
      <c r="E522" s="121"/>
      <c r="F522" s="122"/>
      <c r="G522" s="123"/>
      <c r="H522" s="124"/>
      <c r="I522" s="125"/>
      <c r="J522" s="126"/>
      <c r="K522" s="127"/>
      <c r="L522" s="128"/>
      <c r="M522" s="129"/>
      <c r="N522" s="130"/>
      <c r="O522" s="118"/>
      <c r="P522" s="118"/>
      <c r="Q522" s="131"/>
    </row>
    <row r="523" ht="22.5" customHeight="1">
      <c r="A523" s="118"/>
      <c r="B523" s="119"/>
      <c r="C523" s="120"/>
      <c r="D523" s="121"/>
      <c r="E523" s="121"/>
      <c r="F523" s="122"/>
      <c r="G523" s="123"/>
      <c r="H523" s="124"/>
      <c r="I523" s="125"/>
      <c r="J523" s="126"/>
      <c r="K523" s="127"/>
      <c r="L523" s="128"/>
      <c r="M523" s="129"/>
      <c r="N523" s="130"/>
      <c r="O523" s="118"/>
      <c r="P523" s="118"/>
      <c r="Q523" s="131"/>
    </row>
    <row r="524" ht="22.5" customHeight="1">
      <c r="A524" s="118"/>
      <c r="B524" s="119"/>
      <c r="C524" s="120"/>
      <c r="D524" s="121"/>
      <c r="E524" s="121"/>
      <c r="F524" s="122"/>
      <c r="G524" s="123"/>
      <c r="H524" s="124"/>
      <c r="I524" s="125"/>
      <c r="J524" s="126"/>
      <c r="K524" s="127"/>
      <c r="L524" s="128"/>
      <c r="M524" s="129"/>
      <c r="N524" s="130"/>
      <c r="O524" s="118"/>
      <c r="P524" s="118"/>
      <c r="Q524" s="131"/>
    </row>
    <row r="525" ht="22.5" customHeight="1">
      <c r="A525" s="118"/>
      <c r="B525" s="119"/>
      <c r="C525" s="120"/>
      <c r="D525" s="121"/>
      <c r="E525" s="121"/>
      <c r="F525" s="122"/>
      <c r="G525" s="123"/>
      <c r="H525" s="124"/>
      <c r="I525" s="125"/>
      <c r="J525" s="126"/>
      <c r="K525" s="127"/>
      <c r="L525" s="128"/>
      <c r="M525" s="129"/>
      <c r="N525" s="130"/>
      <c r="O525" s="118"/>
      <c r="P525" s="118"/>
      <c r="Q525" s="131"/>
    </row>
    <row r="526" ht="22.5" customHeight="1">
      <c r="A526" s="118"/>
      <c r="B526" s="119"/>
      <c r="C526" s="120"/>
      <c r="D526" s="121"/>
      <c r="E526" s="121"/>
      <c r="F526" s="122"/>
      <c r="G526" s="123"/>
      <c r="H526" s="124"/>
      <c r="I526" s="125"/>
      <c r="J526" s="126"/>
      <c r="K526" s="127"/>
      <c r="L526" s="128"/>
      <c r="M526" s="129"/>
      <c r="N526" s="130"/>
      <c r="O526" s="118"/>
      <c r="P526" s="118"/>
      <c r="Q526" s="131"/>
    </row>
    <row r="527" ht="22.5" customHeight="1">
      <c r="A527" s="118"/>
      <c r="B527" s="119"/>
      <c r="C527" s="120"/>
      <c r="D527" s="121"/>
      <c r="E527" s="121"/>
      <c r="F527" s="122"/>
      <c r="G527" s="123"/>
      <c r="H527" s="124"/>
      <c r="I527" s="125"/>
      <c r="J527" s="126"/>
      <c r="K527" s="127"/>
      <c r="L527" s="128"/>
      <c r="M527" s="129"/>
      <c r="N527" s="130"/>
      <c r="O527" s="118"/>
      <c r="P527" s="118"/>
      <c r="Q527" s="131"/>
    </row>
    <row r="528" ht="22.5" customHeight="1">
      <c r="A528" s="118"/>
      <c r="B528" s="119"/>
      <c r="C528" s="120"/>
      <c r="D528" s="121"/>
      <c r="E528" s="121"/>
      <c r="F528" s="122"/>
      <c r="G528" s="123"/>
      <c r="H528" s="124"/>
      <c r="I528" s="125"/>
      <c r="J528" s="126"/>
      <c r="K528" s="127"/>
      <c r="L528" s="128"/>
      <c r="M528" s="129"/>
      <c r="N528" s="130"/>
      <c r="O528" s="118"/>
      <c r="P528" s="118"/>
      <c r="Q528" s="131"/>
    </row>
    <row r="529" ht="22.5" customHeight="1">
      <c r="A529" s="118"/>
      <c r="B529" s="119"/>
      <c r="C529" s="120"/>
      <c r="D529" s="121"/>
      <c r="E529" s="121"/>
      <c r="F529" s="122"/>
      <c r="G529" s="123"/>
      <c r="H529" s="124"/>
      <c r="I529" s="125"/>
      <c r="J529" s="126"/>
      <c r="K529" s="127"/>
      <c r="L529" s="128"/>
      <c r="M529" s="129"/>
      <c r="N529" s="130"/>
      <c r="O529" s="118"/>
      <c r="P529" s="118"/>
      <c r="Q529" s="131"/>
    </row>
    <row r="530" ht="22.5" customHeight="1">
      <c r="A530" s="118"/>
      <c r="B530" s="119"/>
      <c r="C530" s="120"/>
      <c r="D530" s="121"/>
      <c r="E530" s="121"/>
      <c r="F530" s="122"/>
      <c r="G530" s="123"/>
      <c r="H530" s="124"/>
      <c r="I530" s="125"/>
      <c r="J530" s="126"/>
      <c r="K530" s="127"/>
      <c r="L530" s="128"/>
      <c r="M530" s="129"/>
      <c r="N530" s="130"/>
      <c r="O530" s="118"/>
      <c r="P530" s="118"/>
      <c r="Q530" s="131"/>
    </row>
    <row r="531" ht="22.5" customHeight="1">
      <c r="A531" s="118"/>
      <c r="B531" s="119"/>
      <c r="C531" s="120"/>
      <c r="D531" s="121"/>
      <c r="E531" s="121"/>
      <c r="F531" s="122"/>
      <c r="G531" s="123"/>
      <c r="H531" s="124"/>
      <c r="I531" s="125"/>
      <c r="J531" s="126"/>
      <c r="K531" s="127"/>
      <c r="L531" s="128"/>
      <c r="M531" s="129"/>
      <c r="N531" s="130"/>
      <c r="O531" s="118"/>
      <c r="P531" s="118"/>
      <c r="Q531" s="131"/>
    </row>
    <row r="532" ht="22.5" customHeight="1">
      <c r="A532" s="118"/>
      <c r="B532" s="119"/>
      <c r="C532" s="120"/>
      <c r="D532" s="121"/>
      <c r="E532" s="121"/>
      <c r="F532" s="122"/>
      <c r="G532" s="123"/>
      <c r="H532" s="124"/>
      <c r="I532" s="125"/>
      <c r="J532" s="126"/>
      <c r="K532" s="127"/>
      <c r="L532" s="128"/>
      <c r="M532" s="129"/>
      <c r="N532" s="130"/>
      <c r="O532" s="118"/>
      <c r="P532" s="118"/>
      <c r="Q532" s="131"/>
    </row>
    <row r="533" ht="22.5" customHeight="1">
      <c r="A533" s="118"/>
      <c r="B533" s="119"/>
      <c r="C533" s="120"/>
      <c r="D533" s="121"/>
      <c r="E533" s="121"/>
      <c r="F533" s="122"/>
      <c r="G533" s="123"/>
      <c r="H533" s="124"/>
      <c r="I533" s="125"/>
      <c r="J533" s="126"/>
      <c r="K533" s="127"/>
      <c r="L533" s="128"/>
      <c r="M533" s="129"/>
      <c r="N533" s="130"/>
      <c r="O533" s="118"/>
      <c r="P533" s="118"/>
      <c r="Q533" s="131"/>
    </row>
    <row r="534" ht="22.5" customHeight="1">
      <c r="A534" s="118"/>
      <c r="B534" s="119"/>
      <c r="C534" s="120"/>
      <c r="D534" s="121"/>
      <c r="E534" s="121"/>
      <c r="F534" s="122"/>
      <c r="G534" s="123"/>
      <c r="H534" s="124"/>
      <c r="I534" s="125"/>
      <c r="J534" s="126"/>
      <c r="K534" s="127"/>
      <c r="L534" s="128"/>
      <c r="M534" s="129"/>
      <c r="N534" s="130"/>
      <c r="O534" s="118"/>
      <c r="P534" s="118"/>
      <c r="Q534" s="131"/>
    </row>
    <row r="535" ht="22.5" customHeight="1">
      <c r="A535" s="118"/>
      <c r="B535" s="119"/>
      <c r="C535" s="120"/>
      <c r="D535" s="121"/>
      <c r="E535" s="121"/>
      <c r="F535" s="122"/>
      <c r="G535" s="123"/>
      <c r="H535" s="124"/>
      <c r="I535" s="125"/>
      <c r="J535" s="126"/>
      <c r="K535" s="127"/>
      <c r="L535" s="128"/>
      <c r="M535" s="129"/>
      <c r="N535" s="130"/>
      <c r="O535" s="118"/>
      <c r="P535" s="118"/>
      <c r="Q535" s="131"/>
    </row>
    <row r="536" ht="22.5" customHeight="1">
      <c r="A536" s="118"/>
      <c r="B536" s="119"/>
      <c r="C536" s="120"/>
      <c r="D536" s="121"/>
      <c r="E536" s="121"/>
      <c r="F536" s="122"/>
      <c r="G536" s="123"/>
      <c r="H536" s="124"/>
      <c r="I536" s="125"/>
      <c r="J536" s="126"/>
      <c r="K536" s="127"/>
      <c r="L536" s="128"/>
      <c r="M536" s="129"/>
      <c r="N536" s="130"/>
      <c r="O536" s="118"/>
      <c r="P536" s="118"/>
      <c r="Q536" s="131"/>
    </row>
    <row r="537" ht="22.5" customHeight="1">
      <c r="A537" s="118"/>
      <c r="B537" s="119"/>
      <c r="C537" s="120"/>
      <c r="D537" s="121"/>
      <c r="E537" s="121"/>
      <c r="F537" s="122"/>
      <c r="G537" s="123"/>
      <c r="H537" s="124"/>
      <c r="I537" s="125"/>
      <c r="J537" s="126"/>
      <c r="K537" s="127"/>
      <c r="L537" s="128"/>
      <c r="M537" s="129"/>
      <c r="N537" s="130"/>
      <c r="O537" s="118"/>
      <c r="P537" s="118"/>
      <c r="Q537" s="131"/>
    </row>
    <row r="538" ht="22.5" customHeight="1">
      <c r="A538" s="118"/>
      <c r="B538" s="119"/>
      <c r="C538" s="120"/>
      <c r="D538" s="121"/>
      <c r="E538" s="121"/>
      <c r="F538" s="122"/>
      <c r="G538" s="123"/>
      <c r="H538" s="124"/>
      <c r="I538" s="125"/>
      <c r="J538" s="126"/>
      <c r="K538" s="127"/>
      <c r="L538" s="128"/>
      <c r="M538" s="129"/>
      <c r="N538" s="130"/>
      <c r="O538" s="118"/>
      <c r="P538" s="118"/>
      <c r="Q538" s="131"/>
    </row>
    <row r="539" ht="22.5" customHeight="1">
      <c r="A539" s="118"/>
      <c r="B539" s="119"/>
      <c r="C539" s="120"/>
      <c r="D539" s="121"/>
      <c r="E539" s="121"/>
      <c r="F539" s="122"/>
      <c r="G539" s="123"/>
      <c r="H539" s="124"/>
      <c r="I539" s="125"/>
      <c r="J539" s="126"/>
      <c r="K539" s="127"/>
      <c r="L539" s="128"/>
      <c r="M539" s="129"/>
      <c r="N539" s="130"/>
      <c r="O539" s="118"/>
      <c r="P539" s="118"/>
      <c r="Q539" s="131"/>
    </row>
    <row r="540" ht="22.5" customHeight="1">
      <c r="A540" s="118"/>
      <c r="B540" s="119"/>
      <c r="C540" s="120"/>
      <c r="D540" s="121"/>
      <c r="E540" s="121"/>
      <c r="F540" s="122"/>
      <c r="G540" s="123"/>
      <c r="H540" s="124"/>
      <c r="I540" s="125"/>
      <c r="J540" s="126"/>
      <c r="K540" s="127"/>
      <c r="L540" s="128"/>
      <c r="M540" s="129"/>
      <c r="N540" s="130"/>
      <c r="O540" s="118"/>
      <c r="P540" s="118"/>
      <c r="Q540" s="131"/>
    </row>
    <row r="541" ht="22.5" customHeight="1">
      <c r="A541" s="118"/>
      <c r="B541" s="119"/>
      <c r="C541" s="120"/>
      <c r="D541" s="121"/>
      <c r="E541" s="121"/>
      <c r="F541" s="122"/>
      <c r="G541" s="123"/>
      <c r="H541" s="124"/>
      <c r="I541" s="125"/>
      <c r="J541" s="126"/>
      <c r="K541" s="127"/>
      <c r="L541" s="128"/>
      <c r="M541" s="129"/>
      <c r="N541" s="130"/>
      <c r="O541" s="118"/>
      <c r="P541" s="118"/>
      <c r="Q541" s="131"/>
    </row>
    <row r="542" ht="22.5" customHeight="1">
      <c r="A542" s="118"/>
      <c r="B542" s="119"/>
      <c r="C542" s="120"/>
      <c r="D542" s="121"/>
      <c r="E542" s="121"/>
      <c r="F542" s="122"/>
      <c r="G542" s="123"/>
      <c r="H542" s="124"/>
      <c r="I542" s="125"/>
      <c r="J542" s="126"/>
      <c r="K542" s="127"/>
      <c r="L542" s="128"/>
      <c r="M542" s="129"/>
      <c r="N542" s="130"/>
      <c r="O542" s="118"/>
      <c r="P542" s="118"/>
      <c r="Q542" s="131"/>
    </row>
    <row r="543" ht="22.5" customHeight="1">
      <c r="A543" s="118"/>
      <c r="B543" s="119"/>
      <c r="C543" s="120"/>
      <c r="D543" s="121"/>
      <c r="E543" s="121"/>
      <c r="F543" s="122"/>
      <c r="G543" s="123"/>
      <c r="H543" s="124"/>
      <c r="I543" s="125"/>
      <c r="J543" s="126"/>
      <c r="K543" s="127"/>
      <c r="L543" s="128"/>
      <c r="M543" s="129"/>
      <c r="N543" s="130"/>
      <c r="O543" s="118"/>
      <c r="P543" s="118"/>
      <c r="Q543" s="131"/>
    </row>
    <row r="544" ht="22.5" customHeight="1">
      <c r="A544" s="118"/>
      <c r="B544" s="119"/>
      <c r="C544" s="120"/>
      <c r="D544" s="121"/>
      <c r="E544" s="121"/>
      <c r="F544" s="122"/>
      <c r="G544" s="123"/>
      <c r="H544" s="124"/>
      <c r="I544" s="125"/>
      <c r="J544" s="126"/>
      <c r="K544" s="127"/>
      <c r="L544" s="128"/>
      <c r="M544" s="129"/>
      <c r="N544" s="130"/>
      <c r="O544" s="118"/>
      <c r="P544" s="118"/>
      <c r="Q544" s="131"/>
    </row>
    <row r="545" ht="22.5" customHeight="1">
      <c r="A545" s="118"/>
      <c r="B545" s="119"/>
      <c r="C545" s="120"/>
      <c r="D545" s="121"/>
      <c r="E545" s="121"/>
      <c r="F545" s="122"/>
      <c r="G545" s="123"/>
      <c r="H545" s="124"/>
      <c r="I545" s="125"/>
      <c r="J545" s="126"/>
      <c r="K545" s="127"/>
      <c r="L545" s="128"/>
      <c r="M545" s="129"/>
      <c r="N545" s="130"/>
      <c r="O545" s="118"/>
      <c r="P545" s="118"/>
      <c r="Q545" s="131"/>
    </row>
    <row r="546" ht="22.5" customHeight="1">
      <c r="A546" s="118"/>
      <c r="B546" s="119"/>
      <c r="C546" s="120"/>
      <c r="D546" s="121"/>
      <c r="E546" s="121"/>
      <c r="F546" s="122"/>
      <c r="G546" s="123"/>
      <c r="H546" s="124"/>
      <c r="I546" s="125"/>
      <c r="J546" s="126"/>
      <c r="K546" s="127"/>
      <c r="L546" s="128"/>
      <c r="M546" s="129"/>
      <c r="N546" s="130"/>
      <c r="O546" s="118"/>
      <c r="P546" s="118"/>
      <c r="Q546" s="131"/>
    </row>
    <row r="547" ht="22.5" customHeight="1">
      <c r="A547" s="118"/>
      <c r="B547" s="119"/>
      <c r="C547" s="120"/>
      <c r="D547" s="121"/>
      <c r="E547" s="121"/>
      <c r="F547" s="122"/>
      <c r="G547" s="123"/>
      <c r="H547" s="124"/>
      <c r="I547" s="125"/>
      <c r="J547" s="126"/>
      <c r="K547" s="127"/>
      <c r="L547" s="128"/>
      <c r="M547" s="129"/>
      <c r="N547" s="130"/>
      <c r="O547" s="118"/>
      <c r="P547" s="118"/>
      <c r="Q547" s="131"/>
    </row>
    <row r="548" ht="22.5" customHeight="1">
      <c r="A548" s="118"/>
      <c r="B548" s="119"/>
      <c r="C548" s="120"/>
      <c r="D548" s="121"/>
      <c r="E548" s="121"/>
      <c r="F548" s="122"/>
      <c r="G548" s="123"/>
      <c r="H548" s="124"/>
      <c r="I548" s="125"/>
      <c r="J548" s="126"/>
      <c r="K548" s="127"/>
      <c r="L548" s="128"/>
      <c r="M548" s="129"/>
      <c r="N548" s="130"/>
      <c r="O548" s="118"/>
      <c r="P548" s="118"/>
      <c r="Q548" s="131"/>
    </row>
    <row r="549" ht="22.5" customHeight="1">
      <c r="A549" s="118"/>
      <c r="B549" s="119"/>
      <c r="C549" s="120"/>
      <c r="D549" s="121"/>
      <c r="E549" s="121"/>
      <c r="F549" s="122"/>
      <c r="G549" s="123"/>
      <c r="H549" s="124"/>
      <c r="I549" s="125"/>
      <c r="J549" s="126"/>
      <c r="K549" s="127"/>
      <c r="L549" s="128"/>
      <c r="M549" s="129"/>
      <c r="N549" s="130"/>
      <c r="O549" s="118"/>
      <c r="P549" s="118"/>
      <c r="Q549" s="131"/>
    </row>
    <row r="550" ht="22.5" customHeight="1">
      <c r="A550" s="118"/>
      <c r="B550" s="119"/>
      <c r="C550" s="120"/>
      <c r="D550" s="121"/>
      <c r="E550" s="121"/>
      <c r="F550" s="122"/>
      <c r="G550" s="123"/>
      <c r="H550" s="124"/>
      <c r="I550" s="125"/>
      <c r="J550" s="126"/>
      <c r="K550" s="127"/>
      <c r="L550" s="128"/>
      <c r="M550" s="129"/>
      <c r="N550" s="130"/>
      <c r="O550" s="118"/>
      <c r="P550" s="118"/>
      <c r="Q550" s="131"/>
    </row>
    <row r="551" ht="22.5" customHeight="1">
      <c r="A551" s="118"/>
      <c r="B551" s="119"/>
      <c r="C551" s="120"/>
      <c r="D551" s="121"/>
      <c r="E551" s="121"/>
      <c r="F551" s="122"/>
      <c r="G551" s="123"/>
      <c r="H551" s="124"/>
      <c r="I551" s="125"/>
      <c r="J551" s="126"/>
      <c r="K551" s="127"/>
      <c r="L551" s="128"/>
      <c r="M551" s="129"/>
      <c r="N551" s="130"/>
      <c r="O551" s="118"/>
      <c r="P551" s="118"/>
      <c r="Q551" s="131"/>
    </row>
    <row r="552" ht="22.5" customHeight="1">
      <c r="A552" s="118"/>
      <c r="B552" s="119"/>
      <c r="C552" s="120"/>
      <c r="D552" s="121"/>
      <c r="E552" s="121"/>
      <c r="F552" s="122"/>
      <c r="G552" s="123"/>
      <c r="H552" s="124"/>
      <c r="I552" s="125"/>
      <c r="J552" s="126"/>
      <c r="K552" s="127"/>
      <c r="L552" s="128"/>
      <c r="M552" s="129"/>
      <c r="N552" s="130"/>
      <c r="O552" s="118"/>
      <c r="P552" s="118"/>
      <c r="Q552" s="131"/>
    </row>
    <row r="553" ht="22.5" customHeight="1">
      <c r="A553" s="118"/>
      <c r="B553" s="119"/>
      <c r="C553" s="120"/>
      <c r="D553" s="121"/>
      <c r="E553" s="121"/>
      <c r="F553" s="122"/>
      <c r="G553" s="123"/>
      <c r="H553" s="124"/>
      <c r="I553" s="125"/>
      <c r="J553" s="126"/>
      <c r="K553" s="127"/>
      <c r="L553" s="128"/>
      <c r="M553" s="129"/>
      <c r="N553" s="130"/>
      <c r="O553" s="118"/>
      <c r="P553" s="118"/>
      <c r="Q553" s="131"/>
    </row>
    <row r="554" ht="22.5" customHeight="1">
      <c r="A554" s="118"/>
      <c r="B554" s="119"/>
      <c r="C554" s="120"/>
      <c r="D554" s="121"/>
      <c r="E554" s="121"/>
      <c r="F554" s="122"/>
      <c r="G554" s="123"/>
      <c r="H554" s="124"/>
      <c r="I554" s="125"/>
      <c r="J554" s="126"/>
      <c r="K554" s="127"/>
      <c r="L554" s="128"/>
      <c r="M554" s="129"/>
      <c r="N554" s="130"/>
      <c r="O554" s="118"/>
      <c r="P554" s="118"/>
      <c r="Q554" s="131"/>
    </row>
    <row r="555" ht="22.5" customHeight="1">
      <c r="A555" s="118"/>
      <c r="B555" s="119"/>
      <c r="C555" s="120"/>
      <c r="D555" s="121"/>
      <c r="E555" s="121"/>
      <c r="F555" s="122"/>
      <c r="G555" s="123"/>
      <c r="H555" s="124"/>
      <c r="I555" s="125"/>
      <c r="J555" s="126"/>
      <c r="K555" s="127"/>
      <c r="L555" s="128"/>
      <c r="M555" s="129"/>
      <c r="N555" s="130"/>
      <c r="O555" s="118"/>
      <c r="P555" s="118"/>
      <c r="Q555" s="131"/>
    </row>
    <row r="556" ht="22.5" customHeight="1">
      <c r="A556" s="118"/>
      <c r="B556" s="119"/>
      <c r="C556" s="120"/>
      <c r="D556" s="121"/>
      <c r="E556" s="121"/>
      <c r="F556" s="122"/>
      <c r="G556" s="123"/>
      <c r="H556" s="124"/>
      <c r="I556" s="125"/>
      <c r="J556" s="126"/>
      <c r="K556" s="127"/>
      <c r="L556" s="128"/>
      <c r="M556" s="129"/>
      <c r="N556" s="130"/>
      <c r="O556" s="118"/>
      <c r="P556" s="118"/>
      <c r="Q556" s="131"/>
    </row>
    <row r="557" ht="22.5" customHeight="1">
      <c r="A557" s="118"/>
      <c r="B557" s="119"/>
      <c r="C557" s="120"/>
      <c r="D557" s="121"/>
      <c r="E557" s="121"/>
      <c r="F557" s="122"/>
      <c r="G557" s="123"/>
      <c r="H557" s="124"/>
      <c r="I557" s="125"/>
      <c r="J557" s="126"/>
      <c r="K557" s="127"/>
      <c r="L557" s="128"/>
      <c r="M557" s="129"/>
      <c r="N557" s="130"/>
      <c r="O557" s="118"/>
      <c r="P557" s="118"/>
      <c r="Q557" s="131"/>
    </row>
    <row r="558" ht="22.5" customHeight="1">
      <c r="A558" s="118"/>
      <c r="B558" s="119"/>
      <c r="C558" s="120"/>
      <c r="D558" s="121"/>
      <c r="E558" s="121"/>
      <c r="F558" s="122"/>
      <c r="G558" s="123"/>
      <c r="H558" s="124"/>
      <c r="I558" s="125"/>
      <c r="J558" s="126"/>
      <c r="K558" s="127"/>
      <c r="L558" s="128"/>
      <c r="M558" s="129"/>
      <c r="N558" s="130"/>
      <c r="O558" s="118"/>
      <c r="P558" s="118"/>
      <c r="Q558" s="131"/>
    </row>
    <row r="559" ht="22.5" customHeight="1">
      <c r="A559" s="118"/>
      <c r="B559" s="119"/>
      <c r="C559" s="120"/>
      <c r="D559" s="121"/>
      <c r="E559" s="121"/>
      <c r="F559" s="122"/>
      <c r="G559" s="123"/>
      <c r="H559" s="124"/>
      <c r="I559" s="125"/>
      <c r="J559" s="126"/>
      <c r="K559" s="127"/>
      <c r="L559" s="128"/>
      <c r="M559" s="129"/>
      <c r="N559" s="130"/>
      <c r="O559" s="118"/>
      <c r="P559" s="118"/>
      <c r="Q559" s="131"/>
    </row>
    <row r="560" ht="22.5" customHeight="1">
      <c r="A560" s="118"/>
      <c r="B560" s="119"/>
      <c r="C560" s="120"/>
      <c r="D560" s="121"/>
      <c r="E560" s="121"/>
      <c r="F560" s="122"/>
      <c r="G560" s="123"/>
      <c r="H560" s="124"/>
      <c r="I560" s="125"/>
      <c r="J560" s="126"/>
      <c r="K560" s="127"/>
      <c r="L560" s="128"/>
      <c r="M560" s="129"/>
      <c r="N560" s="130"/>
      <c r="O560" s="118"/>
      <c r="P560" s="118"/>
      <c r="Q560" s="131"/>
    </row>
    <row r="561" ht="22.5" customHeight="1">
      <c r="A561" s="118"/>
      <c r="B561" s="119"/>
      <c r="C561" s="120"/>
      <c r="D561" s="121"/>
      <c r="E561" s="121"/>
      <c r="F561" s="122"/>
      <c r="G561" s="123"/>
      <c r="H561" s="124"/>
      <c r="I561" s="125"/>
      <c r="J561" s="126"/>
      <c r="K561" s="127"/>
      <c r="L561" s="128"/>
      <c r="M561" s="129"/>
      <c r="N561" s="130"/>
      <c r="O561" s="118"/>
      <c r="P561" s="118"/>
      <c r="Q561" s="131"/>
    </row>
    <row r="562" ht="22.5" customHeight="1">
      <c r="A562" s="118"/>
      <c r="B562" s="119"/>
      <c r="C562" s="120"/>
      <c r="D562" s="121"/>
      <c r="E562" s="121"/>
      <c r="F562" s="122"/>
      <c r="G562" s="123"/>
      <c r="H562" s="124"/>
      <c r="I562" s="125"/>
      <c r="J562" s="126"/>
      <c r="K562" s="127"/>
      <c r="L562" s="128"/>
      <c r="M562" s="129"/>
      <c r="N562" s="130"/>
      <c r="O562" s="118"/>
      <c r="P562" s="118"/>
      <c r="Q562" s="131"/>
    </row>
    <row r="563" ht="22.5" customHeight="1">
      <c r="A563" s="118"/>
      <c r="B563" s="119"/>
      <c r="C563" s="120"/>
      <c r="D563" s="121"/>
      <c r="E563" s="121"/>
      <c r="F563" s="122"/>
      <c r="G563" s="123"/>
      <c r="H563" s="124"/>
      <c r="I563" s="125"/>
      <c r="J563" s="126"/>
      <c r="K563" s="127"/>
      <c r="L563" s="128"/>
      <c r="M563" s="129"/>
      <c r="N563" s="130"/>
      <c r="O563" s="118"/>
      <c r="P563" s="118"/>
      <c r="Q563" s="131"/>
    </row>
    <row r="564" ht="22.5" customHeight="1">
      <c r="A564" s="118"/>
      <c r="B564" s="119"/>
      <c r="C564" s="120"/>
      <c r="D564" s="121"/>
      <c r="E564" s="121"/>
      <c r="F564" s="122"/>
      <c r="G564" s="123"/>
      <c r="H564" s="124"/>
      <c r="I564" s="125"/>
      <c r="J564" s="126"/>
      <c r="K564" s="127"/>
      <c r="L564" s="128"/>
      <c r="M564" s="129"/>
      <c r="N564" s="130"/>
      <c r="O564" s="118"/>
      <c r="P564" s="118"/>
      <c r="Q564" s="131"/>
    </row>
    <row r="565" ht="22.5" customHeight="1">
      <c r="A565" s="118"/>
      <c r="B565" s="119"/>
      <c r="C565" s="120"/>
      <c r="D565" s="121"/>
      <c r="E565" s="121"/>
      <c r="F565" s="122"/>
      <c r="G565" s="123"/>
      <c r="H565" s="124"/>
      <c r="I565" s="125"/>
      <c r="J565" s="126"/>
      <c r="K565" s="127"/>
      <c r="L565" s="128"/>
      <c r="M565" s="129"/>
      <c r="N565" s="130"/>
      <c r="O565" s="118"/>
      <c r="P565" s="118"/>
      <c r="Q565" s="131"/>
    </row>
    <row r="566" ht="22.5" customHeight="1">
      <c r="A566" s="118"/>
      <c r="B566" s="119"/>
      <c r="C566" s="120"/>
      <c r="D566" s="121"/>
      <c r="E566" s="121"/>
      <c r="F566" s="122"/>
      <c r="G566" s="123"/>
      <c r="H566" s="124"/>
      <c r="I566" s="125"/>
      <c r="J566" s="126"/>
      <c r="K566" s="127"/>
      <c r="L566" s="128"/>
      <c r="M566" s="129"/>
      <c r="N566" s="130"/>
      <c r="O566" s="118"/>
      <c r="P566" s="118"/>
      <c r="Q566" s="131"/>
    </row>
    <row r="567" ht="22.5" customHeight="1">
      <c r="A567" s="118"/>
      <c r="B567" s="119"/>
      <c r="C567" s="120"/>
      <c r="D567" s="121"/>
      <c r="E567" s="121"/>
      <c r="F567" s="122"/>
      <c r="G567" s="123"/>
      <c r="H567" s="124"/>
      <c r="I567" s="125"/>
      <c r="J567" s="126"/>
      <c r="K567" s="127"/>
      <c r="L567" s="128"/>
      <c r="M567" s="129"/>
      <c r="N567" s="130"/>
      <c r="O567" s="118"/>
      <c r="P567" s="118"/>
      <c r="Q567" s="131"/>
    </row>
    <row r="568" ht="22.5" customHeight="1">
      <c r="A568" s="118"/>
      <c r="B568" s="119"/>
      <c r="C568" s="120"/>
      <c r="D568" s="121"/>
      <c r="E568" s="121"/>
      <c r="F568" s="122"/>
      <c r="G568" s="123"/>
      <c r="H568" s="124"/>
      <c r="I568" s="125"/>
      <c r="J568" s="126"/>
      <c r="K568" s="127"/>
      <c r="L568" s="128"/>
      <c r="M568" s="129"/>
      <c r="N568" s="130"/>
      <c r="O568" s="118"/>
      <c r="P568" s="118"/>
      <c r="Q568" s="131"/>
    </row>
    <row r="569" ht="22.5" customHeight="1">
      <c r="A569" s="118"/>
      <c r="B569" s="119"/>
      <c r="C569" s="120"/>
      <c r="D569" s="121"/>
      <c r="E569" s="121"/>
      <c r="F569" s="122"/>
      <c r="G569" s="123"/>
      <c r="H569" s="124"/>
      <c r="I569" s="125"/>
      <c r="J569" s="126"/>
      <c r="K569" s="127"/>
      <c r="L569" s="128"/>
      <c r="M569" s="129"/>
      <c r="N569" s="130"/>
      <c r="O569" s="118"/>
      <c r="P569" s="118"/>
      <c r="Q569" s="131"/>
    </row>
    <row r="570" ht="22.5" customHeight="1">
      <c r="A570" s="118"/>
      <c r="B570" s="119"/>
      <c r="C570" s="120"/>
      <c r="D570" s="121"/>
      <c r="E570" s="121"/>
      <c r="F570" s="122"/>
      <c r="G570" s="123"/>
      <c r="H570" s="124"/>
      <c r="I570" s="125"/>
      <c r="J570" s="126"/>
      <c r="K570" s="127"/>
      <c r="L570" s="128"/>
      <c r="M570" s="129"/>
      <c r="N570" s="130"/>
      <c r="O570" s="118"/>
      <c r="P570" s="118"/>
      <c r="Q570" s="131"/>
    </row>
    <row r="571" ht="22.5" customHeight="1">
      <c r="A571" s="118"/>
      <c r="B571" s="119"/>
      <c r="C571" s="120"/>
      <c r="D571" s="121"/>
      <c r="E571" s="121"/>
      <c r="F571" s="122"/>
      <c r="G571" s="123"/>
      <c r="H571" s="124"/>
      <c r="I571" s="125"/>
      <c r="J571" s="126"/>
      <c r="K571" s="127"/>
      <c r="L571" s="128"/>
      <c r="M571" s="129"/>
      <c r="N571" s="130"/>
      <c r="O571" s="118"/>
      <c r="P571" s="118"/>
      <c r="Q571" s="131"/>
    </row>
    <row r="572" ht="22.5" customHeight="1">
      <c r="A572" s="118"/>
      <c r="B572" s="119"/>
      <c r="C572" s="120"/>
      <c r="D572" s="121"/>
      <c r="E572" s="121"/>
      <c r="F572" s="122"/>
      <c r="G572" s="123"/>
      <c r="H572" s="124"/>
      <c r="I572" s="125"/>
      <c r="J572" s="126"/>
      <c r="K572" s="127"/>
      <c r="L572" s="128"/>
      <c r="M572" s="129"/>
      <c r="N572" s="130"/>
      <c r="O572" s="118"/>
      <c r="P572" s="118"/>
      <c r="Q572" s="131"/>
    </row>
    <row r="573" ht="22.5" customHeight="1">
      <c r="A573" s="118"/>
      <c r="B573" s="119"/>
      <c r="C573" s="120"/>
      <c r="D573" s="121"/>
      <c r="E573" s="121"/>
      <c r="F573" s="122"/>
      <c r="G573" s="123"/>
      <c r="H573" s="124"/>
      <c r="I573" s="125"/>
      <c r="J573" s="126"/>
      <c r="K573" s="127"/>
      <c r="L573" s="128"/>
      <c r="M573" s="129"/>
      <c r="N573" s="130"/>
      <c r="O573" s="118"/>
      <c r="P573" s="118"/>
      <c r="Q573" s="131"/>
    </row>
    <row r="574" ht="22.5" customHeight="1">
      <c r="A574" s="118"/>
      <c r="B574" s="119"/>
      <c r="C574" s="120"/>
      <c r="D574" s="121"/>
      <c r="E574" s="121"/>
      <c r="F574" s="122"/>
      <c r="G574" s="123"/>
      <c r="H574" s="124"/>
      <c r="I574" s="125"/>
      <c r="J574" s="126"/>
      <c r="K574" s="127"/>
      <c r="L574" s="128"/>
      <c r="M574" s="129"/>
      <c r="N574" s="130"/>
      <c r="O574" s="118"/>
      <c r="P574" s="118"/>
      <c r="Q574" s="131"/>
    </row>
    <row r="575" ht="22.5" customHeight="1">
      <c r="A575" s="118"/>
      <c r="B575" s="119"/>
      <c r="C575" s="120"/>
      <c r="D575" s="121"/>
      <c r="E575" s="121"/>
      <c r="F575" s="122"/>
      <c r="G575" s="123"/>
      <c r="H575" s="124"/>
      <c r="I575" s="125"/>
      <c r="J575" s="126"/>
      <c r="K575" s="127"/>
      <c r="L575" s="128"/>
      <c r="M575" s="129"/>
      <c r="N575" s="130"/>
      <c r="O575" s="118"/>
      <c r="P575" s="118"/>
      <c r="Q575" s="131"/>
    </row>
    <row r="576" ht="22.5" customHeight="1">
      <c r="A576" s="118"/>
      <c r="B576" s="119"/>
      <c r="C576" s="120"/>
      <c r="D576" s="121"/>
      <c r="E576" s="121"/>
      <c r="F576" s="122"/>
      <c r="G576" s="123"/>
      <c r="H576" s="124"/>
      <c r="I576" s="125"/>
      <c r="J576" s="126"/>
      <c r="K576" s="127"/>
      <c r="L576" s="128"/>
      <c r="M576" s="129"/>
      <c r="N576" s="130"/>
      <c r="O576" s="118"/>
      <c r="P576" s="118"/>
      <c r="Q576" s="131"/>
    </row>
    <row r="577" ht="22.5" customHeight="1">
      <c r="A577" s="118"/>
      <c r="B577" s="119"/>
      <c r="C577" s="120"/>
      <c r="D577" s="121"/>
      <c r="E577" s="121"/>
      <c r="F577" s="122"/>
      <c r="G577" s="123"/>
      <c r="H577" s="124"/>
      <c r="I577" s="125"/>
      <c r="J577" s="126"/>
      <c r="K577" s="127"/>
      <c r="L577" s="128"/>
      <c r="M577" s="129"/>
      <c r="N577" s="130"/>
      <c r="O577" s="118"/>
      <c r="P577" s="118"/>
      <c r="Q577" s="131"/>
    </row>
    <row r="578" ht="22.5" customHeight="1">
      <c r="A578" s="118"/>
      <c r="B578" s="119"/>
      <c r="C578" s="120"/>
      <c r="D578" s="121"/>
      <c r="E578" s="121"/>
      <c r="F578" s="122"/>
      <c r="G578" s="123"/>
      <c r="H578" s="124"/>
      <c r="I578" s="125"/>
      <c r="J578" s="126"/>
      <c r="K578" s="127"/>
      <c r="L578" s="128"/>
      <c r="M578" s="129"/>
      <c r="N578" s="130"/>
      <c r="O578" s="118"/>
      <c r="P578" s="118"/>
      <c r="Q578" s="131"/>
    </row>
    <row r="579" ht="22.5" customHeight="1">
      <c r="A579" s="118"/>
      <c r="B579" s="119"/>
      <c r="C579" s="120"/>
      <c r="D579" s="121"/>
      <c r="E579" s="121"/>
      <c r="F579" s="122"/>
      <c r="G579" s="123"/>
      <c r="H579" s="124"/>
      <c r="I579" s="125"/>
      <c r="J579" s="126"/>
      <c r="K579" s="127"/>
      <c r="L579" s="128"/>
      <c r="M579" s="129"/>
      <c r="N579" s="130"/>
      <c r="O579" s="118"/>
      <c r="P579" s="118"/>
      <c r="Q579" s="131"/>
    </row>
    <row r="580" ht="22.5" customHeight="1">
      <c r="A580" s="118"/>
      <c r="B580" s="119"/>
      <c r="C580" s="120"/>
      <c r="D580" s="121"/>
      <c r="E580" s="121"/>
      <c r="F580" s="122"/>
      <c r="G580" s="123"/>
      <c r="H580" s="124"/>
      <c r="I580" s="125"/>
      <c r="J580" s="126"/>
      <c r="K580" s="127"/>
      <c r="L580" s="128"/>
      <c r="M580" s="129"/>
      <c r="N580" s="130"/>
      <c r="O580" s="118"/>
      <c r="P580" s="118"/>
      <c r="Q580" s="131"/>
    </row>
    <row r="581" ht="22.5" customHeight="1">
      <c r="A581" s="118"/>
      <c r="B581" s="119"/>
      <c r="C581" s="120"/>
      <c r="D581" s="121"/>
      <c r="E581" s="121"/>
      <c r="F581" s="122"/>
      <c r="G581" s="123"/>
      <c r="H581" s="124"/>
      <c r="I581" s="125"/>
      <c r="J581" s="126"/>
      <c r="K581" s="127"/>
      <c r="L581" s="128"/>
      <c r="M581" s="129"/>
      <c r="N581" s="130"/>
      <c r="O581" s="118"/>
      <c r="P581" s="118"/>
      <c r="Q581" s="131"/>
    </row>
    <row r="582" ht="22.5" customHeight="1">
      <c r="A582" s="118"/>
      <c r="B582" s="119"/>
      <c r="C582" s="120"/>
      <c r="D582" s="121"/>
      <c r="E582" s="121"/>
      <c r="F582" s="122"/>
      <c r="G582" s="123"/>
      <c r="H582" s="124"/>
      <c r="I582" s="125"/>
      <c r="J582" s="126"/>
      <c r="K582" s="127"/>
      <c r="L582" s="128"/>
      <c r="M582" s="129"/>
      <c r="N582" s="130"/>
      <c r="O582" s="118"/>
      <c r="P582" s="118"/>
      <c r="Q582" s="131"/>
    </row>
    <row r="583" ht="22.5" customHeight="1">
      <c r="A583" s="118"/>
      <c r="B583" s="119"/>
      <c r="C583" s="120"/>
      <c r="D583" s="121"/>
      <c r="E583" s="121"/>
      <c r="F583" s="122"/>
      <c r="G583" s="123"/>
      <c r="H583" s="124"/>
      <c r="I583" s="125"/>
      <c r="J583" s="126"/>
      <c r="K583" s="127"/>
      <c r="L583" s="128"/>
      <c r="M583" s="129"/>
      <c r="N583" s="130"/>
      <c r="O583" s="118"/>
      <c r="P583" s="118"/>
      <c r="Q583" s="131"/>
    </row>
    <row r="584" ht="22.5" customHeight="1">
      <c r="A584" s="118"/>
      <c r="B584" s="119"/>
      <c r="C584" s="120"/>
      <c r="D584" s="121"/>
      <c r="E584" s="121"/>
      <c r="F584" s="122"/>
      <c r="G584" s="123"/>
      <c r="H584" s="124"/>
      <c r="I584" s="125"/>
      <c r="J584" s="126"/>
      <c r="K584" s="127"/>
      <c r="L584" s="128"/>
      <c r="M584" s="129"/>
      <c r="N584" s="130"/>
      <c r="O584" s="118"/>
      <c r="P584" s="118"/>
      <c r="Q584" s="131"/>
    </row>
    <row r="585" ht="22.5" customHeight="1">
      <c r="A585" s="118"/>
      <c r="B585" s="119"/>
      <c r="C585" s="120"/>
      <c r="D585" s="121"/>
      <c r="E585" s="121"/>
      <c r="F585" s="122"/>
      <c r="G585" s="123"/>
      <c r="H585" s="124"/>
      <c r="I585" s="125"/>
      <c r="J585" s="126"/>
      <c r="K585" s="127"/>
      <c r="L585" s="128"/>
      <c r="M585" s="129"/>
      <c r="N585" s="130"/>
      <c r="O585" s="118"/>
      <c r="P585" s="118"/>
      <c r="Q585" s="131"/>
    </row>
    <row r="586" ht="22.5" customHeight="1">
      <c r="A586" s="118"/>
      <c r="B586" s="119"/>
      <c r="C586" s="120"/>
      <c r="D586" s="121"/>
      <c r="E586" s="121"/>
      <c r="F586" s="122"/>
      <c r="G586" s="123"/>
      <c r="H586" s="124"/>
      <c r="I586" s="125"/>
      <c r="J586" s="126"/>
      <c r="K586" s="127"/>
      <c r="L586" s="128"/>
      <c r="M586" s="129"/>
      <c r="N586" s="130"/>
      <c r="O586" s="118"/>
      <c r="P586" s="118"/>
      <c r="Q586" s="131"/>
    </row>
    <row r="587" ht="22.5" customHeight="1">
      <c r="A587" s="118"/>
      <c r="B587" s="119"/>
      <c r="C587" s="120"/>
      <c r="D587" s="121"/>
      <c r="E587" s="121"/>
      <c r="F587" s="122"/>
      <c r="G587" s="123"/>
      <c r="H587" s="124"/>
      <c r="I587" s="125"/>
      <c r="J587" s="126"/>
      <c r="K587" s="127"/>
      <c r="L587" s="128"/>
      <c r="M587" s="129"/>
      <c r="N587" s="130"/>
      <c r="O587" s="118"/>
      <c r="P587" s="118"/>
      <c r="Q587" s="131"/>
    </row>
    <row r="588" ht="22.5" customHeight="1">
      <c r="A588" s="118"/>
      <c r="B588" s="119"/>
      <c r="C588" s="120"/>
      <c r="D588" s="121"/>
      <c r="E588" s="121"/>
      <c r="F588" s="122"/>
      <c r="G588" s="123"/>
      <c r="H588" s="124"/>
      <c r="I588" s="125"/>
      <c r="J588" s="126"/>
      <c r="K588" s="127"/>
      <c r="L588" s="128"/>
      <c r="M588" s="129"/>
      <c r="N588" s="130"/>
      <c r="O588" s="118"/>
      <c r="P588" s="118"/>
      <c r="Q588" s="131"/>
    </row>
    <row r="589" ht="22.5" customHeight="1">
      <c r="A589" s="118"/>
      <c r="B589" s="119"/>
      <c r="C589" s="120"/>
      <c r="D589" s="121"/>
      <c r="E589" s="121"/>
      <c r="F589" s="122"/>
      <c r="G589" s="123"/>
      <c r="H589" s="124"/>
      <c r="I589" s="125"/>
      <c r="J589" s="126"/>
      <c r="K589" s="127"/>
      <c r="L589" s="128"/>
      <c r="M589" s="129"/>
      <c r="N589" s="130"/>
      <c r="O589" s="118"/>
      <c r="P589" s="118"/>
      <c r="Q589" s="131"/>
    </row>
    <row r="590" ht="22.5" customHeight="1">
      <c r="A590" s="118"/>
      <c r="B590" s="119"/>
      <c r="C590" s="120"/>
      <c r="D590" s="121"/>
      <c r="E590" s="121"/>
      <c r="F590" s="122"/>
      <c r="G590" s="123"/>
      <c r="H590" s="124"/>
      <c r="I590" s="125"/>
      <c r="J590" s="126"/>
      <c r="K590" s="127"/>
      <c r="L590" s="128"/>
      <c r="M590" s="129"/>
      <c r="N590" s="130"/>
      <c r="O590" s="118"/>
      <c r="P590" s="118"/>
      <c r="Q590" s="131"/>
    </row>
    <row r="591" ht="22.5" customHeight="1">
      <c r="A591" s="118"/>
      <c r="B591" s="119"/>
      <c r="C591" s="120"/>
      <c r="D591" s="121"/>
      <c r="E591" s="121"/>
      <c r="F591" s="122"/>
      <c r="G591" s="123"/>
      <c r="H591" s="124"/>
      <c r="I591" s="125"/>
      <c r="J591" s="126"/>
      <c r="K591" s="127"/>
      <c r="L591" s="128"/>
      <c r="M591" s="129"/>
      <c r="N591" s="130"/>
      <c r="O591" s="118"/>
      <c r="P591" s="118"/>
      <c r="Q591" s="131"/>
    </row>
    <row r="592" ht="22.5" customHeight="1">
      <c r="A592" s="118"/>
      <c r="B592" s="119"/>
      <c r="C592" s="120"/>
      <c r="D592" s="121"/>
      <c r="E592" s="121"/>
      <c r="F592" s="122"/>
      <c r="G592" s="123"/>
      <c r="H592" s="124"/>
      <c r="I592" s="125"/>
      <c r="J592" s="126"/>
      <c r="K592" s="127"/>
      <c r="L592" s="128"/>
      <c r="M592" s="129"/>
      <c r="N592" s="130"/>
      <c r="O592" s="118"/>
      <c r="P592" s="118"/>
      <c r="Q592" s="131"/>
    </row>
    <row r="593" ht="22.5" customHeight="1">
      <c r="A593" s="118"/>
      <c r="B593" s="119"/>
      <c r="C593" s="120"/>
      <c r="D593" s="121"/>
      <c r="E593" s="121"/>
      <c r="F593" s="122"/>
      <c r="G593" s="123"/>
      <c r="H593" s="124"/>
      <c r="I593" s="125"/>
      <c r="J593" s="126"/>
      <c r="K593" s="127"/>
      <c r="L593" s="128"/>
      <c r="M593" s="129"/>
      <c r="N593" s="130"/>
      <c r="O593" s="118"/>
      <c r="P593" s="118"/>
      <c r="Q593" s="131"/>
    </row>
    <row r="594" ht="22.5" customHeight="1">
      <c r="A594" s="118"/>
      <c r="B594" s="119"/>
      <c r="C594" s="120"/>
      <c r="D594" s="121"/>
      <c r="E594" s="121"/>
      <c r="F594" s="122"/>
      <c r="G594" s="123"/>
      <c r="H594" s="124"/>
      <c r="I594" s="125"/>
      <c r="J594" s="126"/>
      <c r="K594" s="127"/>
      <c r="L594" s="128"/>
      <c r="M594" s="129"/>
      <c r="N594" s="130"/>
      <c r="O594" s="118"/>
      <c r="P594" s="118"/>
      <c r="Q594" s="131"/>
    </row>
    <row r="595" ht="22.5" customHeight="1">
      <c r="A595" s="118"/>
      <c r="B595" s="119"/>
      <c r="C595" s="120"/>
      <c r="D595" s="121"/>
      <c r="E595" s="121"/>
      <c r="F595" s="122"/>
      <c r="G595" s="123"/>
      <c r="H595" s="124"/>
      <c r="I595" s="125"/>
      <c r="J595" s="126"/>
      <c r="K595" s="127"/>
      <c r="L595" s="128"/>
      <c r="M595" s="129"/>
      <c r="N595" s="130"/>
      <c r="O595" s="118"/>
      <c r="P595" s="118"/>
      <c r="Q595" s="131"/>
    </row>
    <row r="596" ht="22.5" customHeight="1">
      <c r="A596" s="118"/>
      <c r="B596" s="119"/>
      <c r="C596" s="120"/>
      <c r="D596" s="121"/>
      <c r="E596" s="121"/>
      <c r="F596" s="122"/>
      <c r="G596" s="123"/>
      <c r="H596" s="124"/>
      <c r="I596" s="125"/>
      <c r="J596" s="126"/>
      <c r="K596" s="127"/>
      <c r="L596" s="128"/>
      <c r="M596" s="129"/>
      <c r="N596" s="130"/>
      <c r="O596" s="118"/>
      <c r="P596" s="118"/>
      <c r="Q596" s="131"/>
    </row>
    <row r="597" ht="22.5" customHeight="1">
      <c r="A597" s="118"/>
      <c r="B597" s="119"/>
      <c r="C597" s="120"/>
      <c r="D597" s="121"/>
      <c r="E597" s="121"/>
      <c r="F597" s="122"/>
      <c r="G597" s="123"/>
      <c r="H597" s="124"/>
      <c r="I597" s="125"/>
      <c r="J597" s="126"/>
      <c r="K597" s="127"/>
      <c r="L597" s="128"/>
      <c r="M597" s="129"/>
      <c r="N597" s="130"/>
      <c r="O597" s="118"/>
      <c r="P597" s="118"/>
      <c r="Q597" s="131"/>
    </row>
    <row r="598" ht="22.5" customHeight="1">
      <c r="A598" s="118"/>
      <c r="B598" s="119"/>
      <c r="C598" s="120"/>
      <c r="D598" s="121"/>
      <c r="E598" s="121"/>
      <c r="F598" s="122"/>
      <c r="G598" s="123"/>
      <c r="H598" s="124"/>
      <c r="I598" s="125"/>
      <c r="J598" s="126"/>
      <c r="K598" s="127"/>
      <c r="L598" s="128"/>
      <c r="M598" s="129"/>
      <c r="N598" s="130"/>
      <c r="O598" s="118"/>
      <c r="P598" s="118"/>
      <c r="Q598" s="131"/>
    </row>
    <row r="599" ht="22.5" customHeight="1">
      <c r="A599" s="118"/>
      <c r="B599" s="119"/>
      <c r="C599" s="120"/>
      <c r="D599" s="121"/>
      <c r="E599" s="121"/>
      <c r="F599" s="122"/>
      <c r="G599" s="123"/>
      <c r="H599" s="124"/>
      <c r="I599" s="125"/>
      <c r="J599" s="126"/>
      <c r="K599" s="127"/>
      <c r="L599" s="128"/>
      <c r="M599" s="129"/>
      <c r="N599" s="130"/>
      <c r="O599" s="118"/>
      <c r="P599" s="118"/>
      <c r="Q599" s="131"/>
    </row>
    <row r="600" ht="22.5" customHeight="1">
      <c r="A600" s="118"/>
      <c r="B600" s="119"/>
      <c r="C600" s="120"/>
      <c r="D600" s="121"/>
      <c r="E600" s="121"/>
      <c r="F600" s="122"/>
      <c r="G600" s="123"/>
      <c r="H600" s="124"/>
      <c r="I600" s="125"/>
      <c r="J600" s="126"/>
      <c r="K600" s="127"/>
      <c r="L600" s="128"/>
      <c r="M600" s="129"/>
      <c r="N600" s="130"/>
      <c r="O600" s="118"/>
      <c r="P600" s="118"/>
      <c r="Q600" s="131"/>
    </row>
    <row r="601" ht="22.5" customHeight="1">
      <c r="A601" s="118"/>
      <c r="B601" s="119"/>
      <c r="C601" s="120"/>
      <c r="D601" s="121"/>
      <c r="E601" s="121"/>
      <c r="F601" s="122"/>
      <c r="G601" s="123"/>
      <c r="H601" s="124"/>
      <c r="I601" s="125"/>
      <c r="J601" s="126"/>
      <c r="K601" s="127"/>
      <c r="L601" s="128"/>
      <c r="M601" s="129"/>
      <c r="N601" s="130"/>
      <c r="O601" s="118"/>
      <c r="P601" s="118"/>
      <c r="Q601" s="131"/>
    </row>
    <row r="602" ht="22.5" customHeight="1">
      <c r="A602" s="118"/>
      <c r="B602" s="119"/>
      <c r="C602" s="120"/>
      <c r="D602" s="121"/>
      <c r="E602" s="121"/>
      <c r="F602" s="122"/>
      <c r="G602" s="123"/>
      <c r="H602" s="124"/>
      <c r="I602" s="125"/>
      <c r="J602" s="126"/>
      <c r="K602" s="127"/>
      <c r="L602" s="128"/>
      <c r="M602" s="129"/>
      <c r="N602" s="130"/>
      <c r="O602" s="118"/>
      <c r="P602" s="118"/>
      <c r="Q602" s="131"/>
    </row>
    <row r="603" ht="22.5" customHeight="1">
      <c r="A603" s="118"/>
      <c r="B603" s="119"/>
      <c r="C603" s="120"/>
      <c r="D603" s="121"/>
      <c r="E603" s="121"/>
      <c r="F603" s="122"/>
      <c r="G603" s="123"/>
      <c r="H603" s="124"/>
      <c r="I603" s="125"/>
      <c r="J603" s="126"/>
      <c r="K603" s="127"/>
      <c r="L603" s="128"/>
      <c r="M603" s="129"/>
      <c r="N603" s="130"/>
      <c r="O603" s="118"/>
      <c r="P603" s="118"/>
      <c r="Q603" s="131"/>
    </row>
    <row r="604" ht="22.5" customHeight="1">
      <c r="A604" s="118"/>
      <c r="B604" s="119"/>
      <c r="C604" s="120"/>
      <c r="D604" s="121"/>
      <c r="E604" s="121"/>
      <c r="F604" s="122"/>
      <c r="G604" s="123"/>
      <c r="H604" s="124"/>
      <c r="I604" s="125"/>
      <c r="J604" s="126"/>
      <c r="K604" s="127"/>
      <c r="L604" s="128"/>
      <c r="M604" s="129"/>
      <c r="N604" s="130"/>
      <c r="O604" s="118"/>
      <c r="P604" s="118"/>
      <c r="Q604" s="131"/>
    </row>
    <row r="605" ht="22.5" customHeight="1">
      <c r="A605" s="118"/>
      <c r="B605" s="119"/>
      <c r="C605" s="120"/>
      <c r="D605" s="121"/>
      <c r="E605" s="121"/>
      <c r="F605" s="122"/>
      <c r="G605" s="123"/>
      <c r="H605" s="124"/>
      <c r="I605" s="125"/>
      <c r="J605" s="126"/>
      <c r="K605" s="127"/>
      <c r="L605" s="128"/>
      <c r="M605" s="129"/>
      <c r="N605" s="130"/>
      <c r="O605" s="118"/>
      <c r="P605" s="118"/>
      <c r="Q605" s="131"/>
    </row>
    <row r="606" ht="22.5" customHeight="1">
      <c r="A606" s="118"/>
      <c r="B606" s="119"/>
      <c r="C606" s="120"/>
      <c r="D606" s="121"/>
      <c r="E606" s="121"/>
      <c r="F606" s="122"/>
      <c r="G606" s="123"/>
      <c r="H606" s="124"/>
      <c r="I606" s="125"/>
      <c r="J606" s="126"/>
      <c r="K606" s="127"/>
      <c r="L606" s="128"/>
      <c r="M606" s="129"/>
      <c r="N606" s="130"/>
      <c r="O606" s="118"/>
      <c r="P606" s="118"/>
      <c r="Q606" s="131"/>
    </row>
    <row r="607" ht="22.5" customHeight="1">
      <c r="A607" s="118"/>
      <c r="B607" s="119"/>
      <c r="C607" s="120"/>
      <c r="D607" s="121"/>
      <c r="E607" s="121"/>
      <c r="F607" s="122"/>
      <c r="G607" s="123"/>
      <c r="H607" s="124"/>
      <c r="I607" s="125"/>
      <c r="J607" s="126"/>
      <c r="K607" s="127"/>
      <c r="L607" s="128"/>
      <c r="M607" s="129"/>
      <c r="N607" s="130"/>
      <c r="O607" s="118"/>
      <c r="P607" s="118"/>
      <c r="Q607" s="131"/>
    </row>
    <row r="608" ht="22.5" customHeight="1">
      <c r="A608" s="118"/>
      <c r="B608" s="119"/>
      <c r="C608" s="120"/>
      <c r="D608" s="121"/>
      <c r="E608" s="121"/>
      <c r="F608" s="122"/>
      <c r="G608" s="123"/>
      <c r="H608" s="124"/>
      <c r="I608" s="125"/>
      <c r="J608" s="126"/>
      <c r="K608" s="127"/>
      <c r="L608" s="128"/>
      <c r="M608" s="129"/>
      <c r="N608" s="130"/>
      <c r="O608" s="118"/>
      <c r="P608" s="118"/>
      <c r="Q608" s="131"/>
    </row>
    <row r="609" ht="22.5" customHeight="1">
      <c r="A609" s="118"/>
      <c r="B609" s="119"/>
      <c r="C609" s="120"/>
      <c r="D609" s="121"/>
      <c r="E609" s="121"/>
      <c r="F609" s="122"/>
      <c r="G609" s="123"/>
      <c r="H609" s="124"/>
      <c r="I609" s="125"/>
      <c r="J609" s="126"/>
      <c r="K609" s="127"/>
      <c r="L609" s="128"/>
      <c r="M609" s="129"/>
      <c r="N609" s="130"/>
      <c r="O609" s="118"/>
      <c r="P609" s="118"/>
      <c r="Q609" s="131"/>
    </row>
    <row r="610" ht="22.5" customHeight="1">
      <c r="A610" s="118"/>
      <c r="B610" s="119"/>
      <c r="C610" s="120"/>
      <c r="D610" s="121"/>
      <c r="E610" s="121"/>
      <c r="F610" s="122"/>
      <c r="G610" s="123"/>
      <c r="H610" s="124"/>
      <c r="I610" s="125"/>
      <c r="J610" s="126"/>
      <c r="K610" s="127"/>
      <c r="L610" s="128"/>
      <c r="M610" s="129"/>
      <c r="N610" s="130"/>
      <c r="O610" s="118"/>
      <c r="P610" s="118"/>
      <c r="Q610" s="131"/>
    </row>
    <row r="611" ht="22.5" customHeight="1">
      <c r="A611" s="118"/>
      <c r="B611" s="119"/>
      <c r="C611" s="120"/>
      <c r="D611" s="121"/>
      <c r="E611" s="121"/>
      <c r="F611" s="122"/>
      <c r="G611" s="123"/>
      <c r="H611" s="124"/>
      <c r="I611" s="125"/>
      <c r="J611" s="126"/>
      <c r="K611" s="127"/>
      <c r="L611" s="128"/>
      <c r="M611" s="129"/>
      <c r="N611" s="130"/>
      <c r="O611" s="118"/>
      <c r="P611" s="118"/>
      <c r="Q611" s="131"/>
    </row>
    <row r="612" ht="22.5" customHeight="1">
      <c r="A612" s="118"/>
      <c r="B612" s="119"/>
      <c r="C612" s="120"/>
      <c r="D612" s="121"/>
      <c r="E612" s="121"/>
      <c r="F612" s="122"/>
      <c r="G612" s="123"/>
      <c r="H612" s="124"/>
      <c r="I612" s="125"/>
      <c r="J612" s="126"/>
      <c r="K612" s="127"/>
      <c r="L612" s="128"/>
      <c r="M612" s="129"/>
      <c r="N612" s="130"/>
      <c r="O612" s="118"/>
      <c r="P612" s="118"/>
      <c r="Q612" s="131"/>
    </row>
    <row r="613" ht="22.5" customHeight="1">
      <c r="A613" s="118"/>
      <c r="B613" s="119"/>
      <c r="C613" s="120"/>
      <c r="D613" s="121"/>
      <c r="E613" s="121"/>
      <c r="F613" s="122"/>
      <c r="G613" s="123"/>
      <c r="H613" s="124"/>
      <c r="I613" s="125"/>
      <c r="J613" s="126"/>
      <c r="K613" s="127"/>
      <c r="L613" s="128"/>
      <c r="M613" s="129"/>
      <c r="N613" s="130"/>
      <c r="O613" s="118"/>
      <c r="P613" s="118"/>
      <c r="Q613" s="131"/>
    </row>
    <row r="614" ht="22.5" customHeight="1">
      <c r="A614" s="118"/>
      <c r="B614" s="119"/>
      <c r="C614" s="120"/>
      <c r="D614" s="121"/>
      <c r="E614" s="121"/>
      <c r="F614" s="122"/>
      <c r="G614" s="123"/>
      <c r="H614" s="124"/>
      <c r="I614" s="125"/>
      <c r="J614" s="126"/>
      <c r="K614" s="127"/>
      <c r="L614" s="128"/>
      <c r="M614" s="129"/>
      <c r="N614" s="130"/>
      <c r="O614" s="118"/>
      <c r="P614" s="118"/>
      <c r="Q614" s="131"/>
    </row>
    <row r="615" ht="22.5" customHeight="1">
      <c r="A615" s="118"/>
      <c r="B615" s="119"/>
      <c r="C615" s="120"/>
      <c r="D615" s="121"/>
      <c r="E615" s="121"/>
      <c r="F615" s="122"/>
      <c r="G615" s="123"/>
      <c r="H615" s="124"/>
      <c r="I615" s="125"/>
      <c r="J615" s="126"/>
      <c r="K615" s="127"/>
      <c r="L615" s="128"/>
      <c r="M615" s="129"/>
      <c r="N615" s="130"/>
      <c r="O615" s="118"/>
      <c r="P615" s="118"/>
      <c r="Q615" s="131"/>
    </row>
    <row r="616" ht="22.5" customHeight="1">
      <c r="A616" s="118"/>
      <c r="B616" s="119"/>
      <c r="C616" s="120"/>
      <c r="D616" s="121"/>
      <c r="E616" s="121"/>
      <c r="F616" s="122"/>
      <c r="G616" s="123"/>
      <c r="H616" s="124"/>
      <c r="I616" s="125"/>
      <c r="J616" s="126"/>
      <c r="K616" s="127"/>
      <c r="L616" s="128"/>
      <c r="M616" s="129"/>
      <c r="N616" s="130"/>
      <c r="O616" s="118"/>
      <c r="P616" s="118"/>
      <c r="Q616" s="131"/>
    </row>
    <row r="617" ht="22.5" customHeight="1">
      <c r="A617" s="118"/>
      <c r="B617" s="119"/>
      <c r="C617" s="120"/>
      <c r="D617" s="121"/>
      <c r="E617" s="121"/>
      <c r="F617" s="122"/>
      <c r="G617" s="123"/>
      <c r="H617" s="124"/>
      <c r="I617" s="125"/>
      <c r="J617" s="126"/>
      <c r="K617" s="127"/>
      <c r="L617" s="128"/>
      <c r="M617" s="129"/>
      <c r="N617" s="130"/>
      <c r="O617" s="118"/>
      <c r="P617" s="118"/>
      <c r="Q617" s="131"/>
    </row>
    <row r="618" ht="22.5" customHeight="1">
      <c r="A618" s="118"/>
      <c r="B618" s="119"/>
      <c r="C618" s="120"/>
      <c r="D618" s="121"/>
      <c r="E618" s="121"/>
      <c r="F618" s="122"/>
      <c r="G618" s="123"/>
      <c r="H618" s="124"/>
      <c r="I618" s="125"/>
      <c r="J618" s="126"/>
      <c r="K618" s="127"/>
      <c r="L618" s="128"/>
      <c r="M618" s="129"/>
      <c r="N618" s="130"/>
      <c r="O618" s="118"/>
      <c r="P618" s="118"/>
      <c r="Q618" s="131"/>
    </row>
    <row r="619" ht="22.5" customHeight="1">
      <c r="A619" s="118"/>
      <c r="B619" s="119"/>
      <c r="C619" s="120"/>
      <c r="D619" s="121"/>
      <c r="E619" s="121"/>
      <c r="F619" s="122"/>
      <c r="G619" s="123"/>
      <c r="H619" s="124"/>
      <c r="I619" s="125"/>
      <c r="J619" s="126"/>
      <c r="K619" s="127"/>
      <c r="L619" s="128"/>
      <c r="M619" s="129"/>
      <c r="N619" s="130"/>
      <c r="O619" s="118"/>
      <c r="P619" s="118"/>
      <c r="Q619" s="131"/>
    </row>
    <row r="620" ht="22.5" customHeight="1">
      <c r="A620" s="118"/>
      <c r="B620" s="119"/>
      <c r="C620" s="120"/>
      <c r="D620" s="121"/>
      <c r="E620" s="121"/>
      <c r="F620" s="122"/>
      <c r="G620" s="123"/>
      <c r="H620" s="124"/>
      <c r="I620" s="125"/>
      <c r="J620" s="126"/>
      <c r="K620" s="127"/>
      <c r="L620" s="128"/>
      <c r="M620" s="129"/>
      <c r="N620" s="130"/>
      <c r="O620" s="118"/>
      <c r="P620" s="118"/>
      <c r="Q620" s="131"/>
    </row>
    <row r="621" ht="22.5" customHeight="1">
      <c r="A621" s="118"/>
      <c r="B621" s="119"/>
      <c r="C621" s="120"/>
      <c r="D621" s="121"/>
      <c r="E621" s="121"/>
      <c r="F621" s="122"/>
      <c r="G621" s="123"/>
      <c r="H621" s="124"/>
      <c r="I621" s="125"/>
      <c r="J621" s="126"/>
      <c r="K621" s="127"/>
      <c r="L621" s="128"/>
      <c r="M621" s="129"/>
      <c r="N621" s="130"/>
      <c r="O621" s="118"/>
      <c r="P621" s="118"/>
      <c r="Q621" s="131"/>
    </row>
    <row r="622" ht="22.5" customHeight="1">
      <c r="A622" s="118"/>
      <c r="B622" s="119"/>
      <c r="C622" s="120"/>
      <c r="D622" s="121"/>
      <c r="E622" s="121"/>
      <c r="F622" s="122"/>
      <c r="G622" s="123"/>
      <c r="H622" s="124"/>
      <c r="I622" s="125"/>
      <c r="J622" s="126"/>
      <c r="K622" s="127"/>
      <c r="L622" s="128"/>
      <c r="M622" s="129"/>
      <c r="N622" s="130"/>
      <c r="O622" s="118"/>
      <c r="P622" s="118"/>
      <c r="Q622" s="131"/>
    </row>
    <row r="623" ht="22.5" customHeight="1">
      <c r="A623" s="118"/>
      <c r="B623" s="119"/>
      <c r="C623" s="120"/>
      <c r="D623" s="121"/>
      <c r="E623" s="121"/>
      <c r="F623" s="122"/>
      <c r="G623" s="123"/>
      <c r="H623" s="124"/>
      <c r="I623" s="125"/>
      <c r="J623" s="126"/>
      <c r="K623" s="127"/>
      <c r="L623" s="128"/>
      <c r="M623" s="129"/>
      <c r="N623" s="130"/>
      <c r="O623" s="118"/>
      <c r="P623" s="118"/>
      <c r="Q623" s="131"/>
    </row>
    <row r="624" ht="22.5" customHeight="1">
      <c r="A624" s="118"/>
      <c r="B624" s="119"/>
      <c r="C624" s="120"/>
      <c r="D624" s="121"/>
      <c r="E624" s="121"/>
      <c r="F624" s="122"/>
      <c r="G624" s="123"/>
      <c r="H624" s="124"/>
      <c r="I624" s="125"/>
      <c r="J624" s="126"/>
      <c r="K624" s="127"/>
      <c r="L624" s="128"/>
      <c r="M624" s="129"/>
      <c r="N624" s="130"/>
      <c r="O624" s="118"/>
      <c r="P624" s="118"/>
      <c r="Q624" s="131"/>
    </row>
    <row r="625" ht="22.5" customHeight="1">
      <c r="A625" s="118"/>
      <c r="B625" s="119"/>
      <c r="C625" s="120"/>
      <c r="D625" s="121"/>
      <c r="E625" s="121"/>
      <c r="F625" s="122"/>
      <c r="G625" s="123"/>
      <c r="H625" s="124"/>
      <c r="I625" s="125"/>
      <c r="J625" s="126"/>
      <c r="K625" s="127"/>
      <c r="L625" s="128"/>
      <c r="M625" s="129"/>
      <c r="N625" s="130"/>
      <c r="O625" s="118"/>
      <c r="P625" s="118"/>
      <c r="Q625" s="131"/>
    </row>
    <row r="626" ht="22.5" customHeight="1">
      <c r="A626" s="118"/>
      <c r="B626" s="119"/>
      <c r="C626" s="120"/>
      <c r="D626" s="121"/>
      <c r="E626" s="121"/>
      <c r="F626" s="122"/>
      <c r="G626" s="123"/>
      <c r="H626" s="124"/>
      <c r="I626" s="125"/>
      <c r="J626" s="126"/>
      <c r="K626" s="127"/>
      <c r="L626" s="128"/>
      <c r="M626" s="129"/>
      <c r="N626" s="130"/>
      <c r="O626" s="118"/>
      <c r="P626" s="118"/>
      <c r="Q626" s="131"/>
    </row>
    <row r="627" ht="22.5" customHeight="1">
      <c r="A627" s="118"/>
      <c r="B627" s="119"/>
      <c r="C627" s="120"/>
      <c r="D627" s="121"/>
      <c r="E627" s="121"/>
      <c r="F627" s="122"/>
      <c r="G627" s="123"/>
      <c r="H627" s="124"/>
      <c r="I627" s="125"/>
      <c r="J627" s="126"/>
      <c r="K627" s="127"/>
      <c r="L627" s="128"/>
      <c r="M627" s="129"/>
      <c r="N627" s="130"/>
      <c r="O627" s="118"/>
      <c r="P627" s="118"/>
      <c r="Q627" s="131"/>
    </row>
    <row r="628" ht="22.5" customHeight="1">
      <c r="A628" s="118"/>
      <c r="B628" s="119"/>
      <c r="C628" s="120"/>
      <c r="D628" s="121"/>
      <c r="E628" s="121"/>
      <c r="F628" s="122"/>
      <c r="G628" s="123"/>
      <c r="H628" s="124"/>
      <c r="I628" s="125"/>
      <c r="J628" s="126"/>
      <c r="K628" s="127"/>
      <c r="L628" s="128"/>
      <c r="M628" s="129"/>
      <c r="N628" s="130"/>
      <c r="O628" s="118"/>
      <c r="P628" s="118"/>
      <c r="Q628" s="131"/>
    </row>
    <row r="629" ht="22.5" customHeight="1">
      <c r="A629" s="118"/>
      <c r="B629" s="119"/>
      <c r="C629" s="120"/>
      <c r="D629" s="121"/>
      <c r="E629" s="121"/>
      <c r="F629" s="122"/>
      <c r="G629" s="123"/>
      <c r="H629" s="124"/>
      <c r="I629" s="125"/>
      <c r="J629" s="126"/>
      <c r="K629" s="127"/>
      <c r="L629" s="128"/>
      <c r="M629" s="129"/>
      <c r="N629" s="130"/>
      <c r="O629" s="118"/>
      <c r="P629" s="118"/>
      <c r="Q629" s="131"/>
    </row>
    <row r="630" ht="22.5" customHeight="1">
      <c r="A630" s="118"/>
      <c r="B630" s="119"/>
      <c r="C630" s="120"/>
      <c r="D630" s="121"/>
      <c r="E630" s="121"/>
      <c r="F630" s="122"/>
      <c r="G630" s="123"/>
      <c r="H630" s="124"/>
      <c r="I630" s="125"/>
      <c r="J630" s="126"/>
      <c r="K630" s="127"/>
      <c r="L630" s="128"/>
      <c r="M630" s="129"/>
      <c r="N630" s="130"/>
      <c r="O630" s="118"/>
      <c r="P630" s="118"/>
      <c r="Q630" s="131"/>
    </row>
    <row r="631" ht="22.5" customHeight="1">
      <c r="A631" s="118"/>
      <c r="B631" s="119"/>
      <c r="C631" s="120"/>
      <c r="D631" s="121"/>
      <c r="E631" s="121"/>
      <c r="F631" s="122"/>
      <c r="G631" s="123"/>
      <c r="H631" s="124"/>
      <c r="I631" s="125"/>
      <c r="J631" s="126"/>
      <c r="K631" s="127"/>
      <c r="L631" s="128"/>
      <c r="M631" s="129"/>
      <c r="N631" s="130"/>
      <c r="O631" s="118"/>
      <c r="P631" s="118"/>
      <c r="Q631" s="131"/>
    </row>
    <row r="632" ht="22.5" customHeight="1">
      <c r="A632" s="118"/>
      <c r="B632" s="119"/>
      <c r="C632" s="120"/>
      <c r="D632" s="121"/>
      <c r="E632" s="121"/>
      <c r="F632" s="122"/>
      <c r="G632" s="123"/>
      <c r="H632" s="124"/>
      <c r="I632" s="125"/>
      <c r="J632" s="126"/>
      <c r="K632" s="127"/>
      <c r="L632" s="128"/>
      <c r="M632" s="129"/>
      <c r="N632" s="130"/>
      <c r="O632" s="118"/>
      <c r="P632" s="118"/>
      <c r="Q632" s="131"/>
    </row>
    <row r="633" ht="22.5" customHeight="1">
      <c r="A633" s="118"/>
      <c r="B633" s="119"/>
      <c r="C633" s="120"/>
      <c r="D633" s="121"/>
      <c r="E633" s="121"/>
      <c r="F633" s="122"/>
      <c r="G633" s="123"/>
      <c r="H633" s="124"/>
      <c r="I633" s="125"/>
      <c r="J633" s="126"/>
      <c r="K633" s="127"/>
      <c r="L633" s="128"/>
      <c r="M633" s="129"/>
      <c r="N633" s="130"/>
      <c r="O633" s="118"/>
      <c r="P633" s="118"/>
      <c r="Q633" s="131"/>
    </row>
    <row r="634" ht="22.5" customHeight="1">
      <c r="A634" s="118"/>
      <c r="B634" s="119"/>
      <c r="C634" s="120"/>
      <c r="D634" s="121"/>
      <c r="E634" s="121"/>
      <c r="F634" s="122"/>
      <c r="G634" s="123"/>
      <c r="H634" s="124"/>
      <c r="I634" s="125"/>
      <c r="J634" s="126"/>
      <c r="K634" s="127"/>
      <c r="L634" s="128"/>
      <c r="M634" s="129"/>
      <c r="N634" s="130"/>
      <c r="O634" s="118"/>
      <c r="P634" s="118"/>
      <c r="Q634" s="131"/>
    </row>
    <row r="635" ht="22.5" customHeight="1">
      <c r="A635" s="118"/>
      <c r="B635" s="119"/>
      <c r="C635" s="120"/>
      <c r="D635" s="121"/>
      <c r="E635" s="121"/>
      <c r="F635" s="122"/>
      <c r="G635" s="123"/>
      <c r="H635" s="124"/>
      <c r="I635" s="125"/>
      <c r="J635" s="126"/>
      <c r="K635" s="127"/>
      <c r="L635" s="128"/>
      <c r="M635" s="129"/>
      <c r="N635" s="130"/>
      <c r="O635" s="118"/>
      <c r="P635" s="118"/>
      <c r="Q635" s="131"/>
    </row>
    <row r="636" ht="22.5" customHeight="1">
      <c r="A636" s="118"/>
      <c r="B636" s="119"/>
      <c r="C636" s="120"/>
      <c r="D636" s="121"/>
      <c r="E636" s="121"/>
      <c r="F636" s="122"/>
      <c r="G636" s="123"/>
      <c r="H636" s="124"/>
      <c r="I636" s="125"/>
      <c r="J636" s="126"/>
      <c r="K636" s="127"/>
      <c r="L636" s="128"/>
      <c r="M636" s="129"/>
      <c r="N636" s="130"/>
      <c r="O636" s="118"/>
      <c r="P636" s="118"/>
      <c r="Q636" s="131"/>
    </row>
    <row r="637" ht="22.5" customHeight="1">
      <c r="A637" s="118"/>
      <c r="B637" s="119"/>
      <c r="C637" s="120"/>
      <c r="D637" s="121"/>
      <c r="E637" s="121"/>
      <c r="F637" s="122"/>
      <c r="G637" s="123"/>
      <c r="H637" s="124"/>
      <c r="I637" s="125"/>
      <c r="J637" s="126"/>
      <c r="K637" s="127"/>
      <c r="L637" s="128"/>
      <c r="M637" s="129"/>
      <c r="N637" s="130"/>
      <c r="O637" s="118"/>
      <c r="P637" s="118"/>
      <c r="Q637" s="131"/>
    </row>
    <row r="638" ht="22.5" customHeight="1">
      <c r="A638" s="118"/>
      <c r="B638" s="119"/>
      <c r="C638" s="120"/>
      <c r="D638" s="121"/>
      <c r="E638" s="121"/>
      <c r="F638" s="122"/>
      <c r="G638" s="123"/>
      <c r="H638" s="124"/>
      <c r="I638" s="125"/>
      <c r="J638" s="126"/>
      <c r="K638" s="127"/>
      <c r="L638" s="128"/>
      <c r="M638" s="129"/>
      <c r="N638" s="130"/>
      <c r="O638" s="118"/>
      <c r="P638" s="118"/>
      <c r="Q638" s="131"/>
    </row>
    <row r="639" ht="22.5" customHeight="1">
      <c r="A639" s="118"/>
      <c r="B639" s="119"/>
      <c r="C639" s="120"/>
      <c r="D639" s="121"/>
      <c r="E639" s="121"/>
      <c r="F639" s="122"/>
      <c r="G639" s="123"/>
      <c r="H639" s="124"/>
      <c r="I639" s="125"/>
      <c r="J639" s="126"/>
      <c r="K639" s="127"/>
      <c r="L639" s="128"/>
      <c r="M639" s="129"/>
      <c r="N639" s="130"/>
      <c r="O639" s="118"/>
      <c r="P639" s="118"/>
      <c r="Q639" s="131"/>
    </row>
    <row r="640" ht="22.5" customHeight="1">
      <c r="A640" s="118"/>
      <c r="B640" s="119"/>
      <c r="C640" s="120"/>
      <c r="D640" s="121"/>
      <c r="E640" s="121"/>
      <c r="F640" s="122"/>
      <c r="G640" s="123"/>
      <c r="H640" s="124"/>
      <c r="I640" s="125"/>
      <c r="J640" s="126"/>
      <c r="K640" s="127"/>
      <c r="L640" s="128"/>
      <c r="M640" s="129"/>
      <c r="N640" s="130"/>
      <c r="O640" s="118"/>
      <c r="P640" s="118"/>
      <c r="Q640" s="131"/>
    </row>
    <row r="641" ht="22.5" customHeight="1">
      <c r="A641" s="118"/>
      <c r="B641" s="119"/>
      <c r="C641" s="120"/>
      <c r="D641" s="121"/>
      <c r="E641" s="121"/>
      <c r="F641" s="122"/>
      <c r="G641" s="123"/>
      <c r="H641" s="124"/>
      <c r="I641" s="125"/>
      <c r="J641" s="126"/>
      <c r="K641" s="127"/>
      <c r="L641" s="128"/>
      <c r="M641" s="129"/>
      <c r="N641" s="130"/>
      <c r="O641" s="118"/>
      <c r="P641" s="118"/>
      <c r="Q641" s="131"/>
    </row>
    <row r="642" ht="22.5" customHeight="1">
      <c r="A642" s="118"/>
      <c r="B642" s="119"/>
      <c r="C642" s="120"/>
      <c r="D642" s="121"/>
      <c r="E642" s="121"/>
      <c r="F642" s="122"/>
      <c r="G642" s="123"/>
      <c r="H642" s="124"/>
      <c r="I642" s="125"/>
      <c r="J642" s="126"/>
      <c r="K642" s="127"/>
      <c r="L642" s="128"/>
      <c r="M642" s="129"/>
      <c r="N642" s="130"/>
      <c r="O642" s="118"/>
      <c r="P642" s="118"/>
      <c r="Q642" s="131"/>
    </row>
    <row r="643" ht="22.5" customHeight="1">
      <c r="A643" s="118"/>
      <c r="B643" s="119"/>
      <c r="C643" s="120"/>
      <c r="D643" s="121"/>
      <c r="E643" s="121"/>
      <c r="F643" s="122"/>
      <c r="G643" s="123"/>
      <c r="H643" s="124"/>
      <c r="I643" s="125"/>
      <c r="J643" s="126"/>
      <c r="K643" s="127"/>
      <c r="L643" s="128"/>
      <c r="M643" s="129"/>
      <c r="N643" s="130"/>
      <c r="O643" s="118"/>
      <c r="P643" s="118"/>
      <c r="Q643" s="131"/>
    </row>
    <row r="644" ht="22.5" customHeight="1">
      <c r="A644" s="118"/>
      <c r="B644" s="119"/>
      <c r="C644" s="120"/>
      <c r="D644" s="121"/>
      <c r="E644" s="121"/>
      <c r="F644" s="122"/>
      <c r="G644" s="123"/>
      <c r="H644" s="124"/>
      <c r="I644" s="125"/>
      <c r="J644" s="126"/>
      <c r="K644" s="127"/>
      <c r="L644" s="128"/>
      <c r="M644" s="129"/>
      <c r="N644" s="130"/>
      <c r="O644" s="118"/>
      <c r="P644" s="118"/>
      <c r="Q644" s="131"/>
    </row>
    <row r="645" ht="22.5" customHeight="1">
      <c r="A645" s="118"/>
      <c r="B645" s="119"/>
      <c r="C645" s="120"/>
      <c r="D645" s="121"/>
      <c r="E645" s="121"/>
      <c r="F645" s="122"/>
      <c r="G645" s="123"/>
      <c r="H645" s="124"/>
      <c r="I645" s="125"/>
      <c r="J645" s="126"/>
      <c r="K645" s="127"/>
      <c r="L645" s="128"/>
      <c r="M645" s="129"/>
      <c r="N645" s="130"/>
      <c r="O645" s="118"/>
      <c r="P645" s="118"/>
      <c r="Q645" s="131"/>
    </row>
    <row r="646" ht="22.5" customHeight="1">
      <c r="A646" s="118"/>
      <c r="B646" s="119"/>
      <c r="C646" s="120"/>
      <c r="D646" s="121"/>
      <c r="E646" s="121"/>
      <c r="F646" s="122"/>
      <c r="G646" s="123"/>
      <c r="H646" s="124"/>
      <c r="I646" s="125"/>
      <c r="J646" s="126"/>
      <c r="K646" s="127"/>
      <c r="L646" s="128"/>
      <c r="M646" s="129"/>
      <c r="N646" s="130"/>
      <c r="O646" s="118"/>
      <c r="P646" s="118"/>
      <c r="Q646" s="131"/>
    </row>
    <row r="647" ht="22.5" customHeight="1">
      <c r="A647" s="118"/>
      <c r="B647" s="119"/>
      <c r="C647" s="120"/>
      <c r="D647" s="121"/>
      <c r="E647" s="121"/>
      <c r="F647" s="122"/>
      <c r="G647" s="123"/>
      <c r="H647" s="124"/>
      <c r="I647" s="125"/>
      <c r="J647" s="126"/>
      <c r="K647" s="127"/>
      <c r="L647" s="128"/>
      <c r="M647" s="129"/>
      <c r="N647" s="130"/>
      <c r="O647" s="118"/>
      <c r="P647" s="118"/>
      <c r="Q647" s="131"/>
    </row>
    <row r="648" ht="22.5" customHeight="1">
      <c r="A648" s="118"/>
      <c r="B648" s="119"/>
      <c r="C648" s="120"/>
      <c r="D648" s="121"/>
      <c r="E648" s="121"/>
      <c r="F648" s="122"/>
      <c r="G648" s="123"/>
      <c r="H648" s="124"/>
      <c r="I648" s="125"/>
      <c r="J648" s="126"/>
      <c r="K648" s="127"/>
      <c r="L648" s="128"/>
      <c r="M648" s="129"/>
      <c r="N648" s="130"/>
      <c r="O648" s="118"/>
      <c r="P648" s="118"/>
      <c r="Q648" s="131"/>
    </row>
    <row r="649" ht="22.5" customHeight="1">
      <c r="A649" s="118"/>
      <c r="B649" s="119"/>
      <c r="C649" s="120"/>
      <c r="D649" s="121"/>
      <c r="E649" s="121"/>
      <c r="F649" s="122"/>
      <c r="G649" s="123"/>
      <c r="H649" s="124"/>
      <c r="I649" s="125"/>
      <c r="J649" s="126"/>
      <c r="K649" s="127"/>
      <c r="L649" s="128"/>
      <c r="M649" s="129"/>
      <c r="N649" s="130"/>
      <c r="O649" s="118"/>
      <c r="P649" s="118"/>
      <c r="Q649" s="131"/>
    </row>
    <row r="650" ht="22.5" customHeight="1">
      <c r="A650" s="118"/>
      <c r="B650" s="119"/>
      <c r="C650" s="120"/>
      <c r="D650" s="121"/>
      <c r="E650" s="121"/>
      <c r="F650" s="122"/>
      <c r="G650" s="123"/>
      <c r="H650" s="124"/>
      <c r="I650" s="125"/>
      <c r="J650" s="126"/>
      <c r="K650" s="127"/>
      <c r="L650" s="128"/>
      <c r="M650" s="129"/>
      <c r="N650" s="130"/>
      <c r="O650" s="118"/>
      <c r="P650" s="118"/>
      <c r="Q650" s="131"/>
    </row>
    <row r="651" ht="22.5" customHeight="1">
      <c r="A651" s="118"/>
      <c r="B651" s="119"/>
      <c r="C651" s="120"/>
      <c r="D651" s="121"/>
      <c r="E651" s="121"/>
      <c r="F651" s="122"/>
      <c r="G651" s="123"/>
      <c r="H651" s="124"/>
      <c r="I651" s="125"/>
      <c r="J651" s="126"/>
      <c r="K651" s="127"/>
      <c r="L651" s="128"/>
      <c r="M651" s="129"/>
      <c r="N651" s="130"/>
      <c r="O651" s="118"/>
      <c r="P651" s="118"/>
      <c r="Q651" s="131"/>
    </row>
    <row r="652" ht="22.5" customHeight="1">
      <c r="A652" s="118"/>
      <c r="B652" s="119"/>
      <c r="C652" s="120"/>
      <c r="D652" s="121"/>
      <c r="E652" s="121"/>
      <c r="F652" s="122"/>
      <c r="G652" s="123"/>
      <c r="H652" s="124"/>
      <c r="I652" s="125"/>
      <c r="J652" s="126"/>
      <c r="K652" s="127"/>
      <c r="L652" s="128"/>
      <c r="M652" s="129"/>
      <c r="N652" s="130"/>
      <c r="O652" s="118"/>
      <c r="P652" s="118"/>
      <c r="Q652" s="131"/>
    </row>
    <row r="653" ht="22.5" customHeight="1">
      <c r="A653" s="118"/>
      <c r="B653" s="119"/>
      <c r="C653" s="120"/>
      <c r="D653" s="121"/>
      <c r="E653" s="121"/>
      <c r="F653" s="122"/>
      <c r="G653" s="123"/>
      <c r="H653" s="124"/>
      <c r="I653" s="125"/>
      <c r="J653" s="126"/>
      <c r="K653" s="127"/>
      <c r="L653" s="128"/>
      <c r="M653" s="129"/>
      <c r="N653" s="130"/>
      <c r="O653" s="118"/>
      <c r="P653" s="118"/>
      <c r="Q653" s="131"/>
    </row>
    <row r="654" ht="22.5" customHeight="1">
      <c r="A654" s="118"/>
      <c r="B654" s="119"/>
      <c r="C654" s="120"/>
      <c r="D654" s="121"/>
      <c r="E654" s="121"/>
      <c r="F654" s="122"/>
      <c r="G654" s="123"/>
      <c r="H654" s="124"/>
      <c r="I654" s="125"/>
      <c r="J654" s="126"/>
      <c r="K654" s="127"/>
      <c r="L654" s="128"/>
      <c r="M654" s="129"/>
      <c r="N654" s="130"/>
      <c r="O654" s="118"/>
      <c r="P654" s="118"/>
      <c r="Q654" s="131"/>
    </row>
    <row r="655" ht="22.5" customHeight="1">
      <c r="A655" s="118"/>
      <c r="B655" s="119"/>
      <c r="C655" s="120"/>
      <c r="D655" s="121"/>
      <c r="E655" s="121"/>
      <c r="F655" s="122"/>
      <c r="G655" s="123"/>
      <c r="H655" s="124"/>
      <c r="I655" s="125"/>
      <c r="J655" s="126"/>
      <c r="K655" s="127"/>
      <c r="L655" s="128"/>
      <c r="M655" s="129"/>
      <c r="N655" s="130"/>
      <c r="O655" s="118"/>
      <c r="P655" s="118"/>
      <c r="Q655" s="131"/>
    </row>
    <row r="656" ht="22.5" customHeight="1">
      <c r="A656" s="118"/>
      <c r="B656" s="119"/>
      <c r="C656" s="120"/>
      <c r="D656" s="121"/>
      <c r="E656" s="121"/>
      <c r="F656" s="122"/>
      <c r="G656" s="123"/>
      <c r="H656" s="124"/>
      <c r="I656" s="125"/>
      <c r="J656" s="126"/>
      <c r="K656" s="127"/>
      <c r="L656" s="128"/>
      <c r="M656" s="129"/>
      <c r="N656" s="130"/>
      <c r="O656" s="118"/>
      <c r="P656" s="118"/>
      <c r="Q656" s="131"/>
    </row>
    <row r="657" ht="22.5" customHeight="1">
      <c r="A657" s="118"/>
      <c r="B657" s="119"/>
      <c r="C657" s="120"/>
      <c r="D657" s="121"/>
      <c r="E657" s="121"/>
      <c r="F657" s="122"/>
      <c r="G657" s="123"/>
      <c r="H657" s="124"/>
      <c r="I657" s="125"/>
      <c r="J657" s="126"/>
      <c r="K657" s="127"/>
      <c r="L657" s="128"/>
      <c r="M657" s="129"/>
      <c r="N657" s="130"/>
      <c r="O657" s="118"/>
      <c r="P657" s="118"/>
      <c r="Q657" s="131"/>
    </row>
    <row r="658" ht="22.5" customHeight="1">
      <c r="A658" s="118"/>
      <c r="B658" s="119"/>
      <c r="C658" s="120"/>
      <c r="D658" s="121"/>
      <c r="E658" s="121"/>
      <c r="F658" s="122"/>
      <c r="G658" s="123"/>
      <c r="H658" s="124"/>
      <c r="I658" s="125"/>
      <c r="J658" s="126"/>
      <c r="K658" s="127"/>
      <c r="L658" s="128"/>
      <c r="M658" s="129"/>
      <c r="N658" s="130"/>
      <c r="O658" s="118"/>
      <c r="P658" s="118"/>
      <c r="Q658" s="131"/>
    </row>
    <row r="659" ht="22.5" customHeight="1">
      <c r="A659" s="118"/>
      <c r="B659" s="119"/>
      <c r="C659" s="120"/>
      <c r="D659" s="121"/>
      <c r="E659" s="121"/>
      <c r="F659" s="122"/>
      <c r="G659" s="123"/>
      <c r="H659" s="124"/>
      <c r="I659" s="125"/>
      <c r="J659" s="126"/>
      <c r="K659" s="127"/>
      <c r="L659" s="128"/>
      <c r="M659" s="129"/>
      <c r="N659" s="130"/>
      <c r="O659" s="118"/>
      <c r="P659" s="118"/>
      <c r="Q659" s="131"/>
    </row>
    <row r="660" ht="22.5" customHeight="1">
      <c r="A660" s="118"/>
      <c r="B660" s="119"/>
      <c r="C660" s="120"/>
      <c r="D660" s="121"/>
      <c r="E660" s="121"/>
      <c r="F660" s="122"/>
      <c r="G660" s="123"/>
      <c r="H660" s="124"/>
      <c r="I660" s="125"/>
      <c r="J660" s="126"/>
      <c r="K660" s="127"/>
      <c r="L660" s="128"/>
      <c r="M660" s="129"/>
      <c r="N660" s="130"/>
      <c r="O660" s="118"/>
      <c r="P660" s="118"/>
      <c r="Q660" s="131"/>
    </row>
    <row r="661" ht="22.5" customHeight="1">
      <c r="A661" s="118"/>
      <c r="B661" s="119"/>
      <c r="C661" s="120"/>
      <c r="D661" s="121"/>
      <c r="E661" s="121"/>
      <c r="F661" s="122"/>
      <c r="G661" s="123"/>
      <c r="H661" s="124"/>
      <c r="I661" s="125"/>
      <c r="J661" s="126"/>
      <c r="K661" s="127"/>
      <c r="L661" s="128"/>
      <c r="M661" s="129"/>
      <c r="N661" s="130"/>
      <c r="O661" s="118"/>
      <c r="P661" s="118"/>
      <c r="Q661" s="131"/>
    </row>
    <row r="662" ht="22.5" customHeight="1">
      <c r="A662" s="118"/>
      <c r="B662" s="119"/>
      <c r="C662" s="120"/>
      <c r="D662" s="121"/>
      <c r="E662" s="121"/>
      <c r="F662" s="122"/>
      <c r="G662" s="123"/>
      <c r="H662" s="124"/>
      <c r="I662" s="125"/>
      <c r="J662" s="126"/>
      <c r="K662" s="127"/>
      <c r="L662" s="128"/>
      <c r="M662" s="129"/>
      <c r="N662" s="130"/>
      <c r="O662" s="118"/>
      <c r="P662" s="118"/>
      <c r="Q662" s="131"/>
    </row>
    <row r="663" ht="22.5" customHeight="1">
      <c r="A663" s="118"/>
      <c r="B663" s="119"/>
      <c r="C663" s="120"/>
      <c r="D663" s="121"/>
      <c r="E663" s="121"/>
      <c r="F663" s="122"/>
      <c r="G663" s="123"/>
      <c r="H663" s="124"/>
      <c r="I663" s="125"/>
      <c r="J663" s="126"/>
      <c r="K663" s="127"/>
      <c r="L663" s="128"/>
      <c r="M663" s="129"/>
      <c r="N663" s="130"/>
      <c r="O663" s="118"/>
      <c r="P663" s="118"/>
      <c r="Q663" s="131"/>
    </row>
    <row r="664" ht="22.5" customHeight="1">
      <c r="A664" s="118"/>
      <c r="B664" s="119"/>
      <c r="C664" s="120"/>
      <c r="D664" s="121"/>
      <c r="E664" s="121"/>
      <c r="F664" s="122"/>
      <c r="G664" s="123"/>
      <c r="H664" s="124"/>
      <c r="I664" s="125"/>
      <c r="J664" s="126"/>
      <c r="K664" s="127"/>
      <c r="L664" s="128"/>
      <c r="M664" s="129"/>
      <c r="N664" s="130"/>
      <c r="O664" s="118"/>
      <c r="P664" s="118"/>
      <c r="Q664" s="131"/>
    </row>
    <row r="665" ht="22.5" customHeight="1">
      <c r="A665" s="118"/>
      <c r="B665" s="119"/>
      <c r="C665" s="120"/>
      <c r="D665" s="121"/>
      <c r="E665" s="121"/>
      <c r="F665" s="122"/>
      <c r="G665" s="123"/>
      <c r="H665" s="124"/>
      <c r="I665" s="125"/>
      <c r="J665" s="126"/>
      <c r="K665" s="127"/>
      <c r="L665" s="128"/>
      <c r="M665" s="129"/>
      <c r="N665" s="130"/>
      <c r="O665" s="118"/>
      <c r="P665" s="118"/>
      <c r="Q665" s="131"/>
    </row>
    <row r="666" ht="22.5" customHeight="1">
      <c r="A666" s="118"/>
      <c r="B666" s="119"/>
      <c r="C666" s="120"/>
      <c r="D666" s="121"/>
      <c r="E666" s="121"/>
      <c r="F666" s="122"/>
      <c r="G666" s="123"/>
      <c r="H666" s="124"/>
      <c r="I666" s="125"/>
      <c r="J666" s="126"/>
      <c r="K666" s="127"/>
      <c r="L666" s="128"/>
      <c r="M666" s="129"/>
      <c r="N666" s="130"/>
      <c r="O666" s="118"/>
      <c r="P666" s="118"/>
      <c r="Q666" s="131"/>
    </row>
    <row r="667" ht="22.5" customHeight="1">
      <c r="A667" s="118"/>
      <c r="B667" s="119"/>
      <c r="C667" s="120"/>
      <c r="D667" s="121"/>
      <c r="E667" s="121"/>
      <c r="F667" s="122"/>
      <c r="G667" s="123"/>
      <c r="H667" s="124"/>
      <c r="I667" s="125"/>
      <c r="J667" s="126"/>
      <c r="K667" s="127"/>
      <c r="L667" s="128"/>
      <c r="M667" s="129"/>
      <c r="N667" s="130"/>
      <c r="O667" s="118"/>
      <c r="P667" s="118"/>
      <c r="Q667" s="131"/>
    </row>
    <row r="668" ht="22.5" customHeight="1">
      <c r="A668" s="118"/>
      <c r="B668" s="119"/>
      <c r="C668" s="120"/>
      <c r="D668" s="121"/>
      <c r="E668" s="121"/>
      <c r="F668" s="122"/>
      <c r="G668" s="123"/>
      <c r="H668" s="124"/>
      <c r="I668" s="125"/>
      <c r="J668" s="126"/>
      <c r="K668" s="127"/>
      <c r="L668" s="128"/>
      <c r="M668" s="129"/>
      <c r="N668" s="130"/>
      <c r="O668" s="118"/>
      <c r="P668" s="118"/>
      <c r="Q668" s="131"/>
    </row>
    <row r="669" ht="22.5" customHeight="1">
      <c r="A669" s="118"/>
      <c r="B669" s="119"/>
      <c r="C669" s="120"/>
      <c r="D669" s="121"/>
      <c r="E669" s="121"/>
      <c r="F669" s="122"/>
      <c r="G669" s="123"/>
      <c r="H669" s="124"/>
      <c r="I669" s="125"/>
      <c r="J669" s="126"/>
      <c r="K669" s="127"/>
      <c r="L669" s="128"/>
      <c r="M669" s="129"/>
      <c r="N669" s="130"/>
      <c r="O669" s="118"/>
      <c r="P669" s="118"/>
      <c r="Q669" s="131"/>
    </row>
    <row r="670" ht="22.5" customHeight="1">
      <c r="A670" s="118"/>
      <c r="B670" s="119"/>
      <c r="C670" s="120"/>
      <c r="D670" s="121"/>
      <c r="E670" s="121"/>
      <c r="F670" s="122"/>
      <c r="G670" s="123"/>
      <c r="H670" s="124"/>
      <c r="I670" s="125"/>
      <c r="J670" s="126"/>
      <c r="K670" s="127"/>
      <c r="L670" s="128"/>
      <c r="M670" s="129"/>
      <c r="N670" s="130"/>
      <c r="O670" s="118"/>
      <c r="P670" s="118"/>
      <c r="Q670" s="131"/>
    </row>
    <row r="671" ht="22.5" customHeight="1">
      <c r="A671" s="118"/>
      <c r="B671" s="119"/>
      <c r="C671" s="120"/>
      <c r="D671" s="121"/>
      <c r="E671" s="121"/>
      <c r="F671" s="122"/>
      <c r="G671" s="123"/>
      <c r="H671" s="124"/>
      <c r="I671" s="125"/>
      <c r="J671" s="126"/>
      <c r="K671" s="127"/>
      <c r="L671" s="128"/>
      <c r="M671" s="129"/>
      <c r="N671" s="130"/>
      <c r="O671" s="118"/>
      <c r="P671" s="118"/>
      <c r="Q671" s="131"/>
    </row>
    <row r="672" ht="22.5" customHeight="1">
      <c r="A672" s="118"/>
      <c r="B672" s="119"/>
      <c r="C672" s="120"/>
      <c r="D672" s="121"/>
      <c r="E672" s="121"/>
      <c r="F672" s="122"/>
      <c r="G672" s="123"/>
      <c r="H672" s="124"/>
      <c r="I672" s="125"/>
      <c r="J672" s="126"/>
      <c r="K672" s="127"/>
      <c r="L672" s="128"/>
      <c r="M672" s="129"/>
      <c r="N672" s="130"/>
      <c r="O672" s="118"/>
      <c r="P672" s="118"/>
      <c r="Q672" s="131"/>
    </row>
    <row r="673" ht="22.5" customHeight="1">
      <c r="A673" s="118"/>
      <c r="B673" s="119"/>
      <c r="C673" s="120"/>
      <c r="D673" s="121"/>
      <c r="E673" s="121"/>
      <c r="F673" s="122"/>
      <c r="G673" s="123"/>
      <c r="H673" s="124"/>
      <c r="I673" s="125"/>
      <c r="J673" s="126"/>
      <c r="K673" s="127"/>
      <c r="L673" s="128"/>
      <c r="M673" s="129"/>
      <c r="N673" s="130"/>
      <c r="O673" s="118"/>
      <c r="P673" s="118"/>
      <c r="Q673" s="131"/>
    </row>
    <row r="674" ht="22.5" customHeight="1">
      <c r="A674" s="118"/>
      <c r="B674" s="119"/>
      <c r="C674" s="120"/>
      <c r="D674" s="121"/>
      <c r="E674" s="121"/>
      <c r="F674" s="122"/>
      <c r="G674" s="123"/>
      <c r="H674" s="124"/>
      <c r="I674" s="125"/>
      <c r="J674" s="126"/>
      <c r="K674" s="127"/>
      <c r="L674" s="128"/>
      <c r="M674" s="129"/>
      <c r="N674" s="130"/>
      <c r="O674" s="118"/>
      <c r="P674" s="118"/>
      <c r="Q674" s="131"/>
    </row>
    <row r="675" ht="22.5" customHeight="1">
      <c r="A675" s="118"/>
      <c r="B675" s="119"/>
      <c r="C675" s="120"/>
      <c r="D675" s="121"/>
      <c r="E675" s="121"/>
      <c r="F675" s="122"/>
      <c r="G675" s="123"/>
      <c r="H675" s="124"/>
      <c r="I675" s="125"/>
      <c r="J675" s="126"/>
      <c r="K675" s="127"/>
      <c r="L675" s="128"/>
      <c r="M675" s="129"/>
      <c r="N675" s="130"/>
      <c r="O675" s="118"/>
      <c r="P675" s="118"/>
      <c r="Q675" s="131"/>
    </row>
    <row r="676" ht="22.5" customHeight="1">
      <c r="A676" s="118"/>
      <c r="B676" s="119"/>
      <c r="C676" s="120"/>
      <c r="D676" s="121"/>
      <c r="E676" s="121"/>
      <c r="F676" s="122"/>
      <c r="G676" s="123"/>
      <c r="H676" s="124"/>
      <c r="I676" s="125"/>
      <c r="J676" s="126"/>
      <c r="K676" s="127"/>
      <c r="L676" s="128"/>
      <c r="M676" s="129"/>
      <c r="N676" s="130"/>
      <c r="O676" s="118"/>
      <c r="P676" s="118"/>
      <c r="Q676" s="131"/>
    </row>
    <row r="677" ht="22.5" customHeight="1">
      <c r="A677" s="118"/>
      <c r="B677" s="119"/>
      <c r="C677" s="120"/>
      <c r="D677" s="121"/>
      <c r="E677" s="121"/>
      <c r="F677" s="122"/>
      <c r="G677" s="123"/>
      <c r="H677" s="124"/>
      <c r="I677" s="125"/>
      <c r="J677" s="126"/>
      <c r="K677" s="127"/>
      <c r="L677" s="128"/>
      <c r="M677" s="129"/>
      <c r="N677" s="130"/>
      <c r="O677" s="118"/>
      <c r="P677" s="118"/>
      <c r="Q677" s="131"/>
    </row>
    <row r="678" ht="22.5" customHeight="1">
      <c r="A678" s="118"/>
      <c r="B678" s="119"/>
      <c r="C678" s="120"/>
      <c r="D678" s="121"/>
      <c r="E678" s="121"/>
      <c r="F678" s="122"/>
      <c r="G678" s="123"/>
      <c r="H678" s="124"/>
      <c r="I678" s="125"/>
      <c r="J678" s="126"/>
      <c r="K678" s="127"/>
      <c r="L678" s="128"/>
      <c r="M678" s="129"/>
      <c r="N678" s="130"/>
      <c r="O678" s="118"/>
      <c r="P678" s="118"/>
      <c r="Q678" s="131"/>
    </row>
    <row r="679" ht="22.5" customHeight="1">
      <c r="A679" s="118"/>
      <c r="B679" s="119"/>
      <c r="C679" s="120"/>
      <c r="D679" s="121"/>
      <c r="E679" s="121"/>
      <c r="F679" s="122"/>
      <c r="G679" s="123"/>
      <c r="H679" s="124"/>
      <c r="I679" s="125"/>
      <c r="J679" s="126"/>
      <c r="K679" s="127"/>
      <c r="L679" s="128"/>
      <c r="M679" s="129"/>
      <c r="N679" s="130"/>
      <c r="O679" s="118"/>
      <c r="P679" s="118"/>
      <c r="Q679" s="131"/>
    </row>
    <row r="680" ht="22.5" customHeight="1">
      <c r="A680" s="118"/>
      <c r="B680" s="119"/>
      <c r="C680" s="120"/>
      <c r="D680" s="121"/>
      <c r="E680" s="121"/>
      <c r="F680" s="122"/>
      <c r="G680" s="123"/>
      <c r="H680" s="124"/>
      <c r="I680" s="125"/>
      <c r="J680" s="126"/>
      <c r="K680" s="127"/>
      <c r="L680" s="128"/>
      <c r="M680" s="129"/>
      <c r="N680" s="130"/>
      <c r="O680" s="118"/>
      <c r="P680" s="118"/>
      <c r="Q680" s="131"/>
    </row>
    <row r="681" ht="22.5" customHeight="1">
      <c r="A681" s="118"/>
      <c r="B681" s="119"/>
      <c r="C681" s="120"/>
      <c r="D681" s="121"/>
      <c r="E681" s="121"/>
      <c r="F681" s="122"/>
      <c r="G681" s="123"/>
      <c r="H681" s="124"/>
      <c r="I681" s="125"/>
      <c r="J681" s="126"/>
      <c r="K681" s="127"/>
      <c r="L681" s="128"/>
      <c r="M681" s="129"/>
      <c r="N681" s="130"/>
      <c r="O681" s="118"/>
      <c r="P681" s="118"/>
      <c r="Q681" s="131"/>
    </row>
    <row r="682" ht="22.5" customHeight="1">
      <c r="A682" s="118"/>
      <c r="B682" s="119"/>
      <c r="C682" s="120"/>
      <c r="D682" s="121"/>
      <c r="E682" s="121"/>
      <c r="F682" s="122"/>
      <c r="G682" s="123"/>
      <c r="H682" s="124"/>
      <c r="I682" s="125"/>
      <c r="J682" s="126"/>
      <c r="K682" s="127"/>
      <c r="L682" s="128"/>
      <c r="M682" s="129"/>
      <c r="N682" s="130"/>
      <c r="O682" s="118"/>
      <c r="P682" s="118"/>
      <c r="Q682" s="131"/>
    </row>
    <row r="683" ht="22.5" customHeight="1">
      <c r="A683" s="118"/>
      <c r="B683" s="119"/>
      <c r="C683" s="120"/>
      <c r="D683" s="121"/>
      <c r="E683" s="121"/>
      <c r="F683" s="122"/>
      <c r="G683" s="123"/>
      <c r="H683" s="124"/>
      <c r="I683" s="125"/>
      <c r="J683" s="126"/>
      <c r="K683" s="127"/>
      <c r="L683" s="128"/>
      <c r="M683" s="129"/>
      <c r="N683" s="130"/>
      <c r="O683" s="118"/>
      <c r="P683" s="118"/>
      <c r="Q683" s="131"/>
    </row>
    <row r="684" ht="22.5" customHeight="1">
      <c r="A684" s="118"/>
      <c r="B684" s="119"/>
      <c r="C684" s="120"/>
      <c r="D684" s="121"/>
      <c r="E684" s="121"/>
      <c r="F684" s="122"/>
      <c r="G684" s="123"/>
      <c r="H684" s="124"/>
      <c r="I684" s="125"/>
      <c r="J684" s="126"/>
      <c r="K684" s="127"/>
      <c r="L684" s="128"/>
      <c r="M684" s="129"/>
      <c r="N684" s="130"/>
      <c r="O684" s="118"/>
      <c r="P684" s="118"/>
      <c r="Q684" s="131"/>
    </row>
    <row r="685" ht="22.5" customHeight="1">
      <c r="A685" s="118"/>
      <c r="B685" s="119"/>
      <c r="C685" s="120"/>
      <c r="D685" s="121"/>
      <c r="E685" s="121"/>
      <c r="F685" s="122"/>
      <c r="G685" s="123"/>
      <c r="H685" s="124"/>
      <c r="I685" s="125"/>
      <c r="J685" s="126"/>
      <c r="K685" s="127"/>
      <c r="L685" s="128"/>
      <c r="M685" s="129"/>
      <c r="N685" s="130"/>
      <c r="O685" s="118"/>
      <c r="P685" s="118"/>
      <c r="Q685" s="131"/>
    </row>
    <row r="686" ht="22.5" customHeight="1">
      <c r="A686" s="118"/>
      <c r="B686" s="119"/>
      <c r="C686" s="120"/>
      <c r="D686" s="121"/>
      <c r="E686" s="121"/>
      <c r="F686" s="122"/>
      <c r="G686" s="123"/>
      <c r="H686" s="124"/>
      <c r="I686" s="125"/>
      <c r="J686" s="126"/>
      <c r="K686" s="127"/>
      <c r="L686" s="128"/>
      <c r="M686" s="129"/>
      <c r="N686" s="130"/>
      <c r="O686" s="118"/>
      <c r="P686" s="118"/>
      <c r="Q686" s="131"/>
    </row>
    <row r="687" ht="22.5" customHeight="1">
      <c r="A687" s="118"/>
      <c r="B687" s="119"/>
      <c r="C687" s="120"/>
      <c r="D687" s="121"/>
      <c r="E687" s="121"/>
      <c r="F687" s="122"/>
      <c r="G687" s="123"/>
      <c r="H687" s="124"/>
      <c r="I687" s="125"/>
      <c r="J687" s="126"/>
      <c r="K687" s="127"/>
      <c r="L687" s="128"/>
      <c r="M687" s="129"/>
      <c r="N687" s="130"/>
      <c r="O687" s="118"/>
      <c r="P687" s="118"/>
      <c r="Q687" s="131"/>
    </row>
    <row r="688" ht="22.5" customHeight="1">
      <c r="A688" s="118"/>
      <c r="B688" s="119"/>
      <c r="C688" s="120"/>
      <c r="D688" s="121"/>
      <c r="E688" s="121"/>
      <c r="F688" s="122"/>
      <c r="G688" s="123"/>
      <c r="H688" s="124"/>
      <c r="I688" s="125"/>
      <c r="J688" s="126"/>
      <c r="K688" s="127"/>
      <c r="L688" s="128"/>
      <c r="M688" s="129"/>
      <c r="N688" s="130"/>
      <c r="O688" s="118"/>
      <c r="P688" s="118"/>
      <c r="Q688" s="131"/>
    </row>
    <row r="689" ht="22.5" customHeight="1">
      <c r="A689" s="118"/>
      <c r="B689" s="119"/>
      <c r="C689" s="120"/>
      <c r="D689" s="121"/>
      <c r="E689" s="121"/>
      <c r="F689" s="122"/>
      <c r="G689" s="123"/>
      <c r="H689" s="124"/>
      <c r="I689" s="125"/>
      <c r="J689" s="126"/>
      <c r="K689" s="127"/>
      <c r="L689" s="128"/>
      <c r="M689" s="129"/>
      <c r="N689" s="130"/>
      <c r="O689" s="118"/>
      <c r="P689" s="118"/>
      <c r="Q689" s="131"/>
    </row>
    <row r="690" ht="22.5" customHeight="1">
      <c r="A690" s="118"/>
      <c r="B690" s="119"/>
      <c r="C690" s="120"/>
      <c r="D690" s="121"/>
      <c r="E690" s="121"/>
      <c r="F690" s="122"/>
      <c r="G690" s="123"/>
      <c r="H690" s="124"/>
      <c r="I690" s="125"/>
      <c r="J690" s="126"/>
      <c r="K690" s="127"/>
      <c r="L690" s="128"/>
      <c r="M690" s="129"/>
      <c r="N690" s="130"/>
      <c r="O690" s="118"/>
      <c r="P690" s="118"/>
      <c r="Q690" s="131"/>
    </row>
    <row r="691" ht="22.5" customHeight="1">
      <c r="A691" s="118"/>
      <c r="B691" s="119"/>
      <c r="C691" s="120"/>
      <c r="D691" s="121"/>
      <c r="E691" s="121"/>
      <c r="F691" s="122"/>
      <c r="G691" s="123"/>
      <c r="H691" s="124"/>
      <c r="I691" s="125"/>
      <c r="J691" s="126"/>
      <c r="K691" s="127"/>
      <c r="L691" s="128"/>
      <c r="M691" s="129"/>
      <c r="N691" s="130"/>
      <c r="O691" s="118"/>
      <c r="P691" s="118"/>
      <c r="Q691" s="131"/>
    </row>
    <row r="692" ht="22.5" customHeight="1">
      <c r="A692" s="118"/>
      <c r="B692" s="119"/>
      <c r="C692" s="120"/>
      <c r="D692" s="121"/>
      <c r="E692" s="121"/>
      <c r="F692" s="122"/>
      <c r="G692" s="123"/>
      <c r="H692" s="124"/>
      <c r="I692" s="125"/>
      <c r="J692" s="126"/>
      <c r="K692" s="127"/>
      <c r="L692" s="128"/>
      <c r="M692" s="129"/>
      <c r="N692" s="130"/>
      <c r="O692" s="118"/>
      <c r="P692" s="118"/>
      <c r="Q692" s="131"/>
    </row>
    <row r="693" ht="22.5" customHeight="1">
      <c r="A693" s="118"/>
      <c r="B693" s="119"/>
      <c r="C693" s="120"/>
      <c r="D693" s="121"/>
      <c r="E693" s="121"/>
      <c r="F693" s="122"/>
      <c r="G693" s="123"/>
      <c r="H693" s="124"/>
      <c r="I693" s="125"/>
      <c r="J693" s="126"/>
      <c r="K693" s="127"/>
      <c r="L693" s="128"/>
      <c r="M693" s="129"/>
      <c r="N693" s="130"/>
      <c r="O693" s="118"/>
      <c r="P693" s="118"/>
      <c r="Q693" s="131"/>
    </row>
    <row r="694" ht="22.5" customHeight="1">
      <c r="A694" s="118"/>
      <c r="B694" s="119"/>
      <c r="C694" s="120"/>
      <c r="D694" s="121"/>
      <c r="E694" s="121"/>
      <c r="F694" s="122"/>
      <c r="G694" s="123"/>
      <c r="H694" s="124"/>
      <c r="I694" s="125"/>
      <c r="J694" s="126"/>
      <c r="K694" s="127"/>
      <c r="L694" s="128"/>
      <c r="M694" s="129"/>
      <c r="N694" s="130"/>
      <c r="O694" s="118"/>
      <c r="P694" s="118"/>
      <c r="Q694" s="131"/>
    </row>
    <row r="695" ht="22.5" customHeight="1">
      <c r="A695" s="118"/>
      <c r="B695" s="119"/>
      <c r="C695" s="120"/>
      <c r="D695" s="121"/>
      <c r="E695" s="121"/>
      <c r="F695" s="122"/>
      <c r="G695" s="123"/>
      <c r="H695" s="124"/>
      <c r="I695" s="125"/>
      <c r="J695" s="126"/>
      <c r="K695" s="127"/>
      <c r="L695" s="128"/>
      <c r="M695" s="129"/>
      <c r="N695" s="130"/>
      <c r="O695" s="118"/>
      <c r="P695" s="118"/>
      <c r="Q695" s="131"/>
    </row>
    <row r="696" ht="22.5" customHeight="1">
      <c r="A696" s="118"/>
      <c r="B696" s="119"/>
      <c r="C696" s="120"/>
      <c r="D696" s="121"/>
      <c r="E696" s="121"/>
      <c r="F696" s="122"/>
      <c r="G696" s="123"/>
      <c r="H696" s="124"/>
      <c r="I696" s="125"/>
      <c r="J696" s="126"/>
      <c r="K696" s="127"/>
      <c r="L696" s="128"/>
      <c r="M696" s="129"/>
      <c r="N696" s="130"/>
      <c r="O696" s="118"/>
      <c r="P696" s="118"/>
      <c r="Q696" s="131"/>
    </row>
    <row r="697" ht="22.5" customHeight="1">
      <c r="A697" s="118"/>
      <c r="B697" s="119"/>
      <c r="C697" s="120"/>
      <c r="D697" s="121"/>
      <c r="E697" s="121"/>
      <c r="F697" s="122"/>
      <c r="G697" s="123"/>
      <c r="H697" s="124"/>
      <c r="I697" s="125"/>
      <c r="J697" s="126"/>
      <c r="K697" s="127"/>
      <c r="L697" s="128"/>
      <c r="M697" s="129"/>
      <c r="N697" s="130"/>
      <c r="O697" s="118"/>
      <c r="P697" s="118"/>
      <c r="Q697" s="131"/>
    </row>
    <row r="698" ht="22.5" customHeight="1">
      <c r="A698" s="118"/>
      <c r="B698" s="119"/>
      <c r="C698" s="120"/>
      <c r="D698" s="121"/>
      <c r="E698" s="121"/>
      <c r="F698" s="122"/>
      <c r="G698" s="123"/>
      <c r="H698" s="124"/>
      <c r="I698" s="125"/>
      <c r="J698" s="126"/>
      <c r="K698" s="127"/>
      <c r="L698" s="128"/>
      <c r="M698" s="129"/>
      <c r="N698" s="130"/>
      <c r="O698" s="118"/>
      <c r="P698" s="118"/>
      <c r="Q698" s="131"/>
    </row>
    <row r="699" ht="22.5" customHeight="1">
      <c r="A699" s="118"/>
      <c r="B699" s="119"/>
      <c r="C699" s="120"/>
      <c r="D699" s="121"/>
      <c r="E699" s="121"/>
      <c r="F699" s="122"/>
      <c r="G699" s="123"/>
      <c r="H699" s="124"/>
      <c r="I699" s="125"/>
      <c r="J699" s="126"/>
      <c r="K699" s="127"/>
      <c r="L699" s="128"/>
      <c r="M699" s="129"/>
      <c r="N699" s="130"/>
      <c r="O699" s="118"/>
      <c r="P699" s="118"/>
      <c r="Q699" s="131"/>
    </row>
    <row r="700" ht="22.5" customHeight="1">
      <c r="A700" s="118"/>
      <c r="B700" s="119"/>
      <c r="C700" s="120"/>
      <c r="D700" s="121"/>
      <c r="E700" s="121"/>
      <c r="F700" s="122"/>
      <c r="G700" s="123"/>
      <c r="H700" s="124"/>
      <c r="I700" s="125"/>
      <c r="J700" s="126"/>
      <c r="K700" s="127"/>
      <c r="L700" s="128"/>
      <c r="M700" s="129"/>
      <c r="N700" s="130"/>
      <c r="O700" s="118"/>
      <c r="P700" s="118"/>
      <c r="Q700" s="131"/>
    </row>
    <row r="701" ht="22.5" customHeight="1">
      <c r="A701" s="118"/>
      <c r="B701" s="119"/>
      <c r="C701" s="120"/>
      <c r="D701" s="121"/>
      <c r="E701" s="121"/>
      <c r="F701" s="122"/>
      <c r="G701" s="123"/>
      <c r="H701" s="124"/>
      <c r="I701" s="125"/>
      <c r="J701" s="126"/>
      <c r="K701" s="127"/>
      <c r="L701" s="128"/>
      <c r="M701" s="129"/>
      <c r="N701" s="130"/>
      <c r="O701" s="118"/>
      <c r="P701" s="118"/>
      <c r="Q701" s="131"/>
    </row>
    <row r="702" ht="22.5" customHeight="1">
      <c r="A702" s="118"/>
      <c r="B702" s="119"/>
      <c r="C702" s="120"/>
      <c r="D702" s="121"/>
      <c r="E702" s="121"/>
      <c r="F702" s="122"/>
      <c r="G702" s="123"/>
      <c r="H702" s="124"/>
      <c r="I702" s="125"/>
      <c r="J702" s="126"/>
      <c r="K702" s="127"/>
      <c r="L702" s="128"/>
      <c r="M702" s="129"/>
      <c r="N702" s="130"/>
      <c r="O702" s="118"/>
      <c r="P702" s="118"/>
      <c r="Q702" s="131"/>
    </row>
    <row r="703" ht="22.5" customHeight="1">
      <c r="A703" s="118"/>
      <c r="B703" s="119"/>
      <c r="C703" s="120"/>
      <c r="D703" s="121"/>
      <c r="E703" s="121"/>
      <c r="F703" s="122"/>
      <c r="G703" s="123"/>
      <c r="H703" s="124"/>
      <c r="I703" s="125"/>
      <c r="J703" s="126"/>
      <c r="K703" s="127"/>
      <c r="L703" s="128"/>
      <c r="M703" s="129"/>
      <c r="N703" s="130"/>
      <c r="O703" s="118"/>
      <c r="P703" s="118"/>
      <c r="Q703" s="131"/>
    </row>
    <row r="704" ht="22.5" customHeight="1">
      <c r="A704" s="118"/>
      <c r="B704" s="119"/>
      <c r="C704" s="120"/>
      <c r="D704" s="121"/>
      <c r="E704" s="121"/>
      <c r="F704" s="122"/>
      <c r="G704" s="123"/>
      <c r="H704" s="124"/>
      <c r="I704" s="125"/>
      <c r="J704" s="126"/>
      <c r="K704" s="127"/>
      <c r="L704" s="128"/>
      <c r="M704" s="129"/>
      <c r="N704" s="130"/>
      <c r="O704" s="118"/>
      <c r="P704" s="118"/>
      <c r="Q704" s="131"/>
    </row>
    <row r="705" ht="22.5" customHeight="1">
      <c r="A705" s="118"/>
      <c r="B705" s="119"/>
      <c r="C705" s="120"/>
      <c r="D705" s="121"/>
      <c r="E705" s="121"/>
      <c r="F705" s="122"/>
      <c r="G705" s="123"/>
      <c r="H705" s="124"/>
      <c r="I705" s="125"/>
      <c r="J705" s="126"/>
      <c r="K705" s="127"/>
      <c r="L705" s="128"/>
      <c r="M705" s="129"/>
      <c r="N705" s="130"/>
      <c r="O705" s="118"/>
      <c r="P705" s="118"/>
      <c r="Q705" s="131"/>
    </row>
    <row r="706" ht="22.5" customHeight="1">
      <c r="A706" s="118"/>
      <c r="B706" s="119"/>
      <c r="C706" s="120"/>
      <c r="D706" s="121"/>
      <c r="E706" s="121"/>
      <c r="F706" s="122"/>
      <c r="G706" s="123"/>
      <c r="H706" s="124"/>
      <c r="I706" s="125"/>
      <c r="J706" s="126"/>
      <c r="K706" s="127"/>
      <c r="L706" s="128"/>
      <c r="M706" s="129"/>
      <c r="N706" s="130"/>
      <c r="O706" s="118"/>
      <c r="P706" s="118"/>
      <c r="Q706" s="131"/>
    </row>
    <row r="707" ht="22.5" customHeight="1">
      <c r="A707" s="118"/>
      <c r="B707" s="119"/>
      <c r="C707" s="120"/>
      <c r="D707" s="121"/>
      <c r="E707" s="121"/>
      <c r="F707" s="122"/>
      <c r="G707" s="123"/>
      <c r="H707" s="124"/>
      <c r="I707" s="125"/>
      <c r="J707" s="126"/>
      <c r="K707" s="127"/>
      <c r="L707" s="128"/>
      <c r="M707" s="129"/>
      <c r="N707" s="130"/>
      <c r="O707" s="118"/>
      <c r="P707" s="118"/>
      <c r="Q707" s="131"/>
    </row>
    <row r="708" ht="22.5" customHeight="1">
      <c r="A708" s="118"/>
      <c r="B708" s="119"/>
      <c r="C708" s="120"/>
      <c r="D708" s="121"/>
      <c r="E708" s="121"/>
      <c r="F708" s="122"/>
      <c r="G708" s="123"/>
      <c r="H708" s="124"/>
      <c r="I708" s="125"/>
      <c r="J708" s="126"/>
      <c r="K708" s="127"/>
      <c r="L708" s="128"/>
      <c r="M708" s="129"/>
      <c r="N708" s="130"/>
      <c r="O708" s="118"/>
      <c r="P708" s="118"/>
      <c r="Q708" s="131"/>
    </row>
    <row r="709" ht="22.5" customHeight="1">
      <c r="A709" s="118"/>
      <c r="B709" s="119"/>
      <c r="C709" s="120"/>
      <c r="D709" s="121"/>
      <c r="E709" s="121"/>
      <c r="F709" s="122"/>
      <c r="G709" s="123"/>
      <c r="H709" s="124"/>
      <c r="I709" s="125"/>
      <c r="J709" s="126"/>
      <c r="K709" s="127"/>
      <c r="L709" s="128"/>
      <c r="M709" s="129"/>
      <c r="N709" s="130"/>
      <c r="O709" s="118"/>
      <c r="P709" s="118"/>
      <c r="Q709" s="131"/>
    </row>
    <row r="710" ht="22.5" customHeight="1">
      <c r="A710" s="118"/>
      <c r="B710" s="119"/>
      <c r="C710" s="120"/>
      <c r="D710" s="121"/>
      <c r="E710" s="121"/>
      <c r="F710" s="122"/>
      <c r="G710" s="123"/>
      <c r="H710" s="124"/>
      <c r="I710" s="125"/>
      <c r="J710" s="126"/>
      <c r="K710" s="127"/>
      <c r="L710" s="128"/>
      <c r="M710" s="129"/>
      <c r="N710" s="130"/>
      <c r="O710" s="118"/>
      <c r="P710" s="118"/>
      <c r="Q710" s="131"/>
    </row>
    <row r="711" ht="22.5" customHeight="1">
      <c r="A711" s="118"/>
      <c r="B711" s="119"/>
      <c r="C711" s="120"/>
      <c r="D711" s="121"/>
      <c r="E711" s="121"/>
      <c r="F711" s="122"/>
      <c r="G711" s="123"/>
      <c r="H711" s="124"/>
      <c r="I711" s="125"/>
      <c r="J711" s="126"/>
      <c r="K711" s="127"/>
      <c r="L711" s="128"/>
      <c r="M711" s="129"/>
      <c r="N711" s="130"/>
      <c r="O711" s="118"/>
      <c r="P711" s="118"/>
      <c r="Q711" s="131"/>
    </row>
    <row r="712" ht="22.5" customHeight="1">
      <c r="A712" s="118"/>
      <c r="B712" s="119"/>
      <c r="C712" s="120"/>
      <c r="D712" s="121"/>
      <c r="E712" s="121"/>
      <c r="F712" s="122"/>
      <c r="G712" s="123"/>
      <c r="H712" s="124"/>
      <c r="I712" s="125"/>
      <c r="J712" s="126"/>
      <c r="K712" s="127"/>
      <c r="L712" s="128"/>
      <c r="M712" s="129"/>
      <c r="N712" s="130"/>
      <c r="O712" s="118"/>
      <c r="P712" s="118"/>
      <c r="Q712" s="131"/>
    </row>
    <row r="713" ht="22.5" customHeight="1">
      <c r="A713" s="118"/>
      <c r="B713" s="119"/>
      <c r="C713" s="120"/>
      <c r="D713" s="121"/>
      <c r="E713" s="121"/>
      <c r="F713" s="122"/>
      <c r="G713" s="123"/>
      <c r="H713" s="124"/>
      <c r="I713" s="125"/>
      <c r="J713" s="126"/>
      <c r="K713" s="127"/>
      <c r="L713" s="128"/>
      <c r="M713" s="129"/>
      <c r="N713" s="130"/>
      <c r="O713" s="118"/>
      <c r="P713" s="118"/>
      <c r="Q713" s="131"/>
    </row>
    <row r="714" ht="22.5" customHeight="1">
      <c r="A714" s="118"/>
      <c r="B714" s="119"/>
      <c r="C714" s="120"/>
      <c r="D714" s="121"/>
      <c r="E714" s="121"/>
      <c r="F714" s="122"/>
      <c r="G714" s="123"/>
      <c r="H714" s="124"/>
      <c r="I714" s="125"/>
      <c r="J714" s="126"/>
      <c r="K714" s="127"/>
      <c r="L714" s="128"/>
      <c r="M714" s="129"/>
      <c r="N714" s="130"/>
      <c r="O714" s="118"/>
      <c r="P714" s="118"/>
      <c r="Q714" s="131"/>
    </row>
    <row r="715" ht="22.5" customHeight="1">
      <c r="A715" s="118"/>
      <c r="B715" s="119"/>
      <c r="C715" s="120"/>
      <c r="D715" s="121"/>
      <c r="E715" s="121"/>
      <c r="F715" s="122"/>
      <c r="G715" s="123"/>
      <c r="H715" s="124"/>
      <c r="I715" s="125"/>
      <c r="J715" s="126"/>
      <c r="K715" s="127"/>
      <c r="L715" s="128"/>
      <c r="M715" s="129"/>
      <c r="N715" s="130"/>
      <c r="O715" s="118"/>
      <c r="P715" s="118"/>
      <c r="Q715" s="131"/>
    </row>
    <row r="716" ht="22.5" customHeight="1">
      <c r="A716" s="118"/>
      <c r="B716" s="119"/>
      <c r="C716" s="120"/>
      <c r="D716" s="121"/>
      <c r="E716" s="121"/>
      <c r="F716" s="122"/>
      <c r="G716" s="123"/>
      <c r="H716" s="124"/>
      <c r="I716" s="125"/>
      <c r="J716" s="126"/>
      <c r="K716" s="127"/>
      <c r="L716" s="128"/>
      <c r="M716" s="129"/>
      <c r="N716" s="130"/>
      <c r="O716" s="118"/>
      <c r="P716" s="118"/>
      <c r="Q716" s="131"/>
    </row>
    <row r="717" ht="22.5" customHeight="1">
      <c r="A717" s="118"/>
      <c r="B717" s="119"/>
      <c r="C717" s="120"/>
      <c r="D717" s="121"/>
      <c r="E717" s="121"/>
      <c r="F717" s="122"/>
      <c r="G717" s="123"/>
      <c r="H717" s="124"/>
      <c r="I717" s="125"/>
      <c r="J717" s="126"/>
      <c r="K717" s="127"/>
      <c r="L717" s="128"/>
      <c r="M717" s="129"/>
      <c r="N717" s="130"/>
      <c r="O717" s="118"/>
      <c r="P717" s="118"/>
      <c r="Q717" s="131"/>
    </row>
    <row r="718" ht="22.5" customHeight="1">
      <c r="A718" s="118"/>
      <c r="B718" s="119"/>
      <c r="C718" s="120"/>
      <c r="D718" s="121"/>
      <c r="E718" s="121"/>
      <c r="F718" s="122"/>
      <c r="G718" s="123"/>
      <c r="H718" s="124"/>
      <c r="I718" s="125"/>
      <c r="J718" s="126"/>
      <c r="K718" s="127"/>
      <c r="L718" s="128"/>
      <c r="M718" s="129"/>
      <c r="N718" s="130"/>
      <c r="O718" s="118"/>
      <c r="P718" s="118"/>
      <c r="Q718" s="131"/>
    </row>
    <row r="719" ht="22.5" customHeight="1">
      <c r="A719" s="118"/>
      <c r="B719" s="119"/>
      <c r="C719" s="120"/>
      <c r="D719" s="121"/>
      <c r="E719" s="121"/>
      <c r="F719" s="122"/>
      <c r="G719" s="123"/>
      <c r="H719" s="124"/>
      <c r="I719" s="125"/>
      <c r="J719" s="126"/>
      <c r="K719" s="127"/>
      <c r="L719" s="128"/>
      <c r="M719" s="129"/>
      <c r="N719" s="130"/>
      <c r="O719" s="118"/>
      <c r="P719" s="118"/>
      <c r="Q719" s="131"/>
    </row>
    <row r="720" ht="22.5" customHeight="1">
      <c r="A720" s="118"/>
      <c r="B720" s="119"/>
      <c r="C720" s="120"/>
      <c r="D720" s="121"/>
      <c r="E720" s="121"/>
      <c r="F720" s="122"/>
      <c r="G720" s="123"/>
      <c r="H720" s="124"/>
      <c r="I720" s="125"/>
      <c r="J720" s="126"/>
      <c r="K720" s="127"/>
      <c r="L720" s="128"/>
      <c r="M720" s="129"/>
      <c r="N720" s="130"/>
      <c r="O720" s="118"/>
      <c r="P720" s="118"/>
      <c r="Q720" s="131"/>
    </row>
    <row r="721" ht="22.5" customHeight="1">
      <c r="A721" s="118"/>
      <c r="B721" s="119"/>
      <c r="C721" s="120"/>
      <c r="D721" s="121"/>
      <c r="E721" s="121"/>
      <c r="F721" s="122"/>
      <c r="G721" s="123"/>
      <c r="H721" s="124"/>
      <c r="I721" s="125"/>
      <c r="J721" s="126"/>
      <c r="K721" s="127"/>
      <c r="L721" s="128"/>
      <c r="M721" s="129"/>
      <c r="N721" s="130"/>
      <c r="O721" s="118"/>
      <c r="P721" s="118"/>
      <c r="Q721" s="131"/>
    </row>
    <row r="722" ht="22.5" customHeight="1">
      <c r="A722" s="118"/>
      <c r="B722" s="119"/>
      <c r="C722" s="120"/>
      <c r="D722" s="121"/>
      <c r="E722" s="121"/>
      <c r="F722" s="122"/>
      <c r="G722" s="123"/>
      <c r="H722" s="124"/>
      <c r="I722" s="125"/>
      <c r="J722" s="126"/>
      <c r="K722" s="127"/>
      <c r="L722" s="128"/>
      <c r="M722" s="129"/>
      <c r="N722" s="130"/>
      <c r="O722" s="118"/>
      <c r="P722" s="118"/>
      <c r="Q722" s="131"/>
    </row>
    <row r="723" ht="22.5" customHeight="1">
      <c r="A723" s="118"/>
      <c r="B723" s="119"/>
      <c r="C723" s="120"/>
      <c r="D723" s="121"/>
      <c r="E723" s="121"/>
      <c r="F723" s="122"/>
      <c r="G723" s="123"/>
      <c r="H723" s="124"/>
      <c r="I723" s="125"/>
      <c r="J723" s="126"/>
      <c r="K723" s="127"/>
      <c r="L723" s="128"/>
      <c r="M723" s="129"/>
      <c r="N723" s="130"/>
      <c r="O723" s="118"/>
      <c r="P723" s="118"/>
      <c r="Q723" s="131"/>
    </row>
    <row r="724" ht="22.5" customHeight="1">
      <c r="A724" s="118"/>
      <c r="B724" s="119"/>
      <c r="C724" s="120"/>
      <c r="D724" s="121"/>
      <c r="E724" s="121"/>
      <c r="F724" s="122"/>
      <c r="G724" s="123"/>
      <c r="H724" s="124"/>
      <c r="I724" s="125"/>
      <c r="J724" s="126"/>
      <c r="K724" s="127"/>
      <c r="L724" s="128"/>
      <c r="M724" s="129"/>
      <c r="N724" s="130"/>
      <c r="O724" s="118"/>
      <c r="P724" s="118"/>
      <c r="Q724" s="131"/>
    </row>
    <row r="725" ht="22.5" customHeight="1">
      <c r="A725" s="118"/>
      <c r="B725" s="119"/>
      <c r="C725" s="120"/>
      <c r="D725" s="121"/>
      <c r="E725" s="121"/>
      <c r="F725" s="122"/>
      <c r="G725" s="123"/>
      <c r="H725" s="124"/>
      <c r="I725" s="125"/>
      <c r="J725" s="126"/>
      <c r="K725" s="127"/>
      <c r="L725" s="128"/>
      <c r="M725" s="129"/>
      <c r="N725" s="130"/>
      <c r="O725" s="118"/>
      <c r="P725" s="118"/>
      <c r="Q725" s="131"/>
    </row>
    <row r="726" ht="22.5" customHeight="1">
      <c r="A726" s="118"/>
      <c r="B726" s="119"/>
      <c r="C726" s="120"/>
      <c r="D726" s="121"/>
      <c r="E726" s="121"/>
      <c r="F726" s="122"/>
      <c r="G726" s="123"/>
      <c r="H726" s="124"/>
      <c r="I726" s="125"/>
      <c r="J726" s="126"/>
      <c r="K726" s="127"/>
      <c r="L726" s="128"/>
      <c r="M726" s="129"/>
      <c r="N726" s="130"/>
      <c r="O726" s="118"/>
      <c r="P726" s="118"/>
      <c r="Q726" s="131"/>
    </row>
    <row r="727" ht="22.5" customHeight="1">
      <c r="A727" s="118"/>
      <c r="B727" s="119"/>
      <c r="C727" s="120"/>
      <c r="D727" s="121"/>
      <c r="E727" s="121"/>
      <c r="F727" s="122"/>
      <c r="G727" s="123"/>
      <c r="H727" s="124"/>
      <c r="I727" s="125"/>
      <c r="J727" s="126"/>
      <c r="K727" s="127"/>
      <c r="L727" s="128"/>
      <c r="M727" s="129"/>
      <c r="N727" s="130"/>
      <c r="O727" s="118"/>
      <c r="P727" s="118"/>
      <c r="Q727" s="131"/>
    </row>
    <row r="728" ht="22.5" customHeight="1">
      <c r="A728" s="118"/>
      <c r="B728" s="119"/>
      <c r="C728" s="120"/>
      <c r="D728" s="121"/>
      <c r="E728" s="121"/>
      <c r="F728" s="122"/>
      <c r="G728" s="123"/>
      <c r="H728" s="124"/>
      <c r="I728" s="125"/>
      <c r="J728" s="126"/>
      <c r="K728" s="127"/>
      <c r="L728" s="128"/>
      <c r="M728" s="129"/>
      <c r="N728" s="130"/>
      <c r="O728" s="118"/>
      <c r="P728" s="118"/>
      <c r="Q728" s="131"/>
    </row>
    <row r="729" ht="22.5" customHeight="1">
      <c r="A729" s="118"/>
      <c r="B729" s="119"/>
      <c r="C729" s="120"/>
      <c r="D729" s="121"/>
      <c r="E729" s="121"/>
      <c r="F729" s="122"/>
      <c r="G729" s="123"/>
      <c r="H729" s="124"/>
      <c r="I729" s="125"/>
      <c r="J729" s="126"/>
      <c r="K729" s="127"/>
      <c r="L729" s="128"/>
      <c r="M729" s="129"/>
      <c r="N729" s="130"/>
      <c r="O729" s="118"/>
      <c r="P729" s="118"/>
      <c r="Q729" s="131"/>
    </row>
    <row r="730" ht="22.5" customHeight="1">
      <c r="A730" s="118"/>
      <c r="B730" s="119"/>
      <c r="C730" s="120"/>
      <c r="D730" s="121"/>
      <c r="E730" s="121"/>
      <c r="F730" s="122"/>
      <c r="G730" s="123"/>
      <c r="H730" s="124"/>
      <c r="I730" s="125"/>
      <c r="J730" s="126"/>
      <c r="K730" s="127"/>
      <c r="L730" s="128"/>
      <c r="M730" s="129"/>
      <c r="N730" s="130"/>
      <c r="O730" s="118"/>
      <c r="P730" s="118"/>
      <c r="Q730" s="131"/>
    </row>
    <row r="731" ht="22.5" customHeight="1">
      <c r="A731" s="118"/>
      <c r="B731" s="119"/>
      <c r="C731" s="120"/>
      <c r="D731" s="121"/>
      <c r="E731" s="121"/>
      <c r="F731" s="122"/>
      <c r="G731" s="123"/>
      <c r="H731" s="124"/>
      <c r="I731" s="125"/>
      <c r="J731" s="126"/>
      <c r="K731" s="127"/>
      <c r="L731" s="128"/>
      <c r="M731" s="129"/>
      <c r="N731" s="130"/>
      <c r="O731" s="118"/>
      <c r="P731" s="118"/>
      <c r="Q731" s="131"/>
    </row>
    <row r="732" ht="22.5" customHeight="1">
      <c r="A732" s="118"/>
      <c r="B732" s="119"/>
      <c r="C732" s="120"/>
      <c r="D732" s="121"/>
      <c r="E732" s="121"/>
      <c r="F732" s="122"/>
      <c r="G732" s="123"/>
      <c r="H732" s="124"/>
      <c r="I732" s="125"/>
      <c r="J732" s="126"/>
      <c r="K732" s="127"/>
      <c r="L732" s="128"/>
      <c r="M732" s="129"/>
      <c r="N732" s="130"/>
      <c r="O732" s="118"/>
      <c r="P732" s="118"/>
      <c r="Q732" s="131"/>
    </row>
    <row r="733" ht="22.5" customHeight="1">
      <c r="A733" s="118"/>
      <c r="B733" s="119"/>
      <c r="C733" s="120"/>
      <c r="D733" s="121"/>
      <c r="E733" s="121"/>
      <c r="F733" s="122"/>
      <c r="G733" s="123"/>
      <c r="H733" s="124"/>
      <c r="I733" s="125"/>
      <c r="J733" s="126"/>
      <c r="K733" s="127"/>
      <c r="L733" s="128"/>
      <c r="M733" s="129"/>
      <c r="N733" s="130"/>
      <c r="O733" s="118"/>
      <c r="P733" s="118"/>
      <c r="Q733" s="131"/>
    </row>
    <row r="734" ht="22.5" customHeight="1">
      <c r="A734" s="118"/>
      <c r="B734" s="119"/>
      <c r="C734" s="120"/>
      <c r="D734" s="121"/>
      <c r="E734" s="121"/>
      <c r="F734" s="122"/>
      <c r="G734" s="123"/>
      <c r="H734" s="124"/>
      <c r="I734" s="125"/>
      <c r="J734" s="126"/>
      <c r="K734" s="127"/>
      <c r="L734" s="128"/>
      <c r="M734" s="129"/>
      <c r="N734" s="130"/>
      <c r="O734" s="118"/>
      <c r="P734" s="118"/>
      <c r="Q734" s="131"/>
    </row>
    <row r="735" ht="22.5" customHeight="1">
      <c r="A735" s="118"/>
      <c r="B735" s="119"/>
      <c r="C735" s="120"/>
      <c r="D735" s="121"/>
      <c r="E735" s="121"/>
      <c r="F735" s="122"/>
      <c r="G735" s="123"/>
      <c r="H735" s="124"/>
      <c r="I735" s="125"/>
      <c r="J735" s="126"/>
      <c r="K735" s="127"/>
      <c r="L735" s="128"/>
      <c r="M735" s="129"/>
      <c r="N735" s="130"/>
      <c r="O735" s="118"/>
      <c r="P735" s="118"/>
      <c r="Q735" s="131"/>
    </row>
    <row r="736" ht="22.5" customHeight="1">
      <c r="A736" s="118"/>
      <c r="B736" s="119"/>
      <c r="C736" s="120"/>
      <c r="D736" s="121"/>
      <c r="E736" s="121"/>
      <c r="F736" s="122"/>
      <c r="G736" s="123"/>
      <c r="H736" s="124"/>
      <c r="I736" s="125"/>
      <c r="J736" s="126"/>
      <c r="K736" s="127"/>
      <c r="L736" s="128"/>
      <c r="M736" s="129"/>
      <c r="N736" s="130"/>
      <c r="O736" s="118"/>
      <c r="P736" s="118"/>
      <c r="Q736" s="131"/>
    </row>
    <row r="737" ht="22.5" customHeight="1">
      <c r="A737" s="118"/>
      <c r="B737" s="119"/>
      <c r="C737" s="120"/>
      <c r="D737" s="121"/>
      <c r="E737" s="121"/>
      <c r="F737" s="122"/>
      <c r="G737" s="123"/>
      <c r="H737" s="124"/>
      <c r="I737" s="125"/>
      <c r="J737" s="126"/>
      <c r="K737" s="127"/>
      <c r="L737" s="128"/>
      <c r="M737" s="129"/>
      <c r="N737" s="130"/>
      <c r="O737" s="118"/>
      <c r="P737" s="118"/>
      <c r="Q737" s="131"/>
    </row>
    <row r="738" ht="22.5" customHeight="1">
      <c r="A738" s="118"/>
      <c r="B738" s="119"/>
      <c r="C738" s="120"/>
      <c r="D738" s="121"/>
      <c r="E738" s="121"/>
      <c r="F738" s="122"/>
      <c r="G738" s="123"/>
      <c r="H738" s="124"/>
      <c r="I738" s="125"/>
      <c r="J738" s="126"/>
      <c r="K738" s="127"/>
      <c r="L738" s="128"/>
      <c r="M738" s="129"/>
      <c r="N738" s="130"/>
      <c r="O738" s="118"/>
      <c r="P738" s="118"/>
      <c r="Q738" s="131"/>
    </row>
    <row r="739" ht="22.5" customHeight="1">
      <c r="A739" s="118"/>
      <c r="B739" s="119"/>
      <c r="C739" s="120"/>
      <c r="D739" s="121"/>
      <c r="E739" s="121"/>
      <c r="F739" s="122"/>
      <c r="G739" s="123"/>
      <c r="H739" s="124"/>
      <c r="I739" s="125"/>
      <c r="J739" s="126"/>
      <c r="K739" s="127"/>
      <c r="L739" s="128"/>
      <c r="M739" s="129"/>
      <c r="N739" s="130"/>
      <c r="O739" s="118"/>
      <c r="P739" s="118"/>
      <c r="Q739" s="131"/>
    </row>
    <row r="740" ht="22.5" customHeight="1">
      <c r="A740" s="118"/>
      <c r="B740" s="119"/>
      <c r="C740" s="120"/>
      <c r="D740" s="121"/>
      <c r="E740" s="121"/>
      <c r="F740" s="122"/>
      <c r="G740" s="123"/>
      <c r="H740" s="124"/>
      <c r="I740" s="125"/>
      <c r="J740" s="126"/>
      <c r="K740" s="127"/>
      <c r="L740" s="128"/>
      <c r="M740" s="129"/>
      <c r="N740" s="130"/>
      <c r="O740" s="118"/>
      <c r="P740" s="118"/>
      <c r="Q740" s="131"/>
    </row>
    <row r="741" ht="22.5" customHeight="1">
      <c r="A741" s="118"/>
      <c r="B741" s="119"/>
      <c r="C741" s="120"/>
      <c r="D741" s="121"/>
      <c r="E741" s="121"/>
      <c r="F741" s="122"/>
      <c r="G741" s="123"/>
      <c r="H741" s="124"/>
      <c r="I741" s="125"/>
      <c r="J741" s="126"/>
      <c r="K741" s="127"/>
      <c r="L741" s="128"/>
      <c r="M741" s="129"/>
      <c r="N741" s="130"/>
      <c r="O741" s="118"/>
      <c r="P741" s="118"/>
      <c r="Q741" s="131"/>
    </row>
    <row r="742" ht="22.5" customHeight="1">
      <c r="A742" s="118"/>
      <c r="B742" s="119"/>
      <c r="C742" s="120"/>
      <c r="D742" s="121"/>
      <c r="E742" s="121"/>
      <c r="F742" s="122"/>
      <c r="G742" s="123"/>
      <c r="H742" s="124"/>
      <c r="I742" s="125"/>
      <c r="J742" s="126"/>
      <c r="K742" s="127"/>
      <c r="L742" s="128"/>
      <c r="M742" s="129"/>
      <c r="N742" s="130"/>
      <c r="O742" s="118"/>
      <c r="P742" s="118"/>
      <c r="Q742" s="131"/>
    </row>
    <row r="743" ht="22.5" customHeight="1">
      <c r="A743" s="118"/>
      <c r="B743" s="119"/>
      <c r="C743" s="120"/>
      <c r="D743" s="121"/>
      <c r="E743" s="121"/>
      <c r="F743" s="122"/>
      <c r="G743" s="123"/>
      <c r="H743" s="124"/>
      <c r="I743" s="125"/>
      <c r="J743" s="126"/>
      <c r="K743" s="127"/>
      <c r="L743" s="128"/>
      <c r="M743" s="129"/>
      <c r="N743" s="130"/>
      <c r="O743" s="118"/>
      <c r="P743" s="118"/>
      <c r="Q743" s="131"/>
    </row>
    <row r="744" ht="22.5" customHeight="1">
      <c r="A744" s="118"/>
      <c r="B744" s="119"/>
      <c r="C744" s="120"/>
      <c r="D744" s="121"/>
      <c r="E744" s="121"/>
      <c r="F744" s="122"/>
      <c r="G744" s="123"/>
      <c r="H744" s="124"/>
      <c r="I744" s="125"/>
      <c r="J744" s="126"/>
      <c r="K744" s="127"/>
      <c r="L744" s="128"/>
      <c r="M744" s="129"/>
      <c r="N744" s="130"/>
      <c r="O744" s="118"/>
      <c r="P744" s="118"/>
      <c r="Q744" s="131"/>
    </row>
    <row r="745" ht="22.5" customHeight="1">
      <c r="A745" s="118"/>
      <c r="B745" s="119"/>
      <c r="C745" s="120"/>
      <c r="D745" s="121"/>
      <c r="E745" s="121"/>
      <c r="F745" s="122"/>
      <c r="G745" s="123"/>
      <c r="H745" s="124"/>
      <c r="I745" s="125"/>
      <c r="J745" s="126"/>
      <c r="K745" s="127"/>
      <c r="L745" s="128"/>
      <c r="M745" s="129"/>
      <c r="N745" s="130"/>
      <c r="O745" s="118"/>
      <c r="P745" s="118"/>
      <c r="Q745" s="131"/>
    </row>
    <row r="746" ht="22.5" customHeight="1">
      <c r="A746" s="118"/>
      <c r="B746" s="119"/>
      <c r="C746" s="120"/>
      <c r="D746" s="121"/>
      <c r="E746" s="121"/>
      <c r="F746" s="122"/>
      <c r="G746" s="123"/>
      <c r="H746" s="124"/>
      <c r="I746" s="125"/>
      <c r="J746" s="126"/>
      <c r="K746" s="127"/>
      <c r="L746" s="128"/>
      <c r="M746" s="129"/>
      <c r="N746" s="130"/>
      <c r="O746" s="118"/>
      <c r="P746" s="118"/>
      <c r="Q746" s="131"/>
    </row>
    <row r="747" ht="22.5" customHeight="1">
      <c r="A747" s="118"/>
      <c r="B747" s="119"/>
      <c r="C747" s="120"/>
      <c r="D747" s="121"/>
      <c r="E747" s="121"/>
      <c r="F747" s="122"/>
      <c r="G747" s="123"/>
      <c r="H747" s="124"/>
      <c r="I747" s="125"/>
      <c r="J747" s="126"/>
      <c r="K747" s="127"/>
      <c r="L747" s="128"/>
      <c r="M747" s="129"/>
      <c r="N747" s="130"/>
      <c r="O747" s="118"/>
      <c r="P747" s="118"/>
      <c r="Q747" s="131"/>
    </row>
    <row r="748" ht="22.5" customHeight="1">
      <c r="A748" s="118"/>
      <c r="B748" s="119"/>
      <c r="C748" s="120"/>
      <c r="D748" s="121"/>
      <c r="E748" s="121"/>
      <c r="F748" s="122"/>
      <c r="G748" s="123"/>
      <c r="H748" s="124"/>
      <c r="I748" s="125"/>
      <c r="J748" s="126"/>
      <c r="K748" s="127"/>
      <c r="L748" s="128"/>
      <c r="M748" s="129"/>
      <c r="N748" s="130"/>
      <c r="O748" s="118"/>
      <c r="P748" s="118"/>
      <c r="Q748" s="131"/>
    </row>
    <row r="749" ht="22.5" customHeight="1">
      <c r="A749" s="118"/>
      <c r="B749" s="119"/>
      <c r="C749" s="120"/>
      <c r="D749" s="121"/>
      <c r="E749" s="121"/>
      <c r="F749" s="122"/>
      <c r="G749" s="123"/>
      <c r="H749" s="124"/>
      <c r="I749" s="125"/>
      <c r="J749" s="126"/>
      <c r="K749" s="127"/>
      <c r="L749" s="128"/>
      <c r="M749" s="129"/>
      <c r="N749" s="130"/>
      <c r="O749" s="118"/>
      <c r="P749" s="118"/>
      <c r="Q749" s="131"/>
    </row>
    <row r="750" ht="22.5" customHeight="1">
      <c r="A750" s="118"/>
      <c r="B750" s="119"/>
      <c r="C750" s="120"/>
      <c r="D750" s="121"/>
      <c r="E750" s="121"/>
      <c r="F750" s="122"/>
      <c r="G750" s="123"/>
      <c r="H750" s="124"/>
      <c r="I750" s="125"/>
      <c r="J750" s="126"/>
      <c r="K750" s="127"/>
      <c r="L750" s="128"/>
      <c r="M750" s="129"/>
      <c r="N750" s="130"/>
      <c r="O750" s="118"/>
      <c r="P750" s="118"/>
      <c r="Q750" s="131"/>
    </row>
    <row r="751" ht="22.5" customHeight="1">
      <c r="A751" s="118"/>
      <c r="B751" s="119"/>
      <c r="C751" s="120"/>
      <c r="D751" s="121"/>
      <c r="E751" s="121"/>
      <c r="F751" s="122"/>
      <c r="G751" s="123"/>
      <c r="H751" s="124"/>
      <c r="I751" s="125"/>
      <c r="J751" s="126"/>
      <c r="K751" s="127"/>
      <c r="L751" s="128"/>
      <c r="M751" s="129"/>
      <c r="N751" s="130"/>
      <c r="O751" s="118"/>
      <c r="P751" s="118"/>
      <c r="Q751" s="131"/>
    </row>
    <row r="752" ht="22.5" customHeight="1">
      <c r="A752" s="118"/>
      <c r="B752" s="119"/>
      <c r="C752" s="120"/>
      <c r="D752" s="121"/>
      <c r="E752" s="121"/>
      <c r="F752" s="122"/>
      <c r="G752" s="123"/>
      <c r="H752" s="124"/>
      <c r="I752" s="125"/>
      <c r="J752" s="126"/>
      <c r="K752" s="127"/>
      <c r="L752" s="128"/>
      <c r="M752" s="129"/>
      <c r="N752" s="130"/>
      <c r="O752" s="118"/>
      <c r="P752" s="118"/>
      <c r="Q752" s="131"/>
    </row>
    <row r="753" ht="22.5" customHeight="1">
      <c r="A753" s="118"/>
      <c r="B753" s="119"/>
      <c r="C753" s="120"/>
      <c r="D753" s="121"/>
      <c r="E753" s="121"/>
      <c r="F753" s="122"/>
      <c r="G753" s="123"/>
      <c r="H753" s="124"/>
      <c r="I753" s="125"/>
      <c r="J753" s="126"/>
      <c r="K753" s="127"/>
      <c r="L753" s="128"/>
      <c r="M753" s="129"/>
      <c r="N753" s="130"/>
      <c r="O753" s="118"/>
      <c r="P753" s="118"/>
      <c r="Q753" s="131"/>
    </row>
    <row r="754" ht="22.5" customHeight="1">
      <c r="A754" s="118"/>
      <c r="B754" s="119"/>
      <c r="C754" s="120"/>
      <c r="D754" s="121"/>
      <c r="E754" s="121"/>
      <c r="F754" s="122"/>
      <c r="G754" s="123"/>
      <c r="H754" s="124"/>
      <c r="I754" s="125"/>
      <c r="J754" s="126"/>
      <c r="K754" s="127"/>
      <c r="L754" s="128"/>
      <c r="M754" s="129"/>
      <c r="N754" s="130"/>
      <c r="O754" s="118"/>
      <c r="P754" s="118"/>
      <c r="Q754" s="131"/>
    </row>
    <row r="755" ht="22.5" customHeight="1">
      <c r="A755" s="118"/>
      <c r="B755" s="119"/>
      <c r="C755" s="120"/>
      <c r="D755" s="121"/>
      <c r="E755" s="121"/>
      <c r="F755" s="122"/>
      <c r="G755" s="123"/>
      <c r="H755" s="124"/>
      <c r="I755" s="125"/>
      <c r="J755" s="126"/>
      <c r="K755" s="127"/>
      <c r="L755" s="128"/>
      <c r="M755" s="129"/>
      <c r="N755" s="130"/>
      <c r="O755" s="118"/>
      <c r="P755" s="118"/>
      <c r="Q755" s="131"/>
    </row>
    <row r="756" ht="22.5" customHeight="1">
      <c r="A756" s="118"/>
      <c r="B756" s="119"/>
      <c r="C756" s="120"/>
      <c r="D756" s="121"/>
      <c r="E756" s="121"/>
      <c r="F756" s="122"/>
      <c r="G756" s="123"/>
      <c r="H756" s="124"/>
      <c r="I756" s="125"/>
      <c r="J756" s="126"/>
      <c r="K756" s="127"/>
      <c r="L756" s="128"/>
      <c r="M756" s="129"/>
      <c r="N756" s="130"/>
      <c r="O756" s="118"/>
      <c r="P756" s="118"/>
      <c r="Q756" s="131"/>
    </row>
    <row r="757" ht="22.5" customHeight="1">
      <c r="A757" s="118"/>
      <c r="B757" s="119"/>
      <c r="C757" s="120"/>
      <c r="D757" s="121"/>
      <c r="E757" s="121"/>
      <c r="F757" s="122"/>
      <c r="G757" s="123"/>
      <c r="H757" s="124"/>
      <c r="I757" s="125"/>
      <c r="J757" s="126"/>
      <c r="K757" s="127"/>
      <c r="L757" s="128"/>
      <c r="M757" s="129"/>
      <c r="N757" s="130"/>
      <c r="O757" s="118"/>
      <c r="P757" s="118"/>
      <c r="Q757" s="131"/>
    </row>
    <row r="758" ht="22.5" customHeight="1">
      <c r="A758" s="118"/>
      <c r="B758" s="119"/>
      <c r="C758" s="120"/>
      <c r="D758" s="121"/>
      <c r="E758" s="121"/>
      <c r="F758" s="122"/>
      <c r="G758" s="123"/>
      <c r="H758" s="124"/>
      <c r="I758" s="125"/>
      <c r="J758" s="126"/>
      <c r="K758" s="127"/>
      <c r="L758" s="128"/>
      <c r="M758" s="129"/>
      <c r="N758" s="130"/>
      <c r="O758" s="118"/>
      <c r="P758" s="118"/>
      <c r="Q758" s="131"/>
    </row>
    <row r="759" ht="22.5" customHeight="1">
      <c r="A759" s="118"/>
      <c r="B759" s="119"/>
      <c r="C759" s="120"/>
      <c r="D759" s="121"/>
      <c r="E759" s="121"/>
      <c r="F759" s="122"/>
      <c r="G759" s="123"/>
      <c r="H759" s="124"/>
      <c r="I759" s="125"/>
      <c r="J759" s="126"/>
      <c r="K759" s="127"/>
      <c r="L759" s="128"/>
      <c r="M759" s="129"/>
      <c r="N759" s="130"/>
      <c r="O759" s="118"/>
      <c r="P759" s="118"/>
      <c r="Q759" s="131"/>
    </row>
    <row r="760" ht="22.5" customHeight="1">
      <c r="A760" s="118"/>
      <c r="B760" s="119"/>
      <c r="C760" s="120"/>
      <c r="D760" s="121"/>
      <c r="E760" s="121"/>
      <c r="F760" s="122"/>
      <c r="G760" s="123"/>
      <c r="H760" s="124"/>
      <c r="I760" s="125"/>
      <c r="J760" s="126"/>
      <c r="K760" s="127"/>
      <c r="L760" s="128"/>
      <c r="M760" s="129"/>
      <c r="N760" s="130"/>
      <c r="O760" s="118"/>
      <c r="P760" s="118"/>
      <c r="Q760" s="131"/>
    </row>
    <row r="761" ht="22.5" customHeight="1">
      <c r="A761" s="118"/>
      <c r="B761" s="119"/>
      <c r="C761" s="120"/>
      <c r="D761" s="121"/>
      <c r="E761" s="121"/>
      <c r="F761" s="122"/>
      <c r="G761" s="123"/>
      <c r="H761" s="124"/>
      <c r="I761" s="125"/>
      <c r="J761" s="126"/>
      <c r="K761" s="127"/>
      <c r="L761" s="128"/>
      <c r="M761" s="129"/>
      <c r="N761" s="130"/>
      <c r="O761" s="118"/>
      <c r="P761" s="118"/>
      <c r="Q761" s="131"/>
    </row>
    <row r="762" ht="22.5" customHeight="1">
      <c r="A762" s="118"/>
      <c r="B762" s="119"/>
      <c r="C762" s="120"/>
      <c r="D762" s="121"/>
      <c r="E762" s="121"/>
      <c r="F762" s="122"/>
      <c r="G762" s="123"/>
      <c r="H762" s="124"/>
      <c r="I762" s="125"/>
      <c r="J762" s="126"/>
      <c r="K762" s="127"/>
      <c r="L762" s="128"/>
      <c r="M762" s="129"/>
      <c r="N762" s="130"/>
      <c r="O762" s="118"/>
      <c r="P762" s="118"/>
      <c r="Q762" s="131"/>
    </row>
    <row r="763" ht="22.5" customHeight="1">
      <c r="A763" s="118"/>
      <c r="B763" s="119"/>
      <c r="C763" s="120"/>
      <c r="D763" s="121"/>
      <c r="E763" s="121"/>
      <c r="F763" s="122"/>
      <c r="G763" s="123"/>
      <c r="H763" s="124"/>
      <c r="I763" s="125"/>
      <c r="J763" s="126"/>
      <c r="K763" s="127"/>
      <c r="L763" s="128"/>
      <c r="M763" s="129"/>
      <c r="N763" s="130"/>
      <c r="O763" s="118"/>
      <c r="P763" s="118"/>
      <c r="Q763" s="131"/>
    </row>
    <row r="764" ht="22.5" customHeight="1">
      <c r="A764" s="118"/>
      <c r="B764" s="119"/>
      <c r="C764" s="120"/>
      <c r="D764" s="121"/>
      <c r="E764" s="121"/>
      <c r="F764" s="122"/>
      <c r="G764" s="123"/>
      <c r="H764" s="124"/>
      <c r="I764" s="125"/>
      <c r="J764" s="126"/>
      <c r="K764" s="127"/>
      <c r="L764" s="128"/>
      <c r="M764" s="129"/>
      <c r="N764" s="130"/>
      <c r="O764" s="118"/>
      <c r="P764" s="118"/>
      <c r="Q764" s="131"/>
    </row>
    <row r="765" ht="22.5" customHeight="1">
      <c r="A765" s="118"/>
      <c r="B765" s="119"/>
      <c r="C765" s="120"/>
      <c r="D765" s="121"/>
      <c r="E765" s="121"/>
      <c r="F765" s="122"/>
      <c r="G765" s="123"/>
      <c r="H765" s="124"/>
      <c r="I765" s="125"/>
      <c r="J765" s="126"/>
      <c r="K765" s="127"/>
      <c r="L765" s="128"/>
      <c r="M765" s="129"/>
      <c r="N765" s="130"/>
      <c r="O765" s="118"/>
      <c r="P765" s="118"/>
      <c r="Q765" s="131"/>
    </row>
    <row r="766" ht="22.5" customHeight="1">
      <c r="A766" s="118"/>
      <c r="B766" s="119"/>
      <c r="C766" s="120"/>
      <c r="D766" s="121"/>
      <c r="E766" s="121"/>
      <c r="F766" s="122"/>
      <c r="G766" s="123"/>
      <c r="H766" s="124"/>
      <c r="I766" s="125"/>
      <c r="J766" s="126"/>
      <c r="K766" s="127"/>
      <c r="L766" s="128"/>
      <c r="M766" s="129"/>
      <c r="N766" s="130"/>
      <c r="O766" s="118"/>
      <c r="P766" s="118"/>
      <c r="Q766" s="131"/>
    </row>
    <row r="767" ht="22.5" customHeight="1">
      <c r="A767" s="118"/>
      <c r="B767" s="119"/>
      <c r="C767" s="120"/>
      <c r="D767" s="121"/>
      <c r="E767" s="121"/>
      <c r="F767" s="122"/>
      <c r="G767" s="123"/>
      <c r="H767" s="124"/>
      <c r="I767" s="125"/>
      <c r="J767" s="126"/>
      <c r="K767" s="127"/>
      <c r="L767" s="128"/>
      <c r="M767" s="129"/>
      <c r="N767" s="130"/>
      <c r="O767" s="118"/>
      <c r="P767" s="118"/>
      <c r="Q767" s="131"/>
    </row>
    <row r="768" ht="22.5" customHeight="1">
      <c r="A768" s="118"/>
      <c r="B768" s="119"/>
      <c r="C768" s="120"/>
      <c r="D768" s="121"/>
      <c r="E768" s="121"/>
      <c r="F768" s="122"/>
      <c r="G768" s="123"/>
      <c r="H768" s="124"/>
      <c r="I768" s="125"/>
      <c r="J768" s="126"/>
      <c r="K768" s="127"/>
      <c r="L768" s="128"/>
      <c r="M768" s="129"/>
      <c r="N768" s="130"/>
      <c r="O768" s="118"/>
      <c r="P768" s="118"/>
      <c r="Q768" s="131"/>
    </row>
    <row r="769" ht="22.5" customHeight="1">
      <c r="A769" s="118"/>
      <c r="B769" s="119"/>
      <c r="C769" s="120"/>
      <c r="D769" s="121"/>
      <c r="E769" s="121"/>
      <c r="F769" s="122"/>
      <c r="G769" s="123"/>
      <c r="H769" s="124"/>
      <c r="I769" s="125"/>
      <c r="J769" s="126"/>
      <c r="K769" s="127"/>
      <c r="L769" s="128"/>
      <c r="M769" s="129"/>
      <c r="N769" s="130"/>
      <c r="O769" s="118"/>
      <c r="P769" s="118"/>
      <c r="Q769" s="131"/>
    </row>
    <row r="770" ht="22.5" customHeight="1">
      <c r="A770" s="118"/>
      <c r="B770" s="119"/>
      <c r="C770" s="120"/>
      <c r="D770" s="121"/>
      <c r="E770" s="121"/>
      <c r="F770" s="122"/>
      <c r="G770" s="123"/>
      <c r="H770" s="124"/>
      <c r="I770" s="125"/>
      <c r="J770" s="126"/>
      <c r="K770" s="127"/>
      <c r="L770" s="128"/>
      <c r="M770" s="129"/>
      <c r="N770" s="130"/>
      <c r="O770" s="118"/>
      <c r="P770" s="118"/>
      <c r="Q770" s="131"/>
    </row>
    <row r="771" ht="22.5" customHeight="1">
      <c r="A771" s="118"/>
      <c r="B771" s="119"/>
      <c r="C771" s="120"/>
      <c r="D771" s="121"/>
      <c r="E771" s="121"/>
      <c r="F771" s="122"/>
      <c r="G771" s="123"/>
      <c r="H771" s="124"/>
      <c r="I771" s="125"/>
      <c r="J771" s="126"/>
      <c r="K771" s="127"/>
      <c r="L771" s="128"/>
      <c r="M771" s="129"/>
      <c r="N771" s="130"/>
      <c r="O771" s="118"/>
      <c r="P771" s="118"/>
      <c r="Q771" s="131"/>
    </row>
    <row r="772" ht="22.5" customHeight="1">
      <c r="A772" s="118"/>
      <c r="B772" s="119"/>
      <c r="C772" s="120"/>
      <c r="D772" s="121"/>
      <c r="E772" s="121"/>
      <c r="F772" s="122"/>
      <c r="G772" s="123"/>
      <c r="H772" s="124"/>
      <c r="I772" s="125"/>
      <c r="J772" s="126"/>
      <c r="K772" s="127"/>
      <c r="L772" s="128"/>
      <c r="M772" s="129"/>
      <c r="N772" s="130"/>
      <c r="O772" s="118"/>
      <c r="P772" s="118"/>
      <c r="Q772" s="131"/>
    </row>
    <row r="773" ht="22.5" customHeight="1">
      <c r="A773" s="118"/>
      <c r="B773" s="119"/>
      <c r="C773" s="120"/>
      <c r="D773" s="121"/>
      <c r="E773" s="121"/>
      <c r="F773" s="122"/>
      <c r="G773" s="123"/>
      <c r="H773" s="124"/>
      <c r="I773" s="125"/>
      <c r="J773" s="126"/>
      <c r="K773" s="127"/>
      <c r="L773" s="128"/>
      <c r="M773" s="129"/>
      <c r="N773" s="130"/>
      <c r="O773" s="118"/>
      <c r="P773" s="118"/>
      <c r="Q773" s="131"/>
    </row>
    <row r="774" ht="22.5" customHeight="1">
      <c r="A774" s="118"/>
      <c r="B774" s="119"/>
      <c r="C774" s="120"/>
      <c r="D774" s="121"/>
      <c r="E774" s="121"/>
      <c r="F774" s="122"/>
      <c r="G774" s="123"/>
      <c r="H774" s="124"/>
      <c r="I774" s="125"/>
      <c r="J774" s="126"/>
      <c r="K774" s="127"/>
      <c r="L774" s="128"/>
      <c r="M774" s="129"/>
      <c r="N774" s="130"/>
      <c r="O774" s="118"/>
      <c r="P774" s="118"/>
      <c r="Q774" s="131"/>
    </row>
    <row r="775" ht="22.5" customHeight="1">
      <c r="A775" s="118"/>
      <c r="B775" s="119"/>
      <c r="C775" s="120"/>
      <c r="D775" s="121"/>
      <c r="E775" s="121"/>
      <c r="F775" s="122"/>
      <c r="G775" s="123"/>
      <c r="H775" s="124"/>
      <c r="I775" s="125"/>
      <c r="J775" s="126"/>
      <c r="K775" s="127"/>
      <c r="L775" s="128"/>
      <c r="M775" s="129"/>
      <c r="N775" s="130"/>
      <c r="O775" s="118"/>
      <c r="P775" s="118"/>
      <c r="Q775" s="131"/>
    </row>
    <row r="776" ht="22.5" customHeight="1">
      <c r="A776" s="118"/>
      <c r="B776" s="119"/>
      <c r="C776" s="120"/>
      <c r="D776" s="121"/>
      <c r="E776" s="121"/>
      <c r="F776" s="122"/>
      <c r="G776" s="123"/>
      <c r="H776" s="124"/>
      <c r="I776" s="125"/>
      <c r="J776" s="126"/>
      <c r="K776" s="127"/>
      <c r="L776" s="128"/>
      <c r="M776" s="129"/>
      <c r="N776" s="130"/>
      <c r="O776" s="118"/>
      <c r="P776" s="118"/>
      <c r="Q776" s="131"/>
    </row>
    <row r="777" ht="22.5" customHeight="1">
      <c r="A777" s="118"/>
      <c r="B777" s="119"/>
      <c r="C777" s="120"/>
      <c r="D777" s="121"/>
      <c r="E777" s="121"/>
      <c r="F777" s="122"/>
      <c r="G777" s="123"/>
      <c r="H777" s="124"/>
      <c r="I777" s="125"/>
      <c r="J777" s="126"/>
      <c r="K777" s="127"/>
      <c r="L777" s="128"/>
      <c r="M777" s="129"/>
      <c r="N777" s="130"/>
      <c r="O777" s="118"/>
      <c r="P777" s="118"/>
      <c r="Q777" s="131"/>
    </row>
    <row r="778" ht="22.5" customHeight="1">
      <c r="A778" s="118"/>
      <c r="B778" s="119"/>
      <c r="C778" s="120"/>
      <c r="D778" s="121"/>
      <c r="E778" s="121"/>
      <c r="F778" s="122"/>
      <c r="G778" s="123"/>
      <c r="H778" s="124"/>
      <c r="I778" s="125"/>
      <c r="J778" s="126"/>
      <c r="K778" s="127"/>
      <c r="L778" s="128"/>
      <c r="M778" s="129"/>
      <c r="N778" s="130"/>
      <c r="O778" s="118"/>
      <c r="P778" s="118"/>
      <c r="Q778" s="131"/>
    </row>
    <row r="779" ht="22.5" customHeight="1">
      <c r="A779" s="118"/>
      <c r="B779" s="119"/>
      <c r="C779" s="120"/>
      <c r="D779" s="121"/>
      <c r="E779" s="121"/>
      <c r="F779" s="122"/>
      <c r="G779" s="123"/>
      <c r="H779" s="124"/>
      <c r="I779" s="125"/>
      <c r="J779" s="126"/>
      <c r="K779" s="127"/>
      <c r="L779" s="128"/>
      <c r="M779" s="129"/>
      <c r="N779" s="130"/>
      <c r="O779" s="118"/>
      <c r="P779" s="118"/>
      <c r="Q779" s="131"/>
    </row>
    <row r="780" ht="22.5" customHeight="1">
      <c r="A780" s="118"/>
      <c r="B780" s="119"/>
      <c r="C780" s="120"/>
      <c r="D780" s="121"/>
      <c r="E780" s="121"/>
      <c r="F780" s="122"/>
      <c r="G780" s="123"/>
      <c r="H780" s="124"/>
      <c r="I780" s="125"/>
      <c r="J780" s="126"/>
      <c r="K780" s="127"/>
      <c r="L780" s="128"/>
      <c r="M780" s="129"/>
      <c r="N780" s="130"/>
      <c r="O780" s="118"/>
      <c r="P780" s="118"/>
      <c r="Q780" s="131"/>
    </row>
    <row r="781" ht="22.5" customHeight="1">
      <c r="A781" s="118"/>
      <c r="B781" s="119"/>
      <c r="C781" s="120"/>
      <c r="D781" s="121"/>
      <c r="E781" s="121"/>
      <c r="F781" s="122"/>
      <c r="G781" s="123"/>
      <c r="H781" s="124"/>
      <c r="I781" s="125"/>
      <c r="J781" s="126"/>
      <c r="K781" s="127"/>
      <c r="L781" s="128"/>
      <c r="M781" s="129"/>
      <c r="N781" s="130"/>
      <c r="O781" s="118"/>
      <c r="P781" s="118"/>
      <c r="Q781" s="131"/>
    </row>
    <row r="782" ht="22.5" customHeight="1">
      <c r="A782" s="118"/>
      <c r="B782" s="119"/>
      <c r="C782" s="120"/>
      <c r="D782" s="121"/>
      <c r="E782" s="121"/>
      <c r="F782" s="122"/>
      <c r="G782" s="123"/>
      <c r="H782" s="124"/>
      <c r="I782" s="125"/>
      <c r="J782" s="126"/>
      <c r="K782" s="127"/>
      <c r="L782" s="128"/>
      <c r="M782" s="129"/>
      <c r="N782" s="130"/>
      <c r="O782" s="118"/>
      <c r="P782" s="118"/>
      <c r="Q782" s="131"/>
    </row>
    <row r="783" ht="22.5" customHeight="1">
      <c r="A783" s="118"/>
      <c r="B783" s="119"/>
      <c r="C783" s="120"/>
      <c r="D783" s="121"/>
      <c r="E783" s="121"/>
      <c r="F783" s="122"/>
      <c r="G783" s="123"/>
      <c r="H783" s="124"/>
      <c r="I783" s="125"/>
      <c r="J783" s="126"/>
      <c r="K783" s="127"/>
      <c r="L783" s="128"/>
      <c r="M783" s="129"/>
      <c r="N783" s="130"/>
      <c r="O783" s="118"/>
      <c r="P783" s="118"/>
      <c r="Q783" s="131"/>
    </row>
    <row r="784" ht="22.5" customHeight="1">
      <c r="A784" s="118"/>
      <c r="B784" s="119"/>
      <c r="C784" s="120"/>
      <c r="D784" s="121"/>
      <c r="E784" s="121"/>
      <c r="F784" s="122"/>
      <c r="G784" s="123"/>
      <c r="H784" s="124"/>
      <c r="I784" s="125"/>
      <c r="J784" s="126"/>
      <c r="K784" s="127"/>
      <c r="L784" s="128"/>
      <c r="M784" s="129"/>
      <c r="N784" s="130"/>
      <c r="O784" s="118"/>
      <c r="P784" s="118"/>
      <c r="Q784" s="131"/>
    </row>
    <row r="785" ht="22.5" customHeight="1">
      <c r="A785" s="118"/>
      <c r="B785" s="119"/>
      <c r="C785" s="120"/>
      <c r="D785" s="121"/>
      <c r="E785" s="121"/>
      <c r="F785" s="122"/>
      <c r="G785" s="123"/>
      <c r="H785" s="124"/>
      <c r="I785" s="125"/>
      <c r="J785" s="126"/>
      <c r="K785" s="127"/>
      <c r="L785" s="128"/>
      <c r="M785" s="129"/>
      <c r="N785" s="130"/>
      <c r="O785" s="118"/>
      <c r="P785" s="118"/>
      <c r="Q785" s="131"/>
    </row>
    <row r="786" ht="22.5" customHeight="1">
      <c r="A786" s="118"/>
      <c r="B786" s="119"/>
      <c r="C786" s="120"/>
      <c r="D786" s="121"/>
      <c r="E786" s="121"/>
      <c r="F786" s="122"/>
      <c r="G786" s="123"/>
      <c r="H786" s="124"/>
      <c r="I786" s="125"/>
      <c r="J786" s="126"/>
      <c r="K786" s="127"/>
      <c r="L786" s="128"/>
      <c r="M786" s="129"/>
      <c r="N786" s="130"/>
      <c r="O786" s="118"/>
      <c r="P786" s="118"/>
      <c r="Q786" s="131"/>
    </row>
    <row r="787" ht="22.5" customHeight="1">
      <c r="A787" s="118"/>
      <c r="B787" s="119"/>
      <c r="C787" s="120"/>
      <c r="D787" s="121"/>
      <c r="E787" s="121"/>
      <c r="F787" s="122"/>
      <c r="G787" s="123"/>
      <c r="H787" s="124"/>
      <c r="I787" s="125"/>
      <c r="J787" s="126"/>
      <c r="K787" s="127"/>
      <c r="L787" s="128"/>
      <c r="M787" s="129"/>
      <c r="N787" s="130"/>
      <c r="O787" s="118"/>
      <c r="P787" s="118"/>
      <c r="Q787" s="131"/>
    </row>
    <row r="788" ht="22.5" customHeight="1">
      <c r="A788" s="118"/>
      <c r="B788" s="119"/>
      <c r="C788" s="120"/>
      <c r="D788" s="121"/>
      <c r="E788" s="121"/>
      <c r="F788" s="122"/>
      <c r="G788" s="123"/>
      <c r="H788" s="124"/>
      <c r="I788" s="125"/>
      <c r="J788" s="126"/>
      <c r="K788" s="127"/>
      <c r="L788" s="128"/>
      <c r="M788" s="129"/>
      <c r="N788" s="130"/>
      <c r="O788" s="118"/>
      <c r="P788" s="118"/>
      <c r="Q788" s="131"/>
    </row>
    <row r="789" ht="22.5" customHeight="1">
      <c r="A789" s="118"/>
      <c r="B789" s="119"/>
      <c r="C789" s="120"/>
      <c r="D789" s="121"/>
      <c r="E789" s="121"/>
      <c r="F789" s="122"/>
      <c r="G789" s="123"/>
      <c r="H789" s="124"/>
      <c r="I789" s="125"/>
      <c r="J789" s="126"/>
      <c r="K789" s="127"/>
      <c r="L789" s="128"/>
      <c r="M789" s="129"/>
      <c r="N789" s="130"/>
      <c r="O789" s="118"/>
      <c r="P789" s="118"/>
      <c r="Q789" s="131"/>
    </row>
    <row r="790" ht="22.5" customHeight="1">
      <c r="A790" s="118"/>
      <c r="B790" s="119"/>
      <c r="C790" s="120"/>
      <c r="D790" s="121"/>
      <c r="E790" s="121"/>
      <c r="F790" s="122"/>
      <c r="G790" s="123"/>
      <c r="H790" s="124"/>
      <c r="I790" s="125"/>
      <c r="J790" s="126"/>
      <c r="K790" s="127"/>
      <c r="L790" s="128"/>
      <c r="M790" s="129"/>
      <c r="N790" s="130"/>
      <c r="O790" s="118"/>
      <c r="P790" s="118"/>
      <c r="Q790" s="131"/>
    </row>
    <row r="791" ht="22.5" customHeight="1">
      <c r="A791" s="118"/>
      <c r="B791" s="119"/>
      <c r="C791" s="120"/>
      <c r="D791" s="121"/>
      <c r="E791" s="121"/>
      <c r="F791" s="122"/>
      <c r="G791" s="123"/>
      <c r="H791" s="124"/>
      <c r="I791" s="125"/>
      <c r="J791" s="126"/>
      <c r="K791" s="127"/>
      <c r="L791" s="128"/>
      <c r="M791" s="129"/>
      <c r="N791" s="130"/>
      <c r="O791" s="118"/>
      <c r="P791" s="118"/>
      <c r="Q791" s="131"/>
    </row>
    <row r="792" ht="22.5" customHeight="1">
      <c r="A792" s="118"/>
      <c r="B792" s="119"/>
      <c r="C792" s="120"/>
      <c r="D792" s="121"/>
      <c r="E792" s="121"/>
      <c r="F792" s="122"/>
      <c r="G792" s="123"/>
      <c r="H792" s="124"/>
      <c r="I792" s="125"/>
      <c r="J792" s="126"/>
      <c r="K792" s="127"/>
      <c r="L792" s="128"/>
      <c r="M792" s="129"/>
      <c r="N792" s="130"/>
      <c r="O792" s="118"/>
      <c r="P792" s="118"/>
      <c r="Q792" s="131"/>
    </row>
    <row r="793" ht="22.5" customHeight="1">
      <c r="A793" s="118"/>
      <c r="B793" s="119"/>
      <c r="C793" s="120"/>
      <c r="D793" s="121"/>
      <c r="E793" s="121"/>
      <c r="F793" s="122"/>
      <c r="G793" s="123"/>
      <c r="H793" s="124"/>
      <c r="I793" s="125"/>
      <c r="J793" s="126"/>
      <c r="K793" s="127"/>
      <c r="L793" s="128"/>
      <c r="M793" s="129"/>
      <c r="N793" s="130"/>
      <c r="O793" s="118"/>
      <c r="P793" s="118"/>
      <c r="Q793" s="131"/>
    </row>
    <row r="794" ht="22.5" customHeight="1">
      <c r="A794" s="118"/>
      <c r="B794" s="119"/>
      <c r="C794" s="120"/>
      <c r="D794" s="121"/>
      <c r="E794" s="121"/>
      <c r="F794" s="122"/>
      <c r="G794" s="123"/>
      <c r="H794" s="124"/>
      <c r="I794" s="125"/>
      <c r="J794" s="126"/>
      <c r="K794" s="127"/>
      <c r="L794" s="128"/>
      <c r="M794" s="129"/>
      <c r="N794" s="130"/>
      <c r="O794" s="118"/>
      <c r="P794" s="118"/>
      <c r="Q794" s="131"/>
    </row>
    <row r="795" ht="22.5" customHeight="1">
      <c r="A795" s="118"/>
      <c r="B795" s="119"/>
      <c r="C795" s="120"/>
      <c r="D795" s="121"/>
      <c r="E795" s="121"/>
      <c r="F795" s="122"/>
      <c r="G795" s="123"/>
      <c r="H795" s="124"/>
      <c r="I795" s="125"/>
      <c r="J795" s="126"/>
      <c r="K795" s="127"/>
      <c r="L795" s="128"/>
      <c r="M795" s="129"/>
      <c r="N795" s="130"/>
      <c r="O795" s="118"/>
      <c r="P795" s="118"/>
      <c r="Q795" s="131"/>
    </row>
    <row r="796" ht="22.5" customHeight="1">
      <c r="A796" s="118"/>
      <c r="B796" s="119"/>
      <c r="C796" s="120"/>
      <c r="D796" s="121"/>
      <c r="E796" s="121"/>
      <c r="F796" s="122"/>
      <c r="G796" s="123"/>
      <c r="H796" s="124"/>
      <c r="I796" s="125"/>
      <c r="J796" s="126"/>
      <c r="K796" s="127"/>
      <c r="L796" s="128"/>
      <c r="M796" s="129"/>
      <c r="N796" s="130"/>
      <c r="O796" s="118"/>
      <c r="P796" s="118"/>
      <c r="Q796" s="131"/>
    </row>
    <row r="797" ht="22.5" customHeight="1">
      <c r="A797" s="118"/>
      <c r="B797" s="119"/>
      <c r="C797" s="120"/>
      <c r="D797" s="121"/>
      <c r="E797" s="121"/>
      <c r="F797" s="122"/>
      <c r="G797" s="123"/>
      <c r="H797" s="124"/>
      <c r="I797" s="125"/>
      <c r="J797" s="126"/>
      <c r="K797" s="127"/>
      <c r="L797" s="128"/>
      <c r="M797" s="129"/>
      <c r="N797" s="130"/>
      <c r="O797" s="118"/>
      <c r="P797" s="118"/>
      <c r="Q797" s="131"/>
    </row>
    <row r="798" ht="22.5" customHeight="1">
      <c r="A798" s="118"/>
      <c r="B798" s="119"/>
      <c r="C798" s="120"/>
      <c r="D798" s="121"/>
      <c r="E798" s="121"/>
      <c r="F798" s="122"/>
      <c r="G798" s="123"/>
      <c r="H798" s="124"/>
      <c r="I798" s="125"/>
      <c r="J798" s="126"/>
      <c r="K798" s="127"/>
      <c r="L798" s="128"/>
      <c r="M798" s="129"/>
      <c r="N798" s="130"/>
      <c r="O798" s="118"/>
      <c r="P798" s="118"/>
      <c r="Q798" s="131"/>
    </row>
    <row r="799" ht="22.5" customHeight="1">
      <c r="A799" s="118"/>
      <c r="B799" s="119"/>
      <c r="C799" s="120"/>
      <c r="D799" s="121"/>
      <c r="E799" s="121"/>
      <c r="F799" s="122"/>
      <c r="G799" s="123"/>
      <c r="H799" s="124"/>
      <c r="I799" s="125"/>
      <c r="J799" s="126"/>
      <c r="K799" s="127"/>
      <c r="L799" s="128"/>
      <c r="M799" s="129"/>
      <c r="N799" s="130"/>
      <c r="O799" s="118"/>
      <c r="P799" s="118"/>
      <c r="Q799" s="131"/>
    </row>
    <row r="800" ht="22.5" customHeight="1">
      <c r="A800" s="118"/>
      <c r="B800" s="119"/>
      <c r="C800" s="120"/>
      <c r="D800" s="121"/>
      <c r="E800" s="121"/>
      <c r="F800" s="122"/>
      <c r="G800" s="123"/>
      <c r="H800" s="124"/>
      <c r="I800" s="125"/>
      <c r="J800" s="126"/>
      <c r="K800" s="127"/>
      <c r="L800" s="128"/>
      <c r="M800" s="129"/>
      <c r="N800" s="130"/>
      <c r="O800" s="118"/>
      <c r="P800" s="118"/>
      <c r="Q800" s="131"/>
    </row>
    <row r="801" ht="22.5" customHeight="1">
      <c r="A801" s="118"/>
      <c r="B801" s="119"/>
      <c r="C801" s="120"/>
      <c r="D801" s="121"/>
      <c r="E801" s="121"/>
      <c r="F801" s="122"/>
      <c r="G801" s="123"/>
      <c r="H801" s="124"/>
      <c r="I801" s="125"/>
      <c r="J801" s="126"/>
      <c r="K801" s="127"/>
      <c r="L801" s="128"/>
      <c r="M801" s="129"/>
      <c r="N801" s="130"/>
      <c r="O801" s="118"/>
      <c r="P801" s="118"/>
      <c r="Q801" s="131"/>
    </row>
    <row r="802" ht="22.5" customHeight="1">
      <c r="A802" s="118"/>
      <c r="B802" s="119"/>
      <c r="C802" s="120"/>
      <c r="D802" s="121"/>
      <c r="E802" s="121"/>
      <c r="F802" s="122"/>
      <c r="G802" s="123"/>
      <c r="H802" s="124"/>
      <c r="I802" s="125"/>
      <c r="J802" s="126"/>
      <c r="K802" s="127"/>
      <c r="L802" s="128"/>
      <c r="M802" s="129"/>
      <c r="N802" s="130"/>
      <c r="O802" s="118"/>
      <c r="P802" s="118"/>
      <c r="Q802" s="131"/>
    </row>
    <row r="803" ht="22.5" customHeight="1">
      <c r="A803" s="118"/>
      <c r="B803" s="119"/>
      <c r="C803" s="120"/>
      <c r="D803" s="121"/>
      <c r="E803" s="121"/>
      <c r="F803" s="122"/>
      <c r="G803" s="123"/>
      <c r="H803" s="124"/>
      <c r="I803" s="125"/>
      <c r="J803" s="126"/>
      <c r="K803" s="127"/>
      <c r="L803" s="128"/>
      <c r="M803" s="129"/>
      <c r="N803" s="130"/>
      <c r="O803" s="118"/>
      <c r="P803" s="118"/>
      <c r="Q803" s="131"/>
    </row>
    <row r="804" ht="22.5" customHeight="1">
      <c r="A804" s="118"/>
      <c r="B804" s="119"/>
      <c r="C804" s="120"/>
      <c r="D804" s="121"/>
      <c r="E804" s="121"/>
      <c r="F804" s="122"/>
      <c r="G804" s="123"/>
      <c r="H804" s="124"/>
      <c r="I804" s="125"/>
      <c r="J804" s="126"/>
      <c r="K804" s="127"/>
      <c r="L804" s="128"/>
      <c r="M804" s="129"/>
      <c r="N804" s="130"/>
      <c r="O804" s="118"/>
      <c r="P804" s="118"/>
      <c r="Q804" s="131"/>
    </row>
    <row r="805" ht="22.5" customHeight="1">
      <c r="A805" s="118"/>
      <c r="B805" s="119"/>
      <c r="C805" s="120"/>
      <c r="D805" s="121"/>
      <c r="E805" s="121"/>
      <c r="F805" s="122"/>
      <c r="G805" s="123"/>
      <c r="H805" s="124"/>
      <c r="I805" s="125"/>
      <c r="J805" s="126"/>
      <c r="K805" s="127"/>
      <c r="L805" s="128"/>
      <c r="M805" s="129"/>
      <c r="N805" s="130"/>
      <c r="O805" s="118"/>
      <c r="P805" s="118"/>
      <c r="Q805" s="131"/>
    </row>
    <row r="806" ht="22.5" customHeight="1">
      <c r="A806" s="118"/>
      <c r="B806" s="119"/>
      <c r="C806" s="120"/>
      <c r="D806" s="121"/>
      <c r="E806" s="121"/>
      <c r="F806" s="122"/>
      <c r="G806" s="123"/>
      <c r="H806" s="124"/>
      <c r="I806" s="125"/>
      <c r="J806" s="126"/>
      <c r="K806" s="127"/>
      <c r="L806" s="128"/>
      <c r="M806" s="129"/>
      <c r="N806" s="130"/>
      <c r="O806" s="118"/>
      <c r="P806" s="118"/>
      <c r="Q806" s="131"/>
    </row>
    <row r="807" ht="22.5" customHeight="1">
      <c r="A807" s="118"/>
      <c r="B807" s="119"/>
      <c r="C807" s="120"/>
      <c r="D807" s="121"/>
      <c r="E807" s="121"/>
      <c r="F807" s="122"/>
      <c r="G807" s="123"/>
      <c r="H807" s="124"/>
      <c r="I807" s="125"/>
      <c r="J807" s="126"/>
      <c r="K807" s="127"/>
      <c r="L807" s="128"/>
      <c r="M807" s="129"/>
      <c r="N807" s="130"/>
      <c r="O807" s="118"/>
      <c r="P807" s="118"/>
      <c r="Q807" s="131"/>
    </row>
    <row r="808" ht="22.5" customHeight="1">
      <c r="A808" s="118"/>
      <c r="B808" s="119"/>
      <c r="C808" s="120"/>
      <c r="D808" s="121"/>
      <c r="E808" s="121"/>
      <c r="F808" s="122"/>
      <c r="G808" s="123"/>
      <c r="H808" s="124"/>
      <c r="I808" s="125"/>
      <c r="J808" s="126"/>
      <c r="K808" s="127"/>
      <c r="L808" s="128"/>
      <c r="M808" s="129"/>
      <c r="N808" s="130"/>
      <c r="O808" s="118"/>
      <c r="P808" s="118"/>
      <c r="Q808" s="131"/>
    </row>
    <row r="809" ht="22.5" customHeight="1">
      <c r="A809" s="118"/>
      <c r="B809" s="119"/>
      <c r="C809" s="120"/>
      <c r="D809" s="121"/>
      <c r="E809" s="121"/>
      <c r="F809" s="122"/>
      <c r="G809" s="123"/>
      <c r="H809" s="124"/>
      <c r="I809" s="125"/>
      <c r="J809" s="126"/>
      <c r="K809" s="127"/>
      <c r="L809" s="128"/>
      <c r="M809" s="129"/>
      <c r="N809" s="130"/>
      <c r="O809" s="118"/>
      <c r="P809" s="118"/>
      <c r="Q809" s="131"/>
    </row>
    <row r="810" ht="22.5" customHeight="1">
      <c r="A810" s="118"/>
      <c r="B810" s="119"/>
      <c r="C810" s="120"/>
      <c r="D810" s="121"/>
      <c r="E810" s="121"/>
      <c r="F810" s="122"/>
      <c r="G810" s="123"/>
      <c r="H810" s="124"/>
      <c r="I810" s="125"/>
      <c r="J810" s="126"/>
      <c r="K810" s="127"/>
      <c r="L810" s="128"/>
      <c r="M810" s="129"/>
      <c r="N810" s="130"/>
      <c r="O810" s="118"/>
      <c r="P810" s="118"/>
      <c r="Q810" s="131"/>
    </row>
    <row r="811" ht="22.5" customHeight="1">
      <c r="A811" s="118"/>
      <c r="B811" s="119"/>
      <c r="C811" s="120"/>
      <c r="D811" s="121"/>
      <c r="E811" s="121"/>
      <c r="F811" s="122"/>
      <c r="G811" s="123"/>
      <c r="H811" s="124"/>
      <c r="I811" s="125"/>
      <c r="J811" s="126"/>
      <c r="K811" s="127"/>
      <c r="L811" s="128"/>
      <c r="M811" s="129"/>
      <c r="N811" s="130"/>
      <c r="O811" s="118"/>
      <c r="P811" s="118"/>
      <c r="Q811" s="131"/>
    </row>
    <row r="812" ht="22.5" customHeight="1">
      <c r="A812" s="118"/>
      <c r="B812" s="119"/>
      <c r="C812" s="120"/>
      <c r="D812" s="121"/>
      <c r="E812" s="121"/>
      <c r="F812" s="122"/>
      <c r="G812" s="123"/>
      <c r="H812" s="124"/>
      <c r="I812" s="125"/>
      <c r="J812" s="126"/>
      <c r="K812" s="127"/>
      <c r="L812" s="128"/>
      <c r="M812" s="129"/>
      <c r="N812" s="130"/>
      <c r="O812" s="118"/>
      <c r="P812" s="118"/>
      <c r="Q812" s="131"/>
    </row>
    <row r="813" ht="22.5" customHeight="1">
      <c r="A813" s="118"/>
      <c r="B813" s="119"/>
      <c r="C813" s="120"/>
      <c r="D813" s="121"/>
      <c r="E813" s="121"/>
      <c r="F813" s="122"/>
      <c r="G813" s="123"/>
      <c r="H813" s="124"/>
      <c r="I813" s="125"/>
      <c r="J813" s="126"/>
      <c r="K813" s="127"/>
      <c r="L813" s="128"/>
      <c r="M813" s="129"/>
      <c r="N813" s="130"/>
      <c r="O813" s="118"/>
      <c r="P813" s="118"/>
      <c r="Q813" s="131"/>
    </row>
    <row r="814" ht="22.5" customHeight="1">
      <c r="A814" s="118"/>
      <c r="B814" s="119"/>
      <c r="C814" s="120"/>
      <c r="D814" s="121"/>
      <c r="E814" s="121"/>
      <c r="F814" s="122"/>
      <c r="G814" s="123"/>
      <c r="H814" s="124"/>
      <c r="I814" s="125"/>
      <c r="J814" s="126"/>
      <c r="K814" s="127"/>
      <c r="L814" s="128"/>
      <c r="M814" s="129"/>
      <c r="N814" s="130"/>
      <c r="O814" s="118"/>
      <c r="P814" s="118"/>
      <c r="Q814" s="131"/>
    </row>
    <row r="815" ht="22.5" customHeight="1">
      <c r="A815" s="118"/>
      <c r="B815" s="119"/>
      <c r="C815" s="120"/>
      <c r="D815" s="121"/>
      <c r="E815" s="121"/>
      <c r="F815" s="122"/>
      <c r="G815" s="123"/>
      <c r="H815" s="124"/>
      <c r="I815" s="125"/>
      <c r="J815" s="126"/>
      <c r="K815" s="127"/>
      <c r="L815" s="128"/>
      <c r="M815" s="129"/>
      <c r="N815" s="130"/>
      <c r="O815" s="118"/>
      <c r="P815" s="118"/>
      <c r="Q815" s="131"/>
    </row>
    <row r="816" ht="22.5" customHeight="1">
      <c r="A816" s="118"/>
      <c r="B816" s="119"/>
      <c r="C816" s="120"/>
      <c r="D816" s="121"/>
      <c r="E816" s="121"/>
      <c r="F816" s="122"/>
      <c r="G816" s="123"/>
      <c r="H816" s="124"/>
      <c r="I816" s="125"/>
      <c r="J816" s="126"/>
      <c r="K816" s="127"/>
      <c r="L816" s="128"/>
      <c r="M816" s="129"/>
      <c r="N816" s="130"/>
      <c r="O816" s="118"/>
      <c r="P816" s="118"/>
      <c r="Q816" s="131"/>
    </row>
    <row r="817" ht="22.5" customHeight="1">
      <c r="A817" s="118"/>
      <c r="B817" s="119"/>
      <c r="C817" s="120"/>
      <c r="D817" s="121"/>
      <c r="E817" s="121"/>
      <c r="F817" s="122"/>
      <c r="G817" s="123"/>
      <c r="H817" s="124"/>
      <c r="I817" s="125"/>
      <c r="J817" s="126"/>
      <c r="K817" s="127"/>
      <c r="L817" s="128"/>
      <c r="M817" s="129"/>
      <c r="N817" s="130"/>
      <c r="O817" s="118"/>
      <c r="P817" s="118"/>
      <c r="Q817" s="131"/>
    </row>
    <row r="818" ht="22.5" customHeight="1">
      <c r="A818" s="118"/>
      <c r="B818" s="119"/>
      <c r="C818" s="120"/>
      <c r="D818" s="121"/>
      <c r="E818" s="121"/>
      <c r="F818" s="122"/>
      <c r="G818" s="123"/>
      <c r="H818" s="124"/>
      <c r="I818" s="125"/>
      <c r="J818" s="126"/>
      <c r="K818" s="127"/>
      <c r="L818" s="128"/>
      <c r="M818" s="129"/>
      <c r="N818" s="130"/>
      <c r="O818" s="118"/>
      <c r="P818" s="118"/>
      <c r="Q818" s="131"/>
    </row>
    <row r="819" ht="22.5" customHeight="1">
      <c r="A819" s="118"/>
      <c r="B819" s="119"/>
      <c r="C819" s="120"/>
      <c r="D819" s="121"/>
      <c r="E819" s="121"/>
      <c r="F819" s="122"/>
      <c r="G819" s="123"/>
      <c r="H819" s="124"/>
      <c r="I819" s="125"/>
      <c r="J819" s="126"/>
      <c r="K819" s="127"/>
      <c r="L819" s="128"/>
      <c r="M819" s="129"/>
      <c r="N819" s="130"/>
      <c r="O819" s="118"/>
      <c r="P819" s="118"/>
      <c r="Q819" s="131"/>
    </row>
    <row r="820" ht="22.5" customHeight="1">
      <c r="A820" s="118"/>
      <c r="B820" s="119"/>
      <c r="C820" s="120"/>
      <c r="D820" s="121"/>
      <c r="E820" s="121"/>
      <c r="F820" s="122"/>
      <c r="G820" s="123"/>
      <c r="H820" s="124"/>
      <c r="I820" s="125"/>
      <c r="J820" s="126"/>
      <c r="K820" s="127"/>
      <c r="L820" s="128"/>
      <c r="M820" s="129"/>
      <c r="N820" s="130"/>
      <c r="O820" s="118"/>
      <c r="P820" s="118"/>
      <c r="Q820" s="131"/>
    </row>
    <row r="821" ht="22.5" customHeight="1">
      <c r="A821" s="118"/>
      <c r="B821" s="119"/>
      <c r="C821" s="120"/>
      <c r="D821" s="121"/>
      <c r="E821" s="121"/>
      <c r="F821" s="122"/>
      <c r="G821" s="123"/>
      <c r="H821" s="124"/>
      <c r="I821" s="125"/>
      <c r="J821" s="126"/>
      <c r="K821" s="127"/>
      <c r="L821" s="128"/>
      <c r="M821" s="129"/>
      <c r="N821" s="130"/>
      <c r="O821" s="118"/>
      <c r="P821" s="118"/>
      <c r="Q821" s="131"/>
    </row>
    <row r="822" ht="22.5" customHeight="1">
      <c r="A822" s="118"/>
      <c r="B822" s="119"/>
      <c r="C822" s="120"/>
      <c r="D822" s="121"/>
      <c r="E822" s="121"/>
      <c r="F822" s="122"/>
      <c r="G822" s="123"/>
      <c r="H822" s="124"/>
      <c r="I822" s="125"/>
      <c r="J822" s="126"/>
      <c r="K822" s="127"/>
      <c r="L822" s="128"/>
      <c r="M822" s="129"/>
      <c r="N822" s="130"/>
      <c r="O822" s="118"/>
      <c r="P822" s="118"/>
      <c r="Q822" s="131"/>
    </row>
    <row r="823" ht="22.5" customHeight="1">
      <c r="A823" s="118"/>
      <c r="B823" s="119"/>
      <c r="C823" s="120"/>
      <c r="D823" s="121"/>
      <c r="E823" s="121"/>
      <c r="F823" s="122"/>
      <c r="G823" s="123"/>
      <c r="H823" s="124"/>
      <c r="I823" s="125"/>
      <c r="J823" s="126"/>
      <c r="K823" s="127"/>
      <c r="L823" s="128"/>
      <c r="M823" s="129"/>
      <c r="N823" s="130"/>
      <c r="O823" s="118"/>
      <c r="P823" s="118"/>
      <c r="Q823" s="131"/>
    </row>
    <row r="824" ht="22.5" customHeight="1">
      <c r="A824" s="118"/>
      <c r="B824" s="119"/>
      <c r="C824" s="120"/>
      <c r="D824" s="121"/>
      <c r="E824" s="121"/>
      <c r="F824" s="122"/>
      <c r="G824" s="123"/>
      <c r="H824" s="124"/>
      <c r="I824" s="125"/>
      <c r="J824" s="126"/>
      <c r="K824" s="127"/>
      <c r="L824" s="128"/>
      <c r="M824" s="129"/>
      <c r="N824" s="130"/>
      <c r="O824" s="118"/>
      <c r="P824" s="118"/>
      <c r="Q824" s="131"/>
    </row>
    <row r="825" ht="22.5" customHeight="1">
      <c r="A825" s="118"/>
      <c r="B825" s="119"/>
      <c r="C825" s="120"/>
      <c r="D825" s="121"/>
      <c r="E825" s="121"/>
      <c r="F825" s="122"/>
      <c r="G825" s="123"/>
      <c r="H825" s="124"/>
      <c r="I825" s="125"/>
      <c r="J825" s="126"/>
      <c r="K825" s="127"/>
      <c r="L825" s="128"/>
      <c r="M825" s="129"/>
      <c r="N825" s="130"/>
      <c r="O825" s="118"/>
      <c r="P825" s="118"/>
      <c r="Q825" s="131"/>
    </row>
    <row r="826" ht="22.5" customHeight="1">
      <c r="A826" s="118"/>
      <c r="B826" s="119"/>
      <c r="C826" s="120"/>
      <c r="D826" s="121"/>
      <c r="E826" s="121"/>
      <c r="F826" s="122"/>
      <c r="G826" s="123"/>
      <c r="H826" s="124"/>
      <c r="I826" s="125"/>
      <c r="J826" s="126"/>
      <c r="K826" s="127"/>
      <c r="L826" s="128"/>
      <c r="M826" s="129"/>
      <c r="N826" s="130"/>
      <c r="O826" s="118"/>
      <c r="P826" s="118"/>
      <c r="Q826" s="131"/>
    </row>
    <row r="827" ht="22.5" customHeight="1">
      <c r="A827" s="118"/>
      <c r="B827" s="119"/>
      <c r="C827" s="120"/>
      <c r="D827" s="121"/>
      <c r="E827" s="121"/>
      <c r="F827" s="122"/>
      <c r="G827" s="123"/>
      <c r="H827" s="124"/>
      <c r="I827" s="125"/>
      <c r="J827" s="126"/>
      <c r="K827" s="127"/>
      <c r="L827" s="128"/>
      <c r="M827" s="129"/>
      <c r="N827" s="130"/>
      <c r="O827" s="118"/>
      <c r="P827" s="118"/>
      <c r="Q827" s="131"/>
    </row>
    <row r="828" ht="22.5" customHeight="1">
      <c r="A828" s="118"/>
      <c r="B828" s="119"/>
      <c r="C828" s="120"/>
      <c r="D828" s="121"/>
      <c r="E828" s="121"/>
      <c r="F828" s="122"/>
      <c r="G828" s="123"/>
      <c r="H828" s="124"/>
      <c r="I828" s="125"/>
      <c r="J828" s="126"/>
      <c r="K828" s="127"/>
      <c r="L828" s="128"/>
      <c r="M828" s="129"/>
      <c r="N828" s="130"/>
      <c r="O828" s="118"/>
      <c r="P828" s="118"/>
      <c r="Q828" s="131"/>
    </row>
    <row r="829" ht="22.5" customHeight="1">
      <c r="A829" s="118"/>
      <c r="B829" s="119"/>
      <c r="C829" s="120"/>
      <c r="D829" s="121"/>
      <c r="E829" s="121"/>
      <c r="F829" s="122"/>
      <c r="G829" s="123"/>
      <c r="H829" s="124"/>
      <c r="I829" s="125"/>
      <c r="J829" s="126"/>
      <c r="K829" s="127"/>
      <c r="L829" s="128"/>
      <c r="M829" s="129"/>
      <c r="N829" s="130"/>
      <c r="O829" s="118"/>
      <c r="P829" s="118"/>
      <c r="Q829" s="131"/>
    </row>
    <row r="830" ht="22.5" customHeight="1">
      <c r="A830" s="118"/>
      <c r="B830" s="119"/>
      <c r="C830" s="120"/>
      <c r="D830" s="121"/>
      <c r="E830" s="121"/>
      <c r="F830" s="122"/>
      <c r="G830" s="123"/>
      <c r="H830" s="124"/>
      <c r="I830" s="125"/>
      <c r="J830" s="126"/>
      <c r="K830" s="127"/>
      <c r="L830" s="128"/>
      <c r="M830" s="129"/>
      <c r="N830" s="130"/>
      <c r="O830" s="118"/>
      <c r="P830" s="118"/>
      <c r="Q830" s="131"/>
    </row>
    <row r="831" ht="22.5" customHeight="1">
      <c r="A831" s="118"/>
      <c r="B831" s="119"/>
      <c r="C831" s="120"/>
      <c r="D831" s="121"/>
      <c r="E831" s="121"/>
      <c r="F831" s="122"/>
      <c r="G831" s="123"/>
      <c r="H831" s="124"/>
      <c r="I831" s="125"/>
      <c r="J831" s="126"/>
      <c r="K831" s="127"/>
      <c r="L831" s="128"/>
      <c r="M831" s="129"/>
      <c r="N831" s="130"/>
      <c r="O831" s="118"/>
      <c r="P831" s="118"/>
      <c r="Q831" s="131"/>
    </row>
    <row r="832" ht="22.5" customHeight="1">
      <c r="A832" s="118"/>
      <c r="B832" s="119"/>
      <c r="C832" s="120"/>
      <c r="D832" s="121"/>
      <c r="E832" s="121"/>
      <c r="F832" s="122"/>
      <c r="G832" s="123"/>
      <c r="H832" s="124"/>
      <c r="I832" s="125"/>
      <c r="J832" s="126"/>
      <c r="K832" s="127"/>
      <c r="L832" s="128"/>
      <c r="M832" s="129"/>
      <c r="N832" s="130"/>
      <c r="O832" s="118"/>
      <c r="P832" s="118"/>
      <c r="Q832" s="131"/>
    </row>
    <row r="833" ht="22.5" customHeight="1">
      <c r="A833" s="118"/>
      <c r="B833" s="119"/>
      <c r="C833" s="120"/>
      <c r="D833" s="121"/>
      <c r="E833" s="121"/>
      <c r="F833" s="122"/>
      <c r="G833" s="123"/>
      <c r="H833" s="124"/>
      <c r="I833" s="125"/>
      <c r="J833" s="126"/>
      <c r="K833" s="127"/>
      <c r="L833" s="128"/>
      <c r="M833" s="129"/>
      <c r="N833" s="130"/>
      <c r="O833" s="118"/>
      <c r="P833" s="118"/>
      <c r="Q833" s="131"/>
    </row>
    <row r="834" ht="22.5" customHeight="1">
      <c r="A834" s="118"/>
      <c r="B834" s="119"/>
      <c r="C834" s="120"/>
      <c r="D834" s="121"/>
      <c r="E834" s="121"/>
      <c r="F834" s="122"/>
      <c r="G834" s="123"/>
      <c r="H834" s="124"/>
      <c r="I834" s="125"/>
      <c r="J834" s="126"/>
      <c r="K834" s="127"/>
      <c r="L834" s="128"/>
      <c r="M834" s="129"/>
      <c r="N834" s="130"/>
      <c r="O834" s="118"/>
      <c r="P834" s="118"/>
      <c r="Q834" s="131"/>
    </row>
    <row r="835" ht="22.5" customHeight="1">
      <c r="A835" s="118"/>
      <c r="B835" s="119"/>
      <c r="C835" s="120"/>
      <c r="D835" s="121"/>
      <c r="E835" s="121"/>
      <c r="F835" s="122"/>
      <c r="G835" s="123"/>
      <c r="H835" s="124"/>
      <c r="I835" s="125"/>
      <c r="J835" s="126"/>
      <c r="K835" s="127"/>
      <c r="L835" s="128"/>
      <c r="M835" s="129"/>
      <c r="N835" s="130"/>
      <c r="O835" s="118"/>
      <c r="P835" s="118"/>
      <c r="Q835" s="131"/>
    </row>
    <row r="836" ht="22.5" customHeight="1">
      <c r="A836" s="118"/>
      <c r="B836" s="119"/>
      <c r="C836" s="120"/>
      <c r="D836" s="121"/>
      <c r="E836" s="121"/>
      <c r="F836" s="122"/>
      <c r="G836" s="123"/>
      <c r="H836" s="124"/>
      <c r="I836" s="125"/>
      <c r="J836" s="126"/>
      <c r="K836" s="127"/>
      <c r="L836" s="128"/>
      <c r="M836" s="129"/>
      <c r="N836" s="130"/>
      <c r="O836" s="118"/>
      <c r="P836" s="118"/>
      <c r="Q836" s="131"/>
    </row>
    <row r="837" ht="22.5" customHeight="1">
      <c r="A837" s="118"/>
      <c r="B837" s="119"/>
      <c r="C837" s="120"/>
      <c r="D837" s="121"/>
      <c r="E837" s="121"/>
      <c r="F837" s="122"/>
      <c r="G837" s="123"/>
      <c r="H837" s="124"/>
      <c r="I837" s="125"/>
      <c r="J837" s="126"/>
      <c r="K837" s="127"/>
      <c r="L837" s="128"/>
      <c r="M837" s="129"/>
      <c r="N837" s="130"/>
      <c r="O837" s="118"/>
      <c r="P837" s="118"/>
      <c r="Q837" s="131"/>
    </row>
    <row r="838" ht="22.5" customHeight="1">
      <c r="A838" s="118"/>
      <c r="B838" s="119"/>
      <c r="C838" s="120"/>
      <c r="D838" s="121"/>
      <c r="E838" s="121"/>
      <c r="F838" s="122"/>
      <c r="G838" s="123"/>
      <c r="H838" s="124"/>
      <c r="I838" s="125"/>
      <c r="J838" s="126"/>
      <c r="K838" s="127"/>
      <c r="L838" s="128"/>
      <c r="M838" s="129"/>
      <c r="N838" s="130"/>
      <c r="O838" s="118"/>
      <c r="P838" s="118"/>
      <c r="Q838" s="131"/>
    </row>
    <row r="839" ht="22.5" customHeight="1">
      <c r="A839" s="118"/>
      <c r="B839" s="119"/>
      <c r="C839" s="120"/>
      <c r="D839" s="121"/>
      <c r="E839" s="121"/>
      <c r="F839" s="122"/>
      <c r="G839" s="123"/>
      <c r="H839" s="124"/>
      <c r="I839" s="125"/>
      <c r="J839" s="126"/>
      <c r="K839" s="127"/>
      <c r="L839" s="128"/>
      <c r="M839" s="129"/>
      <c r="N839" s="130"/>
      <c r="O839" s="118"/>
      <c r="P839" s="118"/>
      <c r="Q839" s="131"/>
    </row>
    <row r="840" ht="22.5" customHeight="1">
      <c r="A840" s="118"/>
      <c r="B840" s="119"/>
      <c r="C840" s="120"/>
      <c r="D840" s="121"/>
      <c r="E840" s="121"/>
      <c r="F840" s="122"/>
      <c r="G840" s="123"/>
      <c r="H840" s="124"/>
      <c r="I840" s="125"/>
      <c r="J840" s="126"/>
      <c r="K840" s="127"/>
      <c r="L840" s="128"/>
      <c r="M840" s="129"/>
      <c r="N840" s="130"/>
      <c r="O840" s="118"/>
      <c r="P840" s="118"/>
      <c r="Q840" s="131"/>
    </row>
    <row r="841" ht="22.5" customHeight="1">
      <c r="A841" s="118"/>
      <c r="B841" s="119"/>
      <c r="C841" s="120"/>
      <c r="D841" s="121"/>
      <c r="E841" s="121"/>
      <c r="F841" s="122"/>
      <c r="G841" s="123"/>
      <c r="H841" s="124"/>
      <c r="I841" s="125"/>
      <c r="J841" s="126"/>
      <c r="K841" s="127"/>
      <c r="L841" s="128"/>
      <c r="M841" s="129"/>
      <c r="N841" s="130"/>
      <c r="O841" s="118"/>
      <c r="P841" s="118"/>
      <c r="Q841" s="131"/>
    </row>
    <row r="842" ht="22.5" customHeight="1">
      <c r="A842" s="118"/>
      <c r="B842" s="119"/>
      <c r="C842" s="120"/>
      <c r="D842" s="121"/>
      <c r="E842" s="121"/>
      <c r="F842" s="122"/>
      <c r="G842" s="123"/>
      <c r="H842" s="124"/>
      <c r="I842" s="125"/>
      <c r="J842" s="126"/>
      <c r="K842" s="127"/>
      <c r="L842" s="128"/>
      <c r="M842" s="129"/>
      <c r="N842" s="130"/>
      <c r="O842" s="118"/>
      <c r="P842" s="118"/>
      <c r="Q842" s="131"/>
    </row>
    <row r="843" ht="22.5" customHeight="1">
      <c r="A843" s="118"/>
      <c r="B843" s="119"/>
      <c r="C843" s="120"/>
      <c r="D843" s="121"/>
      <c r="E843" s="121"/>
      <c r="F843" s="122"/>
      <c r="G843" s="123"/>
      <c r="H843" s="124"/>
      <c r="I843" s="125"/>
      <c r="J843" s="126"/>
      <c r="K843" s="127"/>
      <c r="L843" s="128"/>
      <c r="M843" s="129"/>
      <c r="N843" s="130"/>
      <c r="O843" s="118"/>
      <c r="P843" s="118"/>
      <c r="Q843" s="131"/>
    </row>
    <row r="844" ht="22.5" customHeight="1">
      <c r="A844" s="118"/>
      <c r="B844" s="119"/>
      <c r="C844" s="120"/>
      <c r="D844" s="121"/>
      <c r="E844" s="121"/>
      <c r="F844" s="122"/>
      <c r="G844" s="123"/>
      <c r="H844" s="124"/>
      <c r="I844" s="125"/>
      <c r="J844" s="126"/>
      <c r="K844" s="127"/>
      <c r="L844" s="128"/>
      <c r="M844" s="129"/>
      <c r="N844" s="130"/>
      <c r="O844" s="118"/>
      <c r="P844" s="118"/>
      <c r="Q844" s="131"/>
    </row>
    <row r="845" ht="22.5" customHeight="1">
      <c r="A845" s="118"/>
      <c r="B845" s="119"/>
      <c r="C845" s="120"/>
      <c r="D845" s="121"/>
      <c r="E845" s="121"/>
      <c r="F845" s="122"/>
      <c r="G845" s="123"/>
      <c r="H845" s="124"/>
      <c r="I845" s="125"/>
      <c r="J845" s="126"/>
      <c r="K845" s="127"/>
      <c r="L845" s="128"/>
      <c r="M845" s="129"/>
      <c r="N845" s="130"/>
      <c r="O845" s="118"/>
      <c r="P845" s="118"/>
      <c r="Q845" s="131"/>
    </row>
    <row r="846" ht="22.5" customHeight="1">
      <c r="A846" s="118"/>
      <c r="B846" s="119"/>
      <c r="C846" s="120"/>
      <c r="D846" s="121"/>
      <c r="E846" s="121"/>
      <c r="F846" s="122"/>
      <c r="G846" s="123"/>
      <c r="H846" s="124"/>
      <c r="I846" s="125"/>
      <c r="J846" s="126"/>
      <c r="K846" s="127"/>
      <c r="L846" s="128"/>
      <c r="M846" s="129"/>
      <c r="N846" s="130"/>
      <c r="O846" s="118"/>
      <c r="P846" s="118"/>
      <c r="Q846" s="131"/>
    </row>
    <row r="847" ht="22.5" customHeight="1">
      <c r="A847" s="118"/>
      <c r="B847" s="119"/>
      <c r="C847" s="120"/>
      <c r="D847" s="121"/>
      <c r="E847" s="121"/>
      <c r="F847" s="122"/>
      <c r="G847" s="123"/>
      <c r="H847" s="124"/>
      <c r="I847" s="125"/>
      <c r="J847" s="126"/>
      <c r="K847" s="127"/>
      <c r="L847" s="128"/>
      <c r="M847" s="129"/>
      <c r="N847" s="130"/>
      <c r="O847" s="118"/>
      <c r="P847" s="118"/>
      <c r="Q847" s="131"/>
    </row>
    <row r="848" ht="22.5" customHeight="1">
      <c r="A848" s="118"/>
      <c r="B848" s="119"/>
      <c r="C848" s="120"/>
      <c r="D848" s="121"/>
      <c r="E848" s="121"/>
      <c r="F848" s="122"/>
      <c r="G848" s="123"/>
      <c r="H848" s="124"/>
      <c r="I848" s="125"/>
      <c r="J848" s="126"/>
      <c r="K848" s="127"/>
      <c r="L848" s="128"/>
      <c r="M848" s="129"/>
      <c r="N848" s="130"/>
      <c r="O848" s="118"/>
      <c r="P848" s="118"/>
      <c r="Q848" s="131"/>
    </row>
    <row r="849" ht="22.5" customHeight="1">
      <c r="A849" s="118"/>
      <c r="B849" s="119"/>
      <c r="C849" s="120"/>
      <c r="D849" s="121"/>
      <c r="E849" s="121"/>
      <c r="F849" s="122"/>
      <c r="G849" s="123"/>
      <c r="H849" s="124"/>
      <c r="I849" s="125"/>
      <c r="J849" s="126"/>
      <c r="K849" s="127"/>
      <c r="L849" s="128"/>
      <c r="M849" s="129"/>
      <c r="N849" s="130"/>
      <c r="O849" s="118"/>
      <c r="P849" s="118"/>
      <c r="Q849" s="131"/>
    </row>
    <row r="850" ht="22.5" customHeight="1">
      <c r="A850" s="118"/>
      <c r="B850" s="119"/>
      <c r="C850" s="120"/>
      <c r="D850" s="121"/>
      <c r="E850" s="121"/>
      <c r="F850" s="122"/>
      <c r="G850" s="123"/>
      <c r="H850" s="124"/>
      <c r="I850" s="125"/>
      <c r="J850" s="126"/>
      <c r="K850" s="127"/>
      <c r="L850" s="128"/>
      <c r="M850" s="129"/>
      <c r="N850" s="130"/>
      <c r="O850" s="118"/>
      <c r="P850" s="118"/>
      <c r="Q850" s="131"/>
    </row>
    <row r="851" ht="22.5" customHeight="1">
      <c r="A851" s="118"/>
      <c r="B851" s="119"/>
      <c r="C851" s="120"/>
      <c r="D851" s="121"/>
      <c r="E851" s="121"/>
      <c r="F851" s="122"/>
      <c r="G851" s="123"/>
      <c r="H851" s="124"/>
      <c r="I851" s="125"/>
      <c r="J851" s="126"/>
      <c r="K851" s="127"/>
      <c r="L851" s="128"/>
      <c r="M851" s="129"/>
      <c r="N851" s="130"/>
      <c r="O851" s="118"/>
      <c r="P851" s="118"/>
      <c r="Q851" s="131"/>
    </row>
    <row r="852" ht="22.5" customHeight="1">
      <c r="A852" s="118"/>
      <c r="B852" s="119"/>
      <c r="C852" s="120"/>
      <c r="D852" s="121"/>
      <c r="E852" s="121"/>
      <c r="F852" s="122"/>
      <c r="G852" s="123"/>
      <c r="H852" s="124"/>
      <c r="I852" s="125"/>
      <c r="J852" s="126"/>
      <c r="K852" s="127"/>
      <c r="L852" s="128"/>
      <c r="M852" s="129"/>
      <c r="N852" s="130"/>
      <c r="O852" s="118"/>
      <c r="P852" s="118"/>
      <c r="Q852" s="131"/>
    </row>
    <row r="853" ht="22.5" customHeight="1">
      <c r="A853" s="118"/>
      <c r="B853" s="119"/>
      <c r="C853" s="120"/>
      <c r="D853" s="121"/>
      <c r="E853" s="121"/>
      <c r="F853" s="122"/>
      <c r="G853" s="123"/>
      <c r="H853" s="124"/>
      <c r="I853" s="125"/>
      <c r="J853" s="126"/>
      <c r="K853" s="127"/>
      <c r="L853" s="128"/>
      <c r="M853" s="129"/>
      <c r="N853" s="130"/>
      <c r="O853" s="118"/>
      <c r="P853" s="118"/>
      <c r="Q853" s="131"/>
    </row>
    <row r="854" ht="22.5" customHeight="1">
      <c r="A854" s="118"/>
      <c r="B854" s="119"/>
      <c r="C854" s="120"/>
      <c r="D854" s="121"/>
      <c r="E854" s="121"/>
      <c r="F854" s="122"/>
      <c r="G854" s="123"/>
      <c r="H854" s="124"/>
      <c r="I854" s="125"/>
      <c r="J854" s="126"/>
      <c r="K854" s="127"/>
      <c r="L854" s="128"/>
      <c r="M854" s="129"/>
      <c r="N854" s="130"/>
      <c r="O854" s="118"/>
      <c r="P854" s="118"/>
      <c r="Q854" s="131"/>
    </row>
    <row r="855" ht="22.5" customHeight="1">
      <c r="A855" s="118"/>
      <c r="B855" s="119"/>
      <c r="C855" s="120"/>
      <c r="D855" s="121"/>
      <c r="E855" s="121"/>
      <c r="F855" s="122"/>
      <c r="G855" s="123"/>
      <c r="H855" s="124"/>
      <c r="I855" s="125"/>
      <c r="J855" s="126"/>
      <c r="K855" s="127"/>
      <c r="L855" s="128"/>
      <c r="M855" s="129"/>
      <c r="N855" s="130"/>
      <c r="O855" s="118"/>
      <c r="P855" s="118"/>
      <c r="Q855" s="131"/>
    </row>
    <row r="856" ht="22.5" customHeight="1">
      <c r="A856" s="118"/>
      <c r="B856" s="119"/>
      <c r="C856" s="120"/>
      <c r="D856" s="121"/>
      <c r="E856" s="121"/>
      <c r="F856" s="122"/>
      <c r="G856" s="123"/>
      <c r="H856" s="124"/>
      <c r="I856" s="125"/>
      <c r="J856" s="126"/>
      <c r="K856" s="127"/>
      <c r="L856" s="128"/>
      <c r="M856" s="129"/>
      <c r="N856" s="130"/>
      <c r="O856" s="118"/>
      <c r="P856" s="118"/>
      <c r="Q856" s="131"/>
    </row>
    <row r="857" ht="22.5" customHeight="1">
      <c r="A857" s="118"/>
      <c r="B857" s="119"/>
      <c r="C857" s="120"/>
      <c r="D857" s="121"/>
      <c r="E857" s="121"/>
      <c r="F857" s="122"/>
      <c r="G857" s="123"/>
      <c r="H857" s="124"/>
      <c r="I857" s="125"/>
      <c r="J857" s="126"/>
      <c r="K857" s="127"/>
      <c r="L857" s="128"/>
      <c r="M857" s="129"/>
      <c r="N857" s="130"/>
      <c r="O857" s="118"/>
      <c r="P857" s="118"/>
      <c r="Q857" s="131"/>
    </row>
    <row r="858" ht="22.5" customHeight="1">
      <c r="A858" s="118"/>
      <c r="B858" s="119"/>
      <c r="C858" s="120"/>
      <c r="D858" s="121"/>
      <c r="E858" s="121"/>
      <c r="F858" s="122"/>
      <c r="G858" s="123"/>
      <c r="H858" s="124"/>
      <c r="I858" s="125"/>
      <c r="J858" s="126"/>
      <c r="K858" s="127"/>
      <c r="L858" s="128"/>
      <c r="M858" s="129"/>
      <c r="N858" s="130"/>
      <c r="O858" s="118"/>
      <c r="P858" s="118"/>
      <c r="Q858" s="131"/>
    </row>
    <row r="859" ht="22.5" customHeight="1">
      <c r="A859" s="118"/>
      <c r="B859" s="119"/>
      <c r="C859" s="120"/>
      <c r="D859" s="121"/>
      <c r="E859" s="121"/>
      <c r="F859" s="122"/>
      <c r="G859" s="123"/>
      <c r="H859" s="124"/>
      <c r="I859" s="125"/>
      <c r="J859" s="126"/>
      <c r="K859" s="127"/>
      <c r="L859" s="128"/>
      <c r="M859" s="129"/>
      <c r="N859" s="130"/>
      <c r="O859" s="118"/>
      <c r="P859" s="118"/>
      <c r="Q859" s="131"/>
    </row>
    <row r="860" ht="22.5" customHeight="1">
      <c r="A860" s="118"/>
      <c r="B860" s="119"/>
      <c r="C860" s="120"/>
      <c r="D860" s="121"/>
      <c r="E860" s="121"/>
      <c r="F860" s="122"/>
      <c r="G860" s="123"/>
      <c r="H860" s="124"/>
      <c r="I860" s="125"/>
      <c r="J860" s="126"/>
      <c r="K860" s="127"/>
      <c r="L860" s="128"/>
      <c r="M860" s="129"/>
      <c r="N860" s="130"/>
      <c r="O860" s="118"/>
      <c r="P860" s="118"/>
      <c r="Q860" s="131"/>
    </row>
    <row r="861" ht="22.5" customHeight="1">
      <c r="A861" s="118"/>
      <c r="B861" s="119"/>
      <c r="C861" s="120"/>
      <c r="D861" s="121"/>
      <c r="E861" s="121"/>
      <c r="F861" s="122"/>
      <c r="G861" s="123"/>
      <c r="H861" s="124"/>
      <c r="I861" s="125"/>
      <c r="J861" s="126"/>
      <c r="K861" s="127"/>
      <c r="L861" s="128"/>
      <c r="M861" s="129"/>
      <c r="N861" s="130"/>
      <c r="O861" s="118"/>
      <c r="P861" s="118"/>
      <c r="Q861" s="131"/>
    </row>
    <row r="862" ht="22.5" customHeight="1">
      <c r="A862" s="118"/>
      <c r="B862" s="119"/>
      <c r="C862" s="120"/>
      <c r="D862" s="121"/>
      <c r="E862" s="121"/>
      <c r="F862" s="122"/>
      <c r="G862" s="123"/>
      <c r="H862" s="124"/>
      <c r="I862" s="125"/>
      <c r="J862" s="126"/>
      <c r="K862" s="127"/>
      <c r="L862" s="128"/>
      <c r="M862" s="129"/>
      <c r="N862" s="130"/>
      <c r="O862" s="118"/>
      <c r="P862" s="118"/>
      <c r="Q862" s="131"/>
    </row>
    <row r="863" ht="22.5" customHeight="1">
      <c r="A863" s="118"/>
      <c r="B863" s="119"/>
      <c r="C863" s="120"/>
      <c r="D863" s="121"/>
      <c r="E863" s="121"/>
      <c r="F863" s="122"/>
      <c r="G863" s="123"/>
      <c r="H863" s="124"/>
      <c r="I863" s="125"/>
      <c r="J863" s="126"/>
      <c r="K863" s="127"/>
      <c r="L863" s="128"/>
      <c r="M863" s="129"/>
      <c r="N863" s="130"/>
      <c r="O863" s="118"/>
      <c r="P863" s="118"/>
      <c r="Q863" s="131"/>
    </row>
    <row r="864" ht="22.5" customHeight="1">
      <c r="A864" s="118"/>
      <c r="B864" s="119"/>
      <c r="C864" s="120"/>
      <c r="D864" s="121"/>
      <c r="E864" s="121"/>
      <c r="F864" s="122"/>
      <c r="G864" s="123"/>
      <c r="H864" s="124"/>
      <c r="I864" s="125"/>
      <c r="J864" s="126"/>
      <c r="K864" s="127"/>
      <c r="L864" s="128"/>
      <c r="M864" s="129"/>
      <c r="N864" s="130"/>
      <c r="O864" s="118"/>
      <c r="P864" s="118"/>
      <c r="Q864" s="131"/>
    </row>
    <row r="865" ht="22.5" customHeight="1">
      <c r="A865" s="118"/>
      <c r="B865" s="119"/>
      <c r="C865" s="120"/>
      <c r="D865" s="121"/>
      <c r="E865" s="121"/>
      <c r="F865" s="122"/>
      <c r="G865" s="123"/>
      <c r="H865" s="124"/>
      <c r="I865" s="125"/>
      <c r="J865" s="126"/>
      <c r="K865" s="127"/>
      <c r="L865" s="128"/>
      <c r="M865" s="129"/>
      <c r="N865" s="130"/>
      <c r="O865" s="118"/>
      <c r="P865" s="118"/>
      <c r="Q865" s="131"/>
    </row>
    <row r="866" ht="22.5" customHeight="1">
      <c r="A866" s="118"/>
      <c r="B866" s="119"/>
      <c r="C866" s="120"/>
      <c r="D866" s="121"/>
      <c r="E866" s="121"/>
      <c r="F866" s="122"/>
      <c r="G866" s="123"/>
      <c r="H866" s="124"/>
      <c r="I866" s="125"/>
      <c r="J866" s="126"/>
      <c r="K866" s="127"/>
      <c r="L866" s="128"/>
      <c r="M866" s="129"/>
      <c r="N866" s="130"/>
      <c r="O866" s="118"/>
      <c r="P866" s="118"/>
      <c r="Q866" s="131"/>
    </row>
    <row r="867" ht="22.5" customHeight="1">
      <c r="A867" s="118"/>
      <c r="B867" s="119"/>
      <c r="C867" s="120"/>
      <c r="D867" s="121"/>
      <c r="E867" s="121"/>
      <c r="F867" s="122"/>
      <c r="G867" s="123"/>
      <c r="H867" s="124"/>
      <c r="I867" s="125"/>
      <c r="J867" s="126"/>
      <c r="K867" s="127"/>
      <c r="L867" s="128"/>
      <c r="M867" s="129"/>
      <c r="N867" s="130"/>
      <c r="O867" s="118"/>
      <c r="P867" s="118"/>
      <c r="Q867" s="131"/>
    </row>
    <row r="868" ht="22.5" customHeight="1">
      <c r="A868" s="118"/>
      <c r="B868" s="119"/>
      <c r="C868" s="120"/>
      <c r="D868" s="121"/>
      <c r="E868" s="121"/>
      <c r="F868" s="122"/>
      <c r="G868" s="123"/>
      <c r="H868" s="124"/>
      <c r="I868" s="125"/>
      <c r="J868" s="126"/>
      <c r="K868" s="127"/>
      <c r="L868" s="128"/>
      <c r="M868" s="129"/>
      <c r="N868" s="130"/>
      <c r="O868" s="118"/>
      <c r="P868" s="118"/>
      <c r="Q868" s="131"/>
    </row>
    <row r="869" ht="22.5" customHeight="1">
      <c r="A869" s="118"/>
      <c r="B869" s="119"/>
      <c r="C869" s="120"/>
      <c r="D869" s="121"/>
      <c r="E869" s="121"/>
      <c r="F869" s="122"/>
      <c r="G869" s="123"/>
      <c r="H869" s="124"/>
      <c r="I869" s="125"/>
      <c r="J869" s="126"/>
      <c r="K869" s="127"/>
      <c r="L869" s="128"/>
      <c r="M869" s="129"/>
      <c r="N869" s="130"/>
      <c r="O869" s="118"/>
      <c r="P869" s="118"/>
      <c r="Q869" s="131"/>
    </row>
    <row r="870" ht="22.5" customHeight="1">
      <c r="A870" s="118"/>
      <c r="B870" s="119"/>
      <c r="C870" s="120"/>
      <c r="D870" s="121"/>
      <c r="E870" s="121"/>
      <c r="F870" s="122"/>
      <c r="G870" s="123"/>
      <c r="H870" s="124"/>
      <c r="I870" s="125"/>
      <c r="J870" s="126"/>
      <c r="K870" s="127"/>
      <c r="L870" s="128"/>
      <c r="M870" s="129"/>
      <c r="N870" s="130"/>
      <c r="O870" s="118"/>
      <c r="P870" s="118"/>
      <c r="Q870" s="131"/>
    </row>
    <row r="871" ht="22.5" customHeight="1">
      <c r="A871" s="118"/>
      <c r="B871" s="119"/>
      <c r="C871" s="120"/>
      <c r="D871" s="121"/>
      <c r="E871" s="121"/>
      <c r="F871" s="122"/>
      <c r="G871" s="123"/>
      <c r="H871" s="124"/>
      <c r="I871" s="125"/>
      <c r="J871" s="126"/>
      <c r="K871" s="127"/>
      <c r="L871" s="128"/>
      <c r="M871" s="129"/>
      <c r="N871" s="130"/>
      <c r="O871" s="118"/>
      <c r="P871" s="118"/>
      <c r="Q871" s="131"/>
    </row>
    <row r="872" ht="22.5" customHeight="1">
      <c r="A872" s="118"/>
      <c r="B872" s="119"/>
      <c r="C872" s="120"/>
      <c r="D872" s="121"/>
      <c r="E872" s="121"/>
      <c r="F872" s="122"/>
      <c r="G872" s="123"/>
      <c r="H872" s="124"/>
      <c r="I872" s="125"/>
      <c r="J872" s="126"/>
      <c r="K872" s="127"/>
      <c r="L872" s="128"/>
      <c r="M872" s="129"/>
      <c r="N872" s="130"/>
      <c r="O872" s="118"/>
      <c r="P872" s="118"/>
      <c r="Q872" s="131"/>
    </row>
    <row r="873" ht="22.5" customHeight="1">
      <c r="A873" s="118"/>
      <c r="B873" s="119"/>
      <c r="C873" s="120"/>
      <c r="D873" s="121"/>
      <c r="E873" s="121"/>
      <c r="F873" s="122"/>
      <c r="G873" s="123"/>
      <c r="H873" s="124"/>
      <c r="I873" s="125"/>
      <c r="J873" s="126"/>
      <c r="K873" s="127"/>
      <c r="L873" s="128"/>
      <c r="M873" s="129"/>
      <c r="N873" s="130"/>
      <c r="O873" s="118"/>
      <c r="P873" s="118"/>
      <c r="Q873" s="131"/>
    </row>
    <row r="874" ht="22.5" customHeight="1">
      <c r="A874" s="118"/>
      <c r="B874" s="119"/>
      <c r="C874" s="120"/>
      <c r="D874" s="121"/>
      <c r="E874" s="121"/>
      <c r="F874" s="122"/>
      <c r="G874" s="123"/>
      <c r="H874" s="124"/>
      <c r="I874" s="125"/>
      <c r="J874" s="126"/>
      <c r="K874" s="127"/>
      <c r="L874" s="128"/>
      <c r="M874" s="129"/>
      <c r="N874" s="130"/>
      <c r="O874" s="118"/>
      <c r="P874" s="118"/>
      <c r="Q874" s="131"/>
    </row>
    <row r="875" ht="22.5" customHeight="1">
      <c r="A875" s="118"/>
      <c r="B875" s="119"/>
      <c r="C875" s="120"/>
      <c r="D875" s="121"/>
      <c r="E875" s="121"/>
      <c r="F875" s="122"/>
      <c r="G875" s="123"/>
      <c r="H875" s="124"/>
      <c r="I875" s="125"/>
      <c r="J875" s="126"/>
      <c r="K875" s="127"/>
      <c r="L875" s="128"/>
      <c r="M875" s="129"/>
      <c r="N875" s="130"/>
      <c r="O875" s="118"/>
      <c r="P875" s="118"/>
      <c r="Q875" s="131"/>
    </row>
    <row r="876" ht="22.5" customHeight="1">
      <c r="A876" s="118"/>
      <c r="B876" s="119"/>
      <c r="C876" s="120"/>
      <c r="D876" s="121"/>
      <c r="E876" s="121"/>
      <c r="F876" s="122"/>
      <c r="G876" s="123"/>
      <c r="H876" s="124"/>
      <c r="I876" s="125"/>
      <c r="J876" s="126"/>
      <c r="K876" s="127"/>
      <c r="L876" s="128"/>
      <c r="M876" s="129"/>
      <c r="N876" s="130"/>
      <c r="O876" s="118"/>
      <c r="P876" s="118"/>
      <c r="Q876" s="131"/>
    </row>
    <row r="877" ht="22.5" customHeight="1">
      <c r="A877" s="118"/>
      <c r="B877" s="119"/>
      <c r="C877" s="120"/>
      <c r="D877" s="121"/>
      <c r="E877" s="121"/>
      <c r="F877" s="122"/>
      <c r="G877" s="123"/>
      <c r="H877" s="124"/>
      <c r="I877" s="125"/>
      <c r="J877" s="126"/>
      <c r="K877" s="127"/>
      <c r="L877" s="128"/>
      <c r="M877" s="129"/>
      <c r="N877" s="130"/>
      <c r="O877" s="118"/>
      <c r="P877" s="118"/>
      <c r="Q877" s="131"/>
    </row>
    <row r="878" ht="22.5" customHeight="1">
      <c r="A878" s="118"/>
      <c r="B878" s="119"/>
      <c r="C878" s="120"/>
      <c r="D878" s="121"/>
      <c r="E878" s="121"/>
      <c r="F878" s="122"/>
      <c r="G878" s="123"/>
      <c r="H878" s="124"/>
      <c r="I878" s="125"/>
      <c r="J878" s="126"/>
      <c r="K878" s="127"/>
      <c r="L878" s="128"/>
      <c r="M878" s="129"/>
      <c r="N878" s="130"/>
      <c r="O878" s="118"/>
      <c r="P878" s="118"/>
      <c r="Q878" s="131"/>
    </row>
    <row r="879" ht="22.5" customHeight="1">
      <c r="A879" s="118"/>
      <c r="B879" s="119"/>
      <c r="C879" s="120"/>
      <c r="D879" s="121"/>
      <c r="E879" s="121"/>
      <c r="F879" s="122"/>
      <c r="G879" s="123"/>
      <c r="H879" s="124"/>
      <c r="I879" s="125"/>
      <c r="J879" s="126"/>
      <c r="K879" s="127"/>
      <c r="L879" s="128"/>
      <c r="M879" s="129"/>
      <c r="N879" s="130"/>
      <c r="O879" s="118"/>
      <c r="P879" s="118"/>
      <c r="Q879" s="131"/>
    </row>
    <row r="880" ht="22.5" customHeight="1">
      <c r="A880" s="118"/>
      <c r="B880" s="119"/>
      <c r="C880" s="120"/>
      <c r="D880" s="121"/>
      <c r="E880" s="121"/>
      <c r="F880" s="122"/>
      <c r="G880" s="123"/>
      <c r="H880" s="124"/>
      <c r="I880" s="125"/>
      <c r="J880" s="126"/>
      <c r="K880" s="127"/>
      <c r="L880" s="128"/>
      <c r="M880" s="129"/>
      <c r="N880" s="130"/>
      <c r="O880" s="118"/>
      <c r="P880" s="118"/>
      <c r="Q880" s="131"/>
    </row>
    <row r="881" ht="22.5" customHeight="1">
      <c r="A881" s="118"/>
      <c r="B881" s="119"/>
      <c r="C881" s="120"/>
      <c r="D881" s="121"/>
      <c r="E881" s="121"/>
      <c r="F881" s="122"/>
      <c r="G881" s="123"/>
      <c r="H881" s="124"/>
      <c r="I881" s="125"/>
      <c r="J881" s="126"/>
      <c r="K881" s="127"/>
      <c r="L881" s="128"/>
      <c r="M881" s="129"/>
      <c r="N881" s="130"/>
      <c r="O881" s="118"/>
      <c r="P881" s="118"/>
      <c r="Q881" s="131"/>
    </row>
    <row r="882" ht="22.5" customHeight="1">
      <c r="A882" s="118"/>
      <c r="B882" s="119"/>
      <c r="C882" s="120"/>
      <c r="D882" s="121"/>
      <c r="E882" s="121"/>
      <c r="F882" s="122"/>
      <c r="G882" s="123"/>
      <c r="H882" s="124"/>
      <c r="I882" s="125"/>
      <c r="J882" s="126"/>
      <c r="K882" s="127"/>
      <c r="L882" s="128"/>
      <c r="M882" s="129"/>
      <c r="N882" s="130"/>
      <c r="O882" s="118"/>
      <c r="P882" s="118"/>
      <c r="Q882" s="131"/>
    </row>
    <row r="883" ht="22.5" customHeight="1">
      <c r="A883" s="118"/>
      <c r="B883" s="119"/>
      <c r="C883" s="120"/>
      <c r="D883" s="121"/>
      <c r="E883" s="121"/>
      <c r="F883" s="122"/>
      <c r="G883" s="123"/>
      <c r="H883" s="124"/>
      <c r="I883" s="125"/>
      <c r="J883" s="126"/>
      <c r="K883" s="127"/>
      <c r="L883" s="128"/>
      <c r="M883" s="129"/>
      <c r="N883" s="130"/>
      <c r="O883" s="118"/>
      <c r="P883" s="118"/>
      <c r="Q883" s="131"/>
    </row>
    <row r="884" ht="22.5" customHeight="1">
      <c r="A884" s="118"/>
      <c r="B884" s="119"/>
      <c r="C884" s="120"/>
      <c r="D884" s="121"/>
      <c r="E884" s="121"/>
      <c r="F884" s="122"/>
      <c r="G884" s="123"/>
      <c r="H884" s="124"/>
      <c r="I884" s="125"/>
      <c r="J884" s="126"/>
      <c r="K884" s="127"/>
      <c r="L884" s="128"/>
      <c r="M884" s="129"/>
      <c r="N884" s="130"/>
      <c r="O884" s="118"/>
      <c r="P884" s="118"/>
      <c r="Q884" s="131"/>
    </row>
    <row r="885" ht="22.5" customHeight="1">
      <c r="A885" s="118"/>
      <c r="B885" s="119"/>
      <c r="C885" s="120"/>
      <c r="D885" s="121"/>
      <c r="E885" s="121"/>
      <c r="F885" s="122"/>
      <c r="G885" s="123"/>
      <c r="H885" s="124"/>
      <c r="I885" s="125"/>
      <c r="J885" s="126"/>
      <c r="K885" s="127"/>
      <c r="L885" s="128"/>
      <c r="M885" s="129"/>
      <c r="N885" s="130"/>
      <c r="O885" s="118"/>
      <c r="P885" s="118"/>
      <c r="Q885" s="131"/>
    </row>
    <row r="886" ht="22.5" customHeight="1">
      <c r="A886" s="118"/>
      <c r="B886" s="119"/>
      <c r="C886" s="120"/>
      <c r="D886" s="121"/>
      <c r="E886" s="121"/>
      <c r="F886" s="122"/>
      <c r="G886" s="123"/>
      <c r="H886" s="124"/>
      <c r="I886" s="125"/>
      <c r="J886" s="126"/>
      <c r="K886" s="127"/>
      <c r="L886" s="128"/>
      <c r="M886" s="129"/>
      <c r="N886" s="130"/>
      <c r="O886" s="118"/>
      <c r="P886" s="118"/>
      <c r="Q886" s="131"/>
    </row>
    <row r="887" ht="22.5" customHeight="1">
      <c r="A887" s="118"/>
      <c r="B887" s="119"/>
      <c r="C887" s="120"/>
      <c r="D887" s="121"/>
      <c r="E887" s="121"/>
      <c r="F887" s="122"/>
      <c r="G887" s="123"/>
      <c r="H887" s="124"/>
      <c r="I887" s="125"/>
      <c r="J887" s="126"/>
      <c r="K887" s="127"/>
      <c r="L887" s="128"/>
      <c r="M887" s="129"/>
      <c r="N887" s="130"/>
      <c r="O887" s="118"/>
      <c r="P887" s="118"/>
      <c r="Q887" s="131"/>
    </row>
    <row r="888" ht="22.5" customHeight="1">
      <c r="A888" s="118"/>
      <c r="B888" s="119"/>
      <c r="C888" s="120"/>
      <c r="D888" s="121"/>
      <c r="E888" s="121"/>
      <c r="F888" s="122"/>
      <c r="G888" s="123"/>
      <c r="H888" s="124"/>
      <c r="I888" s="125"/>
      <c r="J888" s="126"/>
      <c r="K888" s="127"/>
      <c r="L888" s="128"/>
      <c r="M888" s="129"/>
      <c r="N888" s="130"/>
      <c r="O888" s="118"/>
      <c r="P888" s="118"/>
      <c r="Q888" s="131"/>
    </row>
    <row r="889" ht="22.5" customHeight="1">
      <c r="A889" s="118"/>
      <c r="B889" s="119"/>
      <c r="C889" s="120"/>
      <c r="D889" s="121"/>
      <c r="E889" s="121"/>
      <c r="F889" s="122"/>
      <c r="G889" s="123"/>
      <c r="H889" s="124"/>
      <c r="I889" s="125"/>
      <c r="J889" s="126"/>
      <c r="K889" s="127"/>
      <c r="L889" s="128"/>
      <c r="M889" s="129"/>
      <c r="N889" s="130"/>
      <c r="O889" s="118"/>
      <c r="P889" s="118"/>
      <c r="Q889" s="131"/>
    </row>
    <row r="890" ht="22.5" customHeight="1">
      <c r="A890" s="118"/>
      <c r="B890" s="119"/>
      <c r="C890" s="120"/>
      <c r="D890" s="121"/>
      <c r="E890" s="121"/>
      <c r="F890" s="122"/>
      <c r="G890" s="123"/>
      <c r="H890" s="124"/>
      <c r="I890" s="125"/>
      <c r="J890" s="126"/>
      <c r="K890" s="127"/>
      <c r="L890" s="128"/>
      <c r="M890" s="129"/>
      <c r="N890" s="130"/>
      <c r="O890" s="118"/>
      <c r="P890" s="118"/>
      <c r="Q890" s="131"/>
    </row>
    <row r="891" ht="22.5" customHeight="1">
      <c r="A891" s="118"/>
      <c r="B891" s="119"/>
      <c r="C891" s="120"/>
      <c r="D891" s="121"/>
      <c r="E891" s="121"/>
      <c r="F891" s="122"/>
      <c r="G891" s="123"/>
      <c r="H891" s="124"/>
      <c r="I891" s="125"/>
      <c r="J891" s="126"/>
      <c r="K891" s="127"/>
      <c r="L891" s="128"/>
      <c r="M891" s="129"/>
      <c r="N891" s="130"/>
      <c r="O891" s="118"/>
      <c r="P891" s="118"/>
      <c r="Q891" s="131"/>
    </row>
    <row r="892" ht="22.5" customHeight="1">
      <c r="A892" s="118"/>
      <c r="B892" s="119"/>
      <c r="C892" s="120"/>
      <c r="D892" s="121"/>
      <c r="E892" s="121"/>
      <c r="F892" s="122"/>
      <c r="G892" s="123"/>
      <c r="H892" s="124"/>
      <c r="I892" s="125"/>
      <c r="J892" s="126"/>
      <c r="K892" s="127"/>
      <c r="L892" s="128"/>
      <c r="M892" s="129"/>
      <c r="N892" s="130"/>
      <c r="O892" s="118"/>
      <c r="P892" s="118"/>
      <c r="Q892" s="131"/>
    </row>
    <row r="893" ht="22.5" customHeight="1">
      <c r="A893" s="118"/>
      <c r="B893" s="119"/>
      <c r="C893" s="120"/>
      <c r="D893" s="121"/>
      <c r="E893" s="121"/>
      <c r="F893" s="122"/>
      <c r="G893" s="123"/>
      <c r="H893" s="124"/>
      <c r="I893" s="125"/>
      <c r="J893" s="126"/>
      <c r="K893" s="127"/>
      <c r="L893" s="128"/>
      <c r="M893" s="129"/>
      <c r="N893" s="130"/>
      <c r="O893" s="118"/>
      <c r="P893" s="118"/>
      <c r="Q893" s="131"/>
    </row>
    <row r="894" ht="22.5" customHeight="1">
      <c r="A894" s="118"/>
      <c r="B894" s="119"/>
      <c r="C894" s="120"/>
      <c r="D894" s="121"/>
      <c r="E894" s="121"/>
      <c r="F894" s="122"/>
      <c r="G894" s="123"/>
      <c r="H894" s="124"/>
      <c r="I894" s="125"/>
      <c r="J894" s="126"/>
      <c r="K894" s="127"/>
      <c r="L894" s="128"/>
      <c r="M894" s="129"/>
      <c r="N894" s="130"/>
      <c r="O894" s="118"/>
      <c r="P894" s="118"/>
      <c r="Q894" s="131"/>
    </row>
    <row r="895" ht="22.5" customHeight="1">
      <c r="A895" s="118"/>
      <c r="B895" s="119"/>
      <c r="C895" s="120"/>
      <c r="D895" s="121"/>
      <c r="E895" s="121"/>
      <c r="F895" s="122"/>
      <c r="G895" s="123"/>
      <c r="H895" s="124"/>
      <c r="I895" s="125"/>
      <c r="J895" s="126"/>
      <c r="K895" s="127"/>
      <c r="L895" s="128"/>
      <c r="M895" s="129"/>
      <c r="N895" s="130"/>
      <c r="O895" s="118"/>
      <c r="P895" s="118"/>
      <c r="Q895" s="131"/>
    </row>
    <row r="896" ht="22.5" customHeight="1">
      <c r="A896" s="118"/>
      <c r="B896" s="119"/>
      <c r="C896" s="120"/>
      <c r="D896" s="121"/>
      <c r="E896" s="121"/>
      <c r="F896" s="122"/>
      <c r="G896" s="123"/>
      <c r="H896" s="124"/>
      <c r="I896" s="125"/>
      <c r="J896" s="126"/>
      <c r="K896" s="127"/>
      <c r="L896" s="128"/>
      <c r="M896" s="129"/>
      <c r="N896" s="130"/>
      <c r="O896" s="118"/>
      <c r="P896" s="118"/>
      <c r="Q896" s="131"/>
    </row>
    <row r="897" ht="22.5" customHeight="1">
      <c r="A897" s="118"/>
      <c r="B897" s="119"/>
      <c r="C897" s="120"/>
      <c r="D897" s="121"/>
      <c r="E897" s="121"/>
      <c r="F897" s="122"/>
      <c r="G897" s="123"/>
      <c r="H897" s="124"/>
      <c r="I897" s="125"/>
      <c r="J897" s="126"/>
      <c r="K897" s="127"/>
      <c r="L897" s="128"/>
      <c r="M897" s="129"/>
      <c r="N897" s="130"/>
      <c r="O897" s="118"/>
      <c r="P897" s="118"/>
      <c r="Q897" s="131"/>
    </row>
    <row r="898" ht="22.5" customHeight="1">
      <c r="A898" s="118"/>
      <c r="B898" s="119"/>
      <c r="C898" s="120"/>
      <c r="D898" s="121"/>
      <c r="E898" s="121"/>
      <c r="F898" s="122"/>
      <c r="G898" s="123"/>
      <c r="H898" s="124"/>
      <c r="I898" s="125"/>
      <c r="J898" s="126"/>
      <c r="K898" s="127"/>
      <c r="L898" s="128"/>
      <c r="M898" s="129"/>
      <c r="N898" s="130"/>
      <c r="O898" s="118"/>
      <c r="P898" s="118"/>
      <c r="Q898" s="131"/>
    </row>
    <row r="899" ht="22.5" customHeight="1">
      <c r="A899" s="118"/>
      <c r="B899" s="119"/>
      <c r="C899" s="120"/>
      <c r="D899" s="121"/>
      <c r="E899" s="121"/>
      <c r="F899" s="122"/>
      <c r="G899" s="123"/>
      <c r="H899" s="124"/>
      <c r="I899" s="125"/>
      <c r="J899" s="126"/>
      <c r="K899" s="127"/>
      <c r="L899" s="128"/>
      <c r="M899" s="129"/>
      <c r="N899" s="130"/>
      <c r="O899" s="118"/>
      <c r="P899" s="118"/>
      <c r="Q899" s="131"/>
    </row>
    <row r="900" ht="22.5" customHeight="1">
      <c r="A900" s="118"/>
      <c r="B900" s="119"/>
      <c r="C900" s="120"/>
      <c r="D900" s="121"/>
      <c r="E900" s="121"/>
      <c r="F900" s="122"/>
      <c r="G900" s="123"/>
      <c r="H900" s="124"/>
      <c r="I900" s="125"/>
      <c r="J900" s="126"/>
      <c r="K900" s="127"/>
      <c r="L900" s="128"/>
      <c r="M900" s="129"/>
      <c r="N900" s="130"/>
      <c r="O900" s="118"/>
      <c r="P900" s="118"/>
      <c r="Q900" s="131"/>
    </row>
    <row r="901" ht="22.5" customHeight="1">
      <c r="A901" s="118"/>
      <c r="B901" s="119"/>
      <c r="C901" s="120"/>
      <c r="D901" s="121"/>
      <c r="E901" s="121"/>
      <c r="F901" s="122"/>
      <c r="G901" s="123"/>
      <c r="H901" s="124"/>
      <c r="I901" s="125"/>
      <c r="J901" s="126"/>
      <c r="K901" s="127"/>
      <c r="L901" s="128"/>
      <c r="M901" s="129"/>
      <c r="N901" s="130"/>
      <c r="O901" s="118"/>
      <c r="P901" s="118"/>
      <c r="Q901" s="131"/>
    </row>
    <row r="902" ht="22.5" customHeight="1">
      <c r="A902" s="118"/>
      <c r="B902" s="119"/>
      <c r="C902" s="120"/>
      <c r="D902" s="121"/>
      <c r="E902" s="121"/>
      <c r="F902" s="122"/>
      <c r="G902" s="123"/>
      <c r="H902" s="124"/>
      <c r="I902" s="125"/>
      <c r="J902" s="126"/>
      <c r="K902" s="127"/>
      <c r="L902" s="128"/>
      <c r="M902" s="129"/>
      <c r="N902" s="130"/>
      <c r="O902" s="118"/>
      <c r="P902" s="118"/>
      <c r="Q902" s="131"/>
    </row>
    <row r="903" ht="22.5" customHeight="1">
      <c r="A903" s="118"/>
      <c r="B903" s="119"/>
      <c r="C903" s="120"/>
      <c r="D903" s="121"/>
      <c r="E903" s="121"/>
      <c r="F903" s="122"/>
      <c r="G903" s="123"/>
      <c r="H903" s="124"/>
      <c r="I903" s="125"/>
      <c r="J903" s="126"/>
      <c r="K903" s="127"/>
      <c r="L903" s="128"/>
      <c r="M903" s="129"/>
      <c r="N903" s="130"/>
      <c r="O903" s="118"/>
      <c r="P903" s="118"/>
      <c r="Q903" s="131"/>
    </row>
    <row r="904" ht="22.5" customHeight="1">
      <c r="A904" s="118"/>
      <c r="B904" s="119"/>
      <c r="C904" s="120"/>
      <c r="D904" s="121"/>
      <c r="E904" s="121"/>
      <c r="F904" s="122"/>
      <c r="G904" s="123"/>
      <c r="H904" s="124"/>
      <c r="I904" s="125"/>
      <c r="J904" s="126"/>
      <c r="K904" s="127"/>
      <c r="L904" s="128"/>
      <c r="M904" s="129"/>
      <c r="N904" s="130"/>
      <c r="O904" s="118"/>
      <c r="P904" s="118"/>
      <c r="Q904" s="131"/>
    </row>
    <row r="905" ht="22.5" customHeight="1">
      <c r="A905" s="118"/>
      <c r="B905" s="119"/>
      <c r="C905" s="120"/>
      <c r="D905" s="121"/>
      <c r="E905" s="121"/>
      <c r="F905" s="122"/>
      <c r="G905" s="123"/>
      <c r="H905" s="124"/>
      <c r="I905" s="125"/>
      <c r="J905" s="126"/>
      <c r="K905" s="127"/>
      <c r="L905" s="128"/>
      <c r="M905" s="129"/>
      <c r="N905" s="130"/>
      <c r="O905" s="118"/>
      <c r="P905" s="118"/>
      <c r="Q905" s="131"/>
    </row>
    <row r="906" ht="22.5" customHeight="1">
      <c r="A906" s="118"/>
      <c r="B906" s="119"/>
      <c r="C906" s="120"/>
      <c r="D906" s="121"/>
      <c r="E906" s="121"/>
      <c r="F906" s="122"/>
      <c r="G906" s="123"/>
      <c r="H906" s="124"/>
      <c r="I906" s="125"/>
      <c r="J906" s="126"/>
      <c r="K906" s="127"/>
      <c r="L906" s="128"/>
      <c r="M906" s="129"/>
      <c r="N906" s="130"/>
      <c r="O906" s="118"/>
      <c r="P906" s="118"/>
      <c r="Q906" s="131"/>
    </row>
    <row r="907" ht="22.5" customHeight="1">
      <c r="A907" s="118"/>
      <c r="B907" s="119"/>
      <c r="C907" s="120"/>
      <c r="D907" s="121"/>
      <c r="E907" s="121"/>
      <c r="F907" s="122"/>
      <c r="G907" s="123"/>
      <c r="H907" s="124"/>
      <c r="I907" s="125"/>
      <c r="J907" s="126"/>
      <c r="K907" s="127"/>
      <c r="L907" s="128"/>
      <c r="M907" s="129"/>
      <c r="N907" s="130"/>
      <c r="O907" s="118"/>
      <c r="P907" s="118"/>
      <c r="Q907" s="131"/>
    </row>
    <row r="908" ht="22.5" customHeight="1">
      <c r="A908" s="118"/>
      <c r="B908" s="119"/>
      <c r="C908" s="120"/>
      <c r="D908" s="121"/>
      <c r="E908" s="121"/>
      <c r="F908" s="122"/>
      <c r="G908" s="123"/>
      <c r="H908" s="124"/>
      <c r="I908" s="125"/>
      <c r="J908" s="126"/>
      <c r="K908" s="127"/>
      <c r="L908" s="128"/>
      <c r="M908" s="129"/>
      <c r="N908" s="130"/>
      <c r="O908" s="118"/>
      <c r="P908" s="118"/>
      <c r="Q908" s="131"/>
    </row>
    <row r="909" ht="22.5" customHeight="1">
      <c r="A909" s="118"/>
      <c r="B909" s="119"/>
      <c r="C909" s="120"/>
      <c r="D909" s="121"/>
      <c r="E909" s="121"/>
      <c r="F909" s="122"/>
      <c r="G909" s="123"/>
      <c r="H909" s="124"/>
      <c r="I909" s="125"/>
      <c r="J909" s="126"/>
      <c r="K909" s="127"/>
      <c r="L909" s="128"/>
      <c r="M909" s="129"/>
      <c r="N909" s="130"/>
      <c r="O909" s="118"/>
      <c r="P909" s="118"/>
      <c r="Q909" s="131"/>
    </row>
    <row r="910" ht="22.5" customHeight="1">
      <c r="A910" s="118"/>
      <c r="B910" s="119"/>
      <c r="C910" s="120"/>
      <c r="D910" s="121"/>
      <c r="E910" s="121"/>
      <c r="F910" s="122"/>
      <c r="G910" s="123"/>
      <c r="H910" s="124"/>
      <c r="I910" s="125"/>
      <c r="J910" s="126"/>
      <c r="K910" s="127"/>
      <c r="L910" s="128"/>
      <c r="M910" s="129"/>
      <c r="N910" s="130"/>
      <c r="O910" s="118"/>
      <c r="P910" s="118"/>
      <c r="Q910" s="131"/>
    </row>
    <row r="911" ht="22.5" customHeight="1">
      <c r="A911" s="118"/>
      <c r="B911" s="119"/>
      <c r="C911" s="120"/>
      <c r="D911" s="121"/>
      <c r="E911" s="121"/>
      <c r="F911" s="122"/>
      <c r="G911" s="123"/>
      <c r="H911" s="124"/>
      <c r="I911" s="125"/>
      <c r="J911" s="126"/>
      <c r="K911" s="127"/>
      <c r="L911" s="128"/>
      <c r="M911" s="129"/>
      <c r="N911" s="130"/>
      <c r="O911" s="118"/>
      <c r="P911" s="118"/>
      <c r="Q911" s="131"/>
    </row>
    <row r="912" ht="22.5" customHeight="1">
      <c r="A912" s="118"/>
      <c r="B912" s="119"/>
      <c r="C912" s="120"/>
      <c r="D912" s="121"/>
      <c r="E912" s="121"/>
      <c r="F912" s="122"/>
      <c r="G912" s="123"/>
      <c r="H912" s="124"/>
      <c r="I912" s="125"/>
      <c r="J912" s="126"/>
      <c r="K912" s="127"/>
      <c r="L912" s="128"/>
      <c r="M912" s="129"/>
      <c r="N912" s="130"/>
      <c r="O912" s="118"/>
      <c r="P912" s="118"/>
      <c r="Q912" s="131"/>
    </row>
    <row r="913" ht="22.5" customHeight="1">
      <c r="A913" s="118"/>
      <c r="B913" s="119"/>
      <c r="C913" s="120"/>
      <c r="D913" s="121"/>
      <c r="E913" s="121"/>
      <c r="F913" s="122"/>
      <c r="G913" s="123"/>
      <c r="H913" s="124"/>
      <c r="I913" s="125"/>
      <c r="J913" s="126"/>
      <c r="K913" s="127"/>
      <c r="L913" s="128"/>
      <c r="M913" s="129"/>
      <c r="N913" s="130"/>
      <c r="O913" s="118"/>
      <c r="P913" s="118"/>
      <c r="Q913" s="131"/>
    </row>
    <row r="914" ht="22.5" customHeight="1">
      <c r="A914" s="118"/>
      <c r="B914" s="119"/>
      <c r="C914" s="120"/>
      <c r="D914" s="121"/>
      <c r="E914" s="121"/>
      <c r="F914" s="122"/>
      <c r="G914" s="123"/>
      <c r="H914" s="124"/>
      <c r="I914" s="125"/>
      <c r="J914" s="126"/>
      <c r="K914" s="127"/>
      <c r="L914" s="128"/>
      <c r="M914" s="129"/>
      <c r="N914" s="130"/>
      <c r="O914" s="118"/>
      <c r="P914" s="118"/>
      <c r="Q914" s="131"/>
    </row>
    <row r="915" ht="22.5" customHeight="1">
      <c r="A915" s="118"/>
      <c r="B915" s="119"/>
      <c r="C915" s="120"/>
      <c r="D915" s="121"/>
      <c r="E915" s="121"/>
      <c r="F915" s="122"/>
      <c r="G915" s="123"/>
      <c r="H915" s="124"/>
      <c r="I915" s="125"/>
      <c r="J915" s="126"/>
      <c r="K915" s="127"/>
      <c r="L915" s="128"/>
      <c r="M915" s="129"/>
      <c r="N915" s="130"/>
      <c r="O915" s="118"/>
      <c r="P915" s="118"/>
      <c r="Q915" s="131"/>
    </row>
    <row r="916" ht="22.5" customHeight="1">
      <c r="A916" s="118"/>
      <c r="B916" s="119"/>
      <c r="C916" s="120"/>
      <c r="D916" s="121"/>
      <c r="E916" s="121"/>
      <c r="F916" s="122"/>
      <c r="G916" s="123"/>
      <c r="H916" s="124"/>
      <c r="I916" s="125"/>
      <c r="J916" s="126"/>
      <c r="K916" s="127"/>
      <c r="L916" s="128"/>
      <c r="M916" s="129"/>
      <c r="N916" s="130"/>
      <c r="O916" s="118"/>
      <c r="P916" s="118"/>
      <c r="Q916" s="131"/>
    </row>
    <row r="917" ht="22.5" customHeight="1">
      <c r="A917" s="118"/>
      <c r="B917" s="119"/>
      <c r="C917" s="120"/>
      <c r="D917" s="121"/>
      <c r="E917" s="121"/>
      <c r="F917" s="122"/>
      <c r="G917" s="123"/>
      <c r="H917" s="124"/>
      <c r="I917" s="125"/>
      <c r="J917" s="126"/>
      <c r="K917" s="127"/>
      <c r="L917" s="128"/>
      <c r="M917" s="129"/>
      <c r="N917" s="130"/>
      <c r="O917" s="118"/>
      <c r="P917" s="118"/>
      <c r="Q917" s="131"/>
    </row>
    <row r="918" ht="22.5" customHeight="1">
      <c r="A918" s="118"/>
      <c r="B918" s="119"/>
      <c r="C918" s="120"/>
      <c r="D918" s="121"/>
      <c r="E918" s="121"/>
      <c r="F918" s="122"/>
      <c r="G918" s="123"/>
      <c r="H918" s="124"/>
      <c r="I918" s="125"/>
      <c r="J918" s="126"/>
      <c r="K918" s="127"/>
      <c r="L918" s="128"/>
      <c r="M918" s="129"/>
      <c r="N918" s="130"/>
      <c r="O918" s="118"/>
      <c r="P918" s="118"/>
      <c r="Q918" s="131"/>
    </row>
    <row r="919" ht="22.5" customHeight="1">
      <c r="A919" s="118"/>
      <c r="B919" s="119"/>
      <c r="C919" s="120"/>
      <c r="D919" s="121"/>
      <c r="E919" s="121"/>
      <c r="F919" s="122"/>
      <c r="G919" s="123"/>
      <c r="H919" s="124"/>
      <c r="I919" s="125"/>
      <c r="J919" s="126"/>
      <c r="K919" s="127"/>
      <c r="L919" s="128"/>
      <c r="M919" s="129"/>
      <c r="N919" s="130"/>
      <c r="O919" s="118"/>
      <c r="P919" s="118"/>
      <c r="Q919" s="131"/>
    </row>
    <row r="920" ht="22.5" customHeight="1">
      <c r="A920" s="118"/>
      <c r="B920" s="119"/>
      <c r="C920" s="120"/>
      <c r="D920" s="121"/>
      <c r="E920" s="121"/>
      <c r="F920" s="122"/>
      <c r="G920" s="123"/>
      <c r="H920" s="124"/>
      <c r="I920" s="125"/>
      <c r="J920" s="126"/>
      <c r="K920" s="127"/>
      <c r="L920" s="128"/>
      <c r="M920" s="129"/>
      <c r="N920" s="130"/>
      <c r="O920" s="118"/>
      <c r="P920" s="118"/>
      <c r="Q920" s="131"/>
    </row>
    <row r="921" ht="22.5" customHeight="1">
      <c r="A921" s="118"/>
      <c r="B921" s="119"/>
      <c r="C921" s="120"/>
      <c r="D921" s="121"/>
      <c r="E921" s="121"/>
      <c r="F921" s="122"/>
      <c r="G921" s="123"/>
      <c r="H921" s="124"/>
      <c r="I921" s="125"/>
      <c r="J921" s="126"/>
      <c r="K921" s="127"/>
      <c r="L921" s="128"/>
      <c r="M921" s="129"/>
      <c r="N921" s="130"/>
      <c r="O921" s="118"/>
      <c r="P921" s="118"/>
      <c r="Q921" s="131"/>
    </row>
    <row r="922" ht="22.5" customHeight="1">
      <c r="A922" s="118"/>
      <c r="B922" s="119"/>
      <c r="C922" s="120"/>
      <c r="D922" s="121"/>
      <c r="E922" s="121"/>
      <c r="F922" s="122"/>
      <c r="G922" s="123"/>
      <c r="H922" s="124"/>
      <c r="I922" s="125"/>
      <c r="J922" s="126"/>
      <c r="K922" s="127"/>
      <c r="L922" s="128"/>
      <c r="M922" s="129"/>
      <c r="N922" s="130"/>
      <c r="O922" s="118"/>
      <c r="P922" s="118"/>
      <c r="Q922" s="131"/>
    </row>
    <row r="923" ht="22.5" customHeight="1">
      <c r="A923" s="118"/>
      <c r="B923" s="119"/>
      <c r="C923" s="120"/>
      <c r="D923" s="121"/>
      <c r="E923" s="121"/>
      <c r="F923" s="122"/>
      <c r="G923" s="123"/>
      <c r="H923" s="124"/>
      <c r="I923" s="125"/>
      <c r="J923" s="126"/>
      <c r="K923" s="127"/>
      <c r="L923" s="128"/>
      <c r="M923" s="129"/>
      <c r="N923" s="130"/>
      <c r="O923" s="118"/>
      <c r="P923" s="118"/>
      <c r="Q923" s="131"/>
    </row>
    <row r="924" ht="22.5" customHeight="1">
      <c r="A924" s="118"/>
      <c r="B924" s="119"/>
      <c r="C924" s="120"/>
      <c r="D924" s="121"/>
      <c r="E924" s="121"/>
      <c r="F924" s="122"/>
      <c r="G924" s="123"/>
      <c r="H924" s="124"/>
      <c r="I924" s="125"/>
      <c r="J924" s="126"/>
      <c r="K924" s="127"/>
      <c r="L924" s="128"/>
      <c r="M924" s="129"/>
      <c r="N924" s="130"/>
      <c r="O924" s="118"/>
      <c r="P924" s="118"/>
      <c r="Q924" s="131"/>
    </row>
    <row r="925" ht="22.5" customHeight="1">
      <c r="A925" s="118"/>
      <c r="B925" s="119"/>
      <c r="C925" s="120"/>
      <c r="D925" s="121"/>
      <c r="E925" s="121"/>
      <c r="F925" s="122"/>
      <c r="G925" s="123"/>
      <c r="H925" s="124"/>
      <c r="I925" s="125"/>
      <c r="J925" s="126"/>
      <c r="K925" s="127"/>
      <c r="L925" s="128"/>
      <c r="M925" s="129"/>
      <c r="N925" s="130"/>
      <c r="O925" s="118"/>
      <c r="P925" s="118"/>
      <c r="Q925" s="131"/>
    </row>
    <row r="926" ht="22.5" customHeight="1">
      <c r="A926" s="118"/>
      <c r="B926" s="119"/>
      <c r="C926" s="120"/>
      <c r="D926" s="121"/>
      <c r="E926" s="121"/>
      <c r="F926" s="122"/>
      <c r="G926" s="123"/>
      <c r="H926" s="124"/>
      <c r="I926" s="125"/>
      <c r="J926" s="126"/>
      <c r="K926" s="127"/>
      <c r="L926" s="128"/>
      <c r="M926" s="129"/>
      <c r="N926" s="130"/>
      <c r="O926" s="118"/>
      <c r="P926" s="118"/>
      <c r="Q926" s="131"/>
    </row>
    <row r="927" ht="22.5" customHeight="1">
      <c r="A927" s="118"/>
      <c r="B927" s="119"/>
      <c r="C927" s="120"/>
      <c r="D927" s="121"/>
      <c r="E927" s="121"/>
      <c r="F927" s="122"/>
      <c r="G927" s="123"/>
      <c r="H927" s="124"/>
      <c r="I927" s="125"/>
      <c r="J927" s="126"/>
      <c r="K927" s="127"/>
      <c r="L927" s="128"/>
      <c r="M927" s="129"/>
      <c r="N927" s="130"/>
      <c r="O927" s="118"/>
      <c r="P927" s="118"/>
      <c r="Q927" s="131"/>
    </row>
    <row r="928" ht="22.5" customHeight="1">
      <c r="A928" s="118"/>
      <c r="B928" s="119"/>
      <c r="C928" s="120"/>
      <c r="D928" s="121"/>
      <c r="E928" s="121"/>
      <c r="F928" s="122"/>
      <c r="G928" s="123"/>
      <c r="H928" s="124"/>
      <c r="I928" s="125"/>
      <c r="J928" s="126"/>
      <c r="K928" s="127"/>
      <c r="L928" s="128"/>
      <c r="M928" s="129"/>
      <c r="N928" s="130"/>
      <c r="O928" s="118"/>
      <c r="P928" s="118"/>
      <c r="Q928" s="131"/>
    </row>
    <row r="929" ht="22.5" customHeight="1">
      <c r="A929" s="118"/>
      <c r="B929" s="119"/>
      <c r="C929" s="120"/>
      <c r="D929" s="121"/>
      <c r="E929" s="121"/>
      <c r="F929" s="122"/>
      <c r="G929" s="123"/>
      <c r="H929" s="124"/>
      <c r="I929" s="125"/>
      <c r="J929" s="126"/>
      <c r="K929" s="127"/>
      <c r="L929" s="128"/>
      <c r="M929" s="129"/>
      <c r="N929" s="130"/>
      <c r="O929" s="118"/>
      <c r="P929" s="118"/>
      <c r="Q929" s="131"/>
    </row>
    <row r="930" ht="22.5" customHeight="1">
      <c r="A930" s="118"/>
      <c r="B930" s="119"/>
      <c r="C930" s="120"/>
      <c r="D930" s="121"/>
      <c r="E930" s="121"/>
      <c r="F930" s="122"/>
      <c r="G930" s="123"/>
      <c r="H930" s="124"/>
      <c r="I930" s="125"/>
      <c r="J930" s="126"/>
      <c r="K930" s="127"/>
      <c r="L930" s="128"/>
      <c r="M930" s="129"/>
      <c r="N930" s="130"/>
      <c r="O930" s="118"/>
      <c r="P930" s="118"/>
      <c r="Q930" s="131"/>
    </row>
    <row r="931" ht="22.5" customHeight="1">
      <c r="A931" s="118"/>
      <c r="B931" s="119"/>
      <c r="C931" s="120"/>
      <c r="D931" s="121"/>
      <c r="E931" s="121"/>
      <c r="F931" s="122"/>
      <c r="G931" s="123"/>
      <c r="H931" s="124"/>
      <c r="I931" s="125"/>
      <c r="J931" s="126"/>
      <c r="K931" s="127"/>
      <c r="L931" s="128"/>
      <c r="M931" s="129"/>
      <c r="N931" s="130"/>
      <c r="O931" s="118"/>
      <c r="P931" s="118"/>
      <c r="Q931" s="131"/>
    </row>
    <row r="932" ht="22.5" customHeight="1">
      <c r="A932" s="118"/>
      <c r="B932" s="119"/>
      <c r="C932" s="120"/>
      <c r="D932" s="121"/>
      <c r="E932" s="121"/>
      <c r="F932" s="122"/>
      <c r="G932" s="123"/>
      <c r="H932" s="124"/>
      <c r="I932" s="125"/>
      <c r="J932" s="126"/>
      <c r="K932" s="127"/>
      <c r="L932" s="128"/>
      <c r="M932" s="129"/>
      <c r="N932" s="130"/>
      <c r="O932" s="118"/>
      <c r="P932" s="118"/>
      <c r="Q932" s="131"/>
    </row>
    <row r="933" ht="22.5" customHeight="1">
      <c r="A933" s="118"/>
      <c r="B933" s="119"/>
      <c r="C933" s="120"/>
      <c r="D933" s="121"/>
      <c r="E933" s="121"/>
      <c r="F933" s="122"/>
      <c r="G933" s="123"/>
      <c r="H933" s="124"/>
      <c r="I933" s="125"/>
      <c r="J933" s="126"/>
      <c r="K933" s="127"/>
      <c r="L933" s="128"/>
      <c r="M933" s="129"/>
      <c r="N933" s="130"/>
      <c r="O933" s="118"/>
      <c r="P933" s="118"/>
      <c r="Q933" s="131"/>
    </row>
    <row r="934" ht="22.5" customHeight="1">
      <c r="A934" s="118"/>
      <c r="B934" s="119"/>
      <c r="C934" s="120"/>
      <c r="D934" s="121"/>
      <c r="E934" s="121"/>
      <c r="F934" s="122"/>
      <c r="G934" s="123"/>
      <c r="H934" s="124"/>
      <c r="I934" s="125"/>
      <c r="J934" s="126"/>
      <c r="K934" s="127"/>
      <c r="L934" s="128"/>
      <c r="M934" s="129"/>
      <c r="N934" s="130"/>
      <c r="O934" s="118"/>
      <c r="P934" s="118"/>
      <c r="Q934" s="131"/>
    </row>
    <row r="935" ht="22.5" customHeight="1">
      <c r="A935" s="118"/>
      <c r="B935" s="119"/>
      <c r="C935" s="120"/>
      <c r="D935" s="121"/>
      <c r="E935" s="121"/>
      <c r="F935" s="122"/>
      <c r="G935" s="123"/>
      <c r="H935" s="124"/>
      <c r="I935" s="125"/>
      <c r="J935" s="126"/>
      <c r="K935" s="127"/>
      <c r="L935" s="128"/>
      <c r="M935" s="129"/>
      <c r="N935" s="130"/>
      <c r="O935" s="118"/>
      <c r="P935" s="118"/>
      <c r="Q935" s="131"/>
    </row>
    <row r="936" ht="22.5" customHeight="1">
      <c r="A936" s="118"/>
      <c r="B936" s="119"/>
      <c r="C936" s="120"/>
      <c r="D936" s="121"/>
      <c r="E936" s="121"/>
      <c r="F936" s="122"/>
      <c r="G936" s="123"/>
      <c r="H936" s="124"/>
      <c r="I936" s="125"/>
      <c r="J936" s="126"/>
      <c r="K936" s="127"/>
      <c r="L936" s="128"/>
      <c r="M936" s="129"/>
      <c r="N936" s="130"/>
      <c r="O936" s="118"/>
      <c r="P936" s="118"/>
      <c r="Q936" s="131"/>
    </row>
    <row r="937" ht="22.5" customHeight="1">
      <c r="A937" s="118"/>
      <c r="B937" s="119"/>
      <c r="C937" s="120"/>
      <c r="D937" s="121"/>
      <c r="E937" s="121"/>
      <c r="F937" s="122"/>
      <c r="G937" s="123"/>
      <c r="H937" s="124"/>
      <c r="I937" s="125"/>
      <c r="J937" s="126"/>
      <c r="K937" s="127"/>
      <c r="L937" s="128"/>
      <c r="M937" s="129"/>
      <c r="N937" s="130"/>
      <c r="O937" s="118"/>
      <c r="P937" s="118"/>
      <c r="Q937" s="131"/>
    </row>
    <row r="938" ht="22.5" customHeight="1">
      <c r="A938" s="118"/>
      <c r="B938" s="119"/>
      <c r="C938" s="120"/>
      <c r="D938" s="121"/>
      <c r="E938" s="121"/>
      <c r="F938" s="122"/>
      <c r="G938" s="123"/>
      <c r="H938" s="124"/>
      <c r="I938" s="125"/>
      <c r="J938" s="126"/>
      <c r="K938" s="127"/>
      <c r="L938" s="128"/>
      <c r="M938" s="129"/>
      <c r="N938" s="130"/>
      <c r="O938" s="118"/>
      <c r="P938" s="118"/>
      <c r="Q938" s="131"/>
    </row>
    <row r="939" ht="22.5" customHeight="1">
      <c r="A939" s="118"/>
      <c r="B939" s="119"/>
      <c r="C939" s="120"/>
      <c r="D939" s="121"/>
      <c r="E939" s="121"/>
      <c r="F939" s="122"/>
      <c r="G939" s="123"/>
      <c r="H939" s="124"/>
      <c r="I939" s="125"/>
      <c r="J939" s="126"/>
      <c r="K939" s="127"/>
      <c r="L939" s="128"/>
      <c r="M939" s="129"/>
      <c r="N939" s="130"/>
      <c r="O939" s="118"/>
      <c r="P939" s="118"/>
      <c r="Q939" s="131"/>
    </row>
    <row r="940" ht="22.5" customHeight="1">
      <c r="A940" s="118"/>
      <c r="B940" s="119"/>
      <c r="C940" s="120"/>
      <c r="D940" s="121"/>
      <c r="E940" s="121"/>
      <c r="F940" s="122"/>
      <c r="G940" s="123"/>
      <c r="H940" s="124"/>
      <c r="I940" s="125"/>
      <c r="J940" s="126"/>
      <c r="K940" s="127"/>
      <c r="L940" s="128"/>
      <c r="M940" s="129"/>
      <c r="N940" s="130"/>
      <c r="O940" s="118"/>
      <c r="P940" s="118"/>
      <c r="Q940" s="131"/>
    </row>
    <row r="941" ht="22.5" customHeight="1">
      <c r="A941" s="118"/>
      <c r="B941" s="119"/>
      <c r="C941" s="120"/>
      <c r="D941" s="121"/>
      <c r="E941" s="121"/>
      <c r="F941" s="122"/>
      <c r="G941" s="123"/>
      <c r="H941" s="124"/>
      <c r="I941" s="125"/>
      <c r="J941" s="126"/>
      <c r="K941" s="127"/>
      <c r="L941" s="128"/>
      <c r="M941" s="129"/>
      <c r="N941" s="130"/>
      <c r="O941" s="118"/>
      <c r="P941" s="118"/>
      <c r="Q941" s="131"/>
    </row>
    <row r="942" ht="22.5" customHeight="1">
      <c r="A942" s="118"/>
      <c r="B942" s="119"/>
      <c r="C942" s="120"/>
      <c r="D942" s="121"/>
      <c r="E942" s="121"/>
      <c r="F942" s="122"/>
      <c r="G942" s="123"/>
      <c r="H942" s="124"/>
      <c r="I942" s="125"/>
      <c r="J942" s="126"/>
      <c r="K942" s="127"/>
      <c r="L942" s="128"/>
      <c r="M942" s="129"/>
      <c r="N942" s="130"/>
      <c r="O942" s="118"/>
      <c r="P942" s="118"/>
      <c r="Q942" s="131"/>
    </row>
    <row r="943" ht="22.5" customHeight="1">
      <c r="A943" s="118"/>
      <c r="B943" s="119"/>
      <c r="C943" s="120"/>
      <c r="D943" s="121"/>
      <c r="E943" s="121"/>
      <c r="F943" s="122"/>
      <c r="G943" s="123"/>
      <c r="H943" s="124"/>
      <c r="I943" s="125"/>
      <c r="J943" s="126"/>
      <c r="K943" s="127"/>
      <c r="L943" s="128"/>
      <c r="M943" s="129"/>
      <c r="N943" s="130"/>
      <c r="O943" s="118"/>
      <c r="P943" s="118"/>
      <c r="Q943" s="131"/>
    </row>
    <row r="944" ht="22.5" customHeight="1">
      <c r="A944" s="118"/>
      <c r="B944" s="119"/>
      <c r="C944" s="120"/>
      <c r="D944" s="121"/>
      <c r="E944" s="121"/>
      <c r="F944" s="122"/>
      <c r="G944" s="123"/>
      <c r="H944" s="124"/>
      <c r="I944" s="125"/>
      <c r="J944" s="126"/>
      <c r="K944" s="127"/>
      <c r="L944" s="128"/>
      <c r="M944" s="129"/>
      <c r="N944" s="130"/>
      <c r="O944" s="118"/>
      <c r="P944" s="118"/>
      <c r="Q944" s="131"/>
    </row>
    <row r="945" ht="22.5" customHeight="1">
      <c r="A945" s="118"/>
      <c r="B945" s="119"/>
      <c r="C945" s="120"/>
      <c r="D945" s="121"/>
      <c r="E945" s="121"/>
      <c r="F945" s="122"/>
      <c r="G945" s="123"/>
      <c r="H945" s="124"/>
      <c r="I945" s="125"/>
      <c r="J945" s="126"/>
      <c r="K945" s="127"/>
      <c r="L945" s="128"/>
      <c r="M945" s="129"/>
      <c r="N945" s="130"/>
      <c r="O945" s="118"/>
      <c r="P945" s="118"/>
      <c r="Q945" s="131"/>
    </row>
    <row r="946" ht="22.5" customHeight="1">
      <c r="A946" s="118"/>
      <c r="B946" s="119"/>
      <c r="C946" s="120"/>
      <c r="D946" s="121"/>
      <c r="E946" s="121"/>
      <c r="F946" s="122"/>
      <c r="G946" s="123"/>
      <c r="H946" s="124"/>
      <c r="I946" s="125"/>
      <c r="J946" s="126"/>
      <c r="K946" s="127"/>
      <c r="L946" s="128"/>
      <c r="M946" s="129"/>
      <c r="N946" s="130"/>
      <c r="O946" s="118"/>
      <c r="P946" s="118"/>
      <c r="Q946" s="131"/>
    </row>
    <row r="947" ht="22.5" customHeight="1">
      <c r="A947" s="118"/>
      <c r="B947" s="119"/>
      <c r="C947" s="120"/>
      <c r="D947" s="121"/>
      <c r="E947" s="121"/>
      <c r="F947" s="122"/>
      <c r="G947" s="123"/>
      <c r="H947" s="124"/>
      <c r="I947" s="125"/>
      <c r="J947" s="126"/>
      <c r="K947" s="127"/>
      <c r="L947" s="128"/>
      <c r="M947" s="129"/>
      <c r="N947" s="130"/>
      <c r="O947" s="118"/>
      <c r="P947" s="118"/>
      <c r="Q947" s="131"/>
    </row>
    <row r="948" ht="22.5" customHeight="1">
      <c r="A948" s="118"/>
      <c r="B948" s="119"/>
      <c r="C948" s="120"/>
      <c r="D948" s="121"/>
      <c r="E948" s="121"/>
      <c r="F948" s="122"/>
      <c r="G948" s="123"/>
      <c r="H948" s="124"/>
      <c r="I948" s="125"/>
      <c r="J948" s="126"/>
      <c r="K948" s="127"/>
      <c r="L948" s="128"/>
      <c r="M948" s="129"/>
      <c r="N948" s="130"/>
      <c r="O948" s="118"/>
      <c r="P948" s="118"/>
      <c r="Q948" s="131"/>
    </row>
    <row r="949" ht="22.5" customHeight="1">
      <c r="A949" s="118"/>
      <c r="B949" s="119"/>
      <c r="C949" s="120"/>
      <c r="D949" s="121"/>
      <c r="E949" s="121"/>
      <c r="F949" s="122"/>
      <c r="G949" s="123"/>
      <c r="H949" s="124"/>
      <c r="I949" s="125"/>
      <c r="J949" s="126"/>
      <c r="K949" s="127"/>
      <c r="L949" s="128"/>
      <c r="M949" s="129"/>
      <c r="N949" s="130"/>
      <c r="O949" s="118"/>
      <c r="P949" s="118"/>
      <c r="Q949" s="131"/>
    </row>
    <row r="950" ht="22.5" customHeight="1">
      <c r="A950" s="118"/>
      <c r="B950" s="119"/>
      <c r="C950" s="120"/>
      <c r="D950" s="121"/>
      <c r="E950" s="121"/>
      <c r="F950" s="122"/>
      <c r="G950" s="123"/>
      <c r="H950" s="124"/>
      <c r="I950" s="125"/>
      <c r="J950" s="126"/>
      <c r="K950" s="127"/>
      <c r="L950" s="128"/>
      <c r="M950" s="129"/>
      <c r="N950" s="130"/>
      <c r="O950" s="118"/>
      <c r="P950" s="118"/>
      <c r="Q950" s="131"/>
    </row>
    <row r="951" ht="22.5" customHeight="1">
      <c r="A951" s="118"/>
      <c r="B951" s="119"/>
      <c r="C951" s="120"/>
      <c r="D951" s="121"/>
      <c r="E951" s="121"/>
      <c r="F951" s="122"/>
      <c r="G951" s="123"/>
      <c r="H951" s="124"/>
      <c r="I951" s="125"/>
      <c r="J951" s="126"/>
      <c r="K951" s="127"/>
      <c r="L951" s="128"/>
      <c r="M951" s="129"/>
      <c r="N951" s="130"/>
      <c r="O951" s="118"/>
      <c r="P951" s="118"/>
      <c r="Q951" s="131"/>
    </row>
    <row r="952" ht="22.5" customHeight="1">
      <c r="A952" s="118"/>
      <c r="B952" s="119"/>
      <c r="C952" s="120"/>
      <c r="D952" s="121"/>
      <c r="E952" s="121"/>
      <c r="F952" s="122"/>
      <c r="G952" s="123"/>
      <c r="H952" s="124"/>
      <c r="I952" s="125"/>
      <c r="J952" s="126"/>
      <c r="K952" s="127"/>
      <c r="L952" s="128"/>
      <c r="M952" s="129"/>
      <c r="N952" s="130"/>
      <c r="O952" s="118"/>
      <c r="P952" s="118"/>
      <c r="Q952" s="131"/>
    </row>
    <row r="953" ht="22.5" customHeight="1">
      <c r="A953" s="118"/>
      <c r="B953" s="119"/>
      <c r="C953" s="120"/>
      <c r="D953" s="121"/>
      <c r="E953" s="121"/>
      <c r="F953" s="122"/>
      <c r="G953" s="123"/>
      <c r="H953" s="124"/>
      <c r="I953" s="125"/>
      <c r="J953" s="126"/>
      <c r="K953" s="127"/>
      <c r="L953" s="128"/>
      <c r="M953" s="129"/>
      <c r="N953" s="130"/>
      <c r="O953" s="118"/>
      <c r="P953" s="118"/>
      <c r="Q953" s="131"/>
    </row>
    <row r="954" ht="22.5" customHeight="1">
      <c r="A954" s="118"/>
      <c r="B954" s="119"/>
      <c r="C954" s="120"/>
      <c r="D954" s="121"/>
      <c r="E954" s="121"/>
      <c r="F954" s="122"/>
      <c r="G954" s="123"/>
      <c r="H954" s="124"/>
      <c r="I954" s="125"/>
      <c r="J954" s="126"/>
      <c r="K954" s="127"/>
      <c r="L954" s="128"/>
      <c r="M954" s="129"/>
      <c r="N954" s="130"/>
      <c r="O954" s="118"/>
      <c r="P954" s="118"/>
      <c r="Q954" s="131"/>
    </row>
    <row r="955" ht="22.5" customHeight="1">
      <c r="A955" s="118"/>
      <c r="B955" s="119"/>
      <c r="C955" s="120"/>
      <c r="D955" s="121"/>
      <c r="E955" s="121"/>
      <c r="F955" s="122"/>
      <c r="G955" s="123"/>
      <c r="H955" s="124"/>
      <c r="I955" s="125"/>
      <c r="J955" s="126"/>
      <c r="K955" s="127"/>
      <c r="L955" s="128"/>
      <c r="M955" s="129"/>
      <c r="N955" s="130"/>
      <c r="O955" s="118"/>
      <c r="P955" s="118"/>
      <c r="Q955" s="131"/>
    </row>
    <row r="956" ht="22.5" customHeight="1">
      <c r="A956" s="118"/>
      <c r="B956" s="119"/>
      <c r="C956" s="120"/>
      <c r="D956" s="121"/>
      <c r="E956" s="121"/>
      <c r="F956" s="122"/>
      <c r="G956" s="123"/>
      <c r="H956" s="124"/>
      <c r="I956" s="125"/>
      <c r="J956" s="126"/>
      <c r="K956" s="127"/>
      <c r="L956" s="128"/>
      <c r="M956" s="129"/>
      <c r="N956" s="130"/>
      <c r="O956" s="118"/>
      <c r="P956" s="118"/>
      <c r="Q956" s="131"/>
    </row>
    <row r="957" ht="22.5" customHeight="1">
      <c r="A957" s="118"/>
      <c r="B957" s="119"/>
      <c r="C957" s="120"/>
      <c r="D957" s="121"/>
      <c r="E957" s="121"/>
      <c r="F957" s="122"/>
      <c r="G957" s="123"/>
      <c r="H957" s="124"/>
      <c r="I957" s="125"/>
      <c r="J957" s="126"/>
      <c r="K957" s="127"/>
      <c r="L957" s="128"/>
      <c r="M957" s="129"/>
      <c r="N957" s="130"/>
      <c r="O957" s="118"/>
      <c r="P957" s="118"/>
      <c r="Q957" s="131"/>
    </row>
    <row r="958" ht="22.5" customHeight="1">
      <c r="A958" s="118"/>
      <c r="B958" s="119"/>
      <c r="C958" s="120"/>
      <c r="D958" s="121"/>
      <c r="E958" s="121"/>
      <c r="F958" s="122"/>
      <c r="G958" s="123"/>
      <c r="H958" s="124"/>
      <c r="I958" s="125"/>
      <c r="J958" s="126"/>
      <c r="K958" s="127"/>
      <c r="L958" s="128"/>
      <c r="M958" s="129"/>
      <c r="N958" s="130"/>
      <c r="O958" s="118"/>
      <c r="P958" s="118"/>
      <c r="Q958" s="131"/>
    </row>
    <row r="959" ht="22.5" customHeight="1">
      <c r="A959" s="118"/>
      <c r="B959" s="119"/>
      <c r="C959" s="120"/>
      <c r="D959" s="121"/>
      <c r="E959" s="121"/>
      <c r="F959" s="122"/>
      <c r="G959" s="123"/>
      <c r="H959" s="124"/>
      <c r="I959" s="125"/>
      <c r="J959" s="126"/>
      <c r="K959" s="127"/>
      <c r="L959" s="128"/>
      <c r="M959" s="129"/>
      <c r="N959" s="130"/>
      <c r="O959" s="118"/>
      <c r="P959" s="118"/>
      <c r="Q959" s="131"/>
    </row>
    <row r="960" ht="22.5" customHeight="1">
      <c r="A960" s="118"/>
      <c r="B960" s="119"/>
      <c r="C960" s="120"/>
      <c r="D960" s="121"/>
      <c r="E960" s="121"/>
      <c r="F960" s="122"/>
      <c r="G960" s="123"/>
      <c r="H960" s="124"/>
      <c r="I960" s="125"/>
      <c r="J960" s="126"/>
      <c r="K960" s="127"/>
      <c r="L960" s="128"/>
      <c r="M960" s="129"/>
      <c r="N960" s="130"/>
      <c r="O960" s="118"/>
      <c r="P960" s="118"/>
      <c r="Q960" s="131"/>
    </row>
    <row r="961" ht="22.5" customHeight="1">
      <c r="A961" s="118"/>
      <c r="B961" s="119"/>
      <c r="C961" s="120"/>
      <c r="D961" s="121"/>
      <c r="E961" s="121"/>
      <c r="F961" s="122"/>
      <c r="G961" s="123"/>
      <c r="H961" s="124"/>
      <c r="I961" s="125"/>
      <c r="J961" s="126"/>
      <c r="K961" s="127"/>
      <c r="L961" s="128"/>
      <c r="M961" s="129"/>
      <c r="N961" s="130"/>
      <c r="O961" s="118"/>
      <c r="P961" s="118"/>
      <c r="Q961" s="131"/>
    </row>
    <row r="962" ht="22.5" customHeight="1">
      <c r="A962" s="118"/>
      <c r="B962" s="119"/>
      <c r="C962" s="120"/>
      <c r="D962" s="121"/>
      <c r="E962" s="121"/>
      <c r="F962" s="122"/>
      <c r="G962" s="123"/>
      <c r="H962" s="124"/>
      <c r="I962" s="125"/>
      <c r="J962" s="126"/>
      <c r="K962" s="127"/>
      <c r="L962" s="128"/>
      <c r="M962" s="129"/>
      <c r="N962" s="130"/>
      <c r="O962" s="118"/>
      <c r="P962" s="118"/>
      <c r="Q962" s="131"/>
    </row>
    <row r="963" ht="22.5" customHeight="1">
      <c r="A963" s="118"/>
      <c r="B963" s="119"/>
      <c r="C963" s="120"/>
      <c r="D963" s="121"/>
      <c r="E963" s="121"/>
      <c r="F963" s="122"/>
      <c r="G963" s="123"/>
      <c r="H963" s="124"/>
      <c r="I963" s="125"/>
      <c r="J963" s="126"/>
      <c r="K963" s="127"/>
      <c r="L963" s="128"/>
      <c r="M963" s="129"/>
      <c r="N963" s="130"/>
      <c r="O963" s="118"/>
      <c r="P963" s="118"/>
      <c r="Q963" s="131"/>
    </row>
    <row r="964" ht="22.5" customHeight="1">
      <c r="A964" s="118"/>
      <c r="B964" s="119"/>
      <c r="C964" s="120"/>
      <c r="D964" s="121"/>
      <c r="E964" s="121"/>
      <c r="F964" s="122"/>
      <c r="G964" s="123"/>
      <c r="H964" s="124"/>
      <c r="I964" s="125"/>
      <c r="J964" s="126"/>
      <c r="K964" s="127"/>
      <c r="L964" s="128"/>
      <c r="M964" s="129"/>
      <c r="N964" s="130"/>
      <c r="O964" s="118"/>
      <c r="P964" s="118"/>
      <c r="Q964" s="131"/>
    </row>
    <row r="965" ht="22.5" customHeight="1">
      <c r="A965" s="118"/>
      <c r="B965" s="119"/>
      <c r="C965" s="120"/>
      <c r="D965" s="121"/>
      <c r="E965" s="121"/>
      <c r="F965" s="122"/>
      <c r="G965" s="123"/>
      <c r="H965" s="124"/>
      <c r="I965" s="125"/>
      <c r="J965" s="126"/>
      <c r="K965" s="127"/>
      <c r="L965" s="128"/>
      <c r="M965" s="129"/>
      <c r="N965" s="130"/>
      <c r="O965" s="118"/>
      <c r="P965" s="118"/>
      <c r="Q965" s="131"/>
    </row>
    <row r="966" ht="22.5" customHeight="1">
      <c r="A966" s="118"/>
      <c r="B966" s="119"/>
      <c r="C966" s="120"/>
      <c r="D966" s="121"/>
      <c r="E966" s="121"/>
      <c r="F966" s="122"/>
      <c r="G966" s="123"/>
      <c r="H966" s="124"/>
      <c r="I966" s="125"/>
      <c r="J966" s="126"/>
      <c r="K966" s="127"/>
      <c r="L966" s="128"/>
      <c r="M966" s="129"/>
      <c r="N966" s="130"/>
      <c r="O966" s="118"/>
      <c r="P966" s="118"/>
      <c r="Q966" s="131"/>
    </row>
    <row r="967" ht="22.5" customHeight="1">
      <c r="A967" s="118"/>
      <c r="B967" s="119"/>
      <c r="C967" s="120"/>
      <c r="D967" s="121"/>
      <c r="E967" s="121"/>
      <c r="F967" s="122"/>
      <c r="G967" s="123"/>
      <c r="H967" s="124"/>
      <c r="I967" s="125"/>
      <c r="J967" s="126"/>
      <c r="K967" s="127"/>
      <c r="L967" s="128"/>
      <c r="M967" s="129"/>
      <c r="N967" s="130"/>
      <c r="O967" s="118"/>
      <c r="P967" s="118"/>
      <c r="Q967" s="131"/>
    </row>
    <row r="968" ht="22.5" customHeight="1">
      <c r="A968" s="118"/>
      <c r="B968" s="119"/>
      <c r="C968" s="120"/>
      <c r="D968" s="121"/>
      <c r="E968" s="121"/>
      <c r="F968" s="122"/>
      <c r="G968" s="123"/>
      <c r="H968" s="124"/>
      <c r="I968" s="125"/>
      <c r="J968" s="126"/>
      <c r="K968" s="127"/>
      <c r="L968" s="128"/>
      <c r="M968" s="129"/>
      <c r="N968" s="130"/>
      <c r="O968" s="118"/>
      <c r="P968" s="118"/>
      <c r="Q968" s="131"/>
    </row>
    <row r="969" ht="22.5" customHeight="1">
      <c r="A969" s="118"/>
      <c r="B969" s="119"/>
      <c r="C969" s="120"/>
      <c r="D969" s="121"/>
      <c r="E969" s="121"/>
      <c r="F969" s="122"/>
      <c r="G969" s="123"/>
      <c r="H969" s="124"/>
      <c r="I969" s="125"/>
      <c r="J969" s="126"/>
      <c r="K969" s="127"/>
      <c r="L969" s="128"/>
      <c r="M969" s="129"/>
      <c r="N969" s="130"/>
      <c r="O969" s="118"/>
      <c r="P969" s="118"/>
      <c r="Q969" s="131"/>
    </row>
    <row r="970" ht="22.5" customHeight="1">
      <c r="A970" s="118"/>
      <c r="B970" s="119"/>
      <c r="C970" s="120"/>
      <c r="D970" s="121"/>
      <c r="E970" s="121"/>
      <c r="F970" s="122"/>
      <c r="G970" s="123"/>
      <c r="H970" s="124"/>
      <c r="I970" s="125"/>
      <c r="J970" s="126"/>
      <c r="K970" s="127"/>
      <c r="L970" s="128"/>
      <c r="M970" s="129"/>
      <c r="N970" s="130"/>
      <c r="O970" s="118"/>
      <c r="P970" s="118"/>
      <c r="Q970" s="131"/>
    </row>
    <row r="971" ht="22.5" customHeight="1">
      <c r="A971" s="118"/>
      <c r="B971" s="119"/>
      <c r="C971" s="120"/>
      <c r="D971" s="121"/>
      <c r="E971" s="121"/>
      <c r="F971" s="122"/>
      <c r="G971" s="123"/>
      <c r="H971" s="124"/>
      <c r="I971" s="125"/>
      <c r="J971" s="126"/>
      <c r="K971" s="127"/>
      <c r="L971" s="128"/>
      <c r="M971" s="129"/>
      <c r="N971" s="130"/>
      <c r="O971" s="118"/>
      <c r="P971" s="118"/>
      <c r="Q971" s="131"/>
    </row>
    <row r="972" ht="22.5" customHeight="1">
      <c r="A972" s="118"/>
      <c r="B972" s="119"/>
      <c r="C972" s="120"/>
      <c r="D972" s="121"/>
      <c r="E972" s="121"/>
      <c r="F972" s="122"/>
      <c r="G972" s="123"/>
      <c r="H972" s="124"/>
      <c r="I972" s="125"/>
      <c r="J972" s="126"/>
      <c r="K972" s="127"/>
      <c r="L972" s="128"/>
      <c r="M972" s="129"/>
      <c r="N972" s="130"/>
      <c r="O972" s="118"/>
      <c r="P972" s="118"/>
      <c r="Q972" s="131"/>
    </row>
    <row r="973" ht="22.5" customHeight="1">
      <c r="A973" s="118"/>
      <c r="B973" s="119"/>
      <c r="C973" s="120"/>
      <c r="D973" s="121"/>
      <c r="E973" s="121"/>
      <c r="F973" s="122"/>
      <c r="G973" s="123"/>
      <c r="H973" s="124"/>
      <c r="I973" s="125"/>
      <c r="J973" s="126"/>
      <c r="K973" s="127"/>
      <c r="L973" s="128"/>
      <c r="M973" s="129"/>
      <c r="N973" s="130"/>
      <c r="O973" s="118"/>
      <c r="P973" s="118"/>
      <c r="Q973" s="131"/>
    </row>
    <row r="974" ht="22.5" customHeight="1">
      <c r="A974" s="118"/>
      <c r="B974" s="119"/>
      <c r="C974" s="120"/>
      <c r="D974" s="121"/>
      <c r="E974" s="121"/>
      <c r="F974" s="122"/>
      <c r="G974" s="123"/>
      <c r="H974" s="124"/>
      <c r="I974" s="125"/>
      <c r="J974" s="126"/>
      <c r="K974" s="127"/>
      <c r="L974" s="128"/>
      <c r="M974" s="129"/>
      <c r="N974" s="130"/>
      <c r="O974" s="118"/>
      <c r="P974" s="118"/>
      <c r="Q974" s="131"/>
    </row>
    <row r="975" ht="22.5" customHeight="1">
      <c r="A975" s="118"/>
      <c r="B975" s="119"/>
      <c r="C975" s="120"/>
      <c r="D975" s="121"/>
      <c r="E975" s="121"/>
      <c r="F975" s="122"/>
      <c r="G975" s="123"/>
      <c r="H975" s="124"/>
      <c r="I975" s="125"/>
      <c r="J975" s="126"/>
      <c r="K975" s="127"/>
      <c r="L975" s="128"/>
      <c r="M975" s="129"/>
      <c r="N975" s="130"/>
      <c r="O975" s="118"/>
      <c r="P975" s="118"/>
      <c r="Q975" s="131"/>
    </row>
    <row r="976" ht="22.5" customHeight="1">
      <c r="A976" s="118"/>
      <c r="B976" s="119"/>
      <c r="C976" s="120"/>
      <c r="D976" s="121"/>
      <c r="E976" s="121"/>
      <c r="F976" s="122"/>
      <c r="G976" s="123"/>
      <c r="H976" s="124"/>
      <c r="I976" s="125"/>
      <c r="J976" s="126"/>
      <c r="K976" s="127"/>
      <c r="L976" s="128"/>
      <c r="M976" s="129"/>
      <c r="N976" s="130"/>
      <c r="O976" s="118"/>
      <c r="P976" s="118"/>
      <c r="Q976" s="131"/>
    </row>
    <row r="977" ht="22.5" customHeight="1">
      <c r="A977" s="118"/>
      <c r="B977" s="119"/>
      <c r="C977" s="120"/>
      <c r="D977" s="121"/>
      <c r="E977" s="121"/>
      <c r="F977" s="122"/>
      <c r="G977" s="123"/>
      <c r="H977" s="124"/>
      <c r="I977" s="125"/>
      <c r="J977" s="126"/>
      <c r="K977" s="127"/>
      <c r="L977" s="128"/>
      <c r="M977" s="129"/>
      <c r="N977" s="130"/>
      <c r="O977" s="118"/>
      <c r="P977" s="118"/>
      <c r="Q977" s="131"/>
    </row>
    <row r="978" ht="22.5" customHeight="1">
      <c r="A978" s="118"/>
      <c r="B978" s="119"/>
      <c r="C978" s="120"/>
      <c r="D978" s="121"/>
      <c r="E978" s="121"/>
      <c r="F978" s="122"/>
      <c r="G978" s="123"/>
      <c r="H978" s="124"/>
      <c r="I978" s="125"/>
      <c r="J978" s="126"/>
      <c r="K978" s="127"/>
      <c r="L978" s="128"/>
      <c r="M978" s="129"/>
      <c r="N978" s="130"/>
      <c r="O978" s="118"/>
      <c r="P978" s="118"/>
      <c r="Q978" s="131"/>
    </row>
    <row r="979" ht="22.5" customHeight="1">
      <c r="A979" s="118"/>
      <c r="B979" s="119"/>
      <c r="C979" s="120"/>
      <c r="D979" s="121"/>
      <c r="E979" s="121"/>
      <c r="F979" s="122"/>
      <c r="G979" s="123"/>
      <c r="H979" s="124"/>
      <c r="I979" s="125"/>
      <c r="J979" s="126"/>
      <c r="K979" s="127"/>
      <c r="L979" s="128"/>
      <c r="M979" s="129"/>
      <c r="N979" s="130"/>
      <c r="O979" s="118"/>
      <c r="P979" s="118"/>
      <c r="Q979" s="131"/>
    </row>
    <row r="980" ht="22.5" customHeight="1">
      <c r="A980" s="118"/>
      <c r="B980" s="119"/>
      <c r="C980" s="120"/>
      <c r="D980" s="121"/>
      <c r="E980" s="121"/>
      <c r="F980" s="122"/>
      <c r="G980" s="123"/>
      <c r="H980" s="124"/>
      <c r="I980" s="125"/>
      <c r="J980" s="126"/>
      <c r="K980" s="127"/>
      <c r="L980" s="128"/>
      <c r="M980" s="129"/>
      <c r="N980" s="130"/>
      <c r="O980" s="118"/>
      <c r="P980" s="118"/>
      <c r="Q980" s="131"/>
    </row>
    <row r="981" ht="22.5" customHeight="1">
      <c r="A981" s="118"/>
      <c r="B981" s="119"/>
      <c r="C981" s="120"/>
      <c r="D981" s="121"/>
      <c r="E981" s="121"/>
      <c r="F981" s="122"/>
      <c r="G981" s="123"/>
      <c r="H981" s="124"/>
      <c r="I981" s="125"/>
      <c r="J981" s="126"/>
      <c r="K981" s="127"/>
      <c r="L981" s="128"/>
      <c r="M981" s="129"/>
      <c r="N981" s="130"/>
      <c r="O981" s="118"/>
      <c r="P981" s="118"/>
      <c r="Q981" s="131"/>
    </row>
    <row r="982" ht="22.5" customHeight="1">
      <c r="A982" s="118"/>
      <c r="B982" s="119"/>
      <c r="C982" s="120"/>
      <c r="D982" s="121"/>
      <c r="E982" s="121"/>
      <c r="F982" s="122"/>
      <c r="G982" s="123"/>
      <c r="H982" s="124"/>
      <c r="I982" s="125"/>
      <c r="J982" s="126"/>
      <c r="K982" s="127"/>
      <c r="L982" s="128"/>
      <c r="M982" s="129"/>
      <c r="N982" s="130"/>
      <c r="O982" s="118"/>
      <c r="P982" s="118"/>
      <c r="Q982" s="131"/>
    </row>
    <row r="983" ht="22.5" customHeight="1">
      <c r="A983" s="118"/>
      <c r="B983" s="119"/>
      <c r="C983" s="120"/>
      <c r="D983" s="121"/>
      <c r="E983" s="121"/>
      <c r="F983" s="122"/>
      <c r="G983" s="123"/>
      <c r="H983" s="124"/>
      <c r="I983" s="125"/>
      <c r="J983" s="126"/>
      <c r="K983" s="127"/>
      <c r="L983" s="128"/>
      <c r="M983" s="129"/>
      <c r="N983" s="130"/>
      <c r="O983" s="118"/>
      <c r="P983" s="118"/>
      <c r="Q983" s="131"/>
    </row>
    <row r="984" ht="22.5" customHeight="1">
      <c r="A984" s="118"/>
      <c r="B984" s="119"/>
      <c r="C984" s="120"/>
      <c r="D984" s="121"/>
      <c r="E984" s="121"/>
      <c r="F984" s="122"/>
      <c r="G984" s="123"/>
      <c r="H984" s="124"/>
      <c r="I984" s="125"/>
      <c r="J984" s="126"/>
      <c r="K984" s="127"/>
      <c r="L984" s="128"/>
      <c r="M984" s="129"/>
      <c r="N984" s="130"/>
      <c r="O984" s="118"/>
      <c r="P984" s="118"/>
      <c r="Q984" s="131"/>
    </row>
    <row r="985" ht="22.5" customHeight="1">
      <c r="A985" s="118"/>
      <c r="B985" s="119"/>
      <c r="C985" s="120"/>
      <c r="D985" s="121"/>
      <c r="E985" s="121"/>
      <c r="F985" s="122"/>
      <c r="G985" s="123"/>
      <c r="H985" s="124"/>
      <c r="I985" s="125"/>
      <c r="J985" s="126"/>
      <c r="K985" s="127"/>
      <c r="L985" s="128"/>
      <c r="M985" s="129"/>
      <c r="N985" s="130"/>
      <c r="O985" s="118"/>
      <c r="P985" s="118"/>
      <c r="Q985" s="131"/>
    </row>
    <row r="986" ht="22.5" customHeight="1">
      <c r="A986" s="118"/>
      <c r="B986" s="119"/>
      <c r="C986" s="120"/>
      <c r="D986" s="121"/>
      <c r="E986" s="121"/>
      <c r="F986" s="122"/>
      <c r="G986" s="123"/>
      <c r="H986" s="124"/>
      <c r="I986" s="125"/>
      <c r="J986" s="126"/>
      <c r="K986" s="127"/>
      <c r="L986" s="128"/>
      <c r="M986" s="129"/>
      <c r="N986" s="130"/>
      <c r="O986" s="118"/>
      <c r="P986" s="118"/>
      <c r="Q986" s="131"/>
    </row>
    <row r="987" ht="22.5" customHeight="1">
      <c r="A987" s="118"/>
      <c r="B987" s="119"/>
      <c r="C987" s="120"/>
      <c r="D987" s="121"/>
      <c r="E987" s="121"/>
      <c r="F987" s="122"/>
      <c r="G987" s="123"/>
      <c r="H987" s="124"/>
      <c r="I987" s="125"/>
      <c r="J987" s="126"/>
      <c r="K987" s="127"/>
      <c r="L987" s="128"/>
      <c r="M987" s="129"/>
      <c r="N987" s="130"/>
      <c r="O987" s="118"/>
      <c r="P987" s="118"/>
      <c r="Q987" s="131"/>
    </row>
    <row r="988" ht="22.5" customHeight="1">
      <c r="A988" s="118"/>
      <c r="B988" s="119"/>
      <c r="C988" s="120"/>
      <c r="D988" s="121"/>
      <c r="E988" s="121"/>
      <c r="F988" s="122"/>
      <c r="G988" s="123"/>
      <c r="H988" s="124"/>
      <c r="I988" s="125"/>
      <c r="J988" s="126"/>
      <c r="K988" s="127"/>
      <c r="L988" s="128"/>
      <c r="M988" s="129"/>
      <c r="N988" s="130"/>
      <c r="O988" s="118"/>
      <c r="P988" s="118"/>
      <c r="Q988" s="131"/>
    </row>
    <row r="989" ht="22.5" customHeight="1">
      <c r="A989" s="118"/>
      <c r="B989" s="119"/>
      <c r="C989" s="120"/>
      <c r="D989" s="121"/>
      <c r="E989" s="121"/>
      <c r="F989" s="122"/>
      <c r="G989" s="123"/>
      <c r="H989" s="124"/>
      <c r="I989" s="125"/>
      <c r="J989" s="126"/>
      <c r="K989" s="127"/>
      <c r="L989" s="128"/>
      <c r="M989" s="129"/>
      <c r="N989" s="130"/>
      <c r="O989" s="118"/>
      <c r="P989" s="118"/>
      <c r="Q989" s="131"/>
    </row>
    <row r="990" ht="22.5" customHeight="1">
      <c r="A990" s="118"/>
      <c r="B990" s="119"/>
      <c r="C990" s="120"/>
      <c r="D990" s="121"/>
      <c r="E990" s="121"/>
      <c r="F990" s="122"/>
      <c r="G990" s="123"/>
      <c r="H990" s="124"/>
      <c r="I990" s="125"/>
      <c r="J990" s="126"/>
      <c r="K990" s="127"/>
      <c r="L990" s="128"/>
      <c r="M990" s="129"/>
      <c r="N990" s="130"/>
      <c r="O990" s="118"/>
      <c r="P990" s="118"/>
      <c r="Q990" s="131"/>
    </row>
    <row r="991" ht="22.5" customHeight="1">
      <c r="A991" s="118"/>
      <c r="B991" s="119"/>
      <c r="C991" s="120"/>
      <c r="D991" s="121"/>
      <c r="E991" s="121"/>
      <c r="F991" s="122"/>
      <c r="G991" s="123"/>
      <c r="H991" s="124"/>
      <c r="I991" s="125"/>
      <c r="J991" s="126"/>
      <c r="K991" s="127"/>
      <c r="L991" s="128"/>
      <c r="M991" s="129"/>
      <c r="N991" s="130"/>
      <c r="O991" s="118"/>
      <c r="P991" s="118"/>
      <c r="Q991" s="131"/>
    </row>
    <row r="992" ht="22.5" customHeight="1">
      <c r="A992" s="118"/>
      <c r="B992" s="119"/>
      <c r="C992" s="120"/>
      <c r="D992" s="121"/>
      <c r="E992" s="121"/>
      <c r="F992" s="122"/>
      <c r="G992" s="123"/>
      <c r="H992" s="124"/>
      <c r="I992" s="125"/>
      <c r="J992" s="126"/>
      <c r="K992" s="127"/>
      <c r="L992" s="128"/>
      <c r="M992" s="129"/>
      <c r="N992" s="130"/>
      <c r="O992" s="118"/>
      <c r="P992" s="118"/>
      <c r="Q992" s="131"/>
    </row>
    <row r="993" ht="22.5" customHeight="1">
      <c r="A993" s="118"/>
      <c r="B993" s="119"/>
      <c r="C993" s="120"/>
      <c r="D993" s="121"/>
      <c r="E993" s="121"/>
      <c r="F993" s="122"/>
      <c r="G993" s="123"/>
      <c r="H993" s="124"/>
      <c r="I993" s="125"/>
      <c r="J993" s="126"/>
      <c r="K993" s="127"/>
      <c r="L993" s="128"/>
      <c r="M993" s="129"/>
      <c r="N993" s="130"/>
      <c r="O993" s="118"/>
      <c r="P993" s="118"/>
      <c r="Q993" s="131"/>
    </row>
    <row r="994" ht="22.5" customHeight="1">
      <c r="A994" s="118"/>
      <c r="B994" s="119"/>
      <c r="C994" s="120"/>
      <c r="D994" s="121"/>
      <c r="E994" s="121"/>
      <c r="F994" s="122"/>
      <c r="G994" s="123"/>
      <c r="H994" s="124"/>
      <c r="I994" s="125"/>
      <c r="J994" s="126"/>
      <c r="K994" s="127"/>
      <c r="L994" s="128"/>
      <c r="M994" s="129"/>
      <c r="N994" s="130"/>
      <c r="O994" s="118"/>
      <c r="P994" s="118"/>
      <c r="Q994" s="131"/>
    </row>
    <row r="995" ht="22.5" customHeight="1">
      <c r="A995" s="118"/>
      <c r="B995" s="119"/>
      <c r="C995" s="120"/>
      <c r="D995" s="121"/>
      <c r="E995" s="121"/>
      <c r="F995" s="122"/>
      <c r="G995" s="123"/>
      <c r="H995" s="124"/>
      <c r="I995" s="125"/>
      <c r="J995" s="126"/>
      <c r="K995" s="127"/>
      <c r="L995" s="128"/>
      <c r="M995" s="129"/>
      <c r="N995" s="130"/>
      <c r="O995" s="118"/>
      <c r="P995" s="118"/>
      <c r="Q995" s="131"/>
    </row>
    <row r="996" ht="22.5" customHeight="1">
      <c r="A996" s="118"/>
      <c r="B996" s="119"/>
      <c r="C996" s="120"/>
      <c r="D996" s="121"/>
      <c r="E996" s="121"/>
      <c r="F996" s="122"/>
      <c r="G996" s="123"/>
      <c r="H996" s="124"/>
      <c r="I996" s="125"/>
      <c r="J996" s="126"/>
      <c r="K996" s="127"/>
      <c r="L996" s="128"/>
      <c r="M996" s="129"/>
      <c r="N996" s="130"/>
      <c r="O996" s="118"/>
      <c r="P996" s="118"/>
      <c r="Q996" s="131"/>
    </row>
    <row r="997" ht="22.5" customHeight="1">
      <c r="A997" s="118"/>
      <c r="B997" s="119"/>
      <c r="C997" s="120"/>
      <c r="D997" s="121"/>
      <c r="E997" s="121"/>
      <c r="F997" s="122"/>
      <c r="G997" s="123"/>
      <c r="H997" s="124"/>
      <c r="I997" s="125"/>
      <c r="J997" s="126"/>
      <c r="K997" s="127"/>
      <c r="L997" s="128"/>
      <c r="M997" s="129"/>
      <c r="N997" s="130"/>
      <c r="O997" s="118"/>
      <c r="P997" s="118"/>
      <c r="Q997" s="131"/>
    </row>
    <row r="998" ht="22.5" customHeight="1">
      <c r="A998" s="118"/>
      <c r="B998" s="119"/>
      <c r="C998" s="120"/>
      <c r="D998" s="121"/>
      <c r="E998" s="121"/>
      <c r="F998" s="122"/>
      <c r="G998" s="123"/>
      <c r="H998" s="124"/>
      <c r="I998" s="125"/>
      <c r="J998" s="126"/>
      <c r="K998" s="127"/>
      <c r="L998" s="128"/>
      <c r="M998" s="129"/>
      <c r="N998" s="130"/>
      <c r="O998" s="118"/>
      <c r="P998" s="118"/>
      <c r="Q998" s="131"/>
    </row>
    <row r="999" ht="22.5" customHeight="1">
      <c r="A999" s="118"/>
      <c r="B999" s="119"/>
      <c r="C999" s="120"/>
      <c r="D999" s="121"/>
      <c r="E999" s="121"/>
      <c r="F999" s="122"/>
      <c r="G999" s="123"/>
      <c r="H999" s="124"/>
      <c r="I999" s="125"/>
      <c r="J999" s="126"/>
      <c r="K999" s="127"/>
      <c r="L999" s="128"/>
      <c r="M999" s="129"/>
      <c r="N999" s="130"/>
      <c r="O999" s="118"/>
      <c r="P999" s="118"/>
      <c r="Q999" s="131"/>
    </row>
    <row r="1000" ht="22.5" customHeight="1">
      <c r="A1000" s="118"/>
      <c r="B1000" s="119"/>
      <c r="C1000" s="120"/>
      <c r="D1000" s="121"/>
      <c r="E1000" s="121"/>
      <c r="F1000" s="122"/>
      <c r="G1000" s="123"/>
      <c r="H1000" s="124"/>
      <c r="I1000" s="125"/>
      <c r="J1000" s="126"/>
      <c r="K1000" s="127"/>
      <c r="L1000" s="128"/>
      <c r="M1000" s="129"/>
      <c r="N1000" s="130"/>
      <c r="O1000" s="118"/>
      <c r="P1000" s="118"/>
      <c r="Q1000" s="131"/>
    </row>
    <row r="1001" ht="22.5" customHeight="1">
      <c r="A1001" s="118"/>
      <c r="B1001" s="119"/>
      <c r="C1001" s="120"/>
      <c r="D1001" s="121"/>
      <c r="E1001" s="121"/>
      <c r="F1001" s="122"/>
      <c r="G1001" s="123"/>
      <c r="H1001" s="124"/>
      <c r="I1001" s="125"/>
      <c r="J1001" s="126"/>
      <c r="K1001" s="127"/>
      <c r="L1001" s="128"/>
      <c r="M1001" s="129"/>
      <c r="N1001" s="130"/>
      <c r="O1001" s="118"/>
      <c r="P1001" s="118"/>
      <c r="Q1001" s="131"/>
    </row>
    <row r="1002" ht="22.5" customHeight="1">
      <c r="A1002" s="118"/>
      <c r="B1002" s="119"/>
      <c r="C1002" s="120"/>
      <c r="D1002" s="121"/>
      <c r="E1002" s="121"/>
      <c r="F1002" s="122"/>
      <c r="G1002" s="123"/>
      <c r="H1002" s="124"/>
      <c r="I1002" s="125"/>
      <c r="J1002" s="126"/>
      <c r="K1002" s="127"/>
      <c r="L1002" s="128"/>
      <c r="M1002" s="129"/>
      <c r="N1002" s="130"/>
      <c r="O1002" s="118"/>
      <c r="P1002" s="118"/>
      <c r="Q1002" s="131"/>
    </row>
    <row r="1003" ht="22.5" customHeight="1">
      <c r="A1003" s="118"/>
      <c r="B1003" s="119"/>
      <c r="C1003" s="120"/>
      <c r="D1003" s="121"/>
      <c r="E1003" s="121"/>
      <c r="F1003" s="122"/>
      <c r="G1003" s="123"/>
      <c r="H1003" s="124"/>
      <c r="I1003" s="125"/>
      <c r="J1003" s="126"/>
      <c r="K1003" s="127"/>
      <c r="L1003" s="128"/>
      <c r="M1003" s="129"/>
      <c r="N1003" s="130"/>
      <c r="O1003" s="118"/>
      <c r="P1003" s="118"/>
      <c r="Q1003" s="131"/>
    </row>
    <row r="1004" ht="22.5" customHeight="1">
      <c r="A1004" s="118"/>
      <c r="B1004" s="119"/>
      <c r="C1004" s="120"/>
      <c r="D1004" s="121"/>
      <c r="E1004" s="121"/>
      <c r="F1004" s="122"/>
      <c r="G1004" s="123"/>
      <c r="H1004" s="124"/>
      <c r="I1004" s="125"/>
      <c r="J1004" s="126"/>
      <c r="K1004" s="127"/>
      <c r="L1004" s="128"/>
      <c r="M1004" s="129"/>
      <c r="N1004" s="130"/>
      <c r="O1004" s="118"/>
      <c r="P1004" s="118"/>
      <c r="Q1004" s="131"/>
    </row>
    <row r="1005" ht="22.5" customHeight="1">
      <c r="A1005" s="118"/>
      <c r="B1005" s="119"/>
      <c r="C1005" s="120"/>
      <c r="D1005" s="121"/>
      <c r="E1005" s="121"/>
      <c r="F1005" s="122"/>
      <c r="G1005" s="123"/>
      <c r="H1005" s="124"/>
      <c r="I1005" s="125"/>
      <c r="J1005" s="126"/>
      <c r="K1005" s="127"/>
      <c r="L1005" s="128"/>
      <c r="M1005" s="129"/>
      <c r="N1005" s="130"/>
      <c r="O1005" s="118"/>
      <c r="P1005" s="118"/>
      <c r="Q1005" s="131"/>
    </row>
    <row r="1006" ht="22.5" customHeight="1">
      <c r="A1006" s="118"/>
      <c r="B1006" s="119"/>
      <c r="C1006" s="120"/>
      <c r="D1006" s="121"/>
      <c r="E1006" s="121"/>
      <c r="F1006" s="122"/>
      <c r="G1006" s="123"/>
      <c r="H1006" s="124"/>
      <c r="I1006" s="125"/>
      <c r="J1006" s="126"/>
      <c r="K1006" s="127"/>
      <c r="L1006" s="128"/>
      <c r="M1006" s="129"/>
      <c r="N1006" s="130"/>
      <c r="O1006" s="118"/>
      <c r="P1006" s="118"/>
      <c r="Q1006" s="131"/>
    </row>
    <row r="1007" ht="22.5" customHeight="1">
      <c r="A1007" s="118"/>
      <c r="B1007" s="119"/>
      <c r="C1007" s="120"/>
      <c r="D1007" s="121"/>
      <c r="E1007" s="121"/>
      <c r="F1007" s="122"/>
      <c r="G1007" s="123"/>
      <c r="H1007" s="124"/>
      <c r="I1007" s="125"/>
      <c r="J1007" s="126"/>
      <c r="K1007" s="127"/>
      <c r="L1007" s="128"/>
      <c r="M1007" s="129"/>
      <c r="N1007" s="130"/>
      <c r="O1007" s="118"/>
      <c r="P1007" s="118"/>
      <c r="Q1007" s="131"/>
    </row>
    <row r="1008" ht="22.5" customHeight="1">
      <c r="A1008" s="118"/>
      <c r="B1008" s="119"/>
      <c r="C1008" s="120"/>
      <c r="D1008" s="121"/>
      <c r="E1008" s="121"/>
      <c r="F1008" s="122"/>
      <c r="G1008" s="123"/>
      <c r="H1008" s="124"/>
      <c r="I1008" s="125"/>
      <c r="J1008" s="126"/>
      <c r="K1008" s="127"/>
      <c r="L1008" s="128"/>
      <c r="M1008" s="129"/>
      <c r="N1008" s="130"/>
      <c r="O1008" s="118"/>
      <c r="P1008" s="118"/>
      <c r="Q1008" s="131"/>
    </row>
    <row r="1009" ht="22.5" customHeight="1">
      <c r="A1009" s="118"/>
      <c r="B1009" s="119"/>
      <c r="C1009" s="120"/>
      <c r="D1009" s="121"/>
      <c r="E1009" s="121"/>
      <c r="F1009" s="122"/>
      <c r="G1009" s="123"/>
      <c r="H1009" s="124"/>
      <c r="I1009" s="125"/>
      <c r="J1009" s="126"/>
      <c r="K1009" s="127"/>
      <c r="L1009" s="128"/>
      <c r="M1009" s="129"/>
      <c r="N1009" s="130"/>
      <c r="O1009" s="118"/>
      <c r="P1009" s="118"/>
      <c r="Q1009" s="131"/>
    </row>
    <row r="1010" ht="22.5" customHeight="1">
      <c r="A1010" s="118"/>
      <c r="B1010" s="119"/>
      <c r="C1010" s="120"/>
      <c r="D1010" s="121"/>
      <c r="E1010" s="121"/>
      <c r="F1010" s="122"/>
      <c r="G1010" s="123"/>
      <c r="H1010" s="124"/>
      <c r="I1010" s="125"/>
      <c r="J1010" s="126"/>
      <c r="K1010" s="127"/>
      <c r="L1010" s="128"/>
      <c r="M1010" s="129"/>
      <c r="N1010" s="130"/>
      <c r="O1010" s="118"/>
      <c r="P1010" s="118"/>
      <c r="Q1010" s="131"/>
    </row>
    <row r="1011" ht="22.5" customHeight="1">
      <c r="A1011" s="118"/>
      <c r="B1011" s="119"/>
      <c r="C1011" s="120"/>
      <c r="D1011" s="121"/>
      <c r="E1011" s="121"/>
      <c r="F1011" s="122"/>
      <c r="G1011" s="123"/>
      <c r="H1011" s="124"/>
      <c r="I1011" s="125"/>
      <c r="J1011" s="126"/>
      <c r="K1011" s="127"/>
      <c r="L1011" s="128"/>
      <c r="M1011" s="129"/>
      <c r="N1011" s="130"/>
      <c r="O1011" s="118"/>
      <c r="P1011" s="118"/>
      <c r="Q1011" s="131"/>
    </row>
    <row r="1012" ht="22.5" customHeight="1">
      <c r="A1012" s="118"/>
      <c r="B1012" s="119"/>
      <c r="C1012" s="120"/>
      <c r="D1012" s="121"/>
      <c r="E1012" s="121"/>
      <c r="F1012" s="122"/>
      <c r="G1012" s="123"/>
      <c r="H1012" s="124"/>
      <c r="I1012" s="125"/>
      <c r="J1012" s="126"/>
      <c r="K1012" s="127"/>
      <c r="L1012" s="128"/>
      <c r="M1012" s="129"/>
      <c r="N1012" s="130"/>
      <c r="O1012" s="118"/>
      <c r="P1012" s="118"/>
      <c r="Q1012" s="131"/>
    </row>
    <row r="1013" ht="22.5" customHeight="1">
      <c r="A1013" s="118"/>
      <c r="B1013" s="119"/>
      <c r="C1013" s="120"/>
      <c r="D1013" s="121"/>
      <c r="E1013" s="121"/>
      <c r="F1013" s="122"/>
      <c r="G1013" s="123"/>
      <c r="H1013" s="124"/>
      <c r="I1013" s="125"/>
      <c r="J1013" s="126"/>
      <c r="K1013" s="127"/>
      <c r="L1013" s="128"/>
      <c r="M1013" s="129"/>
      <c r="N1013" s="130"/>
      <c r="O1013" s="118"/>
      <c r="P1013" s="118"/>
      <c r="Q1013" s="131"/>
    </row>
    <row r="1014" ht="22.5" customHeight="1">
      <c r="A1014" s="118"/>
      <c r="B1014" s="119"/>
      <c r="C1014" s="120"/>
      <c r="D1014" s="121"/>
      <c r="E1014" s="121"/>
      <c r="F1014" s="122"/>
      <c r="G1014" s="123"/>
      <c r="H1014" s="124"/>
      <c r="I1014" s="125"/>
      <c r="J1014" s="126"/>
      <c r="K1014" s="127"/>
      <c r="L1014" s="128"/>
      <c r="M1014" s="129"/>
      <c r="N1014" s="130"/>
      <c r="O1014" s="118"/>
      <c r="P1014" s="118"/>
      <c r="Q1014" s="131"/>
    </row>
    <row r="1015" ht="22.5" customHeight="1">
      <c r="A1015" s="118"/>
      <c r="B1015" s="119"/>
      <c r="C1015" s="120"/>
      <c r="D1015" s="121"/>
      <c r="E1015" s="121"/>
      <c r="F1015" s="122"/>
      <c r="G1015" s="123"/>
      <c r="H1015" s="124"/>
      <c r="I1015" s="125"/>
      <c r="J1015" s="126"/>
      <c r="K1015" s="127"/>
      <c r="L1015" s="128"/>
      <c r="M1015" s="129"/>
      <c r="N1015" s="130"/>
      <c r="O1015" s="118"/>
      <c r="P1015" s="118"/>
      <c r="Q1015" s="131"/>
    </row>
    <row r="1016" ht="22.5" customHeight="1">
      <c r="A1016" s="118"/>
      <c r="B1016" s="119"/>
      <c r="C1016" s="120"/>
      <c r="D1016" s="121"/>
      <c r="E1016" s="121"/>
      <c r="F1016" s="122"/>
      <c r="G1016" s="123"/>
      <c r="H1016" s="124"/>
      <c r="I1016" s="125"/>
      <c r="J1016" s="126"/>
      <c r="K1016" s="127"/>
      <c r="L1016" s="128"/>
      <c r="M1016" s="129"/>
      <c r="N1016" s="130"/>
      <c r="O1016" s="118"/>
      <c r="P1016" s="118"/>
      <c r="Q1016" s="131"/>
    </row>
    <row r="1017" ht="22.5" customHeight="1">
      <c r="A1017" s="118"/>
      <c r="B1017" s="119"/>
      <c r="C1017" s="120"/>
      <c r="D1017" s="121"/>
      <c r="E1017" s="121"/>
      <c r="F1017" s="122"/>
      <c r="G1017" s="123"/>
      <c r="H1017" s="124"/>
      <c r="I1017" s="125"/>
      <c r="J1017" s="126"/>
      <c r="K1017" s="127"/>
      <c r="L1017" s="128"/>
      <c r="M1017" s="129"/>
      <c r="N1017" s="130"/>
      <c r="O1017" s="118"/>
      <c r="P1017" s="118"/>
      <c r="Q1017" s="131"/>
    </row>
    <row r="1018" ht="22.5" customHeight="1">
      <c r="A1018" s="118"/>
      <c r="B1018" s="119"/>
      <c r="C1018" s="120"/>
      <c r="D1018" s="121"/>
      <c r="E1018" s="121"/>
      <c r="F1018" s="122"/>
      <c r="G1018" s="123"/>
      <c r="H1018" s="124"/>
      <c r="I1018" s="125"/>
      <c r="J1018" s="126"/>
      <c r="K1018" s="127"/>
      <c r="L1018" s="128"/>
      <c r="M1018" s="129"/>
      <c r="N1018" s="130"/>
      <c r="O1018" s="118"/>
      <c r="P1018" s="118"/>
      <c r="Q1018" s="131"/>
    </row>
    <row r="1019" ht="22.5" customHeight="1">
      <c r="A1019" s="118"/>
      <c r="B1019" s="119"/>
      <c r="C1019" s="120"/>
      <c r="D1019" s="121"/>
      <c r="E1019" s="121"/>
      <c r="F1019" s="122"/>
      <c r="G1019" s="123"/>
      <c r="H1019" s="124"/>
      <c r="I1019" s="125"/>
      <c r="J1019" s="126"/>
      <c r="K1019" s="127"/>
      <c r="L1019" s="128"/>
      <c r="M1019" s="129"/>
      <c r="N1019" s="130"/>
      <c r="O1019" s="118"/>
      <c r="P1019" s="118"/>
      <c r="Q1019" s="131"/>
    </row>
    <row r="1020" ht="22.5" customHeight="1">
      <c r="A1020" s="118"/>
      <c r="B1020" s="119"/>
      <c r="C1020" s="120"/>
      <c r="D1020" s="121"/>
      <c r="E1020" s="121"/>
      <c r="F1020" s="122"/>
      <c r="G1020" s="123"/>
      <c r="H1020" s="124"/>
      <c r="I1020" s="125"/>
      <c r="J1020" s="126"/>
      <c r="K1020" s="127"/>
      <c r="L1020" s="128"/>
      <c r="M1020" s="129"/>
      <c r="N1020" s="130"/>
      <c r="O1020" s="118"/>
      <c r="P1020" s="118"/>
      <c r="Q1020" s="131"/>
    </row>
    <row r="1021" ht="22.5" customHeight="1">
      <c r="A1021" s="118"/>
      <c r="B1021" s="119"/>
      <c r="C1021" s="120"/>
      <c r="D1021" s="121"/>
      <c r="E1021" s="121"/>
      <c r="F1021" s="122"/>
      <c r="G1021" s="123"/>
      <c r="H1021" s="124"/>
      <c r="I1021" s="125"/>
      <c r="J1021" s="126"/>
      <c r="K1021" s="127"/>
      <c r="L1021" s="128"/>
      <c r="M1021" s="129"/>
      <c r="N1021" s="130"/>
      <c r="O1021" s="118"/>
      <c r="P1021" s="118"/>
      <c r="Q1021" s="131"/>
    </row>
    <row r="1022" ht="22.5" customHeight="1">
      <c r="A1022" s="118"/>
      <c r="B1022" s="119"/>
      <c r="C1022" s="120"/>
      <c r="D1022" s="121"/>
      <c r="E1022" s="121"/>
      <c r="F1022" s="122"/>
      <c r="G1022" s="123"/>
      <c r="H1022" s="124"/>
      <c r="I1022" s="125"/>
      <c r="J1022" s="126"/>
      <c r="K1022" s="127"/>
      <c r="L1022" s="128"/>
      <c r="M1022" s="129"/>
      <c r="N1022" s="130"/>
      <c r="O1022" s="118"/>
      <c r="P1022" s="118"/>
      <c r="Q1022" s="131"/>
    </row>
    <row r="1023" ht="22.5" customHeight="1">
      <c r="A1023" s="118"/>
      <c r="B1023" s="119"/>
      <c r="C1023" s="120"/>
      <c r="D1023" s="121"/>
      <c r="E1023" s="121"/>
      <c r="F1023" s="122"/>
      <c r="G1023" s="123"/>
      <c r="H1023" s="124"/>
      <c r="I1023" s="125"/>
      <c r="J1023" s="126"/>
      <c r="K1023" s="127"/>
      <c r="L1023" s="128"/>
      <c r="M1023" s="129"/>
      <c r="N1023" s="130"/>
      <c r="O1023" s="118"/>
      <c r="P1023" s="118"/>
      <c r="Q1023" s="131"/>
    </row>
    <row r="1024" ht="22.5" customHeight="1">
      <c r="A1024" s="118"/>
      <c r="B1024" s="119"/>
      <c r="C1024" s="120"/>
      <c r="D1024" s="121"/>
      <c r="E1024" s="121"/>
      <c r="F1024" s="122"/>
      <c r="G1024" s="123"/>
      <c r="H1024" s="124"/>
      <c r="I1024" s="125"/>
      <c r="J1024" s="126"/>
      <c r="K1024" s="127"/>
      <c r="L1024" s="128"/>
      <c r="M1024" s="129"/>
      <c r="N1024" s="130"/>
      <c r="O1024" s="118"/>
      <c r="P1024" s="118"/>
      <c r="Q1024" s="131"/>
    </row>
    <row r="1025" ht="22.5" customHeight="1">
      <c r="A1025" s="118"/>
      <c r="B1025" s="119"/>
      <c r="C1025" s="120"/>
      <c r="D1025" s="121"/>
      <c r="E1025" s="121"/>
      <c r="F1025" s="122"/>
      <c r="G1025" s="123"/>
      <c r="H1025" s="124"/>
      <c r="I1025" s="125"/>
      <c r="J1025" s="126"/>
      <c r="K1025" s="127"/>
      <c r="L1025" s="128"/>
      <c r="M1025" s="129"/>
      <c r="N1025" s="130"/>
      <c r="O1025" s="118"/>
      <c r="P1025" s="118"/>
      <c r="Q1025" s="131"/>
    </row>
    <row r="1026" ht="22.5" customHeight="1">
      <c r="A1026" s="118"/>
      <c r="B1026" s="119"/>
      <c r="C1026" s="120"/>
      <c r="D1026" s="121"/>
      <c r="E1026" s="121"/>
      <c r="F1026" s="122"/>
      <c r="G1026" s="123"/>
      <c r="H1026" s="124"/>
      <c r="I1026" s="125"/>
      <c r="J1026" s="126"/>
      <c r="K1026" s="127"/>
      <c r="L1026" s="128"/>
      <c r="M1026" s="129"/>
      <c r="N1026" s="130"/>
      <c r="O1026" s="118"/>
      <c r="P1026" s="118"/>
      <c r="Q1026" s="131"/>
    </row>
    <row r="1027" ht="22.5" customHeight="1">
      <c r="A1027" s="118"/>
      <c r="B1027" s="119"/>
      <c r="C1027" s="120"/>
      <c r="D1027" s="121"/>
      <c r="E1027" s="121"/>
      <c r="F1027" s="122"/>
      <c r="G1027" s="123"/>
      <c r="H1027" s="124"/>
      <c r="I1027" s="125"/>
      <c r="J1027" s="126"/>
      <c r="K1027" s="127"/>
      <c r="L1027" s="128"/>
      <c r="M1027" s="129"/>
      <c r="N1027" s="130"/>
      <c r="O1027" s="118"/>
      <c r="P1027" s="118"/>
      <c r="Q1027" s="131"/>
    </row>
    <row r="1028" ht="22.5" customHeight="1">
      <c r="A1028" s="118"/>
      <c r="B1028" s="119"/>
      <c r="C1028" s="120"/>
      <c r="D1028" s="121"/>
      <c r="E1028" s="121"/>
      <c r="F1028" s="122"/>
      <c r="G1028" s="123"/>
      <c r="H1028" s="124"/>
      <c r="I1028" s="125"/>
      <c r="J1028" s="126"/>
      <c r="K1028" s="127"/>
      <c r="L1028" s="128"/>
      <c r="M1028" s="129"/>
      <c r="N1028" s="130"/>
      <c r="O1028" s="118"/>
      <c r="P1028" s="118"/>
      <c r="Q1028" s="131"/>
    </row>
    <row r="1029" ht="22.5" customHeight="1">
      <c r="A1029" s="118"/>
      <c r="B1029" s="119"/>
      <c r="C1029" s="120"/>
      <c r="D1029" s="121"/>
      <c r="E1029" s="121"/>
      <c r="F1029" s="122"/>
      <c r="G1029" s="123"/>
      <c r="H1029" s="124"/>
      <c r="I1029" s="125"/>
      <c r="J1029" s="126"/>
      <c r="K1029" s="127"/>
      <c r="L1029" s="128"/>
      <c r="M1029" s="129"/>
      <c r="N1029" s="130"/>
      <c r="O1029" s="118"/>
      <c r="P1029" s="118"/>
      <c r="Q1029" s="131"/>
    </row>
    <row r="1030" ht="22.5" customHeight="1">
      <c r="A1030" s="118"/>
      <c r="B1030" s="119"/>
      <c r="C1030" s="120"/>
      <c r="D1030" s="121"/>
      <c r="E1030" s="121"/>
      <c r="F1030" s="122"/>
      <c r="G1030" s="123"/>
      <c r="H1030" s="124"/>
      <c r="I1030" s="125"/>
      <c r="J1030" s="126"/>
      <c r="K1030" s="127"/>
      <c r="L1030" s="128"/>
      <c r="M1030" s="129"/>
      <c r="N1030" s="130"/>
      <c r="O1030" s="118"/>
      <c r="P1030" s="118"/>
      <c r="Q1030" s="131"/>
    </row>
    <row r="1031" ht="22.5" customHeight="1">
      <c r="A1031" s="118"/>
      <c r="B1031" s="119"/>
      <c r="C1031" s="120"/>
      <c r="D1031" s="121"/>
      <c r="E1031" s="121"/>
      <c r="F1031" s="122"/>
      <c r="G1031" s="123"/>
      <c r="H1031" s="124"/>
      <c r="I1031" s="125"/>
      <c r="J1031" s="126"/>
      <c r="K1031" s="127"/>
      <c r="L1031" s="128"/>
      <c r="M1031" s="129"/>
      <c r="N1031" s="130"/>
      <c r="O1031" s="118"/>
      <c r="P1031" s="118"/>
      <c r="Q1031" s="131"/>
    </row>
    <row r="1032" ht="22.5" customHeight="1">
      <c r="A1032" s="118"/>
      <c r="B1032" s="119"/>
      <c r="C1032" s="120"/>
      <c r="D1032" s="121"/>
      <c r="E1032" s="121"/>
      <c r="F1032" s="122"/>
      <c r="G1032" s="123"/>
      <c r="H1032" s="124"/>
      <c r="I1032" s="125"/>
      <c r="J1032" s="126"/>
      <c r="K1032" s="127"/>
      <c r="L1032" s="128"/>
      <c r="M1032" s="129"/>
      <c r="N1032" s="130"/>
      <c r="O1032" s="118"/>
      <c r="P1032" s="118"/>
      <c r="Q1032" s="131"/>
    </row>
    <row r="1033" ht="22.5" customHeight="1">
      <c r="A1033" s="118"/>
      <c r="B1033" s="119"/>
      <c r="C1033" s="120"/>
      <c r="D1033" s="121"/>
      <c r="E1033" s="121"/>
      <c r="F1033" s="122"/>
      <c r="G1033" s="123"/>
      <c r="H1033" s="124"/>
      <c r="I1033" s="125"/>
      <c r="J1033" s="126"/>
      <c r="K1033" s="127"/>
      <c r="L1033" s="128"/>
      <c r="M1033" s="129"/>
      <c r="N1033" s="130"/>
      <c r="O1033" s="118"/>
      <c r="P1033" s="118"/>
      <c r="Q1033" s="131"/>
    </row>
  </sheetData>
  <dataValidations>
    <dataValidation type="list" allowBlank="1" sqref="A2:A1033">
      <formula1>"MARYORY ,DAMARIS,JOSELYN,ROMINA,KARINA,JULIO,SOFIA"</formula1>
    </dataValidation>
    <dataValidation type="list" allowBlank="1" sqref="F2:F1033">
      <formula1>"100%,30%,50%,OTRO"</formula1>
    </dataValidation>
    <dataValidation type="custom" allowBlank="1" showDropDown="1" sqref="B2:B1033">
      <formula1>OR(NOT(ISERROR(DATEVALUE(B2))), AND(ISNUMBER(B2), LEFT(CELL("format", B2))="D"))</formula1>
    </dataValidation>
    <dataValidation type="list" allowBlank="1" sqref="O2:O1033">
      <formula1>"Nosotros,Cliente"</formula1>
    </dataValidation>
    <dataValidation type="list" allowBlank="1" sqref="L2:L1033">
      <formula1>"stock,comprada ,tránsito,falta comprar ,ENTREGADA AL CLIENTE,ADUANAS,Cancelada"</formula1>
    </dataValidation>
    <dataValidation type="list" allowBlank="1" sqref="P2:P1033">
      <formula1>"Provincia,Lima"</formula1>
    </dataValidation>
    <dataValidation type="custom" allowBlank="1" showDropDown="1" sqref="G2:I1033">
      <formula1>AND(ISNUMBER(G2),(NOT(OR(NOT(ISERROR(DATEVALUE(G2))), AND(ISNUMBER(G2), LEFT(CELL("format", G2))="D")))))</formula1>
    </dataValidation>
  </dataValidations>
  <hyperlinks>
    <hyperlink r:id="rId4" ref="C14"/>
    <hyperlink r:id="rId5" ref="G14"/>
    <hyperlink r:id="rId6" ref="G21"/>
    <hyperlink r:id="rId7" ref="G22"/>
    <hyperlink r:id="rId8" ref="C26"/>
    <hyperlink r:id="rId9" ref="G26"/>
    <hyperlink r:id="rId10" ref="C35"/>
    <hyperlink r:id="rId11" ref="N35"/>
    <hyperlink r:id="rId12" ref="C36"/>
    <hyperlink r:id="rId13" ref="C37"/>
    <hyperlink r:id="rId14" ref="N37"/>
    <hyperlink r:id="rId15" ref="C38"/>
    <hyperlink r:id="rId16" ref="N38"/>
    <hyperlink r:id="rId17" ref="G40"/>
    <hyperlink r:id="rId18" ref="G41"/>
    <hyperlink r:id="rId19" ref="G44"/>
    <hyperlink r:id="rId20" ref="G48"/>
    <hyperlink r:id="rId21" ref="G52"/>
    <hyperlink r:id="rId22" ref="C53"/>
    <hyperlink r:id="rId23" ref="C58"/>
  </hyperlinks>
  <drawing r:id="rId24"/>
  <legacyDrawing r:id="rId25"/>
  <tableParts count="1">
    <tablePart r:id="rId2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38"/>
    <col customWidth="1" min="2" max="2" width="21.63"/>
    <col customWidth="1" min="3" max="3" width="49.88"/>
    <col customWidth="1" min="4" max="4" width="31.38"/>
    <col customWidth="1" min="5" max="5" width="19.75"/>
    <col customWidth="1" min="6" max="6" width="22.13"/>
    <col customWidth="1" min="7" max="7" width="14.63"/>
    <col customWidth="1" min="8" max="8" width="17.88"/>
    <col customWidth="1" min="9" max="9" width="14.13"/>
    <col customWidth="1" min="10" max="10" width="15.25"/>
    <col customWidth="1" min="11" max="11" width="18.88"/>
    <col customWidth="1" min="12" max="12" width="16.5"/>
    <col customWidth="1" min="13" max="13" width="16.13"/>
    <col customWidth="1" min="14" max="14" width="14.5"/>
    <col customWidth="1" min="15" max="15" width="16.5"/>
    <col customWidth="1" min="16" max="16" width="15.75"/>
    <col customWidth="1" min="17" max="17" width="14.75"/>
    <col customWidth="1" min="18" max="18" width="16.13"/>
    <col customWidth="1" min="19" max="19" width="15.13"/>
    <col customWidth="1" min="20" max="20" width="13.63"/>
    <col customWidth="1" min="21" max="21" width="14.5"/>
    <col customWidth="1" min="22" max="22" width="14.25"/>
    <col customWidth="1" min="23" max="23" width="15.63"/>
    <col customWidth="1" min="24" max="24" width="18.38"/>
    <col customWidth="1" min="25" max="25" width="14.13"/>
    <col customWidth="1" min="26" max="26" width="42.5"/>
    <col customWidth="1" min="27" max="27" width="13.5"/>
    <col customWidth="1" min="28" max="28" width="21.5"/>
    <col customWidth="1" min="29" max="29" width="20.63"/>
    <col customWidth="1" min="30" max="30" width="12.13"/>
    <col customWidth="1" min="31" max="31" width="16.63"/>
    <col customWidth="1" min="32" max="32" width="14.63"/>
    <col customWidth="1" min="33" max="33" width="19.75"/>
    <col customWidth="1" min="34" max="34" width="19.25"/>
    <col customWidth="1" min="35" max="35" width="17.25"/>
  </cols>
  <sheetData>
    <row r="1" ht="59.25" customHeight="1">
      <c r="A1" s="132" t="s">
        <v>229</v>
      </c>
      <c r="B1" s="133" t="s">
        <v>230</v>
      </c>
      <c r="C1" s="134" t="s">
        <v>231</v>
      </c>
      <c r="D1" s="135" t="s">
        <v>232</v>
      </c>
      <c r="E1" s="133" t="s">
        <v>233</v>
      </c>
      <c r="F1" s="133" t="s">
        <v>9</v>
      </c>
      <c r="G1" s="135" t="s">
        <v>4</v>
      </c>
      <c r="H1" s="134" t="s">
        <v>234</v>
      </c>
      <c r="I1" s="135" t="s">
        <v>5</v>
      </c>
      <c r="J1" s="136" t="s">
        <v>235</v>
      </c>
      <c r="K1" s="133" t="s">
        <v>236</v>
      </c>
      <c r="L1" s="137" t="s">
        <v>237</v>
      </c>
      <c r="M1" s="135" t="s">
        <v>238</v>
      </c>
      <c r="N1" s="135" t="s">
        <v>239</v>
      </c>
      <c r="O1" s="138" t="s">
        <v>240</v>
      </c>
      <c r="P1" s="138" t="s">
        <v>241</v>
      </c>
      <c r="Q1" s="135" t="s">
        <v>242</v>
      </c>
      <c r="R1" s="135" t="s">
        <v>243</v>
      </c>
      <c r="S1" s="135" t="s">
        <v>244</v>
      </c>
      <c r="T1" s="139" t="s">
        <v>245</v>
      </c>
      <c r="U1" s="139" t="s">
        <v>246</v>
      </c>
      <c r="V1" s="138" t="s">
        <v>247</v>
      </c>
      <c r="W1" s="138" t="s">
        <v>248</v>
      </c>
      <c r="X1" s="138" t="s">
        <v>249</v>
      </c>
      <c r="Y1" s="138" t="s">
        <v>250</v>
      </c>
      <c r="Z1" s="140" t="s">
        <v>12</v>
      </c>
      <c r="AA1" s="140" t="s">
        <v>14</v>
      </c>
      <c r="AB1" s="140" t="s">
        <v>15</v>
      </c>
      <c r="AC1" s="141" t="s">
        <v>13</v>
      </c>
      <c r="AD1" s="141" t="s">
        <v>251</v>
      </c>
      <c r="AE1" s="141" t="s">
        <v>252</v>
      </c>
      <c r="AF1" s="141" t="s">
        <v>253</v>
      </c>
      <c r="AG1" s="141" t="s">
        <v>254</v>
      </c>
      <c r="AH1" s="141" t="s">
        <v>255</v>
      </c>
      <c r="AI1" s="142" t="s">
        <v>256</v>
      </c>
      <c r="AJ1" s="143"/>
      <c r="AK1" s="143"/>
      <c r="AL1" s="143"/>
      <c r="AM1" s="143"/>
      <c r="AN1" s="143"/>
      <c r="AO1" s="143"/>
      <c r="AP1" s="143"/>
      <c r="AQ1" s="143"/>
    </row>
    <row r="2" ht="22.5" hidden="1" customHeight="1">
      <c r="A2" s="144" t="s">
        <v>172</v>
      </c>
      <c r="B2" s="145">
        <v>45729.0</v>
      </c>
      <c r="C2" s="146" t="s">
        <v>173</v>
      </c>
      <c r="D2" s="147" t="s">
        <v>174</v>
      </c>
      <c r="E2" s="148" t="s">
        <v>28</v>
      </c>
      <c r="F2" s="149" t="s">
        <v>176</v>
      </c>
      <c r="G2" s="149">
        <v>5.1980173806E10</v>
      </c>
      <c r="H2" s="148" t="s">
        <v>257</v>
      </c>
      <c r="I2" s="150">
        <v>0.3</v>
      </c>
      <c r="J2" s="151">
        <v>500.0</v>
      </c>
      <c r="K2" s="152">
        <f t="shared" ref="K2:K347" si="1">IF(J2="","",L2-J2)</f>
        <v>4550</v>
      </c>
      <c r="L2" s="153">
        <v>5050.0</v>
      </c>
      <c r="M2" s="154">
        <f t="shared" ref="M2:M8" si="2">(N2*1.07+IF(N2&lt;1200,120,IF(N2&lt;2000,150,IF(N2&lt;2500,200,270)))+125-10)*3.75</f>
        <v>4412.209875</v>
      </c>
      <c r="N2" s="155">
        <v>879.99</v>
      </c>
      <c r="O2" s="156">
        <f t="shared" ref="O2:O8" si="3">L2-M2</f>
        <v>637.790125</v>
      </c>
      <c r="P2" s="157">
        <f t="shared" ref="P2:P152" si="4">U2-T2</f>
        <v>0</v>
      </c>
      <c r="Q2" s="158"/>
      <c r="R2" s="159"/>
      <c r="S2" s="160"/>
      <c r="T2" s="161"/>
      <c r="U2" s="156"/>
      <c r="V2" s="162"/>
      <c r="W2" s="148"/>
      <c r="X2" s="163"/>
      <c r="Y2" s="162"/>
      <c r="Z2" s="164"/>
      <c r="AA2" s="116"/>
      <c r="AB2" s="116"/>
      <c r="AC2" s="165"/>
      <c r="AD2" s="145" t="str">
        <f t="shared" ref="AD2:AD5" si="5">TEXT(B2,"mmmm")</f>
        <v>marzo</v>
      </c>
      <c r="AE2" s="166"/>
      <c r="AF2" s="149" t="b">
        <v>0</v>
      </c>
      <c r="AG2" s="166"/>
      <c r="AH2" s="149" t="b">
        <v>0</v>
      </c>
      <c r="AI2" s="162"/>
      <c r="AJ2" s="143"/>
      <c r="AK2" s="143"/>
      <c r="AL2" s="143"/>
      <c r="AM2" s="143"/>
      <c r="AN2" s="143"/>
      <c r="AO2" s="143"/>
      <c r="AP2" s="143"/>
      <c r="AQ2" s="143"/>
    </row>
    <row r="3" ht="22.5" hidden="1" customHeight="1">
      <c r="A3" s="144" t="s">
        <v>34</v>
      </c>
      <c r="B3" s="145">
        <v>45747.0</v>
      </c>
      <c r="C3" s="149" t="s">
        <v>177</v>
      </c>
      <c r="D3" s="167" t="s">
        <v>178</v>
      </c>
      <c r="E3" s="148" t="s">
        <v>28</v>
      </c>
      <c r="F3" s="149" t="s">
        <v>258</v>
      </c>
      <c r="G3" s="149">
        <v>5.1984276566E10</v>
      </c>
      <c r="H3" s="148" t="s">
        <v>257</v>
      </c>
      <c r="I3" s="148" t="s">
        <v>61</v>
      </c>
      <c r="J3" s="168">
        <v>2040.79</v>
      </c>
      <c r="K3" s="169">
        <f t="shared" si="1"/>
        <v>8163.18</v>
      </c>
      <c r="L3" s="170">
        <v>10203.97</v>
      </c>
      <c r="M3" s="154">
        <f t="shared" si="2"/>
        <v>10004.7375</v>
      </c>
      <c r="N3" s="155">
        <v>2199.0</v>
      </c>
      <c r="O3" s="156">
        <f t="shared" si="3"/>
        <v>199.2325</v>
      </c>
      <c r="P3" s="157">
        <f t="shared" si="4"/>
        <v>0</v>
      </c>
      <c r="Q3" s="158"/>
      <c r="R3" s="159"/>
      <c r="S3" s="160"/>
      <c r="T3" s="161"/>
      <c r="U3" s="156"/>
      <c r="V3" s="162"/>
      <c r="W3" s="148"/>
      <c r="X3" s="163"/>
      <c r="Y3" s="162"/>
      <c r="Z3" s="164"/>
      <c r="AA3" s="116"/>
      <c r="AB3" s="116"/>
      <c r="AC3" s="165"/>
      <c r="AD3" s="145" t="str">
        <f t="shared" si="5"/>
        <v>marzo</v>
      </c>
      <c r="AE3" s="166"/>
      <c r="AF3" s="149" t="b">
        <v>0</v>
      </c>
      <c r="AG3" s="166"/>
      <c r="AH3" s="149" t="b">
        <v>0</v>
      </c>
      <c r="AI3" s="162"/>
      <c r="AJ3" s="143"/>
      <c r="AK3" s="143"/>
      <c r="AL3" s="143"/>
      <c r="AM3" s="143"/>
      <c r="AN3" s="143"/>
      <c r="AO3" s="143"/>
      <c r="AP3" s="143"/>
      <c r="AQ3" s="143"/>
    </row>
    <row r="4" ht="22.5" hidden="1" customHeight="1">
      <c r="A4" s="144" t="s">
        <v>34</v>
      </c>
      <c r="B4" s="145">
        <v>45749.0</v>
      </c>
      <c r="C4" s="171" t="s">
        <v>180</v>
      </c>
      <c r="D4" s="172" t="s">
        <v>181</v>
      </c>
      <c r="E4" s="173" t="s">
        <v>28</v>
      </c>
      <c r="F4" s="174" t="s">
        <v>183</v>
      </c>
      <c r="G4" s="171">
        <v>5.1950147869E10</v>
      </c>
      <c r="H4" s="148" t="s">
        <v>257</v>
      </c>
      <c r="I4" s="173" t="s">
        <v>61</v>
      </c>
      <c r="J4" s="175">
        <v>1302.54</v>
      </c>
      <c r="K4" s="176">
        <f t="shared" si="1"/>
        <v>5210.18</v>
      </c>
      <c r="L4" s="170">
        <v>6512.72</v>
      </c>
      <c r="M4" s="154">
        <f t="shared" si="2"/>
        <v>6205.9875</v>
      </c>
      <c r="N4" s="177">
        <v>1299.0</v>
      </c>
      <c r="O4" s="178">
        <f t="shared" si="3"/>
        <v>306.7325</v>
      </c>
      <c r="P4" s="179">
        <f t="shared" si="4"/>
        <v>0</v>
      </c>
      <c r="Q4" s="180"/>
      <c r="R4" s="159"/>
      <c r="S4" s="181"/>
      <c r="T4" s="182"/>
      <c r="U4" s="178"/>
      <c r="V4" s="162"/>
      <c r="W4" s="148"/>
      <c r="X4" s="163"/>
      <c r="Y4" s="162"/>
      <c r="Z4" s="183"/>
      <c r="AA4" s="184"/>
      <c r="AB4" s="184"/>
      <c r="AC4" s="185"/>
      <c r="AD4" s="145" t="str">
        <f t="shared" si="5"/>
        <v>abril</v>
      </c>
      <c r="AE4" s="186"/>
      <c r="AF4" s="149" t="b">
        <v>0</v>
      </c>
      <c r="AG4" s="166"/>
      <c r="AH4" s="149" t="b">
        <v>0</v>
      </c>
      <c r="AI4" s="162"/>
      <c r="AJ4" s="143"/>
      <c r="AK4" s="143"/>
      <c r="AL4" s="143"/>
      <c r="AM4" s="143"/>
      <c r="AN4" s="143"/>
      <c r="AO4" s="143"/>
      <c r="AP4" s="143"/>
      <c r="AQ4" s="143"/>
    </row>
    <row r="5" ht="22.5" hidden="1" customHeight="1">
      <c r="A5" s="144" t="s">
        <v>259</v>
      </c>
      <c r="B5" s="187">
        <v>45750.0</v>
      </c>
      <c r="C5" s="188" t="s">
        <v>260</v>
      </c>
      <c r="D5" s="189" t="s">
        <v>185</v>
      </c>
      <c r="E5" s="173" t="s">
        <v>28</v>
      </c>
      <c r="F5" s="171" t="s">
        <v>187</v>
      </c>
      <c r="G5" s="171" t="s">
        <v>186</v>
      </c>
      <c r="H5" s="148" t="s">
        <v>257</v>
      </c>
      <c r="I5" s="173" t="s">
        <v>61</v>
      </c>
      <c r="J5" s="190">
        <v>1270.04</v>
      </c>
      <c r="K5" s="176">
        <f t="shared" si="1"/>
        <v>5081</v>
      </c>
      <c r="L5" s="170">
        <v>6351.04</v>
      </c>
      <c r="M5" s="154">
        <f t="shared" si="2"/>
        <v>6205.9875</v>
      </c>
      <c r="N5" s="177">
        <v>1299.0</v>
      </c>
      <c r="O5" s="191">
        <f t="shared" si="3"/>
        <v>145.0525</v>
      </c>
      <c r="P5" s="179">
        <f t="shared" si="4"/>
        <v>0</v>
      </c>
      <c r="Q5" s="192"/>
      <c r="R5" s="159"/>
      <c r="S5" s="181"/>
      <c r="T5" s="193"/>
      <c r="U5" s="191"/>
      <c r="V5" s="162"/>
      <c r="W5" s="194"/>
      <c r="X5" s="195"/>
      <c r="Y5" s="162"/>
      <c r="Z5" s="183"/>
      <c r="AA5" s="184"/>
      <c r="AB5" s="184"/>
      <c r="AC5" s="185"/>
      <c r="AD5" s="145" t="str">
        <f t="shared" si="5"/>
        <v>abril</v>
      </c>
      <c r="AE5" s="186"/>
      <c r="AF5" s="149" t="b">
        <v>0</v>
      </c>
      <c r="AG5" s="166"/>
      <c r="AH5" s="149" t="b">
        <v>0</v>
      </c>
      <c r="AI5" s="162"/>
      <c r="AJ5" s="143"/>
      <c r="AK5" s="143"/>
      <c r="AL5" s="143"/>
      <c r="AM5" s="143"/>
      <c r="AN5" s="143"/>
      <c r="AO5" s="143"/>
      <c r="AP5" s="143"/>
      <c r="AQ5" s="143"/>
    </row>
    <row r="6" ht="22.5" hidden="1" customHeight="1">
      <c r="A6" s="144" t="s">
        <v>259</v>
      </c>
      <c r="B6" s="187">
        <v>45748.0</v>
      </c>
      <c r="C6" s="188"/>
      <c r="D6" s="189"/>
      <c r="E6" s="173" t="s">
        <v>28</v>
      </c>
      <c r="F6" s="196" t="s">
        <v>261</v>
      </c>
      <c r="G6" s="171"/>
      <c r="H6" s="148" t="s">
        <v>257</v>
      </c>
      <c r="I6" s="197"/>
      <c r="J6" s="198"/>
      <c r="K6" s="183" t="str">
        <f t="shared" si="1"/>
        <v/>
      </c>
      <c r="L6" s="170"/>
      <c r="M6" s="154">
        <f t="shared" si="2"/>
        <v>5194.647375</v>
      </c>
      <c r="N6" s="177">
        <v>1074.99</v>
      </c>
      <c r="O6" s="191">
        <f t="shared" si="3"/>
        <v>-5194.647375</v>
      </c>
      <c r="P6" s="179">
        <f t="shared" si="4"/>
        <v>0</v>
      </c>
      <c r="Q6" s="192"/>
      <c r="R6" s="159"/>
      <c r="S6" s="181"/>
      <c r="T6" s="193"/>
      <c r="U6" s="191"/>
      <c r="V6" s="162"/>
      <c r="W6" s="194"/>
      <c r="X6" s="195"/>
      <c r="Y6" s="162"/>
      <c r="Z6" s="183"/>
      <c r="AA6" s="184"/>
      <c r="AB6" s="184"/>
      <c r="AC6" s="185"/>
      <c r="AD6" s="149" t="s">
        <v>262</v>
      </c>
      <c r="AE6" s="186"/>
      <c r="AF6" s="149" t="b">
        <v>0</v>
      </c>
      <c r="AG6" s="166"/>
      <c r="AH6" s="149" t="b">
        <v>0</v>
      </c>
      <c r="AI6" s="162"/>
      <c r="AJ6" s="143"/>
      <c r="AK6" s="143"/>
      <c r="AL6" s="143"/>
      <c r="AM6" s="143"/>
      <c r="AN6" s="143"/>
      <c r="AO6" s="143"/>
      <c r="AP6" s="143"/>
      <c r="AQ6" s="143"/>
    </row>
    <row r="7" ht="22.5" hidden="1" customHeight="1">
      <c r="A7" s="144" t="s">
        <v>34</v>
      </c>
      <c r="B7" s="187">
        <v>45752.0</v>
      </c>
      <c r="C7" s="199" t="s">
        <v>191</v>
      </c>
      <c r="D7" s="172" t="s">
        <v>192</v>
      </c>
      <c r="E7" s="173" t="s">
        <v>28</v>
      </c>
      <c r="F7" s="171" t="s">
        <v>193</v>
      </c>
      <c r="G7" s="171">
        <v>5.1976452348E10</v>
      </c>
      <c r="H7" s="148" t="s">
        <v>257</v>
      </c>
      <c r="I7" s="173" t="s">
        <v>61</v>
      </c>
      <c r="J7" s="175">
        <v>784.8</v>
      </c>
      <c r="K7" s="191">
        <f t="shared" si="1"/>
        <v>3139.2</v>
      </c>
      <c r="L7" s="170">
        <v>3924.0</v>
      </c>
      <c r="M7" s="154">
        <f t="shared" si="2"/>
        <v>3890.584875</v>
      </c>
      <c r="N7" s="177">
        <v>749.99</v>
      </c>
      <c r="O7" s="191">
        <f t="shared" si="3"/>
        <v>33.415125</v>
      </c>
      <c r="P7" s="179">
        <f t="shared" si="4"/>
        <v>0</v>
      </c>
      <c r="Q7" s="180"/>
      <c r="R7" s="159"/>
      <c r="S7" s="181"/>
      <c r="T7" s="193"/>
      <c r="U7" s="191"/>
      <c r="V7" s="162"/>
      <c r="W7" s="148"/>
      <c r="X7" s="163"/>
      <c r="Y7" s="162"/>
      <c r="Z7" s="183"/>
      <c r="AA7" s="184"/>
      <c r="AB7" s="184"/>
      <c r="AC7" s="185"/>
      <c r="AD7" s="145" t="str">
        <f t="shared" ref="AD7:AD25" si="6">TEXT(B7,"mmmm")</f>
        <v>abril</v>
      </c>
      <c r="AE7" s="186"/>
      <c r="AF7" s="149" t="b">
        <v>0</v>
      </c>
      <c r="AG7" s="166"/>
      <c r="AH7" s="149" t="b">
        <v>0</v>
      </c>
      <c r="AI7" s="162"/>
      <c r="AJ7" s="143"/>
      <c r="AK7" s="143"/>
      <c r="AL7" s="143"/>
      <c r="AM7" s="143"/>
      <c r="AN7" s="143"/>
      <c r="AO7" s="143"/>
      <c r="AP7" s="143"/>
      <c r="AQ7" s="143"/>
    </row>
    <row r="8" ht="22.5" hidden="1" customHeight="1">
      <c r="A8" s="144" t="s">
        <v>259</v>
      </c>
      <c r="B8" s="187">
        <v>45752.0</v>
      </c>
      <c r="C8" s="199" t="s">
        <v>191</v>
      </c>
      <c r="D8" s="189" t="s">
        <v>195</v>
      </c>
      <c r="E8" s="173" t="s">
        <v>28</v>
      </c>
      <c r="F8" s="171" t="s">
        <v>197</v>
      </c>
      <c r="G8" s="171" t="s">
        <v>196</v>
      </c>
      <c r="H8" s="148" t="s">
        <v>257</v>
      </c>
      <c r="I8" s="173" t="s">
        <v>61</v>
      </c>
      <c r="J8" s="190">
        <v>2000.0</v>
      </c>
      <c r="K8" s="176">
        <f t="shared" si="1"/>
        <v>4540</v>
      </c>
      <c r="L8" s="170">
        <v>6540.0</v>
      </c>
      <c r="M8" s="154">
        <f t="shared" si="2"/>
        <v>6205.9875</v>
      </c>
      <c r="N8" s="177">
        <v>1299.0</v>
      </c>
      <c r="O8" s="191">
        <f t="shared" si="3"/>
        <v>334.0125</v>
      </c>
      <c r="P8" s="179">
        <f t="shared" si="4"/>
        <v>0</v>
      </c>
      <c r="Q8" s="192"/>
      <c r="R8" s="159"/>
      <c r="S8" s="181"/>
      <c r="T8" s="193"/>
      <c r="U8" s="191"/>
      <c r="V8" s="162"/>
      <c r="W8" s="194"/>
      <c r="X8" s="195"/>
      <c r="Y8" s="162"/>
      <c r="Z8" s="183"/>
      <c r="AA8" s="184"/>
      <c r="AB8" s="184"/>
      <c r="AC8" s="185"/>
      <c r="AD8" s="145" t="str">
        <f t="shared" si="6"/>
        <v>abril</v>
      </c>
      <c r="AE8" s="186"/>
      <c r="AF8" s="149" t="b">
        <v>0</v>
      </c>
      <c r="AG8" s="166"/>
      <c r="AH8" s="149" t="b">
        <v>0</v>
      </c>
      <c r="AI8" s="162"/>
      <c r="AJ8" s="143"/>
      <c r="AK8" s="143"/>
      <c r="AL8" s="143"/>
      <c r="AM8" s="143"/>
      <c r="AN8" s="143"/>
      <c r="AO8" s="143"/>
      <c r="AP8" s="143"/>
      <c r="AQ8" s="143"/>
    </row>
    <row r="9" ht="22.5" hidden="1" customHeight="1">
      <c r="A9" s="144" t="s">
        <v>34</v>
      </c>
      <c r="B9" s="145">
        <v>45752.0</v>
      </c>
      <c r="C9" s="200" t="s">
        <v>198</v>
      </c>
      <c r="D9" s="189" t="s">
        <v>190</v>
      </c>
      <c r="E9" s="173" t="s">
        <v>28</v>
      </c>
      <c r="F9" s="171" t="s">
        <v>263</v>
      </c>
      <c r="G9" s="171">
        <v>9.41342884E8</v>
      </c>
      <c r="H9" s="148" t="s">
        <v>257</v>
      </c>
      <c r="I9" s="173" t="s">
        <v>61</v>
      </c>
      <c r="J9" s="175">
        <v>2008.0</v>
      </c>
      <c r="K9" s="191">
        <f t="shared" si="1"/>
        <v>8662.06</v>
      </c>
      <c r="L9" s="170">
        <v>10670.06</v>
      </c>
      <c r="M9" s="154">
        <f>L9-O9</f>
        <v>10290.06</v>
      </c>
      <c r="N9" s="177">
        <v>2159.99</v>
      </c>
      <c r="O9" s="178">
        <v>380.0</v>
      </c>
      <c r="P9" s="179">
        <f t="shared" si="4"/>
        <v>0</v>
      </c>
      <c r="Q9" s="180"/>
      <c r="R9" s="159"/>
      <c r="S9" s="181"/>
      <c r="T9" s="182"/>
      <c r="U9" s="178"/>
      <c r="V9" s="162"/>
      <c r="W9" s="148"/>
      <c r="X9" s="163"/>
      <c r="Y9" s="162"/>
      <c r="Z9" s="183"/>
      <c r="AA9" s="184"/>
      <c r="AB9" s="184"/>
      <c r="AC9" s="171"/>
      <c r="AD9" s="145" t="str">
        <f t="shared" si="6"/>
        <v>abril</v>
      </c>
      <c r="AE9" s="201"/>
      <c r="AF9" s="149" t="b">
        <v>0</v>
      </c>
      <c r="AG9" s="166"/>
      <c r="AH9" s="149" t="b">
        <v>0</v>
      </c>
      <c r="AI9" s="162"/>
      <c r="AJ9" s="143"/>
      <c r="AK9" s="143"/>
      <c r="AL9" s="143"/>
      <c r="AM9" s="143"/>
      <c r="AN9" s="143"/>
      <c r="AO9" s="143"/>
      <c r="AP9" s="143"/>
      <c r="AQ9" s="143"/>
    </row>
    <row r="10" ht="22.5" hidden="1" customHeight="1">
      <c r="A10" s="144" t="s">
        <v>259</v>
      </c>
      <c r="B10" s="145">
        <v>45754.0</v>
      </c>
      <c r="C10" s="202" t="s">
        <v>264</v>
      </c>
      <c r="D10" s="172" t="s">
        <v>265</v>
      </c>
      <c r="E10" s="173" t="s">
        <v>28</v>
      </c>
      <c r="F10" s="199"/>
      <c r="G10" s="171" t="s">
        <v>266</v>
      </c>
      <c r="H10" s="148" t="s">
        <v>257</v>
      </c>
      <c r="I10" s="173" t="s">
        <v>61</v>
      </c>
      <c r="J10" s="203">
        <v>1481.0</v>
      </c>
      <c r="K10" s="176">
        <f t="shared" si="1"/>
        <v>5923</v>
      </c>
      <c r="L10" s="170">
        <v>7404.0</v>
      </c>
      <c r="M10" s="154">
        <f t="shared" ref="M10:M24" si="7">(N10*1.07+IF(N10&lt;1200,120,IF(N10&lt;2000,150,IF(N10&lt;2500,200,270)))+125-10)*3.75</f>
        <v>7008.4875</v>
      </c>
      <c r="N10" s="177">
        <v>1499.0</v>
      </c>
      <c r="O10" s="191">
        <f t="shared" ref="O10:O13" si="8">L10-M10</f>
        <v>395.5125</v>
      </c>
      <c r="P10" s="179">
        <f t="shared" si="4"/>
        <v>0</v>
      </c>
      <c r="Q10" s="192"/>
      <c r="R10" s="159"/>
      <c r="S10" s="181"/>
      <c r="T10" s="193"/>
      <c r="U10" s="191"/>
      <c r="V10" s="162"/>
      <c r="W10" s="194"/>
      <c r="X10" s="195"/>
      <c r="Y10" s="162"/>
      <c r="Z10" s="183"/>
      <c r="AA10" s="184"/>
      <c r="AB10" s="184"/>
      <c r="AC10" s="185"/>
      <c r="AD10" s="145" t="str">
        <f t="shared" si="6"/>
        <v>abril</v>
      </c>
      <c r="AE10" s="186"/>
      <c r="AF10" s="149" t="b">
        <v>0</v>
      </c>
      <c r="AG10" s="166"/>
      <c r="AH10" s="149" t="b">
        <v>0</v>
      </c>
      <c r="AI10" s="162"/>
      <c r="AJ10" s="143"/>
      <c r="AK10" s="143"/>
      <c r="AL10" s="143"/>
      <c r="AM10" s="143"/>
      <c r="AN10" s="143"/>
      <c r="AO10" s="143"/>
      <c r="AP10" s="143"/>
      <c r="AQ10" s="143"/>
    </row>
    <row r="11" ht="22.5" customHeight="1">
      <c r="A11" s="144" t="s">
        <v>162</v>
      </c>
      <c r="B11" s="145">
        <v>45756.0</v>
      </c>
      <c r="C11" s="204" t="s">
        <v>267</v>
      </c>
      <c r="D11" s="172" t="s">
        <v>202</v>
      </c>
      <c r="E11" s="173" t="s">
        <v>28</v>
      </c>
      <c r="F11" s="171" t="s">
        <v>268</v>
      </c>
      <c r="G11" s="171">
        <v>5.1964627601E10</v>
      </c>
      <c r="H11" s="148" t="s">
        <v>257</v>
      </c>
      <c r="I11" s="173" t="s">
        <v>61</v>
      </c>
      <c r="J11" s="175">
        <v>1400.0</v>
      </c>
      <c r="K11" s="191">
        <f t="shared" si="1"/>
        <v>5379</v>
      </c>
      <c r="L11" s="170">
        <v>6779.0</v>
      </c>
      <c r="M11" s="154">
        <f t="shared" si="7"/>
        <v>6607.2375</v>
      </c>
      <c r="N11" s="177">
        <v>1399.0</v>
      </c>
      <c r="O11" s="191">
        <f t="shared" si="8"/>
        <v>171.7625</v>
      </c>
      <c r="P11" s="179">
        <f t="shared" si="4"/>
        <v>0</v>
      </c>
      <c r="Q11" s="192"/>
      <c r="R11" s="159"/>
      <c r="S11" s="181"/>
      <c r="T11" s="193"/>
      <c r="U11" s="191"/>
      <c r="V11" s="162"/>
      <c r="W11" s="148"/>
      <c r="X11" s="163"/>
      <c r="Y11" s="162"/>
      <c r="Z11" s="183"/>
      <c r="AA11" s="184"/>
      <c r="AB11" s="184"/>
      <c r="AC11" s="171"/>
      <c r="AD11" s="145" t="str">
        <f t="shared" si="6"/>
        <v>abril</v>
      </c>
      <c r="AE11" s="201"/>
      <c r="AF11" s="149" t="b">
        <v>0</v>
      </c>
      <c r="AG11" s="166"/>
      <c r="AH11" s="149" t="b">
        <v>0</v>
      </c>
      <c r="AI11" s="162"/>
      <c r="AJ11" s="143"/>
      <c r="AK11" s="143"/>
      <c r="AL11" s="143"/>
      <c r="AM11" s="143"/>
      <c r="AN11" s="143"/>
      <c r="AO11" s="143"/>
      <c r="AP11" s="143"/>
      <c r="AQ11" s="143"/>
    </row>
    <row r="12" ht="22.5" customHeight="1">
      <c r="A12" s="144" t="s">
        <v>162</v>
      </c>
      <c r="B12" s="145">
        <v>45757.0</v>
      </c>
      <c r="C12" s="188" t="s">
        <v>220</v>
      </c>
      <c r="D12" s="172" t="s">
        <v>205</v>
      </c>
      <c r="E12" s="173" t="s">
        <v>28</v>
      </c>
      <c r="F12" s="171" t="s">
        <v>269</v>
      </c>
      <c r="G12" s="188">
        <v>9.56938344E8</v>
      </c>
      <c r="H12" s="148" t="s">
        <v>257</v>
      </c>
      <c r="I12" s="173" t="s">
        <v>61</v>
      </c>
      <c r="J12" s="175">
        <v>1700.0</v>
      </c>
      <c r="K12" s="176">
        <f t="shared" si="1"/>
        <v>5460.86</v>
      </c>
      <c r="L12" s="170">
        <v>7160.86</v>
      </c>
      <c r="M12" s="154">
        <f t="shared" si="7"/>
        <v>7128.8625</v>
      </c>
      <c r="N12" s="177">
        <v>1529.0</v>
      </c>
      <c r="O12" s="191">
        <f t="shared" si="8"/>
        <v>31.9975</v>
      </c>
      <c r="P12" s="179">
        <f t="shared" si="4"/>
        <v>0</v>
      </c>
      <c r="Q12" s="192"/>
      <c r="R12" s="159"/>
      <c r="S12" s="181"/>
      <c r="T12" s="193"/>
      <c r="U12" s="191"/>
      <c r="V12" s="162"/>
      <c r="W12" s="148"/>
      <c r="X12" s="163"/>
      <c r="Y12" s="162"/>
      <c r="Z12" s="183"/>
      <c r="AA12" s="184"/>
      <c r="AB12" s="184"/>
      <c r="AC12" s="185"/>
      <c r="AD12" s="145" t="str">
        <f t="shared" si="6"/>
        <v>abril</v>
      </c>
      <c r="AE12" s="186"/>
      <c r="AF12" s="149" t="b">
        <v>0</v>
      </c>
      <c r="AG12" s="166"/>
      <c r="AH12" s="149" t="b">
        <v>0</v>
      </c>
      <c r="AI12" s="162"/>
      <c r="AJ12" s="143"/>
      <c r="AK12" s="143"/>
      <c r="AL12" s="143"/>
      <c r="AM12" s="143"/>
      <c r="AN12" s="143"/>
      <c r="AO12" s="143"/>
      <c r="AP12" s="143"/>
      <c r="AQ12" s="143"/>
    </row>
    <row r="13" ht="22.5" hidden="1" customHeight="1">
      <c r="A13" s="144" t="s">
        <v>259</v>
      </c>
      <c r="B13" s="187">
        <v>45757.0</v>
      </c>
      <c r="C13" s="205" t="s">
        <v>270</v>
      </c>
      <c r="D13" s="206" t="s">
        <v>208</v>
      </c>
      <c r="E13" s="173" t="s">
        <v>28</v>
      </c>
      <c r="F13" s="171" t="s">
        <v>210</v>
      </c>
      <c r="G13" s="171" t="s">
        <v>209</v>
      </c>
      <c r="H13" s="148" t="s">
        <v>257</v>
      </c>
      <c r="I13" s="173" t="s">
        <v>61</v>
      </c>
      <c r="J13" s="190">
        <v>3000.0</v>
      </c>
      <c r="K13" s="176">
        <f t="shared" si="1"/>
        <v>2864</v>
      </c>
      <c r="L13" s="170">
        <v>5864.0</v>
      </c>
      <c r="M13" s="154">
        <f t="shared" si="7"/>
        <v>5692.2375</v>
      </c>
      <c r="N13" s="177">
        <v>1199.0</v>
      </c>
      <c r="O13" s="191">
        <f t="shared" si="8"/>
        <v>171.7625</v>
      </c>
      <c r="P13" s="179">
        <f t="shared" si="4"/>
        <v>0</v>
      </c>
      <c r="Q13" s="192"/>
      <c r="R13" s="159"/>
      <c r="S13" s="181"/>
      <c r="T13" s="193"/>
      <c r="U13" s="191"/>
      <c r="V13" s="162"/>
      <c r="W13" s="194"/>
      <c r="X13" s="195"/>
      <c r="Y13" s="162"/>
      <c r="Z13" s="183"/>
      <c r="AA13" s="184"/>
      <c r="AB13" s="184"/>
      <c r="AC13" s="185"/>
      <c r="AD13" s="145" t="str">
        <f t="shared" si="6"/>
        <v>abril</v>
      </c>
      <c r="AE13" s="186"/>
      <c r="AF13" s="149" t="b">
        <v>0</v>
      </c>
      <c r="AG13" s="166"/>
      <c r="AH13" s="149" t="b">
        <v>0</v>
      </c>
      <c r="AI13" s="162"/>
      <c r="AJ13" s="143"/>
      <c r="AK13" s="143"/>
      <c r="AL13" s="143"/>
      <c r="AM13" s="143"/>
      <c r="AN13" s="143"/>
      <c r="AO13" s="143"/>
      <c r="AP13" s="143"/>
      <c r="AQ13" s="143"/>
    </row>
    <row r="14" ht="22.5" hidden="1" customHeight="1">
      <c r="A14" s="144" t="s">
        <v>211</v>
      </c>
      <c r="B14" s="145">
        <v>45757.0</v>
      </c>
      <c r="C14" s="207" t="s">
        <v>212</v>
      </c>
      <c r="D14" s="208" t="s">
        <v>213</v>
      </c>
      <c r="E14" s="148" t="s">
        <v>28</v>
      </c>
      <c r="F14" s="149" t="s">
        <v>215</v>
      </c>
      <c r="G14" s="149" t="s">
        <v>214</v>
      </c>
      <c r="H14" s="148" t="s">
        <v>257</v>
      </c>
      <c r="I14" s="148" t="s">
        <v>61</v>
      </c>
      <c r="J14" s="168">
        <v>1486.63</v>
      </c>
      <c r="K14" s="152">
        <f t="shared" si="1"/>
        <v>3364.43</v>
      </c>
      <c r="L14" s="170">
        <v>4851.06</v>
      </c>
      <c r="M14" s="154">
        <f t="shared" si="7"/>
        <v>4893.709875</v>
      </c>
      <c r="N14" s="155">
        <v>999.99</v>
      </c>
      <c r="O14" s="191"/>
      <c r="P14" s="179">
        <f t="shared" si="4"/>
        <v>0</v>
      </c>
      <c r="Q14" s="180"/>
      <c r="R14" s="159"/>
      <c r="S14" s="181"/>
      <c r="T14" s="193"/>
      <c r="U14" s="191"/>
      <c r="V14" s="162"/>
      <c r="W14" s="148"/>
      <c r="X14" s="163"/>
      <c r="Y14" s="162"/>
      <c r="Z14" s="164"/>
      <c r="AA14" s="116"/>
      <c r="AB14" s="116"/>
      <c r="AC14" s="165"/>
      <c r="AD14" s="145" t="str">
        <f t="shared" si="6"/>
        <v>abril</v>
      </c>
      <c r="AE14" s="166"/>
      <c r="AF14" s="149" t="b">
        <v>0</v>
      </c>
      <c r="AG14" s="166"/>
      <c r="AH14" s="149" t="b">
        <v>0</v>
      </c>
      <c r="AI14" s="162"/>
      <c r="AJ14" s="143"/>
      <c r="AK14" s="143"/>
      <c r="AL14" s="143"/>
      <c r="AM14" s="143"/>
      <c r="AN14" s="143"/>
      <c r="AO14" s="143"/>
      <c r="AP14" s="143"/>
      <c r="AQ14" s="143"/>
    </row>
    <row r="15" ht="22.5" hidden="1" customHeight="1">
      <c r="A15" s="144" t="s">
        <v>259</v>
      </c>
      <c r="B15" s="209">
        <v>45758.0</v>
      </c>
      <c r="C15" s="188" t="s">
        <v>217</v>
      </c>
      <c r="D15" s="172" t="s">
        <v>218</v>
      </c>
      <c r="E15" s="173" t="s">
        <v>28</v>
      </c>
      <c r="F15" s="171" t="s">
        <v>219</v>
      </c>
      <c r="G15" s="171">
        <v>5.1918650414E10</v>
      </c>
      <c r="H15" s="148" t="s">
        <v>257</v>
      </c>
      <c r="I15" s="173" t="s">
        <v>61</v>
      </c>
      <c r="J15" s="190">
        <v>1408.0</v>
      </c>
      <c r="K15" s="191">
        <f t="shared" si="1"/>
        <v>5635.98</v>
      </c>
      <c r="L15" s="170">
        <v>7043.98</v>
      </c>
      <c r="M15" s="154">
        <f t="shared" si="7"/>
        <v>7128.8625</v>
      </c>
      <c r="N15" s="177">
        <v>1529.0</v>
      </c>
      <c r="O15" s="191">
        <f t="shared" ref="O15:O24" si="9">L15-M15</f>
        <v>-84.8825</v>
      </c>
      <c r="P15" s="179">
        <f t="shared" si="4"/>
        <v>0</v>
      </c>
      <c r="Q15" s="192"/>
      <c r="R15" s="159"/>
      <c r="S15" s="181"/>
      <c r="T15" s="193"/>
      <c r="U15" s="191"/>
      <c r="V15" s="162"/>
      <c r="W15" s="194"/>
      <c r="X15" s="195"/>
      <c r="Y15" s="162"/>
      <c r="Z15" s="183"/>
      <c r="AA15" s="184"/>
      <c r="AB15" s="184"/>
      <c r="AC15" s="185"/>
      <c r="AD15" s="145" t="str">
        <f t="shared" si="6"/>
        <v>abril</v>
      </c>
      <c r="AE15" s="186"/>
      <c r="AF15" s="149" t="b">
        <v>0</v>
      </c>
      <c r="AG15" s="166"/>
      <c r="AH15" s="149" t="b">
        <v>0</v>
      </c>
      <c r="AI15" s="162"/>
      <c r="AJ15" s="143"/>
      <c r="AK15" s="143"/>
      <c r="AL15" s="143"/>
      <c r="AM15" s="143"/>
      <c r="AN15" s="143"/>
      <c r="AO15" s="143"/>
      <c r="AP15" s="143"/>
      <c r="AQ15" s="143"/>
    </row>
    <row r="16" ht="22.5" customHeight="1">
      <c r="A16" s="144" t="s">
        <v>162</v>
      </c>
      <c r="B16" s="145">
        <v>45759.0</v>
      </c>
      <c r="C16" s="210"/>
      <c r="D16" s="172" t="s">
        <v>221</v>
      </c>
      <c r="E16" s="173" t="s">
        <v>28</v>
      </c>
      <c r="F16" s="171" t="s">
        <v>271</v>
      </c>
      <c r="G16" s="171">
        <v>5.1914786361E10</v>
      </c>
      <c r="H16" s="148" t="s">
        <v>257</v>
      </c>
      <c r="I16" s="173" t="s">
        <v>61</v>
      </c>
      <c r="J16" s="175">
        <v>1524.0</v>
      </c>
      <c r="K16" s="191">
        <f t="shared" si="1"/>
        <v>3636.24</v>
      </c>
      <c r="L16" s="170">
        <v>5160.24</v>
      </c>
      <c r="M16" s="154">
        <f t="shared" si="7"/>
        <v>4893.709875</v>
      </c>
      <c r="N16" s="177">
        <v>999.99</v>
      </c>
      <c r="O16" s="191">
        <f t="shared" si="9"/>
        <v>266.530125</v>
      </c>
      <c r="P16" s="179">
        <f t="shared" si="4"/>
        <v>0</v>
      </c>
      <c r="Q16" s="192"/>
      <c r="R16" s="159"/>
      <c r="S16" s="181"/>
      <c r="T16" s="193"/>
      <c r="U16" s="191"/>
      <c r="V16" s="162"/>
      <c r="W16" s="148"/>
      <c r="X16" s="163"/>
      <c r="Y16" s="162"/>
      <c r="Z16" s="183"/>
      <c r="AA16" s="184"/>
      <c r="AB16" s="184"/>
      <c r="AC16" s="185"/>
      <c r="AD16" s="145" t="str">
        <f t="shared" si="6"/>
        <v>abril</v>
      </c>
      <c r="AE16" s="186"/>
      <c r="AF16" s="149" t="b">
        <v>0</v>
      </c>
      <c r="AG16" s="166"/>
      <c r="AH16" s="149" t="b">
        <v>0</v>
      </c>
      <c r="AI16" s="162"/>
      <c r="AJ16" s="143"/>
      <c r="AK16" s="143"/>
      <c r="AL16" s="143"/>
      <c r="AM16" s="143"/>
      <c r="AN16" s="143"/>
      <c r="AO16" s="143"/>
      <c r="AP16" s="143"/>
      <c r="AQ16" s="143"/>
    </row>
    <row r="17" ht="22.5" hidden="1" customHeight="1">
      <c r="A17" s="144" t="s">
        <v>34</v>
      </c>
      <c r="B17" s="145">
        <v>45760.0</v>
      </c>
      <c r="C17" s="204" t="s">
        <v>222</v>
      </c>
      <c r="D17" s="172" t="s">
        <v>223</v>
      </c>
      <c r="E17" s="173" t="s">
        <v>28</v>
      </c>
      <c r="F17" s="171" t="s">
        <v>272</v>
      </c>
      <c r="G17" s="171">
        <v>5.1921829034E10</v>
      </c>
      <c r="H17" s="148" t="s">
        <v>257</v>
      </c>
      <c r="I17" s="173" t="s">
        <v>61</v>
      </c>
      <c r="J17" s="175">
        <v>1247.95</v>
      </c>
      <c r="K17" s="176">
        <f t="shared" si="1"/>
        <v>4991.79</v>
      </c>
      <c r="L17" s="170">
        <v>6239.74</v>
      </c>
      <c r="M17" s="154">
        <f t="shared" si="7"/>
        <v>5876.922375</v>
      </c>
      <c r="N17" s="177">
        <v>1216.99</v>
      </c>
      <c r="O17" s="191">
        <f t="shared" si="9"/>
        <v>362.817625</v>
      </c>
      <c r="P17" s="179">
        <f t="shared" si="4"/>
        <v>0</v>
      </c>
      <c r="Q17" s="180"/>
      <c r="R17" s="159"/>
      <c r="S17" s="181"/>
      <c r="T17" s="193"/>
      <c r="U17" s="191"/>
      <c r="V17" s="162"/>
      <c r="W17" s="148"/>
      <c r="X17" s="163"/>
      <c r="Y17" s="162"/>
      <c r="Z17" s="183"/>
      <c r="AA17" s="184"/>
      <c r="AB17" s="184"/>
      <c r="AC17" s="185"/>
      <c r="AD17" s="145" t="str">
        <f t="shared" si="6"/>
        <v>abril</v>
      </c>
      <c r="AE17" s="186"/>
      <c r="AF17" s="149" t="b">
        <v>0</v>
      </c>
      <c r="AG17" s="166"/>
      <c r="AH17" s="149" t="b">
        <v>0</v>
      </c>
      <c r="AI17" s="162"/>
      <c r="AJ17" s="143"/>
      <c r="AK17" s="143"/>
      <c r="AL17" s="143"/>
      <c r="AM17" s="143"/>
      <c r="AN17" s="143"/>
      <c r="AO17" s="143"/>
      <c r="AP17" s="143"/>
      <c r="AQ17" s="143"/>
    </row>
    <row r="18" ht="22.5" customHeight="1">
      <c r="A18" s="144" t="s">
        <v>162</v>
      </c>
      <c r="B18" s="145">
        <v>45760.0</v>
      </c>
      <c r="C18" s="204" t="s">
        <v>224</v>
      </c>
      <c r="D18" s="189" t="s">
        <v>225</v>
      </c>
      <c r="E18" s="173" t="s">
        <v>28</v>
      </c>
      <c r="F18" s="171" t="s">
        <v>273</v>
      </c>
      <c r="G18" s="171">
        <v>5.1983268383E10</v>
      </c>
      <c r="H18" s="148" t="s">
        <v>257</v>
      </c>
      <c r="I18" s="173" t="s">
        <v>61</v>
      </c>
      <c r="J18" s="175">
        <v>1310.0</v>
      </c>
      <c r="K18" s="191">
        <f t="shared" si="1"/>
        <v>4980.75</v>
      </c>
      <c r="L18" s="170">
        <v>6290.75</v>
      </c>
      <c r="M18" s="154">
        <f t="shared" si="7"/>
        <v>6205.9875</v>
      </c>
      <c r="N18" s="177">
        <v>1299.0</v>
      </c>
      <c r="O18" s="191">
        <f t="shared" si="9"/>
        <v>84.7625</v>
      </c>
      <c r="P18" s="179">
        <f t="shared" si="4"/>
        <v>0</v>
      </c>
      <c r="Q18" s="192"/>
      <c r="R18" s="159"/>
      <c r="S18" s="181"/>
      <c r="T18" s="193"/>
      <c r="U18" s="191"/>
      <c r="V18" s="162"/>
      <c r="W18" s="148"/>
      <c r="X18" s="163"/>
      <c r="Y18" s="162"/>
      <c r="Z18" s="183"/>
      <c r="AA18" s="184"/>
      <c r="AB18" s="184"/>
      <c r="AC18" s="174"/>
      <c r="AD18" s="145" t="str">
        <f t="shared" si="6"/>
        <v>abril</v>
      </c>
      <c r="AE18" s="211"/>
      <c r="AF18" s="149" t="b">
        <v>0</v>
      </c>
      <c r="AG18" s="166"/>
      <c r="AH18" s="149" t="b">
        <v>0</v>
      </c>
      <c r="AI18" s="162"/>
      <c r="AJ18" s="143"/>
      <c r="AK18" s="143"/>
      <c r="AL18" s="143"/>
      <c r="AM18" s="143"/>
      <c r="AN18" s="143"/>
      <c r="AO18" s="143"/>
      <c r="AP18" s="143"/>
      <c r="AQ18" s="143"/>
    </row>
    <row r="19" ht="22.5" customHeight="1">
      <c r="A19" s="144" t="s">
        <v>162</v>
      </c>
      <c r="B19" s="145">
        <v>45761.0</v>
      </c>
      <c r="C19" s="204" t="s">
        <v>224</v>
      </c>
      <c r="D19" s="189" t="s">
        <v>226</v>
      </c>
      <c r="E19" s="173" t="s">
        <v>28</v>
      </c>
      <c r="F19" s="171" t="s">
        <v>274</v>
      </c>
      <c r="G19" s="171">
        <v>9.18383461E8</v>
      </c>
      <c r="H19" s="148" t="s">
        <v>257</v>
      </c>
      <c r="I19" s="173" t="s">
        <v>61</v>
      </c>
      <c r="J19" s="175">
        <v>1306.0</v>
      </c>
      <c r="K19" s="191">
        <f t="shared" si="1"/>
        <v>4978.3</v>
      </c>
      <c r="L19" s="170">
        <v>6284.3</v>
      </c>
      <c r="M19" s="154">
        <f t="shared" si="7"/>
        <v>6205.9875</v>
      </c>
      <c r="N19" s="177">
        <v>1299.0</v>
      </c>
      <c r="O19" s="191">
        <f t="shared" si="9"/>
        <v>78.3125</v>
      </c>
      <c r="P19" s="179">
        <f t="shared" si="4"/>
        <v>0</v>
      </c>
      <c r="Q19" s="192"/>
      <c r="R19" s="159"/>
      <c r="S19" s="181"/>
      <c r="T19" s="193"/>
      <c r="U19" s="191"/>
      <c r="V19" s="162"/>
      <c r="W19" s="148"/>
      <c r="X19" s="163"/>
      <c r="Y19" s="162"/>
      <c r="Z19" s="183"/>
      <c r="AA19" s="184"/>
      <c r="AB19" s="184"/>
      <c r="AC19" s="212"/>
      <c r="AD19" s="145" t="str">
        <f t="shared" si="6"/>
        <v>abril</v>
      </c>
      <c r="AE19" s="213"/>
      <c r="AF19" s="149" t="b">
        <v>0</v>
      </c>
      <c r="AG19" s="166"/>
      <c r="AH19" s="149" t="b">
        <v>0</v>
      </c>
      <c r="AI19" s="162"/>
      <c r="AJ19" s="143"/>
      <c r="AK19" s="143"/>
      <c r="AL19" s="143"/>
      <c r="AM19" s="143"/>
      <c r="AN19" s="143"/>
      <c r="AO19" s="143"/>
      <c r="AP19" s="143"/>
      <c r="AQ19" s="143"/>
    </row>
    <row r="20" ht="22.5" hidden="1" customHeight="1">
      <c r="A20" s="144" t="s">
        <v>259</v>
      </c>
      <c r="B20" s="145">
        <v>45761.0</v>
      </c>
      <c r="C20" s="188" t="s">
        <v>275</v>
      </c>
      <c r="D20" s="172" t="s">
        <v>276</v>
      </c>
      <c r="E20" s="173" t="s">
        <v>28</v>
      </c>
      <c r="F20" s="171" t="s">
        <v>277</v>
      </c>
      <c r="G20" s="171">
        <v>5.1972264876E10</v>
      </c>
      <c r="H20" s="148" t="s">
        <v>257</v>
      </c>
      <c r="I20" s="173" t="s">
        <v>61</v>
      </c>
      <c r="J20" s="190">
        <v>999.85</v>
      </c>
      <c r="K20" s="191">
        <f t="shared" si="1"/>
        <v>3999.15</v>
      </c>
      <c r="L20" s="170">
        <v>4999.0</v>
      </c>
      <c r="M20" s="154">
        <f t="shared" si="7"/>
        <v>4889.7375</v>
      </c>
      <c r="N20" s="177">
        <v>999.0</v>
      </c>
      <c r="O20" s="191">
        <f t="shared" si="9"/>
        <v>109.2625</v>
      </c>
      <c r="P20" s="179">
        <f t="shared" si="4"/>
        <v>0</v>
      </c>
      <c r="Q20" s="192"/>
      <c r="R20" s="159"/>
      <c r="S20" s="181"/>
      <c r="T20" s="193"/>
      <c r="U20" s="191"/>
      <c r="V20" s="162"/>
      <c r="W20" s="194"/>
      <c r="X20" s="195"/>
      <c r="Y20" s="162"/>
      <c r="Z20" s="183"/>
      <c r="AA20" s="184"/>
      <c r="AB20" s="184"/>
      <c r="AC20" s="185"/>
      <c r="AD20" s="145" t="str">
        <f t="shared" si="6"/>
        <v>abril</v>
      </c>
      <c r="AE20" s="186"/>
      <c r="AF20" s="149" t="b">
        <v>0</v>
      </c>
      <c r="AG20" s="166"/>
      <c r="AH20" s="149" t="b">
        <v>0</v>
      </c>
      <c r="AI20" s="162"/>
      <c r="AJ20" s="143"/>
      <c r="AK20" s="143"/>
      <c r="AL20" s="143"/>
      <c r="AM20" s="143"/>
      <c r="AN20" s="143"/>
      <c r="AO20" s="143"/>
      <c r="AP20" s="143"/>
      <c r="AQ20" s="143"/>
    </row>
    <row r="21" ht="22.5" hidden="1" customHeight="1">
      <c r="A21" s="144" t="s">
        <v>259</v>
      </c>
      <c r="B21" s="145">
        <v>45763.0</v>
      </c>
      <c r="C21" s="199" t="s">
        <v>278</v>
      </c>
      <c r="D21" s="172" t="s">
        <v>279</v>
      </c>
      <c r="E21" s="173" t="s">
        <v>28</v>
      </c>
      <c r="F21" s="171" t="s">
        <v>280</v>
      </c>
      <c r="G21" s="171">
        <v>7.0976866E7</v>
      </c>
      <c r="H21" s="148" t="s">
        <v>257</v>
      </c>
      <c r="I21" s="214">
        <v>0.3</v>
      </c>
      <c r="J21" s="203">
        <v>1500.88</v>
      </c>
      <c r="K21" s="191">
        <f t="shared" si="1"/>
        <v>3502</v>
      </c>
      <c r="L21" s="170">
        <v>5002.88</v>
      </c>
      <c r="M21" s="154">
        <f t="shared" si="7"/>
        <v>4885.725</v>
      </c>
      <c r="N21" s="177">
        <v>998.0</v>
      </c>
      <c r="O21" s="191">
        <f t="shared" si="9"/>
        <v>117.155</v>
      </c>
      <c r="P21" s="179">
        <f t="shared" si="4"/>
        <v>0</v>
      </c>
      <c r="Q21" s="192"/>
      <c r="R21" s="159"/>
      <c r="S21" s="181"/>
      <c r="T21" s="193"/>
      <c r="U21" s="191"/>
      <c r="V21" s="162"/>
      <c r="W21" s="194"/>
      <c r="X21" s="195"/>
      <c r="Y21" s="162"/>
      <c r="Z21" s="183"/>
      <c r="AA21" s="184"/>
      <c r="AB21" s="184"/>
      <c r="AC21" s="185"/>
      <c r="AD21" s="145" t="str">
        <f t="shared" si="6"/>
        <v>abril</v>
      </c>
      <c r="AE21" s="186"/>
      <c r="AF21" s="149" t="b">
        <v>0</v>
      </c>
      <c r="AG21" s="166"/>
      <c r="AH21" s="149" t="b">
        <v>0</v>
      </c>
      <c r="AI21" s="162"/>
      <c r="AJ21" s="143"/>
      <c r="AK21" s="143"/>
      <c r="AL21" s="143"/>
      <c r="AM21" s="143"/>
      <c r="AN21" s="143"/>
      <c r="AO21" s="143"/>
      <c r="AP21" s="143"/>
      <c r="AQ21" s="143"/>
    </row>
    <row r="22" ht="22.5" hidden="1" customHeight="1">
      <c r="A22" s="144" t="s">
        <v>34</v>
      </c>
      <c r="B22" s="145">
        <v>45768.0</v>
      </c>
      <c r="C22" s="215" t="s">
        <v>281</v>
      </c>
      <c r="D22" s="172" t="s">
        <v>282</v>
      </c>
      <c r="E22" s="173" t="s">
        <v>28</v>
      </c>
      <c r="F22" s="171" t="s">
        <v>283</v>
      </c>
      <c r="G22" s="171">
        <v>5.1916528142E10</v>
      </c>
      <c r="H22" s="148" t="s">
        <v>257</v>
      </c>
      <c r="I22" s="173" t="s">
        <v>61</v>
      </c>
      <c r="J22" s="175">
        <v>1500.0</v>
      </c>
      <c r="K22" s="176">
        <f t="shared" si="1"/>
        <v>5848.56</v>
      </c>
      <c r="L22" s="170">
        <v>7348.56</v>
      </c>
      <c r="M22" s="154">
        <f t="shared" si="7"/>
        <v>7128.8625</v>
      </c>
      <c r="N22" s="177">
        <v>1529.0</v>
      </c>
      <c r="O22" s="191">
        <f t="shared" si="9"/>
        <v>219.6975</v>
      </c>
      <c r="P22" s="179">
        <f t="shared" si="4"/>
        <v>0</v>
      </c>
      <c r="Q22" s="180"/>
      <c r="R22" s="159"/>
      <c r="S22" s="181"/>
      <c r="T22" s="193"/>
      <c r="U22" s="191"/>
      <c r="V22" s="162"/>
      <c r="W22" s="148"/>
      <c r="X22" s="163"/>
      <c r="Y22" s="162"/>
      <c r="Z22" s="183"/>
      <c r="AA22" s="184"/>
      <c r="AB22" s="184"/>
      <c r="AC22" s="185"/>
      <c r="AD22" s="145" t="str">
        <f t="shared" si="6"/>
        <v>abril</v>
      </c>
      <c r="AE22" s="186"/>
      <c r="AF22" s="149" t="b">
        <v>0</v>
      </c>
      <c r="AG22" s="166"/>
      <c r="AH22" s="149" t="b">
        <v>0</v>
      </c>
      <c r="AI22" s="162"/>
      <c r="AJ22" s="143"/>
      <c r="AK22" s="143"/>
      <c r="AL22" s="143"/>
      <c r="AM22" s="143"/>
      <c r="AN22" s="143"/>
      <c r="AO22" s="143"/>
      <c r="AP22" s="143"/>
      <c r="AQ22" s="143"/>
    </row>
    <row r="23" ht="22.5" customHeight="1">
      <c r="A23" s="144" t="s">
        <v>162</v>
      </c>
      <c r="B23" s="145">
        <v>45769.0</v>
      </c>
      <c r="C23" s="188" t="s">
        <v>284</v>
      </c>
      <c r="D23" s="189" t="s">
        <v>285</v>
      </c>
      <c r="E23" s="173" t="s">
        <v>28</v>
      </c>
      <c r="F23" s="171" t="s">
        <v>286</v>
      </c>
      <c r="G23" s="171">
        <v>5.1922421883E10</v>
      </c>
      <c r="H23" s="148" t="s">
        <v>257</v>
      </c>
      <c r="I23" s="173" t="s">
        <v>61</v>
      </c>
      <c r="J23" s="175">
        <v>1361.0</v>
      </c>
      <c r="K23" s="176">
        <f t="shared" si="1"/>
        <v>5587.91</v>
      </c>
      <c r="L23" s="170">
        <v>6948.91</v>
      </c>
      <c r="M23" s="154">
        <f t="shared" si="7"/>
        <v>7012.459875</v>
      </c>
      <c r="N23" s="177">
        <v>1499.99</v>
      </c>
      <c r="O23" s="191">
        <f t="shared" si="9"/>
        <v>-63.549875</v>
      </c>
      <c r="P23" s="179">
        <f t="shared" si="4"/>
        <v>0</v>
      </c>
      <c r="Q23" s="192"/>
      <c r="R23" s="159"/>
      <c r="S23" s="181"/>
      <c r="T23" s="193"/>
      <c r="U23" s="191"/>
      <c r="V23" s="162"/>
      <c r="W23" s="148"/>
      <c r="X23" s="163"/>
      <c r="Y23" s="162"/>
      <c r="Z23" s="183"/>
      <c r="AA23" s="184"/>
      <c r="AB23" s="184"/>
      <c r="AC23" s="174" t="s">
        <v>287</v>
      </c>
      <c r="AD23" s="145" t="str">
        <f t="shared" si="6"/>
        <v>abril</v>
      </c>
      <c r="AE23" s="211"/>
      <c r="AF23" s="149" t="b">
        <v>0</v>
      </c>
      <c r="AG23" s="166"/>
      <c r="AH23" s="149" t="b">
        <v>0</v>
      </c>
      <c r="AI23" s="162"/>
      <c r="AJ23" s="143"/>
      <c r="AK23" s="143"/>
      <c r="AL23" s="143"/>
      <c r="AM23" s="143"/>
      <c r="AN23" s="143"/>
      <c r="AO23" s="143"/>
      <c r="AP23" s="143"/>
      <c r="AQ23" s="143"/>
    </row>
    <row r="24" ht="22.5" hidden="1" customHeight="1">
      <c r="A24" s="144" t="s">
        <v>259</v>
      </c>
      <c r="B24" s="145">
        <v>45770.0</v>
      </c>
      <c r="C24" s="188" t="s">
        <v>288</v>
      </c>
      <c r="D24" s="189" t="s">
        <v>289</v>
      </c>
      <c r="E24" s="173" t="s">
        <v>28</v>
      </c>
      <c r="F24" s="171" t="s">
        <v>290</v>
      </c>
      <c r="G24" s="171" t="s">
        <v>291</v>
      </c>
      <c r="H24" s="148" t="s">
        <v>257</v>
      </c>
      <c r="I24" s="173" t="s">
        <v>61</v>
      </c>
      <c r="J24" s="190">
        <v>1180.0</v>
      </c>
      <c r="K24" s="176">
        <f t="shared" si="1"/>
        <v>4719</v>
      </c>
      <c r="L24" s="170">
        <v>5899.0</v>
      </c>
      <c r="M24" s="154">
        <f t="shared" si="7"/>
        <v>5491.6125</v>
      </c>
      <c r="N24" s="177">
        <v>1149.0</v>
      </c>
      <c r="O24" s="191">
        <f t="shared" si="9"/>
        <v>407.3875</v>
      </c>
      <c r="P24" s="179">
        <f t="shared" si="4"/>
        <v>0</v>
      </c>
      <c r="Q24" s="192"/>
      <c r="R24" s="159"/>
      <c r="S24" s="181"/>
      <c r="T24" s="193"/>
      <c r="U24" s="191"/>
      <c r="V24" s="162"/>
      <c r="W24" s="194"/>
      <c r="X24" s="195"/>
      <c r="Y24" s="162"/>
      <c r="Z24" s="183"/>
      <c r="AA24" s="184"/>
      <c r="AB24" s="184"/>
      <c r="AC24" s="171"/>
      <c r="AD24" s="145" t="str">
        <f t="shared" si="6"/>
        <v>abril</v>
      </c>
      <c r="AE24" s="201"/>
      <c r="AF24" s="149" t="b">
        <v>0</v>
      </c>
      <c r="AG24" s="166"/>
      <c r="AH24" s="149" t="b">
        <v>0</v>
      </c>
      <c r="AI24" s="162"/>
      <c r="AJ24" s="143"/>
      <c r="AK24" s="143"/>
      <c r="AL24" s="143"/>
      <c r="AM24" s="143"/>
      <c r="AN24" s="143"/>
      <c r="AO24" s="143"/>
      <c r="AP24" s="143"/>
      <c r="AQ24" s="143"/>
    </row>
    <row r="25" ht="22.5" hidden="1" customHeight="1">
      <c r="A25" s="144" t="s">
        <v>34</v>
      </c>
      <c r="B25" s="145">
        <v>45770.0</v>
      </c>
      <c r="C25" s="216" t="s">
        <v>275</v>
      </c>
      <c r="D25" s="172" t="s">
        <v>292</v>
      </c>
      <c r="E25" s="173" t="s">
        <v>28</v>
      </c>
      <c r="F25" s="171" t="s">
        <v>293</v>
      </c>
      <c r="G25" s="171">
        <v>5.1968401654E10</v>
      </c>
      <c r="H25" s="148" t="s">
        <v>257</v>
      </c>
      <c r="I25" s="173" t="s">
        <v>61</v>
      </c>
      <c r="J25" s="175">
        <v>1000.0</v>
      </c>
      <c r="K25" s="176">
        <f t="shared" si="1"/>
        <v>4079</v>
      </c>
      <c r="L25" s="170">
        <v>5079.0</v>
      </c>
      <c r="M25" s="154">
        <f>L25-O25</f>
        <v>4835</v>
      </c>
      <c r="N25" s="177">
        <v>999.99</v>
      </c>
      <c r="O25" s="191">
        <v>244.0</v>
      </c>
      <c r="P25" s="179">
        <f t="shared" si="4"/>
        <v>0</v>
      </c>
      <c r="Q25" s="180"/>
      <c r="R25" s="159"/>
      <c r="S25" s="181"/>
      <c r="T25" s="193"/>
      <c r="U25" s="191"/>
      <c r="V25" s="162"/>
      <c r="W25" s="148"/>
      <c r="X25" s="163"/>
      <c r="Y25" s="162"/>
      <c r="Z25" s="183"/>
      <c r="AA25" s="184"/>
      <c r="AB25" s="217" t="s">
        <v>294</v>
      </c>
      <c r="AC25" s="174"/>
      <c r="AD25" s="145" t="str">
        <f t="shared" si="6"/>
        <v>abril</v>
      </c>
      <c r="AE25" s="211"/>
      <c r="AF25" s="149" t="b">
        <v>0</v>
      </c>
      <c r="AG25" s="166"/>
      <c r="AH25" s="149" t="b">
        <v>0</v>
      </c>
      <c r="AI25" s="162"/>
      <c r="AJ25" s="143"/>
      <c r="AK25" s="143"/>
      <c r="AL25" s="143"/>
      <c r="AM25" s="143"/>
      <c r="AN25" s="143"/>
      <c r="AO25" s="143"/>
      <c r="AP25" s="143"/>
      <c r="AQ25" s="143"/>
    </row>
    <row r="26" ht="27.0" hidden="1" customHeight="1">
      <c r="A26" s="144" t="s">
        <v>259</v>
      </c>
      <c r="B26" s="218">
        <v>45771.0</v>
      </c>
      <c r="C26" s="188" t="s">
        <v>295</v>
      </c>
      <c r="D26" s="189" t="s">
        <v>296</v>
      </c>
      <c r="E26" s="173" t="s">
        <v>28</v>
      </c>
      <c r="F26" s="219" t="s">
        <v>297</v>
      </c>
      <c r="G26" s="171">
        <v>9.57629036E8</v>
      </c>
      <c r="H26" s="148" t="s">
        <v>257</v>
      </c>
      <c r="I26" s="214">
        <v>0.5</v>
      </c>
      <c r="J26" s="220">
        <v>9138.18</v>
      </c>
      <c r="K26" s="176">
        <f t="shared" si="1"/>
        <v>10524.17</v>
      </c>
      <c r="L26" s="221">
        <v>19662.35</v>
      </c>
      <c r="M26" s="154">
        <v>19362.35</v>
      </c>
      <c r="N26" s="177">
        <v>4499.0</v>
      </c>
      <c r="O26" s="191">
        <f t="shared" ref="O26:O32" si="10">L26-M26</f>
        <v>300</v>
      </c>
      <c r="P26" s="179">
        <f t="shared" si="4"/>
        <v>0</v>
      </c>
      <c r="Q26" s="192"/>
      <c r="R26" s="159"/>
      <c r="S26" s="181"/>
      <c r="T26" s="193"/>
      <c r="U26" s="191"/>
      <c r="V26" s="162"/>
      <c r="W26" s="194"/>
      <c r="X26" s="195"/>
      <c r="Y26" s="162"/>
      <c r="Z26" s="183"/>
      <c r="AA26" s="184"/>
      <c r="AB26" s="184"/>
      <c r="AC26" s="174" t="s">
        <v>298</v>
      </c>
      <c r="AD26" s="145" t="s">
        <v>299</v>
      </c>
      <c r="AE26" s="211"/>
      <c r="AF26" s="149" t="b">
        <v>0</v>
      </c>
      <c r="AG26" s="166"/>
      <c r="AH26" s="149" t="b">
        <v>0</v>
      </c>
      <c r="AI26" s="162"/>
      <c r="AJ26" s="143"/>
      <c r="AK26" s="143"/>
      <c r="AL26" s="143"/>
      <c r="AM26" s="143"/>
      <c r="AN26" s="143"/>
      <c r="AO26" s="143"/>
      <c r="AP26" s="143"/>
      <c r="AQ26" s="143"/>
    </row>
    <row r="27" ht="22.5" hidden="1" customHeight="1">
      <c r="A27" s="144" t="s">
        <v>34</v>
      </c>
      <c r="B27" s="145">
        <v>45771.0</v>
      </c>
      <c r="C27" s="215" t="s">
        <v>300</v>
      </c>
      <c r="D27" s="189" t="s">
        <v>301</v>
      </c>
      <c r="E27" s="173" t="s">
        <v>28</v>
      </c>
      <c r="F27" s="171" t="s">
        <v>302</v>
      </c>
      <c r="G27" s="171">
        <v>5.1965019912E10</v>
      </c>
      <c r="H27" s="148" t="s">
        <v>257</v>
      </c>
      <c r="I27" s="173" t="s">
        <v>61</v>
      </c>
      <c r="J27" s="175">
        <v>4000.0</v>
      </c>
      <c r="K27" s="191">
        <f t="shared" si="1"/>
        <v>4356.3</v>
      </c>
      <c r="L27" s="170">
        <v>8356.3</v>
      </c>
      <c r="M27" s="154">
        <f t="shared" ref="M27:M32" si="11">(N27*1.07+IF(N27&lt;1200,120,IF(N27&lt;2000,150,IF(N27&lt;2500,200,270)))+125-10)*3.75</f>
        <v>7814.959875</v>
      </c>
      <c r="N27" s="177">
        <v>1699.99</v>
      </c>
      <c r="O27" s="191">
        <f t="shared" si="10"/>
        <v>541.340125</v>
      </c>
      <c r="P27" s="179">
        <f t="shared" si="4"/>
        <v>0</v>
      </c>
      <c r="Q27" s="180"/>
      <c r="R27" s="159"/>
      <c r="S27" s="181"/>
      <c r="T27" s="193"/>
      <c r="U27" s="191"/>
      <c r="V27" s="162"/>
      <c r="W27" s="148"/>
      <c r="X27" s="163"/>
      <c r="Y27" s="162"/>
      <c r="Z27" s="183"/>
      <c r="AA27" s="184"/>
      <c r="AB27" s="184"/>
      <c r="AC27" s="185"/>
      <c r="AD27" s="145" t="str">
        <f t="shared" ref="AD27:AD75" si="12">TEXT(B27,"mmmm")</f>
        <v>abril</v>
      </c>
      <c r="AE27" s="186"/>
      <c r="AF27" s="149" t="b">
        <v>0</v>
      </c>
      <c r="AG27" s="166"/>
      <c r="AH27" s="149" t="b">
        <v>0</v>
      </c>
      <c r="AI27" s="162"/>
      <c r="AJ27" s="143"/>
      <c r="AK27" s="143"/>
      <c r="AL27" s="143"/>
      <c r="AM27" s="143"/>
      <c r="AN27" s="143"/>
      <c r="AO27" s="143"/>
      <c r="AP27" s="143"/>
      <c r="AQ27" s="143"/>
    </row>
    <row r="28" ht="22.5" customHeight="1">
      <c r="A28" s="144" t="s">
        <v>162</v>
      </c>
      <c r="B28" s="145">
        <v>45771.0</v>
      </c>
      <c r="C28" s="199" t="s">
        <v>303</v>
      </c>
      <c r="D28" s="172" t="s">
        <v>304</v>
      </c>
      <c r="E28" s="173" t="s">
        <v>28</v>
      </c>
      <c r="F28" s="171" t="s">
        <v>305</v>
      </c>
      <c r="G28" s="171">
        <v>5.1971528443E10</v>
      </c>
      <c r="H28" s="148" t="s">
        <v>257</v>
      </c>
      <c r="I28" s="173" t="s">
        <v>61</v>
      </c>
      <c r="J28" s="175">
        <v>775.0</v>
      </c>
      <c r="K28" s="176">
        <f t="shared" si="1"/>
        <v>2935.98</v>
      </c>
      <c r="L28" s="170">
        <v>3710.98</v>
      </c>
      <c r="M28" s="154">
        <f t="shared" si="11"/>
        <v>3685.9875</v>
      </c>
      <c r="N28" s="177">
        <v>699.0</v>
      </c>
      <c r="O28" s="191">
        <f t="shared" si="10"/>
        <v>24.9925</v>
      </c>
      <c r="P28" s="179">
        <f t="shared" si="4"/>
        <v>0</v>
      </c>
      <c r="Q28" s="192"/>
      <c r="R28" s="159"/>
      <c r="S28" s="181"/>
      <c r="T28" s="193"/>
      <c r="U28" s="191"/>
      <c r="V28" s="162"/>
      <c r="W28" s="148"/>
      <c r="X28" s="163"/>
      <c r="Y28" s="162"/>
      <c r="Z28" s="183"/>
      <c r="AA28" s="184"/>
      <c r="AB28" s="184"/>
      <c r="AC28" s="185"/>
      <c r="AD28" s="145" t="str">
        <f t="shared" si="12"/>
        <v>abril</v>
      </c>
      <c r="AE28" s="186"/>
      <c r="AF28" s="149" t="b">
        <v>0</v>
      </c>
      <c r="AG28" s="166"/>
      <c r="AH28" s="149" t="b">
        <v>0</v>
      </c>
      <c r="AI28" s="162"/>
      <c r="AJ28" s="143"/>
      <c r="AK28" s="143"/>
      <c r="AL28" s="143"/>
      <c r="AM28" s="143"/>
      <c r="AN28" s="143"/>
      <c r="AO28" s="143"/>
      <c r="AP28" s="143"/>
      <c r="AQ28" s="143"/>
    </row>
    <row r="29" ht="22.5" customHeight="1">
      <c r="A29" s="144" t="s">
        <v>162</v>
      </c>
      <c r="B29" s="145">
        <v>45772.0</v>
      </c>
      <c r="C29" s="171" t="s">
        <v>306</v>
      </c>
      <c r="D29" s="189" t="s">
        <v>307</v>
      </c>
      <c r="E29" s="173" t="s">
        <v>28</v>
      </c>
      <c r="F29" s="171" t="s">
        <v>308</v>
      </c>
      <c r="G29" s="171">
        <v>9.33531225E8</v>
      </c>
      <c r="H29" s="148" t="s">
        <v>257</v>
      </c>
      <c r="I29" s="173" t="s">
        <v>61</v>
      </c>
      <c r="J29" s="175">
        <v>1660.0</v>
      </c>
      <c r="K29" s="191">
        <f t="shared" si="1"/>
        <v>6343.63</v>
      </c>
      <c r="L29" s="170">
        <v>8003.63</v>
      </c>
      <c r="M29" s="154">
        <f t="shared" si="11"/>
        <v>7814.959875</v>
      </c>
      <c r="N29" s="177">
        <v>1699.99</v>
      </c>
      <c r="O29" s="191">
        <f t="shared" si="10"/>
        <v>188.670125</v>
      </c>
      <c r="P29" s="179">
        <f t="shared" si="4"/>
        <v>0</v>
      </c>
      <c r="Q29" s="192"/>
      <c r="R29" s="159"/>
      <c r="S29" s="181"/>
      <c r="T29" s="193"/>
      <c r="U29" s="191"/>
      <c r="V29" s="162"/>
      <c r="W29" s="148"/>
      <c r="X29" s="163"/>
      <c r="Y29" s="162"/>
      <c r="Z29" s="183"/>
      <c r="AA29" s="184"/>
      <c r="AB29" s="184"/>
      <c r="AC29" s="185"/>
      <c r="AD29" s="145" t="str">
        <f t="shared" si="12"/>
        <v>abril</v>
      </c>
      <c r="AE29" s="186"/>
      <c r="AF29" s="149" t="b">
        <v>0</v>
      </c>
      <c r="AG29" s="166"/>
      <c r="AH29" s="149" t="b">
        <v>0</v>
      </c>
      <c r="AI29" s="162"/>
      <c r="AJ29" s="143"/>
      <c r="AK29" s="143"/>
      <c r="AL29" s="143"/>
      <c r="AM29" s="143"/>
      <c r="AN29" s="143"/>
      <c r="AO29" s="143"/>
      <c r="AP29" s="143"/>
      <c r="AQ29" s="143"/>
    </row>
    <row r="30" ht="22.5" hidden="1" customHeight="1">
      <c r="A30" s="144" t="s">
        <v>34</v>
      </c>
      <c r="B30" s="145">
        <v>45774.0</v>
      </c>
      <c r="C30" s="222" t="s">
        <v>227</v>
      </c>
      <c r="D30" s="172" t="s">
        <v>228</v>
      </c>
      <c r="E30" s="173" t="s">
        <v>143</v>
      </c>
      <c r="F30" s="171" t="s">
        <v>309</v>
      </c>
      <c r="G30" s="171">
        <v>5.1979721077E10</v>
      </c>
      <c r="H30" s="148" t="s">
        <v>257</v>
      </c>
      <c r="I30" s="173" t="s">
        <v>61</v>
      </c>
      <c r="J30" s="175">
        <v>1396.13</v>
      </c>
      <c r="K30" s="176">
        <f t="shared" si="1"/>
        <v>5584.5</v>
      </c>
      <c r="L30" s="170">
        <v>6980.63</v>
      </c>
      <c r="M30" s="154">
        <f t="shared" si="11"/>
        <v>7012.459875</v>
      </c>
      <c r="N30" s="177">
        <v>1499.99</v>
      </c>
      <c r="O30" s="191">
        <f t="shared" si="10"/>
        <v>-31.829875</v>
      </c>
      <c r="P30" s="179">
        <f t="shared" si="4"/>
        <v>0</v>
      </c>
      <c r="Q30" s="180"/>
      <c r="R30" s="159"/>
      <c r="S30" s="181"/>
      <c r="T30" s="193"/>
      <c r="U30" s="191"/>
      <c r="V30" s="162"/>
      <c r="W30" s="148"/>
      <c r="X30" s="163"/>
      <c r="Y30" s="162"/>
      <c r="Z30" s="183"/>
      <c r="AA30" s="184"/>
      <c r="AB30" s="184"/>
      <c r="AC30" s="185"/>
      <c r="AD30" s="145" t="str">
        <f t="shared" si="12"/>
        <v>abril</v>
      </c>
      <c r="AE30" s="186"/>
      <c r="AF30" s="149" t="b">
        <v>0</v>
      </c>
      <c r="AG30" s="166"/>
      <c r="AH30" s="149" t="b">
        <v>0</v>
      </c>
      <c r="AI30" s="162"/>
      <c r="AJ30" s="143"/>
      <c r="AK30" s="143"/>
      <c r="AL30" s="143"/>
      <c r="AM30" s="143"/>
      <c r="AN30" s="143"/>
      <c r="AO30" s="143"/>
      <c r="AP30" s="143"/>
      <c r="AQ30" s="143"/>
    </row>
    <row r="31" ht="22.5" customHeight="1">
      <c r="A31" s="144" t="s">
        <v>162</v>
      </c>
      <c r="B31" s="218">
        <v>45775.0</v>
      </c>
      <c r="C31" s="188" t="s">
        <v>310</v>
      </c>
      <c r="D31" s="172" t="s">
        <v>311</v>
      </c>
      <c r="E31" s="173" t="s">
        <v>28</v>
      </c>
      <c r="F31" s="223" t="s">
        <v>312</v>
      </c>
      <c r="G31" s="188">
        <v>9.74215901E8</v>
      </c>
      <c r="H31" s="148" t="s">
        <v>257</v>
      </c>
      <c r="I31" s="173" t="s">
        <v>61</v>
      </c>
      <c r="J31" s="175">
        <v>1425.0</v>
      </c>
      <c r="K31" s="176">
        <f t="shared" si="1"/>
        <v>3446.47</v>
      </c>
      <c r="L31" s="170">
        <v>4871.47</v>
      </c>
      <c r="M31" s="154">
        <f t="shared" si="11"/>
        <v>4893.709875</v>
      </c>
      <c r="N31" s="177">
        <v>999.99</v>
      </c>
      <c r="O31" s="191">
        <f t="shared" si="10"/>
        <v>-22.239875</v>
      </c>
      <c r="P31" s="179">
        <f t="shared" si="4"/>
        <v>0</v>
      </c>
      <c r="Q31" s="192"/>
      <c r="R31" s="159"/>
      <c r="S31" s="181"/>
      <c r="T31" s="193"/>
      <c r="U31" s="191"/>
      <c r="V31" s="162"/>
      <c r="W31" s="148"/>
      <c r="X31" s="163"/>
      <c r="Y31" s="162"/>
      <c r="Z31" s="183"/>
      <c r="AA31" s="184"/>
      <c r="AB31" s="184"/>
      <c r="AC31" s="224"/>
      <c r="AD31" s="145" t="str">
        <f t="shared" si="12"/>
        <v>abril</v>
      </c>
      <c r="AE31" s="225"/>
      <c r="AF31" s="149" t="b">
        <v>0</v>
      </c>
      <c r="AG31" s="166"/>
      <c r="AH31" s="149" t="b">
        <v>0</v>
      </c>
      <c r="AI31" s="162"/>
      <c r="AJ31" s="143"/>
      <c r="AK31" s="143"/>
      <c r="AL31" s="143"/>
      <c r="AM31" s="143"/>
      <c r="AN31" s="143"/>
      <c r="AO31" s="143"/>
      <c r="AP31" s="143"/>
      <c r="AQ31" s="143"/>
    </row>
    <row r="32" ht="22.5" customHeight="1">
      <c r="A32" s="144" t="s">
        <v>162</v>
      </c>
      <c r="B32" s="145">
        <v>45775.0</v>
      </c>
      <c r="C32" s="226" t="s">
        <v>313</v>
      </c>
      <c r="D32" s="189" t="s">
        <v>314</v>
      </c>
      <c r="E32" s="173" t="s">
        <v>28</v>
      </c>
      <c r="F32" s="227" t="s">
        <v>315</v>
      </c>
      <c r="G32" s="171">
        <v>9.30664535E8</v>
      </c>
      <c r="H32" s="148" t="s">
        <v>257</v>
      </c>
      <c r="I32" s="214">
        <v>1.0</v>
      </c>
      <c r="J32" s="228"/>
      <c r="K32" s="183" t="str">
        <f t="shared" si="1"/>
        <v/>
      </c>
      <c r="L32" s="170">
        <v>5999.0</v>
      </c>
      <c r="M32" s="154">
        <f t="shared" si="11"/>
        <v>5692.2375</v>
      </c>
      <c r="N32" s="177">
        <v>1199.0</v>
      </c>
      <c r="O32" s="191">
        <f t="shared" si="10"/>
        <v>306.7625</v>
      </c>
      <c r="P32" s="179">
        <f t="shared" si="4"/>
        <v>0</v>
      </c>
      <c r="Q32" s="192"/>
      <c r="R32" s="159"/>
      <c r="S32" s="181"/>
      <c r="T32" s="193"/>
      <c r="U32" s="191"/>
      <c r="V32" s="162"/>
      <c r="W32" s="148"/>
      <c r="X32" s="163"/>
      <c r="Y32" s="162"/>
      <c r="Z32" s="183"/>
      <c r="AA32" s="184"/>
      <c r="AB32" s="184"/>
      <c r="AC32" s="185"/>
      <c r="AD32" s="145" t="str">
        <f t="shared" si="12"/>
        <v>abril</v>
      </c>
      <c r="AE32" s="186"/>
      <c r="AF32" s="149" t="b">
        <v>0</v>
      </c>
      <c r="AG32" s="166"/>
      <c r="AH32" s="149" t="b">
        <v>0</v>
      </c>
      <c r="AI32" s="162"/>
      <c r="AJ32" s="143"/>
      <c r="AK32" s="143"/>
      <c r="AL32" s="143"/>
      <c r="AM32" s="143"/>
      <c r="AN32" s="143"/>
      <c r="AO32" s="143"/>
      <c r="AP32" s="143"/>
      <c r="AQ32" s="143"/>
    </row>
    <row r="33" ht="22.5" hidden="1" customHeight="1">
      <c r="A33" s="144" t="s">
        <v>34</v>
      </c>
      <c r="B33" s="218">
        <v>45776.0</v>
      </c>
      <c r="C33" s="188" t="s">
        <v>316</v>
      </c>
      <c r="D33" s="172" t="s">
        <v>317</v>
      </c>
      <c r="E33" s="173" t="s">
        <v>28</v>
      </c>
      <c r="F33" s="171" t="s">
        <v>318</v>
      </c>
      <c r="G33" s="188">
        <v>5.1952764695E10</v>
      </c>
      <c r="H33" s="148" t="s">
        <v>257</v>
      </c>
      <c r="I33" s="173" t="s">
        <v>61</v>
      </c>
      <c r="J33" s="175">
        <v>1535.26</v>
      </c>
      <c r="K33" s="176">
        <f t="shared" si="1"/>
        <v>6141.05</v>
      </c>
      <c r="L33" s="170">
        <v>7676.31</v>
      </c>
      <c r="M33" s="154">
        <f>L33-O33</f>
        <v>7396.31</v>
      </c>
      <c r="N33" s="177">
        <v>1607.1</v>
      </c>
      <c r="O33" s="191">
        <v>280.0</v>
      </c>
      <c r="P33" s="179">
        <f t="shared" si="4"/>
        <v>0</v>
      </c>
      <c r="Q33" s="180"/>
      <c r="R33" s="159"/>
      <c r="S33" s="181"/>
      <c r="T33" s="193"/>
      <c r="U33" s="191"/>
      <c r="V33" s="162"/>
      <c r="W33" s="148"/>
      <c r="X33" s="163"/>
      <c r="Y33" s="162"/>
      <c r="Z33" s="183"/>
      <c r="AA33" s="184"/>
      <c r="AB33" s="184"/>
      <c r="AC33" s="229" t="s">
        <v>319</v>
      </c>
      <c r="AD33" s="145" t="str">
        <f t="shared" si="12"/>
        <v>abril</v>
      </c>
      <c r="AE33" s="230"/>
      <c r="AF33" s="149" t="b">
        <v>0</v>
      </c>
      <c r="AG33" s="166"/>
      <c r="AH33" s="149" t="b">
        <v>0</v>
      </c>
      <c r="AI33" s="162"/>
      <c r="AJ33" s="143"/>
      <c r="AK33" s="143"/>
      <c r="AL33" s="143"/>
      <c r="AM33" s="143"/>
      <c r="AN33" s="143"/>
      <c r="AO33" s="143"/>
      <c r="AP33" s="143"/>
      <c r="AQ33" s="143"/>
    </row>
    <row r="34" ht="22.5" customHeight="1">
      <c r="A34" s="231" t="s">
        <v>162</v>
      </c>
      <c r="B34" s="218">
        <v>45780.0</v>
      </c>
      <c r="C34" s="232" t="s">
        <v>320</v>
      </c>
      <c r="D34" s="233" t="s">
        <v>321</v>
      </c>
      <c r="E34" s="234" t="s">
        <v>28</v>
      </c>
      <c r="F34" s="235" t="s">
        <v>322</v>
      </c>
      <c r="G34" s="236">
        <v>9.77493394E8</v>
      </c>
      <c r="H34" s="148" t="s">
        <v>257</v>
      </c>
      <c r="I34" s="237">
        <v>1.0</v>
      </c>
      <c r="J34" s="168">
        <v>3801.0</v>
      </c>
      <c r="K34" s="238">
        <f t="shared" si="1"/>
        <v>0</v>
      </c>
      <c r="L34" s="170">
        <v>3801.0</v>
      </c>
      <c r="M34" s="239">
        <v>3727.17</v>
      </c>
      <c r="N34" s="155">
        <v>699.99</v>
      </c>
      <c r="O34" s="240">
        <f>L34-M34</f>
        <v>73.83</v>
      </c>
      <c r="P34" s="179">
        <f t="shared" si="4"/>
        <v>0</v>
      </c>
      <c r="Q34" s="192"/>
      <c r="R34" s="159"/>
      <c r="S34" s="181"/>
      <c r="T34" s="241"/>
      <c r="U34" s="240"/>
      <c r="V34" s="162"/>
      <c r="W34" s="148"/>
      <c r="X34" s="163"/>
      <c r="Y34" s="162"/>
      <c r="Z34" s="242"/>
      <c r="AA34" s="243"/>
      <c r="AB34" s="243"/>
      <c r="AC34" s="235" t="s">
        <v>323</v>
      </c>
      <c r="AD34" s="145" t="str">
        <f t="shared" si="12"/>
        <v>mayo</v>
      </c>
      <c r="AE34" s="244"/>
      <c r="AF34" s="149" t="b">
        <v>0</v>
      </c>
      <c r="AG34" s="166"/>
      <c r="AH34" s="149" t="b">
        <v>0</v>
      </c>
      <c r="AI34" s="162"/>
      <c r="AJ34" s="143"/>
      <c r="AK34" s="143"/>
      <c r="AL34" s="143"/>
      <c r="AM34" s="143"/>
      <c r="AN34" s="143"/>
      <c r="AO34" s="143"/>
      <c r="AP34" s="143"/>
      <c r="AQ34" s="143"/>
    </row>
    <row r="35" ht="22.5" hidden="1" customHeight="1">
      <c r="A35" s="144" t="s">
        <v>34</v>
      </c>
      <c r="B35" s="145">
        <v>45780.0</v>
      </c>
      <c r="C35" s="245" t="s">
        <v>324</v>
      </c>
      <c r="D35" s="167" t="s">
        <v>325</v>
      </c>
      <c r="E35" s="148" t="s">
        <v>28</v>
      </c>
      <c r="F35" s="245" t="s">
        <v>326</v>
      </c>
      <c r="G35" s="149">
        <v>5.1927489883E10</v>
      </c>
      <c r="H35" s="148" t="s">
        <v>257</v>
      </c>
      <c r="I35" s="148" t="s">
        <v>61</v>
      </c>
      <c r="J35" s="168">
        <v>1259.8</v>
      </c>
      <c r="K35" s="169">
        <f t="shared" si="1"/>
        <v>5039.2</v>
      </c>
      <c r="L35" s="170">
        <v>6299.0</v>
      </c>
      <c r="M35" s="239">
        <f t="shared" ref="M35:M36" si="13">L35-O35</f>
        <v>6185.42</v>
      </c>
      <c r="N35" s="155">
        <v>1299.0</v>
      </c>
      <c r="O35" s="191">
        <v>113.58</v>
      </c>
      <c r="P35" s="179">
        <f t="shared" si="4"/>
        <v>0</v>
      </c>
      <c r="Q35" s="180"/>
      <c r="R35" s="159"/>
      <c r="S35" s="181"/>
      <c r="T35" s="193"/>
      <c r="U35" s="191"/>
      <c r="V35" s="162"/>
      <c r="W35" s="148"/>
      <c r="X35" s="163"/>
      <c r="Y35" s="162"/>
      <c r="Z35" s="164"/>
      <c r="AA35" s="116"/>
      <c r="AB35" s="116"/>
      <c r="AC35" s="246" t="s">
        <v>327</v>
      </c>
      <c r="AD35" s="145" t="str">
        <f t="shared" si="12"/>
        <v>mayo</v>
      </c>
      <c r="AE35" s="247"/>
      <c r="AF35" s="149" t="b">
        <v>0</v>
      </c>
      <c r="AG35" s="166"/>
      <c r="AH35" s="149" t="b">
        <v>0</v>
      </c>
      <c r="AI35" s="162"/>
      <c r="AJ35" s="143"/>
      <c r="AK35" s="143"/>
      <c r="AL35" s="143"/>
      <c r="AM35" s="143"/>
      <c r="AN35" s="143"/>
      <c r="AO35" s="143"/>
      <c r="AP35" s="143"/>
      <c r="AQ35" s="143"/>
    </row>
    <row r="36" ht="22.5" hidden="1" customHeight="1">
      <c r="A36" s="144" t="s">
        <v>34</v>
      </c>
      <c r="B36" s="218">
        <v>45780.0</v>
      </c>
      <c r="C36" s="248" t="s">
        <v>328</v>
      </c>
      <c r="D36" s="208" t="s">
        <v>329</v>
      </c>
      <c r="E36" s="148" t="s">
        <v>28</v>
      </c>
      <c r="F36" s="249" t="s">
        <v>330</v>
      </c>
      <c r="G36" s="149">
        <v>9.36674609E8</v>
      </c>
      <c r="H36" s="148" t="s">
        <v>257</v>
      </c>
      <c r="I36" s="148" t="s">
        <v>61</v>
      </c>
      <c r="J36" s="168">
        <v>1300.0</v>
      </c>
      <c r="K36" s="169">
        <f t="shared" si="1"/>
        <v>5199</v>
      </c>
      <c r="L36" s="170">
        <v>6499.0</v>
      </c>
      <c r="M36" s="239">
        <f t="shared" si="13"/>
        <v>6421</v>
      </c>
      <c r="N36" s="177">
        <v>1385.0</v>
      </c>
      <c r="O36" s="191">
        <v>78.0</v>
      </c>
      <c r="P36" s="179">
        <f t="shared" si="4"/>
        <v>0</v>
      </c>
      <c r="Q36" s="180"/>
      <c r="R36" s="159"/>
      <c r="S36" s="181"/>
      <c r="T36" s="193"/>
      <c r="U36" s="191"/>
      <c r="V36" s="162"/>
      <c r="W36" s="148"/>
      <c r="X36" s="163"/>
      <c r="Y36" s="162"/>
      <c r="Z36" s="164"/>
      <c r="AA36" s="116"/>
      <c r="AB36" s="116"/>
      <c r="AC36" s="250"/>
      <c r="AD36" s="145" t="str">
        <f t="shared" si="12"/>
        <v>mayo</v>
      </c>
      <c r="AE36" s="251"/>
      <c r="AF36" s="149" t="b">
        <v>0</v>
      </c>
      <c r="AG36" s="166"/>
      <c r="AH36" s="149" t="b">
        <v>0</v>
      </c>
      <c r="AI36" s="162"/>
      <c r="AJ36" s="143"/>
      <c r="AK36" s="143"/>
      <c r="AL36" s="143"/>
      <c r="AM36" s="143"/>
      <c r="AN36" s="143"/>
      <c r="AO36" s="143"/>
      <c r="AP36" s="143"/>
      <c r="AQ36" s="143"/>
    </row>
    <row r="37" ht="22.5" customHeight="1">
      <c r="A37" s="144" t="s">
        <v>162</v>
      </c>
      <c r="B37" s="145">
        <v>45780.0</v>
      </c>
      <c r="C37" s="149" t="s">
        <v>331</v>
      </c>
      <c r="D37" s="147" t="s">
        <v>332</v>
      </c>
      <c r="E37" s="148" t="s">
        <v>28</v>
      </c>
      <c r="F37" s="149" t="s">
        <v>333</v>
      </c>
      <c r="G37" s="149">
        <v>9.14380599E8</v>
      </c>
      <c r="H37" s="148" t="s">
        <v>257</v>
      </c>
      <c r="I37" s="150">
        <v>1.0</v>
      </c>
      <c r="J37" s="168">
        <v>1031.0</v>
      </c>
      <c r="K37" s="169">
        <f t="shared" si="1"/>
        <v>4268</v>
      </c>
      <c r="L37" s="170">
        <v>5299.0</v>
      </c>
      <c r="M37" s="239">
        <v>5035.0</v>
      </c>
      <c r="N37" s="155">
        <v>1050.0</v>
      </c>
      <c r="O37" s="191">
        <f t="shared" ref="O37:O76" si="14">L37-M37</f>
        <v>264</v>
      </c>
      <c r="P37" s="179">
        <f t="shared" si="4"/>
        <v>0</v>
      </c>
      <c r="Q37" s="192"/>
      <c r="R37" s="159"/>
      <c r="S37" s="181"/>
      <c r="T37" s="193"/>
      <c r="U37" s="191"/>
      <c r="V37" s="162"/>
      <c r="W37" s="148"/>
      <c r="X37" s="163"/>
      <c r="Y37" s="162"/>
      <c r="Z37" s="164"/>
      <c r="AA37" s="116"/>
      <c r="AB37" s="116"/>
      <c r="AC37" s="165"/>
      <c r="AD37" s="145" t="str">
        <f t="shared" si="12"/>
        <v>mayo</v>
      </c>
      <c r="AE37" s="166"/>
      <c r="AF37" s="149" t="b">
        <v>0</v>
      </c>
      <c r="AG37" s="166"/>
      <c r="AH37" s="149" t="b">
        <v>0</v>
      </c>
      <c r="AI37" s="162"/>
      <c r="AJ37" s="143"/>
      <c r="AK37" s="143"/>
      <c r="AL37" s="143"/>
      <c r="AM37" s="143"/>
      <c r="AN37" s="143"/>
      <c r="AO37" s="143"/>
      <c r="AP37" s="143"/>
      <c r="AQ37" s="143"/>
    </row>
    <row r="38" ht="22.5" hidden="1" customHeight="1">
      <c r="A38" s="144" t="s">
        <v>259</v>
      </c>
      <c r="B38" s="218">
        <v>45782.0</v>
      </c>
      <c r="C38" s="199" t="s">
        <v>334</v>
      </c>
      <c r="D38" s="189" t="s">
        <v>335</v>
      </c>
      <c r="E38" s="173" t="s">
        <v>28</v>
      </c>
      <c r="F38" s="252" t="s">
        <v>336</v>
      </c>
      <c r="G38" s="171">
        <v>5.1945987598E10</v>
      </c>
      <c r="H38" s="148" t="s">
        <v>257</v>
      </c>
      <c r="I38" s="173" t="s">
        <v>61</v>
      </c>
      <c r="J38" s="220">
        <v>998.58</v>
      </c>
      <c r="K38" s="176">
        <f t="shared" si="1"/>
        <v>3993.42</v>
      </c>
      <c r="L38" s="221">
        <v>4992.0</v>
      </c>
      <c r="M38" s="154">
        <v>4790.0</v>
      </c>
      <c r="N38" s="177">
        <v>999.0</v>
      </c>
      <c r="O38" s="191">
        <f t="shared" si="14"/>
        <v>202</v>
      </c>
      <c r="P38" s="179">
        <f t="shared" si="4"/>
        <v>0</v>
      </c>
      <c r="Q38" s="192"/>
      <c r="R38" s="159"/>
      <c r="S38" s="181"/>
      <c r="T38" s="193"/>
      <c r="U38" s="191"/>
      <c r="V38" s="162"/>
      <c r="W38" s="194"/>
      <c r="X38" s="195"/>
      <c r="Y38" s="162"/>
      <c r="Z38" s="183"/>
      <c r="AA38" s="184"/>
      <c r="AB38" s="184"/>
      <c r="AC38" s="253" t="s">
        <v>337</v>
      </c>
      <c r="AD38" s="145" t="str">
        <f t="shared" si="12"/>
        <v>mayo</v>
      </c>
      <c r="AE38" s="254"/>
      <c r="AF38" s="149" t="b">
        <v>0</v>
      </c>
      <c r="AG38" s="166"/>
      <c r="AH38" s="149" t="b">
        <v>0</v>
      </c>
      <c r="AI38" s="162"/>
      <c r="AJ38" s="143"/>
      <c r="AK38" s="143"/>
      <c r="AL38" s="143"/>
      <c r="AM38" s="143"/>
      <c r="AN38" s="143"/>
      <c r="AO38" s="143"/>
      <c r="AP38" s="143"/>
      <c r="AQ38" s="143"/>
    </row>
    <row r="39" ht="22.5" customHeight="1">
      <c r="A39" s="144" t="s">
        <v>162</v>
      </c>
      <c r="B39" s="218">
        <v>45783.0</v>
      </c>
      <c r="C39" s="149" t="s">
        <v>338</v>
      </c>
      <c r="D39" s="208" t="s">
        <v>339</v>
      </c>
      <c r="E39" s="148" t="s">
        <v>28</v>
      </c>
      <c r="F39" s="113" t="s">
        <v>340</v>
      </c>
      <c r="G39" s="149">
        <v>9.20518222E8</v>
      </c>
      <c r="H39" s="148" t="s">
        <v>257</v>
      </c>
      <c r="I39" s="148" t="s">
        <v>61</v>
      </c>
      <c r="J39" s="255">
        <v>1500.0</v>
      </c>
      <c r="K39" s="169">
        <f t="shared" si="1"/>
        <v>3401</v>
      </c>
      <c r="L39" s="170">
        <v>4901.0</v>
      </c>
      <c r="M39" s="239">
        <v>4791.0</v>
      </c>
      <c r="N39" s="155">
        <v>999.0</v>
      </c>
      <c r="O39" s="191">
        <f t="shared" si="14"/>
        <v>110</v>
      </c>
      <c r="P39" s="179">
        <f t="shared" si="4"/>
        <v>0</v>
      </c>
      <c r="Q39" s="192"/>
      <c r="R39" s="159"/>
      <c r="S39" s="181"/>
      <c r="T39" s="193"/>
      <c r="U39" s="191"/>
      <c r="V39" s="162"/>
      <c r="W39" s="148"/>
      <c r="X39" s="163"/>
      <c r="Y39" s="162"/>
      <c r="Z39" s="164"/>
      <c r="AA39" s="116"/>
      <c r="AB39" s="116"/>
      <c r="AC39" s="188" t="s">
        <v>341</v>
      </c>
      <c r="AD39" s="145" t="str">
        <f t="shared" si="12"/>
        <v>mayo</v>
      </c>
      <c r="AE39" s="256"/>
      <c r="AF39" s="149" t="b">
        <v>0</v>
      </c>
      <c r="AG39" s="166"/>
      <c r="AH39" s="149" t="b">
        <v>0</v>
      </c>
      <c r="AI39" s="162"/>
      <c r="AJ39" s="143"/>
      <c r="AK39" s="143"/>
      <c r="AL39" s="143"/>
      <c r="AM39" s="143"/>
      <c r="AN39" s="143"/>
      <c r="AO39" s="143"/>
      <c r="AP39" s="143"/>
      <c r="AQ39" s="143"/>
    </row>
    <row r="40" ht="22.5" hidden="1" customHeight="1">
      <c r="A40" s="144" t="s">
        <v>259</v>
      </c>
      <c r="B40" s="218">
        <v>45785.0</v>
      </c>
      <c r="C40" s="149" t="s">
        <v>342</v>
      </c>
      <c r="D40" s="257" t="s">
        <v>343</v>
      </c>
      <c r="E40" s="148" t="s">
        <v>28</v>
      </c>
      <c r="F40" s="171" t="s">
        <v>344</v>
      </c>
      <c r="G40" s="149">
        <v>5.1983376698E10</v>
      </c>
      <c r="H40" s="148" t="s">
        <v>257</v>
      </c>
      <c r="I40" s="148" t="s">
        <v>61</v>
      </c>
      <c r="J40" s="220">
        <v>1079.9</v>
      </c>
      <c r="K40" s="169">
        <f t="shared" si="1"/>
        <v>4319.1</v>
      </c>
      <c r="L40" s="221">
        <v>5399.0</v>
      </c>
      <c r="M40" s="239">
        <v>5046.99</v>
      </c>
      <c r="N40" s="155">
        <v>1069.49</v>
      </c>
      <c r="O40" s="191">
        <f t="shared" si="14"/>
        <v>352.01</v>
      </c>
      <c r="P40" s="179">
        <f t="shared" si="4"/>
        <v>0</v>
      </c>
      <c r="Q40" s="192"/>
      <c r="R40" s="159"/>
      <c r="S40" s="181"/>
      <c r="T40" s="193"/>
      <c r="U40" s="191"/>
      <c r="V40" s="162"/>
      <c r="W40" s="194"/>
      <c r="X40" s="195"/>
      <c r="Y40" s="162"/>
      <c r="Z40" s="164"/>
      <c r="AA40" s="116"/>
      <c r="AB40" s="116"/>
      <c r="AC40" s="171" t="s">
        <v>345</v>
      </c>
      <c r="AD40" s="145" t="str">
        <f t="shared" si="12"/>
        <v>mayo</v>
      </c>
      <c r="AE40" s="201"/>
      <c r="AF40" s="149" t="b">
        <v>0</v>
      </c>
      <c r="AG40" s="166"/>
      <c r="AH40" s="149" t="b">
        <v>0</v>
      </c>
      <c r="AI40" s="162"/>
      <c r="AJ40" s="143"/>
      <c r="AK40" s="143"/>
      <c r="AL40" s="143"/>
      <c r="AM40" s="143"/>
      <c r="AN40" s="143"/>
      <c r="AO40" s="143"/>
      <c r="AP40" s="143"/>
      <c r="AQ40" s="143"/>
    </row>
    <row r="41" ht="22.5" customHeight="1">
      <c r="A41" s="144" t="s">
        <v>162</v>
      </c>
      <c r="B41" s="218">
        <v>45785.0</v>
      </c>
      <c r="C41" s="149" t="s">
        <v>346</v>
      </c>
      <c r="D41" s="208" t="s">
        <v>347</v>
      </c>
      <c r="E41" s="148" t="s">
        <v>28</v>
      </c>
      <c r="F41" s="171" t="s">
        <v>348</v>
      </c>
      <c r="G41" s="149" t="s">
        <v>349</v>
      </c>
      <c r="H41" s="148" t="s">
        <v>257</v>
      </c>
      <c r="I41" s="148" t="s">
        <v>61</v>
      </c>
      <c r="J41" s="168">
        <v>1180.0</v>
      </c>
      <c r="K41" s="169">
        <f t="shared" si="1"/>
        <v>4719</v>
      </c>
      <c r="L41" s="170">
        <v>5899.0</v>
      </c>
      <c r="M41" s="239">
        <v>5499.0</v>
      </c>
      <c r="N41" s="155">
        <v>1150.0</v>
      </c>
      <c r="O41" s="191">
        <f t="shared" si="14"/>
        <v>400</v>
      </c>
      <c r="P41" s="179">
        <f t="shared" si="4"/>
        <v>0</v>
      </c>
      <c r="Q41" s="192"/>
      <c r="R41" s="159"/>
      <c r="S41" s="181"/>
      <c r="T41" s="193"/>
      <c r="U41" s="191"/>
      <c r="V41" s="162"/>
      <c r="W41" s="148"/>
      <c r="X41" s="163"/>
      <c r="Y41" s="162"/>
      <c r="Z41" s="164"/>
      <c r="AA41" s="116"/>
      <c r="AB41" s="116"/>
      <c r="AC41" s="149" t="s">
        <v>350</v>
      </c>
      <c r="AD41" s="145" t="str">
        <f t="shared" si="12"/>
        <v>mayo</v>
      </c>
      <c r="AE41" s="162"/>
      <c r="AF41" s="149" t="b">
        <v>0</v>
      </c>
      <c r="AG41" s="166"/>
      <c r="AH41" s="149" t="b">
        <v>0</v>
      </c>
      <c r="AI41" s="162"/>
      <c r="AJ41" s="143"/>
      <c r="AK41" s="143"/>
      <c r="AL41" s="143"/>
      <c r="AM41" s="143"/>
      <c r="AN41" s="143"/>
      <c r="AO41" s="143"/>
      <c r="AP41" s="143"/>
      <c r="AQ41" s="143"/>
    </row>
    <row r="42" ht="22.5" hidden="1" customHeight="1">
      <c r="A42" s="144" t="s">
        <v>34</v>
      </c>
      <c r="B42" s="218">
        <v>45786.0</v>
      </c>
      <c r="C42" s="258" t="s">
        <v>351</v>
      </c>
      <c r="D42" s="167" t="s">
        <v>352</v>
      </c>
      <c r="E42" s="148" t="s">
        <v>28</v>
      </c>
      <c r="F42" s="259" t="s">
        <v>353</v>
      </c>
      <c r="G42" s="149">
        <v>5.1972570891E10</v>
      </c>
      <c r="H42" s="148" t="s">
        <v>257</v>
      </c>
      <c r="I42" s="148" t="s">
        <v>61</v>
      </c>
      <c r="J42" s="168">
        <v>1319.8</v>
      </c>
      <c r="K42" s="169">
        <f t="shared" si="1"/>
        <v>5279.2</v>
      </c>
      <c r="L42" s="170">
        <v>6599.0</v>
      </c>
      <c r="M42" s="239">
        <v>6136.0</v>
      </c>
      <c r="N42" s="260">
        <v>1299.99</v>
      </c>
      <c r="O42" s="191">
        <f t="shared" si="14"/>
        <v>463</v>
      </c>
      <c r="P42" s="179">
        <f t="shared" si="4"/>
        <v>0</v>
      </c>
      <c r="Q42" s="180"/>
      <c r="R42" s="159"/>
      <c r="S42" s="181"/>
      <c r="T42" s="193"/>
      <c r="U42" s="191"/>
      <c r="V42" s="162"/>
      <c r="W42" s="148"/>
      <c r="X42" s="163"/>
      <c r="Y42" s="162"/>
      <c r="Z42" s="164"/>
      <c r="AA42" s="116"/>
      <c r="AB42" s="116"/>
      <c r="AC42" s="248" t="s">
        <v>354</v>
      </c>
      <c r="AD42" s="145" t="str">
        <f t="shared" si="12"/>
        <v>mayo</v>
      </c>
      <c r="AE42" s="261"/>
      <c r="AF42" s="149" t="b">
        <v>0</v>
      </c>
      <c r="AG42" s="166"/>
      <c r="AH42" s="149" t="b">
        <v>0</v>
      </c>
      <c r="AI42" s="162"/>
      <c r="AJ42" s="143"/>
      <c r="AK42" s="143"/>
      <c r="AL42" s="143"/>
      <c r="AM42" s="143"/>
      <c r="AN42" s="143"/>
      <c r="AO42" s="143"/>
      <c r="AP42" s="143"/>
      <c r="AQ42" s="143"/>
    </row>
    <row r="43" ht="22.5" customHeight="1">
      <c r="A43" s="144" t="s">
        <v>162</v>
      </c>
      <c r="B43" s="218">
        <v>45787.0</v>
      </c>
      <c r="C43" s="146" t="s">
        <v>355</v>
      </c>
      <c r="D43" s="208" t="s">
        <v>356</v>
      </c>
      <c r="E43" s="148" t="s">
        <v>28</v>
      </c>
      <c r="F43" s="262" t="s">
        <v>357</v>
      </c>
      <c r="G43" s="149" t="s">
        <v>358</v>
      </c>
      <c r="H43" s="148" t="s">
        <v>257</v>
      </c>
      <c r="I43" s="148" t="s">
        <v>61</v>
      </c>
      <c r="J43" s="168">
        <v>1197.0</v>
      </c>
      <c r="K43" s="169">
        <f t="shared" si="1"/>
        <v>5002</v>
      </c>
      <c r="L43" s="170">
        <v>6199.0</v>
      </c>
      <c r="M43" s="239">
        <v>6129.76</v>
      </c>
      <c r="N43" s="260">
        <v>1325.99</v>
      </c>
      <c r="O43" s="191">
        <f t="shared" si="14"/>
        <v>69.24</v>
      </c>
      <c r="P43" s="179">
        <f t="shared" si="4"/>
        <v>0</v>
      </c>
      <c r="Q43" s="192"/>
      <c r="R43" s="159"/>
      <c r="S43" s="181"/>
      <c r="T43" s="193"/>
      <c r="U43" s="191"/>
      <c r="V43" s="162"/>
      <c r="W43" s="148"/>
      <c r="X43" s="163"/>
      <c r="Y43" s="162"/>
      <c r="Z43" s="164"/>
      <c r="AA43" s="116"/>
      <c r="AB43" s="116"/>
      <c r="AC43" s="263" t="s">
        <v>359</v>
      </c>
      <c r="AD43" s="145" t="str">
        <f t="shared" si="12"/>
        <v>mayo</v>
      </c>
      <c r="AE43" s="264"/>
      <c r="AF43" s="149" t="b">
        <v>0</v>
      </c>
      <c r="AG43" s="166"/>
      <c r="AH43" s="149" t="b">
        <v>0</v>
      </c>
      <c r="AI43" s="162"/>
      <c r="AJ43" s="143"/>
      <c r="AK43" s="143"/>
      <c r="AL43" s="143"/>
      <c r="AM43" s="143"/>
      <c r="AN43" s="143"/>
      <c r="AO43" s="143"/>
      <c r="AP43" s="143"/>
      <c r="AQ43" s="143"/>
    </row>
    <row r="44" ht="22.5" customHeight="1">
      <c r="A44" s="144" t="s">
        <v>162</v>
      </c>
      <c r="B44" s="218">
        <v>45787.0</v>
      </c>
      <c r="C44" s="149" t="s">
        <v>328</v>
      </c>
      <c r="D44" s="208" t="s">
        <v>356</v>
      </c>
      <c r="E44" s="148" t="s">
        <v>28</v>
      </c>
      <c r="F44" s="265" t="s">
        <v>360</v>
      </c>
      <c r="G44" s="149" t="s">
        <v>358</v>
      </c>
      <c r="H44" s="148" t="s">
        <v>257</v>
      </c>
      <c r="I44" s="148" t="s">
        <v>61</v>
      </c>
      <c r="J44" s="168">
        <v>1442.6</v>
      </c>
      <c r="K44" s="169">
        <f t="shared" si="1"/>
        <v>5556.4</v>
      </c>
      <c r="L44" s="170">
        <v>6999.0</v>
      </c>
      <c r="M44" s="239">
        <v>6429.0</v>
      </c>
      <c r="N44" s="155">
        <v>1385.0</v>
      </c>
      <c r="O44" s="191">
        <f t="shared" si="14"/>
        <v>570</v>
      </c>
      <c r="P44" s="179">
        <f t="shared" si="4"/>
        <v>0</v>
      </c>
      <c r="Q44" s="192"/>
      <c r="R44" s="159"/>
      <c r="S44" s="181"/>
      <c r="T44" s="193"/>
      <c r="U44" s="191"/>
      <c r="V44" s="162"/>
      <c r="W44" s="148"/>
      <c r="X44" s="163"/>
      <c r="Y44" s="162"/>
      <c r="Z44" s="164"/>
      <c r="AA44" s="116"/>
      <c r="AB44" s="116"/>
      <c r="AC44" s="174" t="s">
        <v>361</v>
      </c>
      <c r="AD44" s="145" t="str">
        <f t="shared" si="12"/>
        <v>mayo</v>
      </c>
      <c r="AE44" s="211"/>
      <c r="AF44" s="149" t="b">
        <v>0</v>
      </c>
      <c r="AG44" s="166"/>
      <c r="AH44" s="149" t="b">
        <v>0</v>
      </c>
      <c r="AI44" s="162"/>
      <c r="AJ44" s="143"/>
      <c r="AK44" s="143"/>
      <c r="AL44" s="143"/>
      <c r="AM44" s="143"/>
      <c r="AN44" s="143"/>
      <c r="AO44" s="143"/>
      <c r="AP44" s="143"/>
      <c r="AQ44" s="143"/>
    </row>
    <row r="45" ht="22.5" hidden="1" customHeight="1">
      <c r="A45" s="144" t="s">
        <v>259</v>
      </c>
      <c r="B45" s="218">
        <v>45787.0</v>
      </c>
      <c r="C45" s="266" t="s">
        <v>362</v>
      </c>
      <c r="D45" s="208" t="s">
        <v>363</v>
      </c>
      <c r="E45" s="148" t="s">
        <v>28</v>
      </c>
      <c r="F45" s="262" t="s">
        <v>364</v>
      </c>
      <c r="G45" s="149">
        <v>5.1989411761E10</v>
      </c>
      <c r="H45" s="148" t="s">
        <v>257</v>
      </c>
      <c r="I45" s="148" t="s">
        <v>61</v>
      </c>
      <c r="J45" s="220">
        <v>1849.84</v>
      </c>
      <c r="K45" s="169">
        <f t="shared" si="1"/>
        <v>7395.16</v>
      </c>
      <c r="L45" s="221">
        <v>9245.0</v>
      </c>
      <c r="M45" s="239">
        <v>9050.0</v>
      </c>
      <c r="N45" s="155">
        <v>1999.0</v>
      </c>
      <c r="O45" s="191">
        <f t="shared" si="14"/>
        <v>195</v>
      </c>
      <c r="P45" s="179">
        <f t="shared" si="4"/>
        <v>0</v>
      </c>
      <c r="Q45" s="192"/>
      <c r="R45" s="159"/>
      <c r="S45" s="181"/>
      <c r="T45" s="193"/>
      <c r="U45" s="191"/>
      <c r="V45" s="162"/>
      <c r="W45" s="194"/>
      <c r="X45" s="195"/>
      <c r="Y45" s="162"/>
      <c r="Z45" s="164"/>
      <c r="AA45" s="116"/>
      <c r="AB45" s="116"/>
      <c r="AC45" s="149" t="s">
        <v>365</v>
      </c>
      <c r="AD45" s="145" t="str">
        <f t="shared" si="12"/>
        <v>mayo</v>
      </c>
      <c r="AE45" s="162"/>
      <c r="AF45" s="149" t="b">
        <v>0</v>
      </c>
      <c r="AG45" s="166"/>
      <c r="AH45" s="149" t="b">
        <v>0</v>
      </c>
      <c r="AI45" s="162"/>
      <c r="AJ45" s="143"/>
      <c r="AK45" s="143"/>
      <c r="AL45" s="143"/>
      <c r="AM45" s="143"/>
      <c r="AN45" s="143"/>
      <c r="AO45" s="143"/>
      <c r="AP45" s="143"/>
      <c r="AQ45" s="143"/>
    </row>
    <row r="46" ht="22.5" hidden="1" customHeight="1">
      <c r="A46" s="144" t="s">
        <v>34</v>
      </c>
      <c r="B46" s="218">
        <v>45789.0</v>
      </c>
      <c r="C46" s="267" t="s">
        <v>366</v>
      </c>
      <c r="D46" s="167" t="s">
        <v>367</v>
      </c>
      <c r="E46" s="148" t="s">
        <v>28</v>
      </c>
      <c r="F46" s="262" t="s">
        <v>368</v>
      </c>
      <c r="G46" s="149">
        <v>5.1957038324E10</v>
      </c>
      <c r="H46" s="148" t="s">
        <v>257</v>
      </c>
      <c r="I46" s="148" t="s">
        <v>61</v>
      </c>
      <c r="J46" s="168">
        <v>99.0</v>
      </c>
      <c r="K46" s="169">
        <f t="shared" si="1"/>
        <v>392.56</v>
      </c>
      <c r="L46" s="170">
        <v>491.56</v>
      </c>
      <c r="M46" s="239">
        <v>491.56</v>
      </c>
      <c r="N46" s="155">
        <v>99.95</v>
      </c>
      <c r="O46" s="191">
        <f t="shared" si="14"/>
        <v>0</v>
      </c>
      <c r="P46" s="179">
        <f t="shared" si="4"/>
        <v>0</v>
      </c>
      <c r="Q46" s="180"/>
      <c r="R46" s="159"/>
      <c r="S46" s="181"/>
      <c r="T46" s="193"/>
      <c r="U46" s="191"/>
      <c r="V46" s="162"/>
      <c r="W46" s="148"/>
      <c r="X46" s="163"/>
      <c r="Y46" s="162"/>
      <c r="Z46" s="10" t="s">
        <v>369</v>
      </c>
      <c r="AA46" s="116"/>
      <c r="AB46" s="116"/>
      <c r="AC46" s="149" t="s">
        <v>370</v>
      </c>
      <c r="AD46" s="145" t="str">
        <f t="shared" si="12"/>
        <v>mayo</v>
      </c>
      <c r="AE46" s="162"/>
      <c r="AF46" s="149" t="b">
        <v>0</v>
      </c>
      <c r="AG46" s="166"/>
      <c r="AH46" s="149" t="b">
        <v>0</v>
      </c>
      <c r="AI46" s="162"/>
      <c r="AJ46" s="143"/>
      <c r="AK46" s="143"/>
      <c r="AL46" s="143"/>
      <c r="AM46" s="143"/>
      <c r="AN46" s="143"/>
      <c r="AO46" s="143"/>
      <c r="AP46" s="143"/>
      <c r="AQ46" s="143"/>
    </row>
    <row r="47" ht="22.5" hidden="1" customHeight="1">
      <c r="A47" s="144" t="s">
        <v>34</v>
      </c>
      <c r="B47" s="218">
        <v>45789.0</v>
      </c>
      <c r="C47" s="267" t="s">
        <v>371</v>
      </c>
      <c r="D47" s="167" t="s">
        <v>372</v>
      </c>
      <c r="E47" s="148" t="s">
        <v>28</v>
      </c>
      <c r="F47" s="262" t="s">
        <v>373</v>
      </c>
      <c r="G47" s="149">
        <v>5.1958416917E10</v>
      </c>
      <c r="H47" s="148" t="s">
        <v>257</v>
      </c>
      <c r="I47" s="148" t="s">
        <v>61</v>
      </c>
      <c r="J47" s="168">
        <v>55.0</v>
      </c>
      <c r="K47" s="169">
        <f t="shared" si="1"/>
        <v>217.81</v>
      </c>
      <c r="L47" s="170">
        <v>272.81</v>
      </c>
      <c r="M47" s="239">
        <v>272.81</v>
      </c>
      <c r="N47" s="155">
        <v>45.49</v>
      </c>
      <c r="O47" s="191">
        <f t="shared" si="14"/>
        <v>0</v>
      </c>
      <c r="P47" s="179">
        <f t="shared" si="4"/>
        <v>0</v>
      </c>
      <c r="Q47" s="180"/>
      <c r="R47" s="159"/>
      <c r="S47" s="181"/>
      <c r="T47" s="193"/>
      <c r="U47" s="191"/>
      <c r="V47" s="162"/>
      <c r="W47" s="148"/>
      <c r="X47" s="163"/>
      <c r="Y47" s="162"/>
      <c r="Z47" s="10" t="s">
        <v>374</v>
      </c>
      <c r="AA47" s="116"/>
      <c r="AB47" s="116"/>
      <c r="AC47" s="149" t="s">
        <v>370</v>
      </c>
      <c r="AD47" s="145" t="str">
        <f t="shared" si="12"/>
        <v>mayo</v>
      </c>
      <c r="AE47" s="162"/>
      <c r="AF47" s="149" t="b">
        <v>0</v>
      </c>
      <c r="AG47" s="166"/>
      <c r="AH47" s="149" t="b">
        <v>0</v>
      </c>
      <c r="AI47" s="162"/>
      <c r="AJ47" s="143"/>
      <c r="AK47" s="143"/>
      <c r="AL47" s="143"/>
      <c r="AM47" s="143"/>
      <c r="AN47" s="143"/>
      <c r="AO47" s="143"/>
      <c r="AP47" s="143"/>
      <c r="AQ47" s="143"/>
    </row>
    <row r="48" ht="22.5" hidden="1" customHeight="1">
      <c r="A48" s="144" t="s">
        <v>259</v>
      </c>
      <c r="B48" s="145">
        <v>45789.0</v>
      </c>
      <c r="C48" s="268" t="s">
        <v>375</v>
      </c>
      <c r="D48" s="208" t="s">
        <v>376</v>
      </c>
      <c r="E48" s="148" t="s">
        <v>28</v>
      </c>
      <c r="F48" s="269" t="s">
        <v>377</v>
      </c>
      <c r="G48" s="149">
        <v>5.1993403683E10</v>
      </c>
      <c r="H48" s="148" t="s">
        <v>257</v>
      </c>
      <c r="I48" s="150">
        <v>1.0</v>
      </c>
      <c r="J48" s="270"/>
      <c r="K48" s="271" t="str">
        <f t="shared" si="1"/>
        <v/>
      </c>
      <c r="L48" s="221">
        <v>5820.0</v>
      </c>
      <c r="M48" s="239">
        <v>5740.0</v>
      </c>
      <c r="N48" s="155">
        <v>1199.0</v>
      </c>
      <c r="O48" s="191">
        <f t="shared" si="14"/>
        <v>80</v>
      </c>
      <c r="P48" s="179">
        <f t="shared" si="4"/>
        <v>0</v>
      </c>
      <c r="Q48" s="192"/>
      <c r="R48" s="159"/>
      <c r="S48" s="181"/>
      <c r="T48" s="193"/>
      <c r="U48" s="191"/>
      <c r="V48" s="162"/>
      <c r="W48" s="194"/>
      <c r="X48" s="195"/>
      <c r="Y48" s="162"/>
      <c r="Z48" s="164"/>
      <c r="AA48" s="116"/>
      <c r="AB48" s="116"/>
      <c r="AC48" s="165"/>
      <c r="AD48" s="145" t="str">
        <f t="shared" si="12"/>
        <v>mayo</v>
      </c>
      <c r="AE48" s="166"/>
      <c r="AF48" s="149" t="b">
        <v>0</v>
      </c>
      <c r="AG48" s="166"/>
      <c r="AH48" s="149" t="b">
        <v>0</v>
      </c>
      <c r="AI48" s="162"/>
      <c r="AJ48" s="143"/>
      <c r="AK48" s="143"/>
      <c r="AL48" s="143"/>
      <c r="AM48" s="143"/>
      <c r="AN48" s="143"/>
      <c r="AO48" s="143"/>
      <c r="AP48" s="143"/>
      <c r="AQ48" s="143"/>
    </row>
    <row r="49" ht="22.5" customHeight="1">
      <c r="A49" s="144" t="s">
        <v>162</v>
      </c>
      <c r="B49" s="145">
        <v>45790.0</v>
      </c>
      <c r="C49" s="149" t="s">
        <v>378</v>
      </c>
      <c r="D49" s="208" t="s">
        <v>379</v>
      </c>
      <c r="E49" s="148" t="s">
        <v>28</v>
      </c>
      <c r="F49" s="149" t="s">
        <v>380</v>
      </c>
      <c r="G49" s="149" t="s">
        <v>381</v>
      </c>
      <c r="H49" s="148" t="s">
        <v>257</v>
      </c>
      <c r="I49" s="150">
        <v>1.0</v>
      </c>
      <c r="J49" s="168">
        <v>2900.0</v>
      </c>
      <c r="K49" s="169">
        <f t="shared" si="1"/>
        <v>2199</v>
      </c>
      <c r="L49" s="170">
        <v>5099.0</v>
      </c>
      <c r="M49" s="239">
        <v>4850.0</v>
      </c>
      <c r="N49" s="155">
        <v>998.0</v>
      </c>
      <c r="O49" s="191">
        <f t="shared" si="14"/>
        <v>249</v>
      </c>
      <c r="P49" s="179">
        <f t="shared" si="4"/>
        <v>0</v>
      </c>
      <c r="Q49" s="192"/>
      <c r="R49" s="159"/>
      <c r="S49" s="181"/>
      <c r="T49" s="193"/>
      <c r="U49" s="191"/>
      <c r="V49" s="162"/>
      <c r="W49" s="148"/>
      <c r="X49" s="163"/>
      <c r="Y49" s="162"/>
      <c r="Z49" s="164"/>
      <c r="AA49" s="116"/>
      <c r="AB49" s="116"/>
      <c r="AC49" s="149" t="s">
        <v>382</v>
      </c>
      <c r="AD49" s="145" t="str">
        <f t="shared" si="12"/>
        <v>mayo</v>
      </c>
      <c r="AE49" s="162"/>
      <c r="AF49" s="149" t="b">
        <v>0</v>
      </c>
      <c r="AG49" s="166"/>
      <c r="AH49" s="149" t="b">
        <v>0</v>
      </c>
      <c r="AI49" s="162"/>
      <c r="AJ49" s="143"/>
      <c r="AK49" s="143"/>
      <c r="AL49" s="143"/>
      <c r="AM49" s="143"/>
      <c r="AN49" s="143"/>
      <c r="AO49" s="143"/>
      <c r="AP49" s="143"/>
      <c r="AQ49" s="143"/>
    </row>
    <row r="50" ht="22.5" hidden="1" customHeight="1">
      <c r="A50" s="144" t="s">
        <v>34</v>
      </c>
      <c r="B50" s="145">
        <v>45790.0</v>
      </c>
      <c r="C50" s="146" t="s">
        <v>355</v>
      </c>
      <c r="D50" s="167" t="s">
        <v>383</v>
      </c>
      <c r="E50" s="148" t="s">
        <v>28</v>
      </c>
      <c r="F50" s="262" t="s">
        <v>384</v>
      </c>
      <c r="G50" s="149">
        <v>5.1916215066E10</v>
      </c>
      <c r="H50" s="148" t="s">
        <v>257</v>
      </c>
      <c r="I50" s="148" t="s">
        <v>61</v>
      </c>
      <c r="J50" s="168">
        <v>1160.0</v>
      </c>
      <c r="K50" s="169">
        <f t="shared" si="1"/>
        <v>4639</v>
      </c>
      <c r="L50" s="170">
        <v>5799.0</v>
      </c>
      <c r="M50" s="239">
        <v>5655.3</v>
      </c>
      <c r="N50" s="155">
        <v>1191.99</v>
      </c>
      <c r="O50" s="191">
        <f t="shared" si="14"/>
        <v>143.7</v>
      </c>
      <c r="P50" s="179">
        <f t="shared" si="4"/>
        <v>0</v>
      </c>
      <c r="Q50" s="180"/>
      <c r="R50" s="159"/>
      <c r="S50" s="181"/>
      <c r="T50" s="193"/>
      <c r="U50" s="191"/>
      <c r="V50" s="162"/>
      <c r="W50" s="148"/>
      <c r="X50" s="163"/>
      <c r="Y50" s="162"/>
      <c r="Z50" s="164"/>
      <c r="AA50" s="116"/>
      <c r="AB50" s="116"/>
      <c r="AC50" s="149" t="s">
        <v>385</v>
      </c>
      <c r="AD50" s="145" t="str">
        <f t="shared" si="12"/>
        <v>mayo</v>
      </c>
      <c r="AE50" s="162"/>
      <c r="AF50" s="149" t="b">
        <v>0</v>
      </c>
      <c r="AG50" s="166"/>
      <c r="AH50" s="149" t="b">
        <v>0</v>
      </c>
      <c r="AI50" s="162"/>
      <c r="AJ50" s="143"/>
      <c r="AK50" s="143"/>
      <c r="AL50" s="143"/>
      <c r="AM50" s="143"/>
      <c r="AN50" s="143"/>
      <c r="AO50" s="143"/>
      <c r="AP50" s="143"/>
      <c r="AQ50" s="143"/>
    </row>
    <row r="51" ht="22.5" customHeight="1">
      <c r="A51" s="144" t="s">
        <v>162</v>
      </c>
      <c r="B51" s="145">
        <v>45791.0</v>
      </c>
      <c r="C51" s="149" t="s">
        <v>227</v>
      </c>
      <c r="D51" s="208" t="s">
        <v>386</v>
      </c>
      <c r="E51" s="148" t="s">
        <v>28</v>
      </c>
      <c r="F51" s="113" t="s">
        <v>387</v>
      </c>
      <c r="G51" s="149">
        <v>5.1956371846E10</v>
      </c>
      <c r="H51" s="148" t="s">
        <v>257</v>
      </c>
      <c r="I51" s="148" t="s">
        <v>61</v>
      </c>
      <c r="J51" s="168">
        <v>1315.0</v>
      </c>
      <c r="K51" s="169">
        <f t="shared" si="1"/>
        <v>5584</v>
      </c>
      <c r="L51" s="170">
        <v>6899.0</v>
      </c>
      <c r="M51" s="239">
        <v>6724.1</v>
      </c>
      <c r="N51" s="155">
        <v>1459.99</v>
      </c>
      <c r="O51" s="191">
        <f t="shared" si="14"/>
        <v>174.9</v>
      </c>
      <c r="P51" s="179">
        <f t="shared" si="4"/>
        <v>0</v>
      </c>
      <c r="Q51" s="192"/>
      <c r="R51" s="159"/>
      <c r="S51" s="181"/>
      <c r="T51" s="193"/>
      <c r="U51" s="191"/>
      <c r="V51" s="162"/>
      <c r="W51" s="148"/>
      <c r="X51" s="163"/>
      <c r="Y51" s="162"/>
      <c r="Z51" s="164"/>
      <c r="AA51" s="116"/>
      <c r="AB51" s="116"/>
      <c r="AC51" s="149" t="s">
        <v>388</v>
      </c>
      <c r="AD51" s="145" t="str">
        <f t="shared" si="12"/>
        <v>mayo</v>
      </c>
      <c r="AE51" s="162"/>
      <c r="AF51" s="149" t="b">
        <v>0</v>
      </c>
      <c r="AG51" s="166"/>
      <c r="AH51" s="149" t="b">
        <v>0</v>
      </c>
      <c r="AI51" s="162"/>
      <c r="AJ51" s="143"/>
      <c r="AK51" s="143"/>
      <c r="AL51" s="143"/>
      <c r="AM51" s="143"/>
      <c r="AN51" s="143"/>
      <c r="AO51" s="143"/>
      <c r="AP51" s="143"/>
      <c r="AQ51" s="143"/>
    </row>
    <row r="52" ht="22.5" customHeight="1">
      <c r="A52" s="144" t="s">
        <v>162</v>
      </c>
      <c r="B52" s="145">
        <v>45792.0</v>
      </c>
      <c r="C52" s="149" t="s">
        <v>328</v>
      </c>
      <c r="D52" s="167" t="s">
        <v>389</v>
      </c>
      <c r="E52" s="148" t="s">
        <v>28</v>
      </c>
      <c r="F52" s="262" t="s">
        <v>390</v>
      </c>
      <c r="G52" s="149">
        <v>5.1900175944E10</v>
      </c>
      <c r="H52" s="148" t="s">
        <v>257</v>
      </c>
      <c r="I52" s="148" t="s">
        <v>61</v>
      </c>
      <c r="J52" s="168">
        <v>1377.5</v>
      </c>
      <c r="K52" s="169">
        <f t="shared" si="1"/>
        <v>5172.5</v>
      </c>
      <c r="L52" s="170">
        <v>6550.0</v>
      </c>
      <c r="M52" s="239">
        <v>6429.0</v>
      </c>
      <c r="N52" s="155">
        <v>1385.0</v>
      </c>
      <c r="O52" s="191">
        <f t="shared" si="14"/>
        <v>121</v>
      </c>
      <c r="P52" s="179">
        <f t="shared" si="4"/>
        <v>0</v>
      </c>
      <c r="Q52" s="192"/>
      <c r="R52" s="159"/>
      <c r="S52" s="181"/>
      <c r="T52" s="193"/>
      <c r="U52" s="191"/>
      <c r="V52" s="162"/>
      <c r="W52" s="148"/>
      <c r="X52" s="163"/>
      <c r="Y52" s="162"/>
      <c r="Z52" s="164"/>
      <c r="AA52" s="116"/>
      <c r="AB52" s="116"/>
      <c r="AC52" s="165"/>
      <c r="AD52" s="145" t="str">
        <f t="shared" si="12"/>
        <v>mayo</v>
      </c>
      <c r="AE52" s="166"/>
      <c r="AF52" s="149" t="b">
        <v>0</v>
      </c>
      <c r="AG52" s="166"/>
      <c r="AH52" s="149" t="b">
        <v>0</v>
      </c>
      <c r="AI52" s="162"/>
      <c r="AJ52" s="143"/>
      <c r="AK52" s="143"/>
      <c r="AL52" s="143"/>
      <c r="AM52" s="143"/>
      <c r="AN52" s="143"/>
      <c r="AO52" s="143"/>
      <c r="AP52" s="143"/>
      <c r="AQ52" s="143"/>
    </row>
    <row r="53" ht="22.5" customHeight="1">
      <c r="A53" s="144" t="s">
        <v>162</v>
      </c>
      <c r="B53" s="145">
        <v>45792.0</v>
      </c>
      <c r="C53" s="272" t="s">
        <v>391</v>
      </c>
      <c r="D53" s="167" t="s">
        <v>392</v>
      </c>
      <c r="E53" s="148" t="s">
        <v>28</v>
      </c>
      <c r="F53" s="262" t="s">
        <v>393</v>
      </c>
      <c r="G53" s="248">
        <v>5.1955194202E10</v>
      </c>
      <c r="H53" s="148" t="s">
        <v>257</v>
      </c>
      <c r="I53" s="148" t="s">
        <v>61</v>
      </c>
      <c r="J53" s="168">
        <v>1154.0</v>
      </c>
      <c r="K53" s="169">
        <f t="shared" si="1"/>
        <v>4763</v>
      </c>
      <c r="L53" s="170">
        <v>5917.0</v>
      </c>
      <c r="M53" s="239">
        <v>5900.78</v>
      </c>
      <c r="N53" s="155">
        <v>1249.0</v>
      </c>
      <c r="O53" s="191">
        <f t="shared" si="14"/>
        <v>16.22</v>
      </c>
      <c r="P53" s="179">
        <f t="shared" si="4"/>
        <v>0</v>
      </c>
      <c r="Q53" s="192"/>
      <c r="R53" s="159"/>
      <c r="S53" s="181"/>
      <c r="T53" s="193"/>
      <c r="U53" s="191"/>
      <c r="V53" s="162"/>
      <c r="W53" s="148"/>
      <c r="X53" s="163"/>
      <c r="Y53" s="162"/>
      <c r="Z53" s="164"/>
      <c r="AA53" s="116"/>
      <c r="AB53" s="116"/>
      <c r="AC53" s="149" t="s">
        <v>394</v>
      </c>
      <c r="AD53" s="145" t="str">
        <f t="shared" si="12"/>
        <v>mayo</v>
      </c>
      <c r="AE53" s="162"/>
      <c r="AF53" s="149" t="b">
        <v>0</v>
      </c>
      <c r="AG53" s="166"/>
      <c r="AH53" s="149" t="b">
        <v>0</v>
      </c>
      <c r="AI53" s="162"/>
      <c r="AJ53" s="143"/>
      <c r="AK53" s="143"/>
      <c r="AL53" s="143"/>
      <c r="AM53" s="143"/>
      <c r="AN53" s="143"/>
      <c r="AO53" s="143"/>
      <c r="AP53" s="143"/>
      <c r="AQ53" s="143"/>
    </row>
    <row r="54" ht="22.5" hidden="1" customHeight="1">
      <c r="A54" s="144" t="s">
        <v>34</v>
      </c>
      <c r="B54" s="145">
        <v>45793.0</v>
      </c>
      <c r="C54" s="267" t="s">
        <v>395</v>
      </c>
      <c r="D54" s="167" t="s">
        <v>372</v>
      </c>
      <c r="E54" s="148" t="s">
        <v>28</v>
      </c>
      <c r="F54" s="149" t="s">
        <v>396</v>
      </c>
      <c r="G54" s="149">
        <v>5.1958416917E10</v>
      </c>
      <c r="H54" s="148" t="s">
        <v>257</v>
      </c>
      <c r="I54" s="148" t="s">
        <v>61</v>
      </c>
      <c r="J54" s="168">
        <v>0.0</v>
      </c>
      <c r="K54" s="169">
        <f t="shared" si="1"/>
        <v>29.41</v>
      </c>
      <c r="L54" s="170">
        <v>29.41</v>
      </c>
      <c r="M54" s="239">
        <v>29.41</v>
      </c>
      <c r="N54" s="155">
        <v>6.99</v>
      </c>
      <c r="O54" s="191">
        <f t="shared" si="14"/>
        <v>0</v>
      </c>
      <c r="P54" s="179">
        <f t="shared" si="4"/>
        <v>0</v>
      </c>
      <c r="Q54" s="180"/>
      <c r="R54" s="159"/>
      <c r="S54" s="181"/>
      <c r="T54" s="193"/>
      <c r="U54" s="191"/>
      <c r="V54" s="162"/>
      <c r="W54" s="148"/>
      <c r="X54" s="163"/>
      <c r="Y54" s="162"/>
      <c r="Z54" s="10" t="s">
        <v>397</v>
      </c>
      <c r="AA54" s="116"/>
      <c r="AB54" s="116"/>
      <c r="AC54" s="149"/>
      <c r="AD54" s="145" t="str">
        <f t="shared" si="12"/>
        <v>mayo</v>
      </c>
      <c r="AE54" s="162"/>
      <c r="AF54" s="149" t="b">
        <v>0</v>
      </c>
      <c r="AG54" s="166"/>
      <c r="AH54" s="149" t="b">
        <v>0</v>
      </c>
      <c r="AI54" s="162"/>
      <c r="AJ54" s="143"/>
      <c r="AK54" s="143"/>
      <c r="AL54" s="143"/>
      <c r="AM54" s="143"/>
      <c r="AN54" s="143"/>
      <c r="AO54" s="143"/>
      <c r="AP54" s="143"/>
      <c r="AQ54" s="143"/>
    </row>
    <row r="55" ht="22.5" hidden="1" customHeight="1">
      <c r="A55" s="144" t="s">
        <v>34</v>
      </c>
      <c r="B55" s="145">
        <v>45793.0</v>
      </c>
      <c r="C55" s="273" t="s">
        <v>398</v>
      </c>
      <c r="D55" s="274" t="s">
        <v>372</v>
      </c>
      <c r="E55" s="275" t="s">
        <v>399</v>
      </c>
      <c r="F55" s="276" t="s">
        <v>400</v>
      </c>
      <c r="G55" s="149">
        <v>5.1958416917E10</v>
      </c>
      <c r="H55" s="148" t="s">
        <v>257</v>
      </c>
      <c r="I55" s="148" t="s">
        <v>61</v>
      </c>
      <c r="J55" s="168">
        <v>0.0</v>
      </c>
      <c r="K55" s="169">
        <f t="shared" si="1"/>
        <v>118.48</v>
      </c>
      <c r="L55" s="170">
        <v>118.48</v>
      </c>
      <c r="M55" s="239">
        <v>118.48</v>
      </c>
      <c r="N55" s="155">
        <v>27.97</v>
      </c>
      <c r="O55" s="191">
        <f t="shared" si="14"/>
        <v>0</v>
      </c>
      <c r="P55" s="179">
        <f t="shared" si="4"/>
        <v>0</v>
      </c>
      <c r="Q55" s="180"/>
      <c r="R55" s="159"/>
      <c r="S55" s="181"/>
      <c r="T55" s="193"/>
      <c r="U55" s="191"/>
      <c r="V55" s="162"/>
      <c r="W55" s="148"/>
      <c r="X55" s="163"/>
      <c r="Y55" s="162"/>
      <c r="Z55" s="10" t="s">
        <v>401</v>
      </c>
      <c r="AA55" s="116"/>
      <c r="AB55" s="116"/>
      <c r="AC55" s="149" t="s">
        <v>402</v>
      </c>
      <c r="AD55" s="145" t="str">
        <f t="shared" si="12"/>
        <v>mayo</v>
      </c>
      <c r="AE55" s="162"/>
      <c r="AF55" s="149" t="b">
        <v>0</v>
      </c>
      <c r="AG55" s="166"/>
      <c r="AH55" s="149" t="b">
        <v>0</v>
      </c>
      <c r="AI55" s="162"/>
      <c r="AJ55" s="143"/>
      <c r="AK55" s="143"/>
      <c r="AL55" s="143"/>
      <c r="AM55" s="143"/>
      <c r="AN55" s="143"/>
      <c r="AO55" s="143"/>
      <c r="AP55" s="143"/>
      <c r="AQ55" s="143"/>
    </row>
    <row r="56" ht="22.5" hidden="1" customHeight="1">
      <c r="A56" s="144" t="s">
        <v>259</v>
      </c>
      <c r="B56" s="145">
        <v>45794.0</v>
      </c>
      <c r="C56" s="188" t="s">
        <v>403</v>
      </c>
      <c r="D56" s="208" t="s">
        <v>404</v>
      </c>
      <c r="E56" s="148" t="s">
        <v>28</v>
      </c>
      <c r="F56" s="113" t="s">
        <v>405</v>
      </c>
      <c r="G56" s="149">
        <v>5.1929308351E10</v>
      </c>
      <c r="H56" s="148" t="s">
        <v>257</v>
      </c>
      <c r="I56" s="148" t="s">
        <v>61</v>
      </c>
      <c r="J56" s="220">
        <v>1159.8</v>
      </c>
      <c r="K56" s="169">
        <f t="shared" si="1"/>
        <v>4639.2</v>
      </c>
      <c r="L56" s="221">
        <v>5799.0</v>
      </c>
      <c r="M56" s="239">
        <v>5627.0</v>
      </c>
      <c r="N56" s="277"/>
      <c r="O56" s="191">
        <f t="shared" si="14"/>
        <v>172</v>
      </c>
      <c r="P56" s="179">
        <f t="shared" si="4"/>
        <v>0</v>
      </c>
      <c r="Q56" s="192"/>
      <c r="R56" s="159"/>
      <c r="S56" s="181"/>
      <c r="T56" s="193"/>
      <c r="U56" s="191"/>
      <c r="V56" s="162"/>
      <c r="W56" s="194"/>
      <c r="X56" s="195"/>
      <c r="Y56" s="162"/>
      <c r="Z56" s="164"/>
      <c r="AA56" s="116"/>
      <c r="AB56" s="116"/>
      <c r="AC56" s="278" t="s">
        <v>406</v>
      </c>
      <c r="AD56" s="145" t="str">
        <f t="shared" si="12"/>
        <v>mayo</v>
      </c>
      <c r="AE56" s="279"/>
      <c r="AF56" s="149" t="b">
        <v>0</v>
      </c>
      <c r="AG56" s="166"/>
      <c r="AH56" s="149" t="b">
        <v>0</v>
      </c>
      <c r="AI56" s="162"/>
      <c r="AJ56" s="143"/>
      <c r="AK56" s="143"/>
      <c r="AL56" s="143"/>
      <c r="AM56" s="143"/>
      <c r="AN56" s="143"/>
      <c r="AO56" s="143"/>
      <c r="AP56" s="143"/>
      <c r="AQ56" s="143"/>
    </row>
    <row r="57" ht="22.5" customHeight="1">
      <c r="A57" s="144" t="s">
        <v>162</v>
      </c>
      <c r="B57" s="145">
        <v>45794.0</v>
      </c>
      <c r="C57" s="207" t="s">
        <v>407</v>
      </c>
      <c r="D57" s="167" t="s">
        <v>408</v>
      </c>
      <c r="E57" s="148" t="s">
        <v>28</v>
      </c>
      <c r="F57" s="280" t="s">
        <v>409</v>
      </c>
      <c r="G57" s="149">
        <v>5.1998611618E10</v>
      </c>
      <c r="H57" s="148" t="s">
        <v>257</v>
      </c>
      <c r="I57" s="150">
        <v>0.3</v>
      </c>
      <c r="J57" s="168">
        <v>4038.0</v>
      </c>
      <c r="K57" s="169">
        <f t="shared" si="1"/>
        <v>9661</v>
      </c>
      <c r="L57" s="170">
        <v>13699.0</v>
      </c>
      <c r="M57" s="239">
        <v>13261.95</v>
      </c>
      <c r="N57" s="155">
        <v>3059.99</v>
      </c>
      <c r="O57" s="191">
        <f t="shared" si="14"/>
        <v>437.05</v>
      </c>
      <c r="P57" s="179">
        <f t="shared" si="4"/>
        <v>0</v>
      </c>
      <c r="Q57" s="192"/>
      <c r="R57" s="159"/>
      <c r="S57" s="181"/>
      <c r="T57" s="193"/>
      <c r="U57" s="191"/>
      <c r="V57" s="162"/>
      <c r="W57" s="148"/>
      <c r="X57" s="163"/>
      <c r="Y57" s="162"/>
      <c r="Z57" s="164"/>
      <c r="AA57" s="116"/>
      <c r="AB57" s="116"/>
      <c r="AC57" s="149" t="s">
        <v>410</v>
      </c>
      <c r="AD57" s="145" t="str">
        <f t="shared" si="12"/>
        <v>mayo</v>
      </c>
      <c r="AE57" s="162"/>
      <c r="AF57" s="149" t="b">
        <v>0</v>
      </c>
      <c r="AG57" s="166"/>
      <c r="AH57" s="149" t="b">
        <v>0</v>
      </c>
      <c r="AI57" s="162"/>
      <c r="AJ57" s="143"/>
      <c r="AK57" s="143"/>
      <c r="AL57" s="143"/>
      <c r="AM57" s="143"/>
      <c r="AN57" s="143"/>
      <c r="AO57" s="143"/>
      <c r="AP57" s="143"/>
      <c r="AQ57" s="143"/>
    </row>
    <row r="58" ht="22.5" hidden="1" customHeight="1">
      <c r="A58" s="144" t="s">
        <v>34</v>
      </c>
      <c r="B58" s="145">
        <v>45794.0</v>
      </c>
      <c r="C58" s="199" t="s">
        <v>167</v>
      </c>
      <c r="D58" s="208" t="s">
        <v>411</v>
      </c>
      <c r="E58" s="148" t="s">
        <v>28</v>
      </c>
      <c r="F58" s="248" t="s">
        <v>412</v>
      </c>
      <c r="G58" s="149">
        <v>9.94730422E8</v>
      </c>
      <c r="H58" s="148" t="s">
        <v>257</v>
      </c>
      <c r="I58" s="148" t="s">
        <v>61</v>
      </c>
      <c r="J58" s="168">
        <v>3000.0</v>
      </c>
      <c r="K58" s="169">
        <f t="shared" si="1"/>
        <v>5659</v>
      </c>
      <c r="L58" s="170">
        <v>8659.0</v>
      </c>
      <c r="M58" s="239">
        <v>7995.0</v>
      </c>
      <c r="N58" s="155">
        <v>1699.99</v>
      </c>
      <c r="O58" s="191">
        <f t="shared" si="14"/>
        <v>664</v>
      </c>
      <c r="P58" s="179">
        <f t="shared" si="4"/>
        <v>0</v>
      </c>
      <c r="Q58" s="180"/>
      <c r="R58" s="159"/>
      <c r="S58" s="181"/>
      <c r="T58" s="193"/>
      <c r="U58" s="191"/>
      <c r="V58" s="162"/>
      <c r="W58" s="148"/>
      <c r="X58" s="163"/>
      <c r="Y58" s="162"/>
      <c r="Z58" s="164"/>
      <c r="AA58" s="116"/>
      <c r="AB58" s="116"/>
      <c r="AC58" s="149"/>
      <c r="AD58" s="145" t="str">
        <f t="shared" si="12"/>
        <v>mayo</v>
      </c>
      <c r="AE58" s="162"/>
      <c r="AF58" s="149" t="b">
        <v>0</v>
      </c>
      <c r="AG58" s="166"/>
      <c r="AH58" s="149" t="b">
        <v>0</v>
      </c>
      <c r="AI58" s="162"/>
      <c r="AJ58" s="143"/>
      <c r="AK58" s="143"/>
      <c r="AL58" s="143"/>
      <c r="AM58" s="143"/>
      <c r="AN58" s="143"/>
      <c r="AO58" s="143"/>
      <c r="AP58" s="143"/>
      <c r="AQ58" s="143"/>
    </row>
    <row r="59" ht="22.5" hidden="1" customHeight="1">
      <c r="A59" s="144" t="s">
        <v>34</v>
      </c>
      <c r="B59" s="145">
        <v>45794.0</v>
      </c>
      <c r="C59" s="248" t="s">
        <v>310</v>
      </c>
      <c r="D59" s="208" t="s">
        <v>413</v>
      </c>
      <c r="E59" s="148" t="s">
        <v>28</v>
      </c>
      <c r="F59" s="281" t="s">
        <v>414</v>
      </c>
      <c r="G59" s="149" t="s">
        <v>415</v>
      </c>
      <c r="H59" s="148" t="s">
        <v>257</v>
      </c>
      <c r="I59" s="148" t="s">
        <v>61</v>
      </c>
      <c r="J59" s="168">
        <v>959.8</v>
      </c>
      <c r="K59" s="169">
        <f t="shared" si="1"/>
        <v>3839.2</v>
      </c>
      <c r="L59" s="170">
        <v>4799.0</v>
      </c>
      <c r="M59" s="282">
        <v>4756.7895</v>
      </c>
      <c r="N59" s="155">
        <v>984.87</v>
      </c>
      <c r="O59" s="191">
        <f t="shared" si="14"/>
        <v>42.2105</v>
      </c>
      <c r="P59" s="179">
        <f t="shared" si="4"/>
        <v>0</v>
      </c>
      <c r="Q59" s="180"/>
      <c r="R59" s="159"/>
      <c r="S59" s="181"/>
      <c r="T59" s="193"/>
      <c r="U59" s="191"/>
      <c r="V59" s="162"/>
      <c r="W59" s="148"/>
      <c r="X59" s="163"/>
      <c r="Y59" s="162"/>
      <c r="Z59" s="164"/>
      <c r="AA59" s="116"/>
      <c r="AB59" s="116"/>
      <c r="AC59" s="278" t="s">
        <v>416</v>
      </c>
      <c r="AD59" s="145" t="str">
        <f t="shared" si="12"/>
        <v>mayo</v>
      </c>
      <c r="AE59" s="279"/>
      <c r="AF59" s="149" t="b">
        <v>0</v>
      </c>
      <c r="AG59" s="166"/>
      <c r="AH59" s="149" t="b">
        <v>0</v>
      </c>
      <c r="AI59" s="162"/>
      <c r="AJ59" s="143"/>
      <c r="AK59" s="143"/>
      <c r="AL59" s="143"/>
      <c r="AM59" s="143"/>
      <c r="AN59" s="143"/>
      <c r="AO59" s="143"/>
      <c r="AP59" s="143"/>
      <c r="AQ59" s="143"/>
    </row>
    <row r="60" ht="22.5" hidden="1" customHeight="1">
      <c r="A60" s="144" t="s">
        <v>259</v>
      </c>
      <c r="B60" s="145">
        <v>45796.0</v>
      </c>
      <c r="C60" s="188" t="s">
        <v>403</v>
      </c>
      <c r="D60" s="208" t="s">
        <v>417</v>
      </c>
      <c r="E60" s="148" t="s">
        <v>28</v>
      </c>
      <c r="F60" s="283" t="s">
        <v>418</v>
      </c>
      <c r="G60" s="165"/>
      <c r="H60" s="148" t="s">
        <v>257</v>
      </c>
      <c r="I60" s="148" t="s">
        <v>61</v>
      </c>
      <c r="J60" s="220">
        <v>1319.8</v>
      </c>
      <c r="K60" s="169">
        <f t="shared" si="1"/>
        <v>4489.38</v>
      </c>
      <c r="L60" s="221">
        <v>5809.18</v>
      </c>
      <c r="M60" s="284">
        <v>5707.0</v>
      </c>
      <c r="N60" s="155">
        <v>1191.99</v>
      </c>
      <c r="O60" s="191">
        <f t="shared" si="14"/>
        <v>102.18</v>
      </c>
      <c r="P60" s="179">
        <f t="shared" si="4"/>
        <v>0</v>
      </c>
      <c r="Q60" s="192"/>
      <c r="R60" s="159"/>
      <c r="S60" s="181"/>
      <c r="T60" s="193"/>
      <c r="U60" s="191"/>
      <c r="V60" s="162"/>
      <c r="W60" s="194"/>
      <c r="X60" s="195"/>
      <c r="Y60" s="162"/>
      <c r="Z60" s="164"/>
      <c r="AA60" s="116"/>
      <c r="AB60" s="116"/>
      <c r="AC60" s="149"/>
      <c r="AD60" s="145" t="str">
        <f t="shared" si="12"/>
        <v>mayo</v>
      </c>
      <c r="AE60" s="162"/>
      <c r="AF60" s="149" t="b">
        <v>0</v>
      </c>
      <c r="AG60" s="166"/>
      <c r="AH60" s="149" t="b">
        <v>0</v>
      </c>
      <c r="AI60" s="162"/>
      <c r="AJ60" s="143"/>
      <c r="AK60" s="143"/>
      <c r="AL60" s="143"/>
      <c r="AM60" s="143"/>
      <c r="AN60" s="143"/>
      <c r="AO60" s="143"/>
      <c r="AP60" s="143"/>
      <c r="AQ60" s="143"/>
    </row>
    <row r="61" ht="22.5" hidden="1" customHeight="1">
      <c r="A61" s="144" t="s">
        <v>34</v>
      </c>
      <c r="B61" s="145">
        <v>45796.0</v>
      </c>
      <c r="C61" s="199" t="s">
        <v>167</v>
      </c>
      <c r="D61" s="167" t="s">
        <v>367</v>
      </c>
      <c r="E61" s="148" t="s">
        <v>28</v>
      </c>
      <c r="F61" s="248" t="s">
        <v>419</v>
      </c>
      <c r="G61" s="149">
        <v>5.1957038324E10</v>
      </c>
      <c r="H61" s="148" t="s">
        <v>257</v>
      </c>
      <c r="I61" s="148" t="s">
        <v>61</v>
      </c>
      <c r="J61" s="168">
        <v>1791.56</v>
      </c>
      <c r="K61" s="169">
        <f t="shared" si="1"/>
        <v>6607.44</v>
      </c>
      <c r="L61" s="170">
        <v>8399.0</v>
      </c>
      <c r="M61" s="239">
        <v>7995.0</v>
      </c>
      <c r="N61" s="155">
        <v>1699.99</v>
      </c>
      <c r="O61" s="191">
        <f t="shared" si="14"/>
        <v>404</v>
      </c>
      <c r="P61" s="179">
        <f t="shared" si="4"/>
        <v>0</v>
      </c>
      <c r="Q61" s="180"/>
      <c r="R61" s="159"/>
      <c r="S61" s="181"/>
      <c r="T61" s="193"/>
      <c r="U61" s="191"/>
      <c r="V61" s="162"/>
      <c r="W61" s="148"/>
      <c r="X61" s="163"/>
      <c r="Y61" s="162"/>
      <c r="Z61" s="10" t="s">
        <v>420</v>
      </c>
      <c r="AA61" s="116"/>
      <c r="AB61" s="116"/>
      <c r="AC61" s="165"/>
      <c r="AD61" s="145" t="str">
        <f t="shared" si="12"/>
        <v>mayo</v>
      </c>
      <c r="AE61" s="166"/>
      <c r="AF61" s="149" t="b">
        <v>0</v>
      </c>
      <c r="AG61" s="166"/>
      <c r="AH61" s="149" t="b">
        <v>0</v>
      </c>
      <c r="AI61" s="162"/>
      <c r="AJ61" s="285"/>
      <c r="AK61" s="285"/>
      <c r="AL61" s="286"/>
      <c r="AM61" s="286"/>
      <c r="AN61" s="286"/>
      <c r="AO61" s="286"/>
      <c r="AP61" s="286"/>
      <c r="AQ61" s="286"/>
    </row>
    <row r="62" ht="22.5" customHeight="1">
      <c r="A62" s="287" t="s">
        <v>162</v>
      </c>
      <c r="B62" s="288">
        <v>45797.0</v>
      </c>
      <c r="C62" s="289" t="s">
        <v>421</v>
      </c>
      <c r="D62" s="290" t="s">
        <v>422</v>
      </c>
      <c r="E62" s="291" t="s">
        <v>28</v>
      </c>
      <c r="F62" s="292" t="s">
        <v>423</v>
      </c>
      <c r="G62" s="293">
        <v>5.1950949637E10</v>
      </c>
      <c r="H62" s="148" t="s">
        <v>257</v>
      </c>
      <c r="I62" s="294" t="s">
        <v>61</v>
      </c>
      <c r="J62" s="295">
        <v>1280.0</v>
      </c>
      <c r="K62" s="296">
        <f t="shared" si="1"/>
        <v>5219</v>
      </c>
      <c r="L62" s="297">
        <v>6499.0</v>
      </c>
      <c r="M62" s="298">
        <v>6250.15</v>
      </c>
      <c r="N62" s="299">
        <v>1329.99</v>
      </c>
      <c r="O62" s="300">
        <f t="shared" si="14"/>
        <v>248.85</v>
      </c>
      <c r="P62" s="301">
        <f t="shared" si="4"/>
        <v>0</v>
      </c>
      <c r="Q62" s="302"/>
      <c r="R62" s="159"/>
      <c r="S62" s="303"/>
      <c r="T62" s="304"/>
      <c r="U62" s="300"/>
      <c r="V62" s="162"/>
      <c r="W62" s="148"/>
      <c r="X62" s="163"/>
      <c r="Y62" s="162"/>
      <c r="Z62" s="305"/>
      <c r="AA62" s="306"/>
      <c r="AB62" s="306"/>
      <c r="AC62" s="307" t="s">
        <v>424</v>
      </c>
      <c r="AD62" s="145" t="str">
        <f t="shared" si="12"/>
        <v>mayo</v>
      </c>
      <c r="AE62" s="308"/>
      <c r="AF62" s="149" t="b">
        <v>0</v>
      </c>
      <c r="AG62" s="166"/>
      <c r="AH62" s="149" t="b">
        <v>0</v>
      </c>
      <c r="AI62" s="162"/>
      <c r="AJ62" s="143"/>
      <c r="AK62" s="143"/>
      <c r="AL62" s="143"/>
      <c r="AM62" s="143"/>
      <c r="AN62" s="143"/>
      <c r="AO62" s="143"/>
      <c r="AP62" s="143"/>
      <c r="AQ62" s="143"/>
    </row>
    <row r="63" ht="22.5" customHeight="1">
      <c r="A63" s="144" t="s">
        <v>162</v>
      </c>
      <c r="B63" s="288">
        <v>45797.0</v>
      </c>
      <c r="C63" s="309" t="s">
        <v>425</v>
      </c>
      <c r="D63" s="208" t="s">
        <v>426</v>
      </c>
      <c r="E63" s="148" t="s">
        <v>28</v>
      </c>
      <c r="F63" s="149" t="s">
        <v>427</v>
      </c>
      <c r="G63" s="149">
        <v>9.3414009E8</v>
      </c>
      <c r="H63" s="148" t="s">
        <v>257</v>
      </c>
      <c r="I63" s="150">
        <v>0.5</v>
      </c>
      <c r="J63" s="168">
        <v>5708.0</v>
      </c>
      <c r="K63" s="169">
        <f t="shared" si="1"/>
        <v>5708</v>
      </c>
      <c r="L63" s="170">
        <v>11416.0</v>
      </c>
      <c r="M63" s="239">
        <v>11272.66</v>
      </c>
      <c r="N63" s="155">
        <v>2499.99</v>
      </c>
      <c r="O63" s="191">
        <f t="shared" si="14"/>
        <v>143.34</v>
      </c>
      <c r="P63" s="179">
        <f t="shared" si="4"/>
        <v>0</v>
      </c>
      <c r="Q63" s="192"/>
      <c r="R63" s="159"/>
      <c r="S63" s="181"/>
      <c r="T63" s="193"/>
      <c r="U63" s="191"/>
      <c r="V63" s="162"/>
      <c r="W63" s="148"/>
      <c r="X63" s="163"/>
      <c r="Y63" s="162"/>
      <c r="Z63" s="164"/>
      <c r="AA63" s="116"/>
      <c r="AB63" s="116"/>
      <c r="AC63" s="149"/>
      <c r="AD63" s="145" t="str">
        <f t="shared" si="12"/>
        <v>mayo</v>
      </c>
      <c r="AE63" s="162"/>
      <c r="AF63" s="149" t="b">
        <v>0</v>
      </c>
      <c r="AG63" s="166"/>
      <c r="AH63" s="149" t="b">
        <v>0</v>
      </c>
      <c r="AI63" s="162"/>
      <c r="AJ63" s="143"/>
      <c r="AK63" s="143"/>
      <c r="AL63" s="143"/>
      <c r="AM63" s="143"/>
      <c r="AN63" s="143"/>
      <c r="AO63" s="143"/>
      <c r="AP63" s="143"/>
      <c r="AQ63" s="143"/>
    </row>
    <row r="64" ht="22.5" hidden="1" customHeight="1">
      <c r="A64" s="144" t="s">
        <v>34</v>
      </c>
      <c r="B64" s="145">
        <v>45798.0</v>
      </c>
      <c r="C64" s="269" t="s">
        <v>428</v>
      </c>
      <c r="D64" s="167" t="s">
        <v>429</v>
      </c>
      <c r="E64" s="148" t="s">
        <v>28</v>
      </c>
      <c r="F64" s="149" t="s">
        <v>430</v>
      </c>
      <c r="G64" s="149">
        <v>5.1921951589E10</v>
      </c>
      <c r="H64" s="148" t="s">
        <v>257</v>
      </c>
      <c r="I64" s="148" t="s">
        <v>61</v>
      </c>
      <c r="J64" s="168">
        <v>1344.02</v>
      </c>
      <c r="K64" s="169">
        <f t="shared" si="1"/>
        <v>5154.98</v>
      </c>
      <c r="L64" s="170">
        <v>6499.0</v>
      </c>
      <c r="M64" s="239">
        <v>6136.0</v>
      </c>
      <c r="N64" s="155">
        <v>1299.99</v>
      </c>
      <c r="O64" s="191">
        <f t="shared" si="14"/>
        <v>363</v>
      </c>
      <c r="P64" s="179">
        <f t="shared" si="4"/>
        <v>0</v>
      </c>
      <c r="Q64" s="180"/>
      <c r="R64" s="159"/>
      <c r="S64" s="181"/>
      <c r="T64" s="193"/>
      <c r="U64" s="191"/>
      <c r="V64" s="162"/>
      <c r="W64" s="148"/>
      <c r="X64" s="163"/>
      <c r="Y64" s="162"/>
      <c r="Z64" s="10" t="s">
        <v>431</v>
      </c>
      <c r="AA64" s="116"/>
      <c r="AB64" s="116"/>
      <c r="AC64" s="310"/>
      <c r="AD64" s="145" t="str">
        <f t="shared" si="12"/>
        <v>mayo</v>
      </c>
      <c r="AE64" s="311"/>
      <c r="AF64" s="149" t="b">
        <v>0</v>
      </c>
      <c r="AG64" s="166"/>
      <c r="AH64" s="149" t="b">
        <v>0</v>
      </c>
      <c r="AI64" s="162"/>
      <c r="AJ64" s="143"/>
      <c r="AK64" s="143"/>
      <c r="AL64" s="143"/>
      <c r="AM64" s="143"/>
      <c r="AN64" s="143"/>
      <c r="AO64" s="143"/>
      <c r="AP64" s="143"/>
      <c r="AQ64" s="143"/>
    </row>
    <row r="65" ht="22.5" hidden="1" customHeight="1">
      <c r="A65" s="144" t="s">
        <v>259</v>
      </c>
      <c r="B65" s="145">
        <v>45798.0</v>
      </c>
      <c r="C65" s="226" t="s">
        <v>313</v>
      </c>
      <c r="D65" s="208" t="s">
        <v>432</v>
      </c>
      <c r="E65" s="148" t="s">
        <v>28</v>
      </c>
      <c r="F65" s="219" t="s">
        <v>433</v>
      </c>
      <c r="G65" s="149">
        <v>5.1985272591E10</v>
      </c>
      <c r="H65" s="148" t="s">
        <v>257</v>
      </c>
      <c r="I65" s="150">
        <v>1.0</v>
      </c>
      <c r="J65" s="312"/>
      <c r="K65" s="271" t="str">
        <f t="shared" si="1"/>
        <v/>
      </c>
      <c r="L65" s="221">
        <v>5999.0</v>
      </c>
      <c r="M65" s="239">
        <v>5740.0</v>
      </c>
      <c r="N65" s="155">
        <v>1074.99</v>
      </c>
      <c r="O65" s="191">
        <f t="shared" si="14"/>
        <v>259</v>
      </c>
      <c r="P65" s="179">
        <f t="shared" si="4"/>
        <v>0</v>
      </c>
      <c r="Q65" s="192"/>
      <c r="R65" s="159"/>
      <c r="S65" s="181"/>
      <c r="T65" s="193"/>
      <c r="U65" s="191"/>
      <c r="V65" s="162"/>
      <c r="W65" s="194"/>
      <c r="X65" s="195"/>
      <c r="Y65" s="162"/>
      <c r="Z65" s="10"/>
      <c r="AA65" s="116"/>
      <c r="AB65" s="116"/>
      <c r="AC65" s="165"/>
      <c r="AD65" s="145" t="str">
        <f t="shared" si="12"/>
        <v>mayo</v>
      </c>
      <c r="AE65" s="313"/>
      <c r="AF65" s="149" t="b">
        <v>0</v>
      </c>
      <c r="AG65" s="166"/>
      <c r="AH65" s="149" t="b">
        <v>0</v>
      </c>
      <c r="AI65" s="162"/>
      <c r="AJ65" s="143"/>
      <c r="AK65" s="143"/>
      <c r="AL65" s="143"/>
      <c r="AM65" s="143"/>
      <c r="AN65" s="143"/>
      <c r="AO65" s="143"/>
      <c r="AP65" s="143"/>
      <c r="AQ65" s="143"/>
    </row>
    <row r="66" ht="22.5" hidden="1" customHeight="1">
      <c r="A66" s="144" t="s">
        <v>34</v>
      </c>
      <c r="B66" s="145">
        <v>45799.0</v>
      </c>
      <c r="C66" s="188" t="s">
        <v>434</v>
      </c>
      <c r="D66" s="167" t="s">
        <v>435</v>
      </c>
      <c r="E66" s="148" t="s">
        <v>28</v>
      </c>
      <c r="F66" s="314" t="s">
        <v>436</v>
      </c>
      <c r="G66" s="149">
        <v>5.1967033757E10</v>
      </c>
      <c r="H66" s="148" t="s">
        <v>257</v>
      </c>
      <c r="I66" s="148" t="s">
        <v>61</v>
      </c>
      <c r="J66" s="168">
        <v>2863.0</v>
      </c>
      <c r="K66" s="169">
        <f t="shared" si="1"/>
        <v>6893.92</v>
      </c>
      <c r="L66" s="170">
        <v>9756.92</v>
      </c>
      <c r="M66" s="239">
        <v>9486.92</v>
      </c>
      <c r="N66" s="155">
        <v>1999.99</v>
      </c>
      <c r="O66" s="315">
        <f t="shared" si="14"/>
        <v>270</v>
      </c>
      <c r="P66" s="316">
        <f t="shared" si="4"/>
        <v>0</v>
      </c>
      <c r="Q66" s="317"/>
      <c r="R66" s="159"/>
      <c r="S66" s="318"/>
      <c r="T66" s="319"/>
      <c r="U66" s="315"/>
      <c r="V66" s="162"/>
      <c r="W66" s="148"/>
      <c r="X66" s="163"/>
      <c r="Y66" s="162"/>
      <c r="Z66" s="10"/>
      <c r="AA66" s="116"/>
      <c r="AB66" s="116"/>
      <c r="AC66" s="165"/>
      <c r="AD66" s="145" t="str">
        <f t="shared" si="12"/>
        <v>mayo</v>
      </c>
      <c r="AE66" s="313"/>
      <c r="AF66" s="149" t="b">
        <v>0</v>
      </c>
      <c r="AG66" s="166"/>
      <c r="AH66" s="149" t="b">
        <v>0</v>
      </c>
      <c r="AI66" s="162"/>
      <c r="AJ66" s="143"/>
      <c r="AK66" s="143"/>
      <c r="AL66" s="143"/>
      <c r="AM66" s="143"/>
      <c r="AN66" s="143"/>
      <c r="AO66" s="143"/>
      <c r="AP66" s="143"/>
      <c r="AQ66" s="143"/>
    </row>
    <row r="67" ht="22.5" hidden="1" customHeight="1">
      <c r="A67" s="144" t="s">
        <v>259</v>
      </c>
      <c r="B67" s="145">
        <v>45799.0</v>
      </c>
      <c r="C67" s="199" t="s">
        <v>167</v>
      </c>
      <c r="D67" s="208" t="s">
        <v>437</v>
      </c>
      <c r="E67" s="148" t="s">
        <v>28</v>
      </c>
      <c r="F67" s="320" t="s">
        <v>438</v>
      </c>
      <c r="G67" s="165"/>
      <c r="H67" s="148" t="s">
        <v>257</v>
      </c>
      <c r="I67" s="148" t="s">
        <v>61</v>
      </c>
      <c r="J67" s="220">
        <v>1617.12</v>
      </c>
      <c r="K67" s="169">
        <f t="shared" si="1"/>
        <v>6468.46</v>
      </c>
      <c r="L67" s="221">
        <v>8085.58</v>
      </c>
      <c r="M67" s="239">
        <v>7729.54</v>
      </c>
      <c r="N67" s="155">
        <v>1599.0</v>
      </c>
      <c r="O67" s="315">
        <f t="shared" si="14"/>
        <v>356.04</v>
      </c>
      <c r="P67" s="316">
        <f t="shared" si="4"/>
        <v>0</v>
      </c>
      <c r="Q67" s="321"/>
      <c r="R67" s="159"/>
      <c r="S67" s="318"/>
      <c r="T67" s="319"/>
      <c r="U67" s="315"/>
      <c r="V67" s="162"/>
      <c r="W67" s="194"/>
      <c r="X67" s="195"/>
      <c r="Y67" s="162"/>
      <c r="Z67" s="164"/>
      <c r="AA67" s="116"/>
      <c r="AB67" s="116"/>
      <c r="AC67" s="165"/>
      <c r="AD67" s="145" t="str">
        <f t="shared" si="12"/>
        <v>mayo</v>
      </c>
      <c r="AE67" s="166"/>
      <c r="AF67" s="149" t="b">
        <v>0</v>
      </c>
      <c r="AG67" s="166"/>
      <c r="AH67" s="149" t="b">
        <v>0</v>
      </c>
      <c r="AI67" s="162"/>
      <c r="AJ67" s="143"/>
      <c r="AK67" s="143"/>
      <c r="AL67" s="143"/>
      <c r="AM67" s="143"/>
      <c r="AN67" s="143"/>
      <c r="AO67" s="143"/>
      <c r="AP67" s="143"/>
      <c r="AQ67" s="143"/>
    </row>
    <row r="68" ht="22.5" customHeight="1">
      <c r="A68" s="144" t="s">
        <v>162</v>
      </c>
      <c r="B68" s="145">
        <v>45800.0</v>
      </c>
      <c r="C68" s="149" t="s">
        <v>378</v>
      </c>
      <c r="D68" s="208" t="s">
        <v>439</v>
      </c>
      <c r="E68" s="148" t="s">
        <v>28</v>
      </c>
      <c r="F68" s="149" t="s">
        <v>440</v>
      </c>
      <c r="G68" s="149" t="s">
        <v>441</v>
      </c>
      <c r="H68" s="148" t="s">
        <v>257</v>
      </c>
      <c r="I68" s="148" t="s">
        <v>61</v>
      </c>
      <c r="J68" s="168">
        <v>1019.0</v>
      </c>
      <c r="K68" s="169">
        <f t="shared" si="1"/>
        <v>4080</v>
      </c>
      <c r="L68" s="170">
        <v>5099.0</v>
      </c>
      <c r="M68" s="239">
        <v>4850.0</v>
      </c>
      <c r="N68" s="155">
        <v>998.0</v>
      </c>
      <c r="O68" s="315">
        <f t="shared" si="14"/>
        <v>249</v>
      </c>
      <c r="P68" s="316">
        <f t="shared" si="4"/>
        <v>0</v>
      </c>
      <c r="Q68" s="321"/>
      <c r="R68" s="159"/>
      <c r="S68" s="318"/>
      <c r="T68" s="319"/>
      <c r="U68" s="315"/>
      <c r="V68" s="162"/>
      <c r="W68" s="148"/>
      <c r="X68" s="163"/>
      <c r="Y68" s="162"/>
      <c r="Z68" s="164"/>
      <c r="AA68" s="116"/>
      <c r="AB68" s="116"/>
      <c r="AC68" s="149"/>
      <c r="AD68" s="145" t="str">
        <f t="shared" si="12"/>
        <v>mayo</v>
      </c>
      <c r="AE68" s="162"/>
      <c r="AF68" s="149" t="b">
        <v>0</v>
      </c>
      <c r="AG68" s="166"/>
      <c r="AH68" s="149" t="b">
        <v>0</v>
      </c>
      <c r="AI68" s="162"/>
      <c r="AJ68" s="143"/>
      <c r="AK68" s="143"/>
      <c r="AL68" s="143"/>
      <c r="AM68" s="143"/>
      <c r="AN68" s="143"/>
      <c r="AO68" s="143"/>
      <c r="AP68" s="143"/>
      <c r="AQ68" s="143"/>
    </row>
    <row r="69" ht="22.5" customHeight="1">
      <c r="A69" s="144" t="s">
        <v>162</v>
      </c>
      <c r="B69" s="145">
        <v>45800.0</v>
      </c>
      <c r="C69" s="149" t="s">
        <v>428</v>
      </c>
      <c r="D69" s="208" t="s">
        <v>442</v>
      </c>
      <c r="E69" s="148" t="s">
        <v>28</v>
      </c>
      <c r="F69" s="322" t="s">
        <v>443</v>
      </c>
      <c r="G69" s="149">
        <v>9.89924944E8</v>
      </c>
      <c r="H69" s="148" t="s">
        <v>257</v>
      </c>
      <c r="I69" s="148" t="s">
        <v>61</v>
      </c>
      <c r="J69" s="168">
        <v>1300.0</v>
      </c>
      <c r="K69" s="169">
        <f t="shared" si="1"/>
        <v>5199</v>
      </c>
      <c r="L69" s="170">
        <v>6499.0</v>
      </c>
      <c r="M69" s="239">
        <v>6199.0</v>
      </c>
      <c r="N69" s="155">
        <v>1299.0</v>
      </c>
      <c r="O69" s="315">
        <f t="shared" si="14"/>
        <v>300</v>
      </c>
      <c r="P69" s="316">
        <f t="shared" si="4"/>
        <v>0</v>
      </c>
      <c r="Q69" s="321"/>
      <c r="R69" s="159"/>
      <c r="S69" s="318"/>
      <c r="T69" s="319"/>
      <c r="U69" s="315"/>
      <c r="V69" s="162"/>
      <c r="W69" s="148"/>
      <c r="X69" s="163"/>
      <c r="Y69" s="162"/>
      <c r="Z69" s="164"/>
      <c r="AA69" s="116"/>
      <c r="AB69" s="116"/>
      <c r="AC69" s="149"/>
      <c r="AD69" s="145" t="str">
        <f t="shared" si="12"/>
        <v>mayo</v>
      </c>
      <c r="AE69" s="323"/>
      <c r="AF69" s="149" t="b">
        <v>0</v>
      </c>
      <c r="AG69" s="166"/>
      <c r="AH69" s="149" t="b">
        <v>0</v>
      </c>
      <c r="AI69" s="162"/>
      <c r="AJ69" s="143"/>
      <c r="AK69" s="143"/>
      <c r="AL69" s="143"/>
      <c r="AM69" s="143"/>
      <c r="AN69" s="143"/>
      <c r="AO69" s="143"/>
      <c r="AP69" s="143"/>
      <c r="AQ69" s="143"/>
    </row>
    <row r="70" ht="22.5" customHeight="1">
      <c r="A70" s="144" t="s">
        <v>162</v>
      </c>
      <c r="B70" s="145">
        <v>45801.0</v>
      </c>
      <c r="C70" s="149" t="s">
        <v>444</v>
      </c>
      <c r="D70" s="167" t="s">
        <v>445</v>
      </c>
      <c r="E70" s="148" t="s">
        <v>28</v>
      </c>
      <c r="F70" s="149" t="s">
        <v>446</v>
      </c>
      <c r="G70" s="149">
        <v>5.1978354249E10</v>
      </c>
      <c r="H70" s="148" t="s">
        <v>257</v>
      </c>
      <c r="I70" s="148" t="s">
        <v>61</v>
      </c>
      <c r="J70" s="168">
        <v>1300.0</v>
      </c>
      <c r="K70" s="169">
        <f t="shared" si="1"/>
        <v>5199</v>
      </c>
      <c r="L70" s="170">
        <v>6499.0</v>
      </c>
      <c r="M70" s="239">
        <v>6182.86</v>
      </c>
      <c r="N70" s="155">
        <v>1329.99</v>
      </c>
      <c r="O70" s="315">
        <f t="shared" si="14"/>
        <v>316.14</v>
      </c>
      <c r="P70" s="316">
        <f t="shared" si="4"/>
        <v>0</v>
      </c>
      <c r="Q70" s="321"/>
      <c r="R70" s="159"/>
      <c r="S70" s="318"/>
      <c r="T70" s="319"/>
      <c r="U70" s="315"/>
      <c r="V70" s="162"/>
      <c r="W70" s="148"/>
      <c r="X70" s="163"/>
      <c r="Y70" s="162"/>
      <c r="Z70" s="164"/>
      <c r="AA70" s="116"/>
      <c r="AB70" s="116"/>
      <c r="AC70" s="149" t="s">
        <v>447</v>
      </c>
      <c r="AD70" s="145" t="str">
        <f t="shared" si="12"/>
        <v>mayo</v>
      </c>
      <c r="AE70" s="162"/>
      <c r="AF70" s="149" t="b">
        <v>0</v>
      </c>
      <c r="AG70" s="166"/>
      <c r="AH70" s="149" t="b">
        <v>0</v>
      </c>
      <c r="AI70" s="162"/>
      <c r="AJ70" s="143"/>
      <c r="AK70" s="143"/>
      <c r="AL70" s="143"/>
      <c r="AM70" s="143"/>
      <c r="AN70" s="143"/>
      <c r="AO70" s="143"/>
      <c r="AP70" s="143"/>
      <c r="AQ70" s="143"/>
    </row>
    <row r="71" ht="22.5" hidden="1" customHeight="1">
      <c r="A71" s="144" t="s">
        <v>259</v>
      </c>
      <c r="B71" s="145">
        <v>45801.0</v>
      </c>
      <c r="C71" s="149" t="s">
        <v>444</v>
      </c>
      <c r="D71" s="147" t="s">
        <v>448</v>
      </c>
      <c r="E71" s="148" t="s">
        <v>28</v>
      </c>
      <c r="F71" s="324" t="s">
        <v>449</v>
      </c>
      <c r="G71" s="165"/>
      <c r="H71" s="148" t="s">
        <v>257</v>
      </c>
      <c r="I71" s="148" t="s">
        <v>61</v>
      </c>
      <c r="J71" s="220">
        <v>1360.0</v>
      </c>
      <c r="K71" s="169">
        <f t="shared" si="1"/>
        <v>5139</v>
      </c>
      <c r="L71" s="221">
        <v>6499.0</v>
      </c>
      <c r="M71" s="239">
        <v>6179.0</v>
      </c>
      <c r="N71" s="277"/>
      <c r="O71" s="315">
        <f t="shared" si="14"/>
        <v>320</v>
      </c>
      <c r="P71" s="316">
        <f t="shared" si="4"/>
        <v>0</v>
      </c>
      <c r="Q71" s="321"/>
      <c r="R71" s="159"/>
      <c r="S71" s="318"/>
      <c r="T71" s="319"/>
      <c r="U71" s="315"/>
      <c r="V71" s="162"/>
      <c r="W71" s="194"/>
      <c r="X71" s="195"/>
      <c r="Y71" s="162"/>
      <c r="Z71" s="164"/>
      <c r="AA71" s="116"/>
      <c r="AB71" s="116"/>
      <c r="AC71" s="325" t="s">
        <v>450</v>
      </c>
      <c r="AD71" s="145" t="str">
        <f t="shared" si="12"/>
        <v>mayo</v>
      </c>
      <c r="AE71" s="326"/>
      <c r="AF71" s="149" t="b">
        <v>0</v>
      </c>
      <c r="AG71" s="166"/>
      <c r="AH71" s="149" t="b">
        <v>0</v>
      </c>
      <c r="AI71" s="162"/>
      <c r="AJ71" s="143"/>
      <c r="AK71" s="143"/>
      <c r="AL71" s="143"/>
      <c r="AM71" s="143"/>
      <c r="AN71" s="143"/>
      <c r="AO71" s="143"/>
      <c r="AP71" s="143"/>
      <c r="AQ71" s="143"/>
    </row>
    <row r="72" ht="22.5" hidden="1" customHeight="1">
      <c r="A72" s="144" t="s">
        <v>34</v>
      </c>
      <c r="B72" s="145">
        <v>45803.0</v>
      </c>
      <c r="C72" s="327" t="s">
        <v>451</v>
      </c>
      <c r="D72" s="208" t="s">
        <v>452</v>
      </c>
      <c r="E72" s="148" t="s">
        <v>28</v>
      </c>
      <c r="F72" s="324" t="s">
        <v>453</v>
      </c>
      <c r="G72" s="149">
        <v>5.19580353E10</v>
      </c>
      <c r="H72" s="148" t="s">
        <v>257</v>
      </c>
      <c r="I72" s="148" t="s">
        <v>61</v>
      </c>
      <c r="J72" s="168">
        <v>1200.0</v>
      </c>
      <c r="K72" s="169">
        <f t="shared" si="1"/>
        <v>4799</v>
      </c>
      <c r="L72" s="170">
        <v>5999.0</v>
      </c>
      <c r="M72" s="239">
        <v>5679.0</v>
      </c>
      <c r="N72" s="328">
        <v>1191.0</v>
      </c>
      <c r="O72" s="315">
        <f t="shared" si="14"/>
        <v>320</v>
      </c>
      <c r="P72" s="316">
        <f t="shared" si="4"/>
        <v>0</v>
      </c>
      <c r="Q72" s="317"/>
      <c r="R72" s="159"/>
      <c r="S72" s="318"/>
      <c r="T72" s="319"/>
      <c r="U72" s="315"/>
      <c r="V72" s="162"/>
      <c r="W72" s="148"/>
      <c r="X72" s="163"/>
      <c r="Y72" s="162"/>
      <c r="Z72" s="164"/>
      <c r="AA72" s="116"/>
      <c r="AB72" s="116"/>
      <c r="AC72" s="165"/>
      <c r="AD72" s="145" t="str">
        <f t="shared" si="12"/>
        <v>mayo</v>
      </c>
      <c r="AE72" s="166"/>
      <c r="AF72" s="149" t="b">
        <v>0</v>
      </c>
      <c r="AG72" s="166"/>
      <c r="AH72" s="149" t="b">
        <v>0</v>
      </c>
      <c r="AI72" s="162"/>
      <c r="AJ72" s="143"/>
      <c r="AK72" s="143"/>
      <c r="AL72" s="143"/>
      <c r="AM72" s="143"/>
      <c r="AN72" s="143"/>
      <c r="AO72" s="143"/>
      <c r="AP72" s="143"/>
      <c r="AQ72" s="143"/>
    </row>
    <row r="73" ht="22.5" hidden="1" customHeight="1">
      <c r="A73" s="144" t="s">
        <v>34</v>
      </c>
      <c r="B73" s="145">
        <v>45805.0</v>
      </c>
      <c r="C73" s="149" t="s">
        <v>454</v>
      </c>
      <c r="D73" s="329" t="s">
        <v>455</v>
      </c>
      <c r="E73" s="148" t="s">
        <v>28</v>
      </c>
      <c r="F73" s="149" t="s">
        <v>456</v>
      </c>
      <c r="G73" s="104">
        <v>9.68987288E8</v>
      </c>
      <c r="H73" s="148" t="s">
        <v>257</v>
      </c>
      <c r="I73" s="148" t="s">
        <v>61</v>
      </c>
      <c r="J73" s="168">
        <v>1320.51</v>
      </c>
      <c r="K73" s="169">
        <f t="shared" si="1"/>
        <v>5282.1</v>
      </c>
      <c r="L73" s="170">
        <v>6602.61</v>
      </c>
      <c r="M73" s="239">
        <v>6327.29</v>
      </c>
      <c r="N73" s="155">
        <v>1299.99</v>
      </c>
      <c r="O73" s="315">
        <f t="shared" si="14"/>
        <v>275.32</v>
      </c>
      <c r="P73" s="316">
        <f t="shared" si="4"/>
        <v>0</v>
      </c>
      <c r="Q73" s="317"/>
      <c r="R73" s="159"/>
      <c r="S73" s="318"/>
      <c r="T73" s="319"/>
      <c r="U73" s="315"/>
      <c r="V73" s="162"/>
      <c r="W73" s="330"/>
      <c r="X73" s="331"/>
      <c r="Y73" s="162"/>
      <c r="Z73" s="164"/>
      <c r="AA73" s="116"/>
      <c r="AB73" s="116"/>
      <c r="AC73" s="149" t="s">
        <v>457</v>
      </c>
      <c r="AD73" s="145" t="str">
        <f t="shared" si="12"/>
        <v>mayo</v>
      </c>
      <c r="AE73" s="162"/>
      <c r="AF73" s="332" t="b">
        <v>0</v>
      </c>
      <c r="AG73" s="166"/>
      <c r="AH73" s="149" t="b">
        <v>0</v>
      </c>
      <c r="AI73" s="162"/>
      <c r="AJ73" s="143"/>
      <c r="AK73" s="143"/>
      <c r="AL73" s="143"/>
      <c r="AM73" s="143"/>
      <c r="AN73" s="143"/>
      <c r="AO73" s="143"/>
      <c r="AP73" s="143"/>
      <c r="AQ73" s="143"/>
    </row>
    <row r="74" ht="22.5" customHeight="1">
      <c r="A74" s="144" t="s">
        <v>162</v>
      </c>
      <c r="B74" s="145">
        <v>45805.0</v>
      </c>
      <c r="C74" s="149" t="s">
        <v>458</v>
      </c>
      <c r="D74" s="208" t="s">
        <v>459</v>
      </c>
      <c r="E74" s="148" t="s">
        <v>28</v>
      </c>
      <c r="F74" s="333" t="s">
        <v>460</v>
      </c>
      <c r="G74" s="149" t="s">
        <v>461</v>
      </c>
      <c r="H74" s="148" t="s">
        <v>257</v>
      </c>
      <c r="I74" s="148" t="s">
        <v>61</v>
      </c>
      <c r="J74" s="168">
        <v>1019.8</v>
      </c>
      <c r="K74" s="169">
        <f t="shared" si="1"/>
        <v>4079.2</v>
      </c>
      <c r="L74" s="170">
        <v>5099.0</v>
      </c>
      <c r="M74" s="334"/>
      <c r="N74" s="155">
        <v>950.0</v>
      </c>
      <c r="O74" s="315">
        <f t="shared" si="14"/>
        <v>5099</v>
      </c>
      <c r="P74" s="316">
        <f t="shared" si="4"/>
        <v>0</v>
      </c>
      <c r="Q74" s="321"/>
      <c r="R74" s="159"/>
      <c r="S74" s="318"/>
      <c r="T74" s="319"/>
      <c r="U74" s="315"/>
      <c r="V74" s="162"/>
      <c r="W74" s="148"/>
      <c r="X74" s="163"/>
      <c r="Y74" s="162"/>
      <c r="Z74" s="164"/>
      <c r="AA74" s="116"/>
      <c r="AB74" s="116"/>
      <c r="AC74" s="149" t="s">
        <v>462</v>
      </c>
      <c r="AD74" s="145" t="str">
        <f t="shared" si="12"/>
        <v>mayo</v>
      </c>
      <c r="AE74" s="323"/>
      <c r="AF74" s="149" t="b">
        <v>0</v>
      </c>
      <c r="AG74" s="166"/>
      <c r="AH74" s="149" t="b">
        <v>0</v>
      </c>
      <c r="AI74" s="162"/>
      <c r="AJ74" s="143"/>
      <c r="AK74" s="143"/>
      <c r="AL74" s="143"/>
      <c r="AM74" s="143"/>
      <c r="AN74" s="143"/>
      <c r="AO74" s="143"/>
      <c r="AP74" s="143"/>
      <c r="AQ74" s="143"/>
    </row>
    <row r="75" ht="22.5" hidden="1" customHeight="1">
      <c r="A75" s="144" t="s">
        <v>259</v>
      </c>
      <c r="B75" s="145">
        <v>45805.0</v>
      </c>
      <c r="C75" s="149" t="s">
        <v>463</v>
      </c>
      <c r="D75" s="208" t="s">
        <v>464</v>
      </c>
      <c r="E75" s="148" t="s">
        <v>28</v>
      </c>
      <c r="F75" s="324" t="s">
        <v>465</v>
      </c>
      <c r="G75" s="149" t="s">
        <v>466</v>
      </c>
      <c r="H75" s="148" t="s">
        <v>257</v>
      </c>
      <c r="I75" s="148" t="s">
        <v>61</v>
      </c>
      <c r="J75" s="220">
        <v>1579.8</v>
      </c>
      <c r="K75" s="169">
        <f t="shared" si="1"/>
        <v>6319.2</v>
      </c>
      <c r="L75" s="221">
        <v>7899.0</v>
      </c>
      <c r="M75" s="239">
        <v>7604.0</v>
      </c>
      <c r="N75" s="277"/>
      <c r="O75" s="315">
        <f t="shared" si="14"/>
        <v>295</v>
      </c>
      <c r="P75" s="316">
        <f t="shared" si="4"/>
        <v>0</v>
      </c>
      <c r="Q75" s="321"/>
      <c r="R75" s="159"/>
      <c r="S75" s="318"/>
      <c r="T75" s="319"/>
      <c r="U75" s="315"/>
      <c r="V75" s="162"/>
      <c r="W75" s="194"/>
      <c r="X75" s="195"/>
      <c r="Y75" s="162"/>
      <c r="Z75" s="164"/>
      <c r="AA75" s="116"/>
      <c r="AB75" s="116"/>
      <c r="AC75" s="149" t="s">
        <v>467</v>
      </c>
      <c r="AD75" s="145" t="str">
        <f t="shared" si="12"/>
        <v>mayo</v>
      </c>
      <c r="AE75" s="162"/>
      <c r="AF75" s="149" t="b">
        <v>0</v>
      </c>
      <c r="AG75" s="166"/>
      <c r="AH75" s="149" t="b">
        <v>0</v>
      </c>
      <c r="AI75" s="162"/>
      <c r="AJ75" s="143"/>
      <c r="AK75" s="143"/>
      <c r="AL75" s="143"/>
      <c r="AM75" s="143"/>
      <c r="AN75" s="143"/>
      <c r="AO75" s="143"/>
      <c r="AP75" s="143"/>
      <c r="AQ75" s="143"/>
    </row>
    <row r="76" ht="22.5" hidden="1" customHeight="1">
      <c r="A76" s="144" t="s">
        <v>34</v>
      </c>
      <c r="B76" s="218">
        <v>45806.0</v>
      </c>
      <c r="C76" s="335" t="s">
        <v>98</v>
      </c>
      <c r="D76" s="336" t="s">
        <v>468</v>
      </c>
      <c r="E76" s="337" t="s">
        <v>399</v>
      </c>
      <c r="F76" s="338" t="s">
        <v>469</v>
      </c>
      <c r="G76" s="149">
        <v>5.1953021892E10</v>
      </c>
      <c r="H76" s="148" t="s">
        <v>257</v>
      </c>
      <c r="I76" s="148" t="s">
        <v>61</v>
      </c>
      <c r="J76" s="168">
        <v>1660.0</v>
      </c>
      <c r="K76" s="169">
        <f t="shared" si="1"/>
        <v>6639</v>
      </c>
      <c r="L76" s="170">
        <v>8299.0</v>
      </c>
      <c r="M76" s="239">
        <v>7757.81</v>
      </c>
      <c r="N76" s="155">
        <v>1699.99</v>
      </c>
      <c r="O76" s="315">
        <f t="shared" si="14"/>
        <v>541.19</v>
      </c>
      <c r="P76" s="316">
        <f t="shared" si="4"/>
        <v>0</v>
      </c>
      <c r="Q76" s="317"/>
      <c r="R76" s="159"/>
      <c r="S76" s="318"/>
      <c r="T76" s="319"/>
      <c r="U76" s="315"/>
      <c r="V76" s="162"/>
      <c r="W76" s="148"/>
      <c r="X76" s="163"/>
      <c r="Y76" s="162"/>
      <c r="Z76" s="164"/>
      <c r="AA76" s="116"/>
      <c r="AB76" s="116"/>
      <c r="AC76" s="339" t="s">
        <v>470</v>
      </c>
      <c r="AD76" s="338" t="s">
        <v>471</v>
      </c>
      <c r="AE76" s="340"/>
      <c r="AF76" s="149" t="b">
        <v>0</v>
      </c>
      <c r="AG76" s="166"/>
      <c r="AH76" s="149" t="b">
        <v>0</v>
      </c>
      <c r="AI76" s="162"/>
      <c r="AJ76" s="143"/>
      <c r="AK76" s="143"/>
      <c r="AL76" s="143"/>
      <c r="AM76" s="143"/>
      <c r="AN76" s="143"/>
      <c r="AO76" s="143"/>
      <c r="AP76" s="143"/>
      <c r="AQ76" s="143"/>
    </row>
    <row r="77" ht="22.5" hidden="1" customHeight="1">
      <c r="A77" s="144" t="s">
        <v>34</v>
      </c>
      <c r="B77" s="145">
        <v>45807.0</v>
      </c>
      <c r="C77" s="259" t="s">
        <v>444</v>
      </c>
      <c r="D77" s="208" t="s">
        <v>472</v>
      </c>
      <c r="E77" s="148" t="s">
        <v>28</v>
      </c>
      <c r="F77" s="341" t="s">
        <v>473</v>
      </c>
      <c r="G77" s="149" t="s">
        <v>474</v>
      </c>
      <c r="H77" s="148" t="s">
        <v>257</v>
      </c>
      <c r="I77" s="148" t="s">
        <v>61</v>
      </c>
      <c r="J77" s="168">
        <v>1228.0</v>
      </c>
      <c r="K77" s="169">
        <f t="shared" si="1"/>
        <v>4933.83</v>
      </c>
      <c r="L77" s="342">
        <v>6161.83</v>
      </c>
      <c r="M77" s="239">
        <v>6161.83</v>
      </c>
      <c r="N77" s="155">
        <v>1687.03</v>
      </c>
      <c r="O77" s="343">
        <v>0.0</v>
      </c>
      <c r="P77" s="344">
        <f t="shared" si="4"/>
        <v>0</v>
      </c>
      <c r="Q77" s="345"/>
      <c r="R77" s="159"/>
      <c r="S77" s="346"/>
      <c r="T77" s="347"/>
      <c r="U77" s="343"/>
      <c r="V77" s="162"/>
      <c r="W77" s="148"/>
      <c r="X77" s="163"/>
      <c r="Y77" s="162"/>
      <c r="Z77" s="10" t="s">
        <v>475</v>
      </c>
      <c r="AA77" s="116"/>
      <c r="AB77" s="116"/>
      <c r="AC77" s="348" t="s">
        <v>476</v>
      </c>
      <c r="AD77" s="145" t="str">
        <f t="shared" ref="AD77:AD78" si="15">TEXT(B77,"mmmm")</f>
        <v>mayo</v>
      </c>
      <c r="AE77" s="349"/>
      <c r="AF77" s="149" t="b">
        <v>0</v>
      </c>
      <c r="AG77" s="166"/>
      <c r="AH77" s="149" t="b">
        <v>0</v>
      </c>
      <c r="AI77" s="162"/>
      <c r="AJ77" s="143"/>
      <c r="AK77" s="143"/>
      <c r="AL77" s="143"/>
      <c r="AM77" s="143"/>
      <c r="AN77" s="143"/>
      <c r="AO77" s="143"/>
      <c r="AP77" s="143"/>
      <c r="AQ77" s="143"/>
    </row>
    <row r="78" ht="22.5" hidden="1" customHeight="1">
      <c r="A78" s="144" t="s">
        <v>259</v>
      </c>
      <c r="B78" s="145">
        <v>45807.0</v>
      </c>
      <c r="C78" s="259" t="s">
        <v>444</v>
      </c>
      <c r="D78" s="208" t="s">
        <v>477</v>
      </c>
      <c r="E78" s="148" t="s">
        <v>28</v>
      </c>
      <c r="F78" s="350" t="s">
        <v>478</v>
      </c>
      <c r="G78" s="149" t="s">
        <v>479</v>
      </c>
      <c r="H78" s="148" t="s">
        <v>257</v>
      </c>
      <c r="I78" s="148" t="s">
        <v>61</v>
      </c>
      <c r="J78" s="220">
        <v>1300.0</v>
      </c>
      <c r="K78" s="169">
        <f t="shared" si="1"/>
        <v>5199</v>
      </c>
      <c r="L78" s="170">
        <v>6499.0</v>
      </c>
      <c r="M78" s="239">
        <v>6161.0</v>
      </c>
      <c r="N78" s="277"/>
      <c r="O78" s="315">
        <f t="shared" ref="O78:O81" si="16">L78-M78</f>
        <v>338</v>
      </c>
      <c r="P78" s="316">
        <f t="shared" si="4"/>
        <v>0</v>
      </c>
      <c r="Q78" s="321"/>
      <c r="R78" s="159"/>
      <c r="S78" s="318"/>
      <c r="T78" s="319"/>
      <c r="U78" s="315"/>
      <c r="V78" s="162"/>
      <c r="W78" s="194"/>
      <c r="X78" s="195"/>
      <c r="Y78" s="162"/>
      <c r="Z78" s="164"/>
      <c r="AA78" s="116"/>
      <c r="AB78" s="116"/>
      <c r="AC78" s="149" t="s">
        <v>480</v>
      </c>
      <c r="AD78" s="145" t="str">
        <f t="shared" si="15"/>
        <v>mayo</v>
      </c>
      <c r="AE78" s="323"/>
      <c r="AF78" s="149" t="b">
        <v>0</v>
      </c>
      <c r="AG78" s="166"/>
      <c r="AH78" s="149" t="b">
        <v>0</v>
      </c>
      <c r="AI78" s="162"/>
      <c r="AJ78" s="143"/>
      <c r="AK78" s="143"/>
      <c r="AL78" s="143"/>
      <c r="AM78" s="143"/>
      <c r="AN78" s="143"/>
      <c r="AO78" s="143"/>
      <c r="AP78" s="143"/>
      <c r="AQ78" s="143"/>
    </row>
    <row r="79" ht="22.5" hidden="1" customHeight="1">
      <c r="A79" s="144" t="s">
        <v>259</v>
      </c>
      <c r="B79" s="145">
        <v>45808.0</v>
      </c>
      <c r="C79" s="259" t="s">
        <v>481</v>
      </c>
      <c r="D79" s="208" t="s">
        <v>482</v>
      </c>
      <c r="E79" s="148" t="s">
        <v>28</v>
      </c>
      <c r="F79" s="351" t="s">
        <v>483</v>
      </c>
      <c r="G79" s="165"/>
      <c r="H79" s="148" t="s">
        <v>257</v>
      </c>
      <c r="I79" s="148" t="s">
        <v>61</v>
      </c>
      <c r="J79" s="220">
        <v>6159.6</v>
      </c>
      <c r="K79" s="169">
        <f t="shared" si="1"/>
        <v>9239.4</v>
      </c>
      <c r="L79" s="221">
        <v>15399.0</v>
      </c>
      <c r="M79" s="239">
        <v>14765.0</v>
      </c>
      <c r="N79" s="155">
        <v>3399.99</v>
      </c>
      <c r="O79" s="315">
        <f t="shared" si="16"/>
        <v>634</v>
      </c>
      <c r="P79" s="316">
        <f t="shared" si="4"/>
        <v>0</v>
      </c>
      <c r="Q79" s="321"/>
      <c r="R79" s="159"/>
      <c r="S79" s="318"/>
      <c r="T79" s="319"/>
      <c r="U79" s="315"/>
      <c r="V79" s="162"/>
      <c r="W79" s="194"/>
      <c r="X79" s="195"/>
      <c r="Y79" s="162"/>
      <c r="Z79" s="164"/>
      <c r="AA79" s="116"/>
      <c r="AB79" s="116"/>
      <c r="AC79" s="325" t="s">
        <v>484</v>
      </c>
      <c r="AD79" s="149" t="s">
        <v>485</v>
      </c>
      <c r="AE79" s="326"/>
      <c r="AF79" s="149" t="b">
        <v>0</v>
      </c>
      <c r="AG79" s="166"/>
      <c r="AH79" s="149" t="b">
        <v>0</v>
      </c>
      <c r="AI79" s="162"/>
      <c r="AJ79" s="143"/>
      <c r="AK79" s="143"/>
      <c r="AL79" s="143"/>
      <c r="AM79" s="143"/>
      <c r="AN79" s="143"/>
      <c r="AO79" s="143"/>
      <c r="AP79" s="143"/>
      <c r="AQ79" s="143"/>
    </row>
    <row r="80" ht="22.5" customHeight="1">
      <c r="A80" s="144" t="s">
        <v>162</v>
      </c>
      <c r="B80" s="145">
        <v>45808.0</v>
      </c>
      <c r="C80" s="149" t="s">
        <v>486</v>
      </c>
      <c r="D80" s="208" t="s">
        <v>487</v>
      </c>
      <c r="E80" s="148" t="s">
        <v>28</v>
      </c>
      <c r="F80" s="324" t="s">
        <v>488</v>
      </c>
      <c r="G80" s="149" t="s">
        <v>489</v>
      </c>
      <c r="H80" s="148" t="s">
        <v>257</v>
      </c>
      <c r="I80" s="148" t="s">
        <v>61</v>
      </c>
      <c r="J80" s="352"/>
      <c r="K80" s="271" t="str">
        <f t="shared" si="1"/>
        <v/>
      </c>
      <c r="L80" s="170">
        <v>8399.0</v>
      </c>
      <c r="M80" s="239">
        <v>7729.54</v>
      </c>
      <c r="N80" s="155">
        <v>1599.0</v>
      </c>
      <c r="O80" s="315">
        <f t="shared" si="16"/>
        <v>669.46</v>
      </c>
      <c r="P80" s="316">
        <f t="shared" si="4"/>
        <v>0</v>
      </c>
      <c r="Q80" s="321"/>
      <c r="R80" s="159"/>
      <c r="S80" s="318"/>
      <c r="T80" s="319"/>
      <c r="U80" s="315"/>
      <c r="V80" s="162"/>
      <c r="W80" s="148"/>
      <c r="X80" s="163"/>
      <c r="Y80" s="162"/>
      <c r="Z80" s="164"/>
      <c r="AA80" s="116"/>
      <c r="AB80" s="116"/>
      <c r="AC80" s="149"/>
      <c r="AD80" s="145" t="str">
        <f t="shared" ref="AD80:AD199" si="17">TEXT(B80,"mmmm")</f>
        <v>mayo</v>
      </c>
      <c r="AE80" s="162"/>
      <c r="AF80" s="149" t="b">
        <v>0</v>
      </c>
      <c r="AG80" s="166"/>
      <c r="AH80" s="149" t="b">
        <v>0</v>
      </c>
      <c r="AI80" s="162"/>
      <c r="AJ80" s="143"/>
      <c r="AK80" s="143"/>
      <c r="AL80" s="143"/>
      <c r="AM80" s="143"/>
      <c r="AN80" s="143"/>
      <c r="AO80" s="143"/>
      <c r="AP80" s="143"/>
      <c r="AQ80" s="143"/>
    </row>
    <row r="81" ht="22.5" hidden="1" customHeight="1">
      <c r="A81" s="144" t="s">
        <v>259</v>
      </c>
      <c r="B81" s="145">
        <v>45808.0</v>
      </c>
      <c r="C81" s="353" t="s">
        <v>434</v>
      </c>
      <c r="D81" s="208" t="s">
        <v>490</v>
      </c>
      <c r="E81" s="148" t="s">
        <v>28</v>
      </c>
      <c r="F81" s="149" t="s">
        <v>491</v>
      </c>
      <c r="G81" s="165"/>
      <c r="H81" s="148" t="s">
        <v>257</v>
      </c>
      <c r="I81" s="148" t="s">
        <v>61</v>
      </c>
      <c r="J81" s="220">
        <v>1999.8</v>
      </c>
      <c r="K81" s="169">
        <f t="shared" si="1"/>
        <v>7999.2</v>
      </c>
      <c r="L81" s="221">
        <v>9999.0</v>
      </c>
      <c r="M81" s="239">
        <v>9745.0</v>
      </c>
      <c r="N81" s="155">
        <v>1999.0</v>
      </c>
      <c r="O81" s="315">
        <f t="shared" si="16"/>
        <v>254</v>
      </c>
      <c r="P81" s="316">
        <f t="shared" si="4"/>
        <v>0</v>
      </c>
      <c r="Q81" s="321"/>
      <c r="R81" s="159"/>
      <c r="S81" s="318"/>
      <c r="T81" s="319"/>
      <c r="U81" s="315"/>
      <c r="V81" s="162"/>
      <c r="W81" s="194"/>
      <c r="X81" s="195"/>
      <c r="Y81" s="162"/>
      <c r="Z81" s="164"/>
      <c r="AA81" s="116"/>
      <c r="AB81" s="116"/>
      <c r="AC81" s="149" t="s">
        <v>492</v>
      </c>
      <c r="AD81" s="145" t="str">
        <f t="shared" si="17"/>
        <v>mayo</v>
      </c>
      <c r="AE81" s="162"/>
      <c r="AF81" s="149" t="b">
        <v>0</v>
      </c>
      <c r="AG81" s="166"/>
      <c r="AH81" s="149" t="b">
        <v>0</v>
      </c>
      <c r="AI81" s="162"/>
      <c r="AJ81" s="143"/>
      <c r="AK81" s="143"/>
      <c r="AL81" s="143"/>
      <c r="AM81" s="143"/>
      <c r="AN81" s="143"/>
      <c r="AO81" s="143"/>
      <c r="AP81" s="143"/>
      <c r="AQ81" s="143"/>
    </row>
    <row r="82" ht="22.5" hidden="1" customHeight="1">
      <c r="A82" s="354" t="s">
        <v>34</v>
      </c>
      <c r="B82" s="355">
        <v>45811.0</v>
      </c>
      <c r="C82" s="356" t="s">
        <v>493</v>
      </c>
      <c r="D82" s="357" t="s">
        <v>494</v>
      </c>
      <c r="E82" s="358" t="s">
        <v>28</v>
      </c>
      <c r="F82" s="359" t="s">
        <v>495</v>
      </c>
      <c r="G82" s="359">
        <v>5.1932184136E10</v>
      </c>
      <c r="H82" s="148" t="s">
        <v>257</v>
      </c>
      <c r="I82" s="360">
        <v>0.5</v>
      </c>
      <c r="J82" s="168">
        <v>6060.54</v>
      </c>
      <c r="K82" s="361">
        <f t="shared" si="1"/>
        <v>6060.54</v>
      </c>
      <c r="L82" s="170">
        <v>12121.08</v>
      </c>
      <c r="M82" s="239">
        <f>L82-O82</f>
        <v>11721.08</v>
      </c>
      <c r="N82" s="155">
        <v>2629.99</v>
      </c>
      <c r="O82" s="362">
        <v>400.0</v>
      </c>
      <c r="P82" s="344">
        <f t="shared" si="4"/>
        <v>0</v>
      </c>
      <c r="Q82" s="345"/>
      <c r="R82" s="159"/>
      <c r="S82" s="346"/>
      <c r="T82" s="363"/>
      <c r="U82" s="362"/>
      <c r="V82" s="162"/>
      <c r="W82" s="148"/>
      <c r="X82" s="163"/>
      <c r="Y82" s="162"/>
      <c r="Z82" s="164"/>
      <c r="AA82" s="116"/>
      <c r="AB82" s="116"/>
      <c r="AC82" s="359" t="s">
        <v>496</v>
      </c>
      <c r="AD82" s="355" t="str">
        <f t="shared" si="17"/>
        <v>junio</v>
      </c>
      <c r="AE82" s="364"/>
      <c r="AF82" s="149" t="b">
        <v>0</v>
      </c>
      <c r="AG82" s="166"/>
      <c r="AH82" s="149" t="b">
        <v>0</v>
      </c>
      <c r="AI82" s="162"/>
      <c r="AJ82" s="143"/>
      <c r="AK82" s="143"/>
      <c r="AL82" s="143"/>
      <c r="AM82" s="143"/>
      <c r="AN82" s="143"/>
      <c r="AO82" s="143"/>
      <c r="AP82" s="143"/>
      <c r="AQ82" s="143"/>
    </row>
    <row r="83" ht="22.5" hidden="1" customHeight="1">
      <c r="A83" s="365" t="s">
        <v>34</v>
      </c>
      <c r="B83" s="187">
        <v>45812.0</v>
      </c>
      <c r="C83" s="353" t="s">
        <v>497</v>
      </c>
      <c r="D83" s="366" t="s">
        <v>498</v>
      </c>
      <c r="E83" s="367" t="s">
        <v>28</v>
      </c>
      <c r="F83" s="338" t="s">
        <v>499</v>
      </c>
      <c r="G83" s="368" t="s">
        <v>500</v>
      </c>
      <c r="H83" s="148" t="s">
        <v>257</v>
      </c>
      <c r="I83" s="369">
        <v>0.5</v>
      </c>
      <c r="J83" s="168">
        <v>6364.0</v>
      </c>
      <c r="K83" s="370">
        <f t="shared" si="1"/>
        <v>7335</v>
      </c>
      <c r="L83" s="170">
        <v>13699.0</v>
      </c>
      <c r="M83" s="239">
        <v>12602.54</v>
      </c>
      <c r="N83" s="155">
        <v>2799.99</v>
      </c>
      <c r="O83" s="371">
        <f t="shared" ref="O83:O95" si="18">L83-M83</f>
        <v>1096.46</v>
      </c>
      <c r="P83" s="316">
        <f t="shared" si="4"/>
        <v>0</v>
      </c>
      <c r="Q83" s="317"/>
      <c r="R83" s="159"/>
      <c r="S83" s="318"/>
      <c r="T83" s="372"/>
      <c r="U83" s="371"/>
      <c r="V83" s="162"/>
      <c r="W83" s="148"/>
      <c r="X83" s="163"/>
      <c r="Y83" s="162"/>
      <c r="Z83" s="373"/>
      <c r="AA83" s="374"/>
      <c r="AB83" s="374"/>
      <c r="AC83" s="368"/>
      <c r="AD83" s="187" t="str">
        <f t="shared" si="17"/>
        <v>junio</v>
      </c>
      <c r="AE83" s="375"/>
      <c r="AF83" s="149" t="b">
        <v>0</v>
      </c>
      <c r="AG83" s="166"/>
      <c r="AH83" s="149" t="b">
        <v>0</v>
      </c>
      <c r="AI83" s="162"/>
      <c r="AJ83" s="376"/>
      <c r="AK83" s="376"/>
      <c r="AL83" s="376"/>
      <c r="AM83" s="376"/>
      <c r="AN83" s="376"/>
      <c r="AO83" s="376"/>
      <c r="AP83" s="376"/>
      <c r="AQ83" s="376"/>
    </row>
    <row r="84" ht="22.5" hidden="1" customHeight="1">
      <c r="A84" s="144" t="s">
        <v>259</v>
      </c>
      <c r="B84" s="145">
        <v>45813.0</v>
      </c>
      <c r="C84" s="377" t="s">
        <v>328</v>
      </c>
      <c r="D84" s="208" t="s">
        <v>501</v>
      </c>
      <c r="E84" s="148" t="s">
        <v>28</v>
      </c>
      <c r="F84" s="10" t="s">
        <v>502</v>
      </c>
      <c r="G84" s="149" t="s">
        <v>503</v>
      </c>
      <c r="H84" s="148" t="s">
        <v>257</v>
      </c>
      <c r="I84" s="148" t="s">
        <v>61</v>
      </c>
      <c r="J84" s="220">
        <v>2000.0</v>
      </c>
      <c r="K84" s="169">
        <f t="shared" si="1"/>
        <v>5199</v>
      </c>
      <c r="L84" s="170">
        <v>7199.0</v>
      </c>
      <c r="M84" s="239">
        <v>6899.0</v>
      </c>
      <c r="N84" s="155">
        <v>1588.94</v>
      </c>
      <c r="O84" s="315">
        <f t="shared" si="18"/>
        <v>300</v>
      </c>
      <c r="P84" s="316">
        <f t="shared" si="4"/>
        <v>0</v>
      </c>
      <c r="Q84" s="321"/>
      <c r="R84" s="159"/>
      <c r="S84" s="318"/>
      <c r="T84" s="319"/>
      <c r="U84" s="315"/>
      <c r="V84" s="162"/>
      <c r="W84" s="194"/>
      <c r="X84" s="195"/>
      <c r="Y84" s="162"/>
      <c r="Z84" s="164"/>
      <c r="AA84" s="116"/>
      <c r="AB84" s="116"/>
      <c r="AC84" s="165"/>
      <c r="AD84" s="145" t="str">
        <f t="shared" si="17"/>
        <v>junio</v>
      </c>
      <c r="AE84" s="166"/>
      <c r="AF84" s="149" t="b">
        <v>0</v>
      </c>
      <c r="AG84" s="166"/>
      <c r="AH84" s="149" t="b">
        <v>0</v>
      </c>
      <c r="AI84" s="162"/>
      <c r="AJ84" s="143"/>
      <c r="AK84" s="143"/>
      <c r="AL84" s="143"/>
      <c r="AM84" s="143"/>
      <c r="AN84" s="143"/>
      <c r="AO84" s="143"/>
      <c r="AP84" s="143"/>
      <c r="AQ84" s="143"/>
    </row>
    <row r="85" ht="22.5" hidden="1" customHeight="1">
      <c r="A85" s="144" t="s">
        <v>259</v>
      </c>
      <c r="B85" s="145">
        <v>45813.0</v>
      </c>
      <c r="C85" s="248" t="s">
        <v>346</v>
      </c>
      <c r="D85" s="208" t="s">
        <v>504</v>
      </c>
      <c r="E85" s="148" t="s">
        <v>28</v>
      </c>
      <c r="F85" s="324" t="s">
        <v>505</v>
      </c>
      <c r="G85" s="149" t="s">
        <v>506</v>
      </c>
      <c r="H85" s="148" t="s">
        <v>257</v>
      </c>
      <c r="I85" s="150">
        <v>1.0</v>
      </c>
      <c r="J85" s="270"/>
      <c r="K85" s="271" t="str">
        <f t="shared" si="1"/>
        <v/>
      </c>
      <c r="L85" s="221">
        <v>5899.0</v>
      </c>
      <c r="M85" s="239">
        <v>5499.0</v>
      </c>
      <c r="N85" s="277"/>
      <c r="O85" s="315">
        <f t="shared" si="18"/>
        <v>400</v>
      </c>
      <c r="P85" s="316">
        <f t="shared" si="4"/>
        <v>0</v>
      </c>
      <c r="Q85" s="321"/>
      <c r="R85" s="159"/>
      <c r="S85" s="318"/>
      <c r="T85" s="319"/>
      <c r="U85" s="315"/>
      <c r="V85" s="162"/>
      <c r="W85" s="194"/>
      <c r="X85" s="195"/>
      <c r="Y85" s="162"/>
      <c r="Z85" s="164"/>
      <c r="AA85" s="116"/>
      <c r="AB85" s="116"/>
      <c r="AC85" s="165"/>
      <c r="AD85" s="145" t="str">
        <f t="shared" si="17"/>
        <v>junio</v>
      </c>
      <c r="AE85" s="166"/>
      <c r="AF85" s="149" t="b">
        <v>0</v>
      </c>
      <c r="AG85" s="166"/>
      <c r="AH85" s="149" t="b">
        <v>0</v>
      </c>
      <c r="AI85" s="162"/>
      <c r="AJ85" s="143"/>
      <c r="AK85" s="143"/>
      <c r="AL85" s="143"/>
      <c r="AM85" s="143"/>
      <c r="AN85" s="143"/>
      <c r="AO85" s="143"/>
      <c r="AP85" s="143"/>
      <c r="AQ85" s="143"/>
    </row>
    <row r="86" ht="22.5" customHeight="1">
      <c r="A86" s="144" t="s">
        <v>162</v>
      </c>
      <c r="B86" s="145">
        <v>45813.0</v>
      </c>
      <c r="C86" s="378" t="s">
        <v>486</v>
      </c>
      <c r="D86" s="208" t="s">
        <v>507</v>
      </c>
      <c r="E86" s="148" t="s">
        <v>28</v>
      </c>
      <c r="F86" s="149" t="s">
        <v>508</v>
      </c>
      <c r="G86" s="149" t="s">
        <v>509</v>
      </c>
      <c r="H86" s="148" t="s">
        <v>257</v>
      </c>
      <c r="I86" s="148" t="s">
        <v>61</v>
      </c>
      <c r="J86" s="168">
        <v>1680.0</v>
      </c>
      <c r="K86" s="169">
        <f t="shared" si="1"/>
        <v>6719</v>
      </c>
      <c r="L86" s="170">
        <v>8399.0</v>
      </c>
      <c r="M86" s="239">
        <v>7729.0</v>
      </c>
      <c r="N86" s="155">
        <v>1500.0</v>
      </c>
      <c r="O86" s="315">
        <f t="shared" si="18"/>
        <v>670</v>
      </c>
      <c r="P86" s="316">
        <f t="shared" si="4"/>
        <v>0</v>
      </c>
      <c r="Q86" s="321"/>
      <c r="R86" s="159"/>
      <c r="S86" s="318"/>
      <c r="T86" s="319"/>
      <c r="U86" s="315"/>
      <c r="V86" s="162"/>
      <c r="W86" s="148"/>
      <c r="X86" s="163"/>
      <c r="Y86" s="162"/>
      <c r="Z86" s="164"/>
      <c r="AA86" s="116"/>
      <c r="AB86" s="116"/>
      <c r="AC86" s="165"/>
      <c r="AD86" s="145" t="str">
        <f t="shared" si="17"/>
        <v>junio</v>
      </c>
      <c r="AE86" s="379"/>
      <c r="AF86" s="149" t="b">
        <v>0</v>
      </c>
      <c r="AG86" s="166"/>
      <c r="AH86" s="149" t="b">
        <v>0</v>
      </c>
      <c r="AI86" s="162"/>
      <c r="AJ86" s="143"/>
      <c r="AK86" s="143"/>
      <c r="AL86" s="143"/>
      <c r="AM86" s="143"/>
      <c r="AN86" s="143"/>
      <c r="AO86" s="143"/>
      <c r="AP86" s="143"/>
      <c r="AQ86" s="143"/>
    </row>
    <row r="87" ht="22.5" customHeight="1">
      <c r="A87" s="144" t="s">
        <v>162</v>
      </c>
      <c r="B87" s="145">
        <v>45813.0</v>
      </c>
      <c r="C87" s="378" t="s">
        <v>486</v>
      </c>
      <c r="D87" s="329" t="s">
        <v>510</v>
      </c>
      <c r="E87" s="148" t="s">
        <v>28</v>
      </c>
      <c r="F87" s="262" t="s">
        <v>511</v>
      </c>
      <c r="G87" s="149">
        <v>5.1974640653E10</v>
      </c>
      <c r="H87" s="148" t="s">
        <v>257</v>
      </c>
      <c r="I87" s="148" t="s">
        <v>61</v>
      </c>
      <c r="J87" s="168">
        <v>1680.0</v>
      </c>
      <c r="K87" s="169">
        <f t="shared" si="1"/>
        <v>6719</v>
      </c>
      <c r="L87" s="170">
        <v>8399.0</v>
      </c>
      <c r="M87" s="239">
        <v>7632.21</v>
      </c>
      <c r="N87" s="155">
        <v>1599.99</v>
      </c>
      <c r="O87" s="315">
        <f t="shared" si="18"/>
        <v>766.79</v>
      </c>
      <c r="P87" s="316">
        <f t="shared" si="4"/>
        <v>0</v>
      </c>
      <c r="Q87" s="321"/>
      <c r="R87" s="159"/>
      <c r="S87" s="318"/>
      <c r="T87" s="319"/>
      <c r="U87" s="315"/>
      <c r="V87" s="162"/>
      <c r="W87" s="148"/>
      <c r="X87" s="163"/>
      <c r="Y87" s="162"/>
      <c r="Z87" s="164"/>
      <c r="AA87" s="116"/>
      <c r="AB87" s="116"/>
      <c r="AC87" s="149"/>
      <c r="AD87" s="145" t="str">
        <f t="shared" si="17"/>
        <v>junio</v>
      </c>
      <c r="AE87" s="251"/>
      <c r="AF87" s="149" t="b">
        <v>0</v>
      </c>
      <c r="AG87" s="166"/>
      <c r="AH87" s="149" t="b">
        <v>0</v>
      </c>
      <c r="AI87" s="162"/>
      <c r="AJ87" s="143"/>
      <c r="AK87" s="143"/>
      <c r="AL87" s="143"/>
      <c r="AM87" s="143"/>
      <c r="AN87" s="143"/>
      <c r="AO87" s="143"/>
      <c r="AP87" s="143"/>
      <c r="AQ87" s="143"/>
    </row>
    <row r="88" ht="22.5" hidden="1" customHeight="1">
      <c r="A88" s="144" t="s">
        <v>34</v>
      </c>
      <c r="B88" s="145">
        <v>45814.0</v>
      </c>
      <c r="C88" s="380" t="s">
        <v>512</v>
      </c>
      <c r="D88" s="336" t="s">
        <v>513</v>
      </c>
      <c r="E88" s="148" t="s">
        <v>28</v>
      </c>
      <c r="F88" s="338" t="s">
        <v>514</v>
      </c>
      <c r="G88" s="149">
        <v>5.193715061E10</v>
      </c>
      <c r="H88" s="148" t="s">
        <v>257</v>
      </c>
      <c r="I88" s="150">
        <v>0.3</v>
      </c>
      <c r="J88" s="168">
        <v>3210.0</v>
      </c>
      <c r="K88" s="169">
        <f t="shared" si="1"/>
        <v>7489</v>
      </c>
      <c r="L88" s="170">
        <v>10699.0</v>
      </c>
      <c r="M88" s="239">
        <v>10193.89</v>
      </c>
      <c r="N88" s="155">
        <v>2299.0</v>
      </c>
      <c r="O88" s="315">
        <f t="shared" si="18"/>
        <v>505.11</v>
      </c>
      <c r="P88" s="316">
        <f t="shared" si="4"/>
        <v>0</v>
      </c>
      <c r="Q88" s="317"/>
      <c r="R88" s="159"/>
      <c r="S88" s="318"/>
      <c r="T88" s="319"/>
      <c r="U88" s="315"/>
      <c r="V88" s="162"/>
      <c r="W88" s="148"/>
      <c r="X88" s="163"/>
      <c r="Y88" s="162"/>
      <c r="Z88" s="164"/>
      <c r="AA88" s="116"/>
      <c r="AB88" s="116"/>
      <c r="AC88" s="381" t="s">
        <v>515</v>
      </c>
      <c r="AD88" s="145" t="str">
        <f t="shared" si="17"/>
        <v>junio</v>
      </c>
      <c r="AE88" s="382"/>
      <c r="AF88" s="149" t="b">
        <v>0</v>
      </c>
      <c r="AG88" s="166"/>
      <c r="AH88" s="149" t="b">
        <v>0</v>
      </c>
      <c r="AI88" s="162"/>
      <c r="AJ88" s="143"/>
      <c r="AK88" s="143"/>
      <c r="AL88" s="143"/>
      <c r="AM88" s="143"/>
      <c r="AN88" s="143"/>
      <c r="AO88" s="143"/>
      <c r="AP88" s="143"/>
      <c r="AQ88" s="143"/>
    </row>
    <row r="89" ht="22.5" hidden="1" customHeight="1">
      <c r="A89" s="144" t="s">
        <v>259</v>
      </c>
      <c r="B89" s="145">
        <v>45814.0</v>
      </c>
      <c r="C89" s="149" t="s">
        <v>516</v>
      </c>
      <c r="D89" s="208" t="s">
        <v>517</v>
      </c>
      <c r="E89" s="148" t="s">
        <v>28</v>
      </c>
      <c r="F89" s="149" t="s">
        <v>518</v>
      </c>
      <c r="G89" s="149">
        <v>5.195007588E10</v>
      </c>
      <c r="H89" s="148" t="s">
        <v>257</v>
      </c>
      <c r="I89" s="150">
        <v>0.5</v>
      </c>
      <c r="J89" s="220">
        <v>9550.17</v>
      </c>
      <c r="K89" s="169">
        <f t="shared" si="1"/>
        <v>9492.13</v>
      </c>
      <c r="L89" s="221">
        <v>19042.3</v>
      </c>
      <c r="M89" s="239">
        <v>18895.0</v>
      </c>
      <c r="N89" s="155">
        <v>4499.0</v>
      </c>
      <c r="O89" s="315">
        <f t="shared" si="18"/>
        <v>147.3</v>
      </c>
      <c r="P89" s="316">
        <f t="shared" si="4"/>
        <v>0</v>
      </c>
      <c r="Q89" s="321"/>
      <c r="R89" s="159"/>
      <c r="S89" s="318"/>
      <c r="T89" s="319"/>
      <c r="U89" s="315"/>
      <c r="V89" s="162"/>
      <c r="W89" s="194"/>
      <c r="X89" s="195"/>
      <c r="Y89" s="162"/>
      <c r="Z89" s="164"/>
      <c r="AA89" s="116"/>
      <c r="AB89" s="116"/>
      <c r="AC89" s="348" t="s">
        <v>519</v>
      </c>
      <c r="AD89" s="145" t="str">
        <f t="shared" si="17"/>
        <v>junio</v>
      </c>
      <c r="AE89" s="349"/>
      <c r="AF89" s="149" t="b">
        <v>0</v>
      </c>
      <c r="AG89" s="166"/>
      <c r="AH89" s="149" t="b">
        <v>0</v>
      </c>
      <c r="AI89" s="162"/>
      <c r="AJ89" s="143"/>
      <c r="AK89" s="143"/>
      <c r="AL89" s="143"/>
      <c r="AM89" s="143"/>
      <c r="AN89" s="143"/>
      <c r="AO89" s="143"/>
      <c r="AP89" s="143"/>
      <c r="AQ89" s="143"/>
    </row>
    <row r="90" ht="22.5" hidden="1" customHeight="1">
      <c r="A90" s="144" t="s">
        <v>259</v>
      </c>
      <c r="B90" s="145">
        <v>45814.0</v>
      </c>
      <c r="C90" s="383" t="s">
        <v>520</v>
      </c>
      <c r="D90" s="208" t="s">
        <v>517</v>
      </c>
      <c r="E90" s="148" t="s">
        <v>28</v>
      </c>
      <c r="F90" s="149" t="s">
        <v>521</v>
      </c>
      <c r="G90" s="149">
        <v>5.195007588E10</v>
      </c>
      <c r="H90" s="148" t="s">
        <v>257</v>
      </c>
      <c r="I90" s="150">
        <v>0.5</v>
      </c>
      <c r="J90" s="220">
        <v>768.58</v>
      </c>
      <c r="K90" s="169">
        <f t="shared" si="1"/>
        <v>768.58</v>
      </c>
      <c r="L90" s="170">
        <v>1537.16</v>
      </c>
      <c r="M90" s="384">
        <v>1537.16</v>
      </c>
      <c r="N90" s="155">
        <v>209.99</v>
      </c>
      <c r="O90" s="315">
        <f t="shared" si="18"/>
        <v>0</v>
      </c>
      <c r="P90" s="316">
        <f t="shared" si="4"/>
        <v>0</v>
      </c>
      <c r="Q90" s="321"/>
      <c r="R90" s="159"/>
      <c r="S90" s="318"/>
      <c r="T90" s="319"/>
      <c r="U90" s="315"/>
      <c r="V90" s="162"/>
      <c r="W90" s="194"/>
      <c r="X90" s="195"/>
      <c r="Y90" s="162"/>
      <c r="Z90" s="10"/>
      <c r="AA90" s="116"/>
      <c r="AB90" s="116"/>
      <c r="AC90" s="149" t="s">
        <v>522</v>
      </c>
      <c r="AD90" s="145" t="str">
        <f t="shared" si="17"/>
        <v>junio</v>
      </c>
      <c r="AE90" s="162"/>
      <c r="AF90" s="149" t="b">
        <v>0</v>
      </c>
      <c r="AG90" s="166"/>
      <c r="AH90" s="149" t="b">
        <v>0</v>
      </c>
      <c r="AI90" s="162"/>
      <c r="AJ90" s="143"/>
      <c r="AK90" s="143"/>
      <c r="AL90" s="143"/>
      <c r="AM90" s="143"/>
      <c r="AN90" s="143"/>
      <c r="AO90" s="143"/>
      <c r="AP90" s="143"/>
      <c r="AQ90" s="143"/>
    </row>
    <row r="91" ht="22.5" hidden="1" customHeight="1">
      <c r="A91" s="144" t="s">
        <v>259</v>
      </c>
      <c r="B91" s="145">
        <v>45815.0</v>
      </c>
      <c r="C91" s="383" t="s">
        <v>523</v>
      </c>
      <c r="D91" s="208" t="s">
        <v>517</v>
      </c>
      <c r="E91" s="148" t="s">
        <v>28</v>
      </c>
      <c r="F91" s="149" t="s">
        <v>521</v>
      </c>
      <c r="G91" s="149">
        <v>5.195007588E10</v>
      </c>
      <c r="H91" s="148" t="s">
        <v>257</v>
      </c>
      <c r="I91" s="150">
        <v>0.5</v>
      </c>
      <c r="J91" s="220">
        <v>768.58</v>
      </c>
      <c r="K91" s="169">
        <f t="shared" si="1"/>
        <v>768.58</v>
      </c>
      <c r="L91" s="170">
        <v>1537.16</v>
      </c>
      <c r="M91" s="384">
        <v>1537.16</v>
      </c>
      <c r="N91" s="155">
        <v>24.19</v>
      </c>
      <c r="O91" s="315">
        <f t="shared" si="18"/>
        <v>0</v>
      </c>
      <c r="P91" s="316">
        <f t="shared" si="4"/>
        <v>0</v>
      </c>
      <c r="Q91" s="321"/>
      <c r="R91" s="159"/>
      <c r="S91" s="318"/>
      <c r="T91" s="319"/>
      <c r="U91" s="315"/>
      <c r="V91" s="162"/>
      <c r="W91" s="194"/>
      <c r="X91" s="195"/>
      <c r="Y91" s="162"/>
      <c r="Z91" s="164"/>
      <c r="AA91" s="116"/>
      <c r="AB91" s="116"/>
      <c r="AC91" s="149" t="s">
        <v>522</v>
      </c>
      <c r="AD91" s="145" t="str">
        <f t="shared" si="17"/>
        <v>junio</v>
      </c>
      <c r="AE91" s="162"/>
      <c r="AF91" s="149" t="b">
        <v>0</v>
      </c>
      <c r="AG91" s="166"/>
      <c r="AH91" s="149" t="b">
        <v>0</v>
      </c>
      <c r="AI91" s="162"/>
      <c r="AJ91" s="143"/>
      <c r="AK91" s="143"/>
      <c r="AL91" s="143"/>
      <c r="AM91" s="143"/>
      <c r="AN91" s="143"/>
      <c r="AO91" s="143"/>
      <c r="AP91" s="143"/>
      <c r="AQ91" s="143"/>
    </row>
    <row r="92" ht="22.5" hidden="1" customHeight="1">
      <c r="A92" s="144" t="s">
        <v>259</v>
      </c>
      <c r="B92" s="145">
        <v>45816.0</v>
      </c>
      <c r="C92" s="383" t="s">
        <v>524</v>
      </c>
      <c r="D92" s="208" t="s">
        <v>517</v>
      </c>
      <c r="E92" s="148" t="s">
        <v>28</v>
      </c>
      <c r="F92" s="149" t="s">
        <v>521</v>
      </c>
      <c r="G92" s="149">
        <v>5.195007588E10</v>
      </c>
      <c r="H92" s="148" t="s">
        <v>257</v>
      </c>
      <c r="I92" s="150">
        <v>0.5</v>
      </c>
      <c r="J92" s="220">
        <v>768.58</v>
      </c>
      <c r="K92" s="169">
        <f t="shared" si="1"/>
        <v>768.58</v>
      </c>
      <c r="L92" s="170">
        <v>1537.16</v>
      </c>
      <c r="M92" s="384">
        <v>1537.16</v>
      </c>
      <c r="N92" s="155">
        <v>59.99</v>
      </c>
      <c r="O92" s="315">
        <f t="shared" si="18"/>
        <v>0</v>
      </c>
      <c r="P92" s="316">
        <f t="shared" si="4"/>
        <v>0</v>
      </c>
      <c r="Q92" s="321"/>
      <c r="R92" s="159"/>
      <c r="S92" s="318"/>
      <c r="T92" s="319"/>
      <c r="U92" s="315"/>
      <c r="V92" s="162"/>
      <c r="W92" s="194"/>
      <c r="X92" s="195"/>
      <c r="Y92" s="162"/>
      <c r="Z92" s="164"/>
      <c r="AA92" s="116"/>
      <c r="AB92" s="116"/>
      <c r="AC92" s="149" t="s">
        <v>522</v>
      </c>
      <c r="AD92" s="145" t="str">
        <f t="shared" si="17"/>
        <v>junio</v>
      </c>
      <c r="AE92" s="162"/>
      <c r="AF92" s="149" t="b">
        <v>0</v>
      </c>
      <c r="AG92" s="166"/>
      <c r="AH92" s="149" t="b">
        <v>0</v>
      </c>
      <c r="AI92" s="162"/>
      <c r="AJ92" s="143"/>
      <c r="AK92" s="143"/>
      <c r="AL92" s="143"/>
      <c r="AM92" s="143"/>
      <c r="AN92" s="143"/>
      <c r="AO92" s="143"/>
      <c r="AP92" s="143"/>
      <c r="AQ92" s="143"/>
    </row>
    <row r="93" ht="22.5" customHeight="1">
      <c r="A93" s="144" t="s">
        <v>162</v>
      </c>
      <c r="B93" s="145">
        <v>45817.0</v>
      </c>
      <c r="C93" s="149" t="s">
        <v>525</v>
      </c>
      <c r="D93" s="208" t="s">
        <v>526</v>
      </c>
      <c r="E93" s="148" t="s">
        <v>28</v>
      </c>
      <c r="F93" s="262" t="s">
        <v>527</v>
      </c>
      <c r="G93" s="149">
        <v>9.21035261E8</v>
      </c>
      <c r="H93" s="148" t="s">
        <v>257</v>
      </c>
      <c r="I93" s="148" t="s">
        <v>61</v>
      </c>
      <c r="J93" s="168">
        <v>1300.0</v>
      </c>
      <c r="K93" s="169">
        <f t="shared" si="1"/>
        <v>5199</v>
      </c>
      <c r="L93" s="170">
        <v>6499.0</v>
      </c>
      <c r="M93" s="239">
        <v>6218.92</v>
      </c>
      <c r="N93" s="155">
        <v>1349.0</v>
      </c>
      <c r="O93" s="315">
        <f t="shared" si="18"/>
        <v>280.08</v>
      </c>
      <c r="P93" s="316">
        <f t="shared" si="4"/>
        <v>0</v>
      </c>
      <c r="Q93" s="321"/>
      <c r="R93" s="159"/>
      <c r="S93" s="318"/>
      <c r="T93" s="319"/>
      <c r="U93" s="315"/>
      <c r="V93" s="162"/>
      <c r="W93" s="148"/>
      <c r="X93" s="163"/>
      <c r="Y93" s="162"/>
      <c r="Z93" s="164"/>
      <c r="AA93" s="116"/>
      <c r="AB93" s="116"/>
      <c r="AC93" s="381" t="s">
        <v>528</v>
      </c>
      <c r="AD93" s="145" t="str">
        <f t="shared" si="17"/>
        <v>junio</v>
      </c>
      <c r="AE93" s="385"/>
      <c r="AF93" s="149" t="b">
        <v>0</v>
      </c>
      <c r="AG93" s="166"/>
      <c r="AH93" s="149" t="b">
        <v>0</v>
      </c>
      <c r="AI93" s="162"/>
      <c r="AJ93" s="143"/>
      <c r="AK93" s="143"/>
      <c r="AL93" s="143"/>
      <c r="AM93" s="143"/>
      <c r="AN93" s="143"/>
      <c r="AO93" s="143"/>
      <c r="AP93" s="143"/>
      <c r="AQ93" s="143"/>
    </row>
    <row r="94" ht="22.5" customHeight="1">
      <c r="A94" s="144" t="s">
        <v>162</v>
      </c>
      <c r="B94" s="145">
        <v>45820.0</v>
      </c>
      <c r="C94" s="207" t="s">
        <v>529</v>
      </c>
      <c r="D94" s="208" t="s">
        <v>530</v>
      </c>
      <c r="E94" s="148" t="s">
        <v>28</v>
      </c>
      <c r="F94" s="149" t="s">
        <v>531</v>
      </c>
      <c r="G94" s="149">
        <v>5.1994973417E10</v>
      </c>
      <c r="H94" s="148" t="s">
        <v>257</v>
      </c>
      <c r="I94" s="148" t="s">
        <v>61</v>
      </c>
      <c r="J94" s="168">
        <v>1920.0</v>
      </c>
      <c r="K94" s="169">
        <f t="shared" si="1"/>
        <v>7679</v>
      </c>
      <c r="L94" s="170">
        <v>9599.0</v>
      </c>
      <c r="M94" s="239">
        <v>9165.86</v>
      </c>
      <c r="N94" s="155">
        <v>1999.99</v>
      </c>
      <c r="O94" s="315">
        <f t="shared" si="18"/>
        <v>433.14</v>
      </c>
      <c r="P94" s="316">
        <f t="shared" si="4"/>
        <v>0</v>
      </c>
      <c r="Q94" s="321"/>
      <c r="R94" s="159"/>
      <c r="S94" s="318"/>
      <c r="T94" s="319"/>
      <c r="U94" s="315"/>
      <c r="V94" s="162"/>
      <c r="W94" s="148"/>
      <c r="X94" s="163"/>
      <c r="Y94" s="162"/>
      <c r="Z94" s="164"/>
      <c r="AA94" s="116"/>
      <c r="AB94" s="116"/>
      <c r="AC94" s="381" t="s">
        <v>532</v>
      </c>
      <c r="AD94" s="145" t="str">
        <f t="shared" si="17"/>
        <v>junio</v>
      </c>
      <c r="AE94" s="385"/>
      <c r="AF94" s="149" t="b">
        <v>0</v>
      </c>
      <c r="AG94" s="166"/>
      <c r="AH94" s="149" t="b">
        <v>0</v>
      </c>
      <c r="AI94" s="162"/>
      <c r="AJ94" s="143"/>
      <c r="AK94" s="143"/>
      <c r="AL94" s="143"/>
      <c r="AM94" s="143"/>
      <c r="AN94" s="143"/>
      <c r="AO94" s="143"/>
      <c r="AP94" s="143"/>
      <c r="AQ94" s="143"/>
    </row>
    <row r="95" ht="22.5" customHeight="1">
      <c r="A95" s="144" t="s">
        <v>162</v>
      </c>
      <c r="B95" s="145">
        <v>45820.0</v>
      </c>
      <c r="C95" s="149" t="s">
        <v>444</v>
      </c>
      <c r="D95" s="208" t="s">
        <v>533</v>
      </c>
      <c r="E95" s="148" t="s">
        <v>28</v>
      </c>
      <c r="F95" s="386" t="s">
        <v>534</v>
      </c>
      <c r="G95" s="149">
        <v>9.79692575E8</v>
      </c>
      <c r="H95" s="148" t="s">
        <v>257</v>
      </c>
      <c r="I95" s="148" t="s">
        <v>61</v>
      </c>
      <c r="J95" s="168">
        <v>1299.8</v>
      </c>
      <c r="K95" s="169">
        <f t="shared" si="1"/>
        <v>5199.2</v>
      </c>
      <c r="L95" s="170">
        <v>6499.0</v>
      </c>
      <c r="M95" s="239">
        <v>6124.0</v>
      </c>
      <c r="N95" s="155">
        <v>1329.99</v>
      </c>
      <c r="O95" s="315">
        <f t="shared" si="18"/>
        <v>375</v>
      </c>
      <c r="P95" s="316">
        <f t="shared" si="4"/>
        <v>0</v>
      </c>
      <c r="Q95" s="321"/>
      <c r="R95" s="159"/>
      <c r="S95" s="318"/>
      <c r="T95" s="319"/>
      <c r="U95" s="315"/>
      <c r="V95" s="162"/>
      <c r="W95" s="148"/>
      <c r="X95" s="163"/>
      <c r="Y95" s="162"/>
      <c r="Z95" s="164"/>
      <c r="AA95" s="116"/>
      <c r="AB95" s="116"/>
      <c r="AC95" s="165"/>
      <c r="AD95" s="145" t="str">
        <f t="shared" si="17"/>
        <v>junio</v>
      </c>
      <c r="AE95" s="379"/>
      <c r="AF95" s="149" t="b">
        <v>0</v>
      </c>
      <c r="AG95" s="166"/>
      <c r="AH95" s="149" t="b">
        <v>0</v>
      </c>
      <c r="AI95" s="162"/>
      <c r="AJ95" s="143"/>
      <c r="AK95" s="143"/>
      <c r="AL95" s="143"/>
      <c r="AM95" s="143"/>
      <c r="AN95" s="143"/>
      <c r="AO95" s="143"/>
      <c r="AP95" s="143"/>
      <c r="AQ95" s="143"/>
    </row>
    <row r="96" ht="22.5" customHeight="1">
      <c r="A96" s="144" t="s">
        <v>162</v>
      </c>
      <c r="B96" s="145">
        <v>45825.0</v>
      </c>
      <c r="C96" s="387" t="s">
        <v>535</v>
      </c>
      <c r="D96" s="366" t="s">
        <v>536</v>
      </c>
      <c r="E96" s="367" t="s">
        <v>28</v>
      </c>
      <c r="F96" s="262" t="s">
        <v>537</v>
      </c>
      <c r="G96" s="149">
        <v>5.1997027101E10</v>
      </c>
      <c r="H96" s="148" t="s">
        <v>257</v>
      </c>
      <c r="I96" s="148" t="s">
        <v>61</v>
      </c>
      <c r="J96" s="168">
        <v>1158.33</v>
      </c>
      <c r="K96" s="169">
        <f t="shared" si="1"/>
        <v>5012.67</v>
      </c>
      <c r="L96" s="170">
        <v>6171.0</v>
      </c>
      <c r="M96" s="334"/>
      <c r="N96" s="155">
        <v>1198.99</v>
      </c>
      <c r="O96" s="315"/>
      <c r="P96" s="316">
        <f t="shared" si="4"/>
        <v>0</v>
      </c>
      <c r="Q96" s="321"/>
      <c r="R96" s="159"/>
      <c r="S96" s="318"/>
      <c r="T96" s="319"/>
      <c r="U96" s="315"/>
      <c r="V96" s="162"/>
      <c r="W96" s="148"/>
      <c r="X96" s="163"/>
      <c r="Y96" s="162"/>
      <c r="Z96" s="164"/>
      <c r="AA96" s="116"/>
      <c r="AB96" s="116"/>
      <c r="AC96" s="149" t="s">
        <v>538</v>
      </c>
      <c r="AD96" s="145" t="str">
        <f t="shared" si="17"/>
        <v>junio</v>
      </c>
      <c r="AE96" s="251"/>
      <c r="AF96" s="149" t="b">
        <v>0</v>
      </c>
      <c r="AG96" s="166"/>
      <c r="AH96" s="149" t="b">
        <v>0</v>
      </c>
      <c r="AI96" s="162"/>
      <c r="AJ96" s="143"/>
      <c r="AK96" s="143"/>
      <c r="AL96" s="143"/>
      <c r="AM96" s="143"/>
      <c r="AN96" s="143"/>
      <c r="AO96" s="143"/>
      <c r="AP96" s="143"/>
      <c r="AQ96" s="143"/>
    </row>
    <row r="97" ht="22.5" customHeight="1">
      <c r="A97" s="365" t="s">
        <v>162</v>
      </c>
      <c r="B97" s="187">
        <v>45831.0</v>
      </c>
      <c r="C97" s="368" t="s">
        <v>539</v>
      </c>
      <c r="D97" s="366" t="s">
        <v>356</v>
      </c>
      <c r="E97" s="367" t="s">
        <v>28</v>
      </c>
      <c r="F97" s="368" t="s">
        <v>540</v>
      </c>
      <c r="G97" s="368" t="s">
        <v>358</v>
      </c>
      <c r="H97" s="148" t="s">
        <v>257</v>
      </c>
      <c r="I97" s="367" t="s">
        <v>61</v>
      </c>
      <c r="J97" s="168">
        <v>1258.0</v>
      </c>
      <c r="K97" s="370">
        <f t="shared" si="1"/>
        <v>5031</v>
      </c>
      <c r="L97" s="170">
        <v>6289.0</v>
      </c>
      <c r="M97" s="239">
        <v>6218.92</v>
      </c>
      <c r="N97" s="155">
        <v>1349.0</v>
      </c>
      <c r="O97" s="371">
        <f t="shared" ref="O97:O104" si="19">L97-M97</f>
        <v>70.08</v>
      </c>
      <c r="P97" s="316">
        <f t="shared" si="4"/>
        <v>0</v>
      </c>
      <c r="Q97" s="321"/>
      <c r="R97" s="159"/>
      <c r="S97" s="318"/>
      <c r="T97" s="372"/>
      <c r="U97" s="371"/>
      <c r="V97" s="162"/>
      <c r="W97" s="148"/>
      <c r="X97" s="163"/>
      <c r="Y97" s="162"/>
      <c r="Z97" s="373"/>
      <c r="AA97" s="374"/>
      <c r="AB97" s="374"/>
      <c r="AC97" s="388"/>
      <c r="AD97" s="187" t="str">
        <f t="shared" si="17"/>
        <v>junio</v>
      </c>
      <c r="AE97" s="389"/>
      <c r="AF97" s="149" t="b">
        <v>0</v>
      </c>
      <c r="AG97" s="166"/>
      <c r="AH97" s="149" t="b">
        <v>0</v>
      </c>
      <c r="AI97" s="162"/>
      <c r="AJ97" s="376"/>
      <c r="AK97" s="376"/>
      <c r="AL97" s="376"/>
      <c r="AM97" s="376"/>
      <c r="AN97" s="376"/>
      <c r="AO97" s="376"/>
      <c r="AP97" s="376"/>
      <c r="AQ97" s="376"/>
    </row>
    <row r="98" ht="22.5" customHeight="1">
      <c r="A98" s="365" t="s">
        <v>162</v>
      </c>
      <c r="B98" s="187">
        <v>45832.0</v>
      </c>
      <c r="C98" s="368" t="s">
        <v>541</v>
      </c>
      <c r="D98" s="366" t="s">
        <v>542</v>
      </c>
      <c r="E98" s="367" t="s">
        <v>28</v>
      </c>
      <c r="F98" s="368" t="s">
        <v>543</v>
      </c>
      <c r="G98" s="368">
        <v>9.62267618E8</v>
      </c>
      <c r="H98" s="148" t="s">
        <v>257</v>
      </c>
      <c r="I98" s="369">
        <v>1.0</v>
      </c>
      <c r="J98" s="168"/>
      <c r="K98" s="390" t="str">
        <f t="shared" si="1"/>
        <v/>
      </c>
      <c r="L98" s="170">
        <v>5259.0</v>
      </c>
      <c r="M98" s="239">
        <v>5049.0</v>
      </c>
      <c r="N98" s="155">
        <v>1069.49</v>
      </c>
      <c r="O98" s="371">
        <f t="shared" si="19"/>
        <v>210</v>
      </c>
      <c r="P98" s="316">
        <f t="shared" si="4"/>
        <v>0</v>
      </c>
      <c r="Q98" s="321"/>
      <c r="R98" s="159"/>
      <c r="S98" s="318"/>
      <c r="T98" s="372"/>
      <c r="U98" s="371"/>
      <c r="V98" s="162"/>
      <c r="W98" s="148"/>
      <c r="X98" s="163"/>
      <c r="Y98" s="162"/>
      <c r="Z98" s="373"/>
      <c r="AA98" s="374"/>
      <c r="AB98" s="374"/>
      <c r="AC98" s="391"/>
      <c r="AD98" s="187" t="str">
        <f t="shared" si="17"/>
        <v>junio</v>
      </c>
      <c r="AE98" s="392"/>
      <c r="AF98" s="149" t="b">
        <v>0</v>
      </c>
      <c r="AG98" s="166"/>
      <c r="AH98" s="149" t="b">
        <v>0</v>
      </c>
      <c r="AI98" s="162"/>
      <c r="AJ98" s="376"/>
      <c r="AK98" s="376"/>
      <c r="AL98" s="376"/>
      <c r="AM98" s="376"/>
      <c r="AN98" s="376"/>
      <c r="AO98" s="376"/>
      <c r="AP98" s="376"/>
      <c r="AQ98" s="376"/>
    </row>
    <row r="99" ht="22.5" hidden="1" customHeight="1">
      <c r="A99" s="144" t="s">
        <v>34</v>
      </c>
      <c r="B99" s="145">
        <v>45829.0</v>
      </c>
      <c r="C99" s="393" t="s">
        <v>328</v>
      </c>
      <c r="D99" s="208" t="s">
        <v>544</v>
      </c>
      <c r="E99" s="148" t="s">
        <v>28</v>
      </c>
      <c r="F99" s="394" t="s">
        <v>545</v>
      </c>
      <c r="G99" s="149" t="s">
        <v>546</v>
      </c>
      <c r="H99" s="148" t="s">
        <v>257</v>
      </c>
      <c r="I99" s="150">
        <v>1.0</v>
      </c>
      <c r="J99" s="352"/>
      <c r="K99" s="271" t="str">
        <f t="shared" si="1"/>
        <v/>
      </c>
      <c r="L99" s="170">
        <v>7015.0</v>
      </c>
      <c r="M99" s="239">
        <v>6875.0</v>
      </c>
      <c r="N99" s="155">
        <v>1488.0</v>
      </c>
      <c r="O99" s="315">
        <f t="shared" si="19"/>
        <v>140</v>
      </c>
      <c r="P99" s="316">
        <f t="shared" si="4"/>
        <v>0</v>
      </c>
      <c r="Q99" s="317"/>
      <c r="R99" s="159"/>
      <c r="S99" s="318"/>
      <c r="T99" s="319"/>
      <c r="U99" s="315"/>
      <c r="V99" s="162"/>
      <c r="W99" s="148"/>
      <c r="X99" s="163"/>
      <c r="Y99" s="162"/>
      <c r="Z99" s="164"/>
      <c r="AA99" s="116"/>
      <c r="AB99" s="116"/>
      <c r="AC99" s="165"/>
      <c r="AD99" s="145" t="str">
        <f t="shared" si="17"/>
        <v>junio</v>
      </c>
      <c r="AE99" s="166"/>
      <c r="AF99" s="149" t="b">
        <v>0</v>
      </c>
      <c r="AG99" s="166"/>
      <c r="AH99" s="149" t="b">
        <v>0</v>
      </c>
      <c r="AI99" s="162"/>
      <c r="AJ99" s="143"/>
      <c r="AK99" s="143"/>
      <c r="AL99" s="143"/>
      <c r="AM99" s="143"/>
      <c r="AN99" s="143"/>
      <c r="AO99" s="143"/>
      <c r="AP99" s="143"/>
      <c r="AQ99" s="143"/>
    </row>
    <row r="100" ht="22.5" hidden="1" customHeight="1">
      <c r="A100" s="144" t="s">
        <v>34</v>
      </c>
      <c r="B100" s="145">
        <v>45831.0</v>
      </c>
      <c r="C100" s="393" t="s">
        <v>328</v>
      </c>
      <c r="D100" s="208" t="s">
        <v>547</v>
      </c>
      <c r="E100" s="148" t="s">
        <v>28</v>
      </c>
      <c r="F100" s="394" t="s">
        <v>548</v>
      </c>
      <c r="G100" s="149">
        <v>5.1967206805E10</v>
      </c>
      <c r="H100" s="148" t="s">
        <v>257</v>
      </c>
      <c r="I100" s="150">
        <v>1.0</v>
      </c>
      <c r="J100" s="352"/>
      <c r="K100" s="271" t="str">
        <f t="shared" si="1"/>
        <v/>
      </c>
      <c r="L100" s="170">
        <v>7199.0</v>
      </c>
      <c r="M100" s="239">
        <v>6875.0</v>
      </c>
      <c r="N100" s="155">
        <v>1488.0</v>
      </c>
      <c r="O100" s="315">
        <f t="shared" si="19"/>
        <v>324</v>
      </c>
      <c r="P100" s="316">
        <f t="shared" si="4"/>
        <v>0</v>
      </c>
      <c r="Q100" s="317"/>
      <c r="R100" s="159"/>
      <c r="S100" s="318"/>
      <c r="T100" s="319"/>
      <c r="U100" s="315"/>
      <c r="V100" s="162"/>
      <c r="W100" s="148"/>
      <c r="X100" s="163"/>
      <c r="Y100" s="162"/>
      <c r="Z100" s="164"/>
      <c r="AA100" s="116"/>
      <c r="AB100" s="116"/>
      <c r="AC100" s="165"/>
      <c r="AD100" s="145" t="str">
        <f t="shared" si="17"/>
        <v>junio</v>
      </c>
      <c r="AE100" s="166"/>
      <c r="AF100" s="149" t="b">
        <v>0</v>
      </c>
      <c r="AG100" s="166"/>
      <c r="AH100" s="149" t="b">
        <v>0</v>
      </c>
      <c r="AI100" s="162"/>
      <c r="AJ100" s="143"/>
      <c r="AK100" s="143"/>
      <c r="AL100" s="143"/>
      <c r="AM100" s="143"/>
      <c r="AN100" s="143"/>
      <c r="AO100" s="143"/>
      <c r="AP100" s="143"/>
      <c r="AQ100" s="143"/>
    </row>
    <row r="101" ht="22.5" hidden="1" customHeight="1">
      <c r="A101" s="144" t="s">
        <v>259</v>
      </c>
      <c r="B101" s="145">
        <v>45835.0</v>
      </c>
      <c r="C101" s="393" t="s">
        <v>549</v>
      </c>
      <c r="D101" s="395" t="s">
        <v>550</v>
      </c>
      <c r="E101" s="148" t="s">
        <v>28</v>
      </c>
      <c r="F101" s="262" t="s">
        <v>551</v>
      </c>
      <c r="G101" s="149">
        <v>5.197685646E10</v>
      </c>
      <c r="H101" s="148" t="s">
        <v>257</v>
      </c>
      <c r="I101" s="150">
        <v>0.5</v>
      </c>
      <c r="J101" s="220">
        <v>6500.0</v>
      </c>
      <c r="K101" s="169">
        <f t="shared" si="1"/>
        <v>6671</v>
      </c>
      <c r="L101" s="221">
        <v>13171.0</v>
      </c>
      <c r="M101" s="239">
        <v>13120.0</v>
      </c>
      <c r="N101" s="155">
        <v>3059.0</v>
      </c>
      <c r="O101" s="315">
        <f t="shared" si="19"/>
        <v>51</v>
      </c>
      <c r="P101" s="316">
        <f t="shared" si="4"/>
        <v>0</v>
      </c>
      <c r="Q101" s="321"/>
      <c r="R101" s="159"/>
      <c r="S101" s="318"/>
      <c r="T101" s="319"/>
      <c r="U101" s="315"/>
      <c r="V101" s="162"/>
      <c r="W101" s="194"/>
      <c r="X101" s="195"/>
      <c r="Y101" s="162"/>
      <c r="Z101" s="164"/>
      <c r="AA101" s="116"/>
      <c r="AB101" s="116"/>
      <c r="AC101" s="149" t="s">
        <v>552</v>
      </c>
      <c r="AD101" s="145" t="str">
        <f t="shared" si="17"/>
        <v>junio</v>
      </c>
      <c r="AE101" s="144" t="s">
        <v>172</v>
      </c>
      <c r="AF101" s="149" t="b">
        <v>0</v>
      </c>
      <c r="AG101" s="166"/>
      <c r="AH101" s="149" t="b">
        <v>0</v>
      </c>
      <c r="AI101" s="162"/>
      <c r="AJ101" s="143"/>
      <c r="AK101" s="143"/>
      <c r="AL101" s="143"/>
      <c r="AM101" s="143"/>
      <c r="AN101" s="143"/>
      <c r="AO101" s="143"/>
      <c r="AP101" s="143"/>
      <c r="AQ101" s="143"/>
    </row>
    <row r="102" ht="22.5" customHeight="1">
      <c r="A102" s="365" t="s">
        <v>162</v>
      </c>
      <c r="B102" s="187">
        <v>45838.0</v>
      </c>
      <c r="C102" s="396" t="s">
        <v>553</v>
      </c>
      <c r="D102" s="329" t="s">
        <v>554</v>
      </c>
      <c r="E102" s="367" t="s">
        <v>28</v>
      </c>
      <c r="F102" s="368" t="s">
        <v>555</v>
      </c>
      <c r="G102" s="397">
        <v>5.1931941687E10</v>
      </c>
      <c r="H102" s="148" t="s">
        <v>257</v>
      </c>
      <c r="I102" s="398" t="s">
        <v>61</v>
      </c>
      <c r="J102" s="168">
        <v>451.6</v>
      </c>
      <c r="K102" s="399">
        <f t="shared" si="1"/>
        <v>1806.4</v>
      </c>
      <c r="L102" s="170">
        <v>2258.0</v>
      </c>
      <c r="M102" s="239">
        <v>2258.0</v>
      </c>
      <c r="N102" s="155">
        <v>449.99</v>
      </c>
      <c r="O102" s="400">
        <f t="shared" si="19"/>
        <v>0</v>
      </c>
      <c r="P102" s="316">
        <f t="shared" si="4"/>
        <v>0</v>
      </c>
      <c r="Q102" s="321"/>
      <c r="R102" s="159"/>
      <c r="S102" s="318"/>
      <c r="T102" s="401"/>
      <c r="U102" s="400"/>
      <c r="V102" s="162"/>
      <c r="W102" s="148"/>
      <c r="X102" s="163"/>
      <c r="Y102" s="162"/>
      <c r="Z102" s="402"/>
      <c r="AA102" s="403"/>
      <c r="AB102" s="403"/>
      <c r="AC102" s="368" t="s">
        <v>556</v>
      </c>
      <c r="AD102" s="187" t="str">
        <f t="shared" si="17"/>
        <v>junio</v>
      </c>
      <c r="AE102" s="404" t="s">
        <v>172</v>
      </c>
      <c r="AF102" s="149" t="b">
        <v>0</v>
      </c>
      <c r="AG102" s="166"/>
      <c r="AH102" s="149" t="b">
        <v>0</v>
      </c>
      <c r="AI102" s="162"/>
      <c r="AJ102" s="405"/>
      <c r="AK102" s="405"/>
      <c r="AL102" s="405"/>
      <c r="AM102" s="405"/>
      <c r="AN102" s="405"/>
      <c r="AO102" s="405"/>
      <c r="AP102" s="405"/>
      <c r="AQ102" s="405"/>
    </row>
    <row r="103" ht="22.5" hidden="1" customHeight="1">
      <c r="A103" s="144" t="s">
        <v>259</v>
      </c>
      <c r="B103" s="145">
        <v>45838.0</v>
      </c>
      <c r="C103" s="377" t="s">
        <v>444</v>
      </c>
      <c r="D103" s="208" t="s">
        <v>557</v>
      </c>
      <c r="E103" s="148" t="s">
        <v>28</v>
      </c>
      <c r="F103" s="10" t="s">
        <v>558</v>
      </c>
      <c r="G103" s="149" t="s">
        <v>559</v>
      </c>
      <c r="H103" s="148" t="s">
        <v>257</v>
      </c>
      <c r="I103" s="150">
        <v>1.0</v>
      </c>
      <c r="J103" s="270"/>
      <c r="K103" s="271" t="str">
        <f t="shared" si="1"/>
        <v/>
      </c>
      <c r="L103" s="170">
        <v>6599.0</v>
      </c>
      <c r="M103" s="239">
        <v>6124.0</v>
      </c>
      <c r="N103" s="277"/>
      <c r="O103" s="315">
        <f t="shared" si="19"/>
        <v>475</v>
      </c>
      <c r="P103" s="316">
        <f t="shared" si="4"/>
        <v>0</v>
      </c>
      <c r="Q103" s="321"/>
      <c r="R103" s="159"/>
      <c r="S103" s="318"/>
      <c r="T103" s="319"/>
      <c r="U103" s="315"/>
      <c r="V103" s="162"/>
      <c r="W103" s="194"/>
      <c r="X103" s="195"/>
      <c r="Y103" s="162"/>
      <c r="Z103" s="164"/>
      <c r="AA103" s="116"/>
      <c r="AB103" s="116"/>
      <c r="AC103" s="165"/>
      <c r="AD103" s="145" t="str">
        <f t="shared" si="17"/>
        <v>junio</v>
      </c>
      <c r="AE103" s="166"/>
      <c r="AF103" s="149" t="b">
        <v>0</v>
      </c>
      <c r="AG103" s="166"/>
      <c r="AH103" s="149" t="b">
        <v>0</v>
      </c>
      <c r="AI103" s="162"/>
      <c r="AJ103" s="143"/>
      <c r="AK103" s="143"/>
      <c r="AL103" s="143"/>
      <c r="AM103" s="143"/>
      <c r="AN103" s="143"/>
      <c r="AO103" s="143"/>
      <c r="AP103" s="143"/>
      <c r="AQ103" s="143"/>
    </row>
    <row r="104" ht="22.5" hidden="1" customHeight="1">
      <c r="A104" s="144" t="s">
        <v>259</v>
      </c>
      <c r="B104" s="145">
        <v>45829.0</v>
      </c>
      <c r="C104" s="266" t="s">
        <v>227</v>
      </c>
      <c r="D104" s="208" t="s">
        <v>560</v>
      </c>
      <c r="E104" s="148" t="s">
        <v>28</v>
      </c>
      <c r="F104" s="324" t="s">
        <v>561</v>
      </c>
      <c r="G104" s="149" t="s">
        <v>562</v>
      </c>
      <c r="H104" s="148" t="s">
        <v>257</v>
      </c>
      <c r="I104" s="150">
        <v>1.0</v>
      </c>
      <c r="J104" s="270"/>
      <c r="K104" s="271" t="str">
        <f t="shared" si="1"/>
        <v/>
      </c>
      <c r="L104" s="221">
        <v>6999.0</v>
      </c>
      <c r="M104" s="239">
        <v>6724.0</v>
      </c>
      <c r="N104" s="277"/>
      <c r="O104" s="315">
        <f t="shared" si="19"/>
        <v>275</v>
      </c>
      <c r="P104" s="316">
        <f t="shared" si="4"/>
        <v>0</v>
      </c>
      <c r="Q104" s="321"/>
      <c r="R104" s="159"/>
      <c r="S104" s="318"/>
      <c r="T104" s="319"/>
      <c r="U104" s="315"/>
      <c r="V104" s="162"/>
      <c r="W104" s="194"/>
      <c r="X104" s="195"/>
      <c r="Y104" s="162"/>
      <c r="Z104" s="164"/>
      <c r="AA104" s="116"/>
      <c r="AB104" s="116"/>
      <c r="AC104" s="165"/>
      <c r="AD104" s="145" t="str">
        <f t="shared" si="17"/>
        <v>junio</v>
      </c>
      <c r="AE104" s="166"/>
      <c r="AF104" s="149" t="b">
        <v>0</v>
      </c>
      <c r="AG104" s="166"/>
      <c r="AH104" s="149" t="b">
        <v>0</v>
      </c>
      <c r="AI104" s="162"/>
      <c r="AJ104" s="143"/>
      <c r="AK104" s="143"/>
      <c r="AL104" s="143"/>
      <c r="AM104" s="143"/>
      <c r="AN104" s="143"/>
      <c r="AO104" s="143"/>
      <c r="AP104" s="143"/>
      <c r="AQ104" s="143"/>
    </row>
    <row r="105" ht="22.5" hidden="1" customHeight="1">
      <c r="A105" s="406" t="s">
        <v>211</v>
      </c>
      <c r="B105" s="218">
        <v>45839.0</v>
      </c>
      <c r="C105" s="407"/>
      <c r="D105" s="408"/>
      <c r="E105" s="409"/>
      <c r="F105" s="410" t="s">
        <v>563</v>
      </c>
      <c r="G105" s="411"/>
      <c r="H105" s="148" t="s">
        <v>257</v>
      </c>
      <c r="I105" s="409"/>
      <c r="J105" s="352"/>
      <c r="K105" s="412" t="str">
        <f t="shared" si="1"/>
        <v/>
      </c>
      <c r="L105" s="297"/>
      <c r="M105" s="239">
        <v>5387.0</v>
      </c>
      <c r="N105" s="155">
        <v>1240.0</v>
      </c>
      <c r="O105" s="413"/>
      <c r="P105" s="316">
        <f t="shared" si="4"/>
        <v>0</v>
      </c>
      <c r="Q105" s="317"/>
      <c r="R105" s="414"/>
      <c r="S105" s="318"/>
      <c r="T105" s="415"/>
      <c r="U105" s="413"/>
      <c r="V105" s="416"/>
      <c r="W105" s="338" t="s">
        <v>564</v>
      </c>
      <c r="X105" s="417"/>
      <c r="Y105" s="416"/>
      <c r="Z105" s="418"/>
      <c r="AA105" s="419"/>
      <c r="AB105" s="419"/>
      <c r="AC105" s="411"/>
      <c r="AD105" s="145" t="str">
        <f t="shared" si="17"/>
        <v>julio</v>
      </c>
      <c r="AE105" s="420"/>
      <c r="AF105" s="338" t="b">
        <v>0</v>
      </c>
      <c r="AG105" s="166"/>
      <c r="AH105" s="149" t="b">
        <v>0</v>
      </c>
      <c r="AI105" s="162"/>
      <c r="AJ105" s="421"/>
      <c r="AK105" s="421"/>
      <c r="AL105" s="421"/>
      <c r="AM105" s="421"/>
      <c r="AN105" s="421"/>
      <c r="AO105" s="421"/>
      <c r="AP105" s="421"/>
      <c r="AQ105" s="421"/>
    </row>
    <row r="106" ht="22.5" hidden="1" customHeight="1">
      <c r="A106" s="422" t="s">
        <v>34</v>
      </c>
      <c r="B106" s="209">
        <v>45839.0</v>
      </c>
      <c r="C106" s="378" t="s">
        <v>565</v>
      </c>
      <c r="D106" s="423" t="s">
        <v>566</v>
      </c>
      <c r="E106" s="424" t="s">
        <v>28</v>
      </c>
      <c r="F106" s="425" t="s">
        <v>567</v>
      </c>
      <c r="G106" s="378">
        <v>5.1982720651E10</v>
      </c>
      <c r="H106" s="148" t="s">
        <v>257</v>
      </c>
      <c r="I106" s="426">
        <v>0.5</v>
      </c>
      <c r="J106" s="168">
        <v>8520.0</v>
      </c>
      <c r="K106" s="427">
        <f t="shared" si="1"/>
        <v>8517.82</v>
      </c>
      <c r="L106" s="170">
        <v>17037.82</v>
      </c>
      <c r="M106" s="239">
        <v>16507.39</v>
      </c>
      <c r="N106" s="177">
        <v>3949.99</v>
      </c>
      <c r="O106" s="428">
        <f t="shared" ref="O106:O134" si="20">L106-M106</f>
        <v>530.43</v>
      </c>
      <c r="P106" s="316">
        <f t="shared" si="4"/>
        <v>0</v>
      </c>
      <c r="Q106" s="317"/>
      <c r="R106" s="159"/>
      <c r="S106" s="318"/>
      <c r="T106" s="429"/>
      <c r="U106" s="428"/>
      <c r="V106" s="162"/>
      <c r="W106" s="148"/>
      <c r="X106" s="163"/>
      <c r="Y106" s="162"/>
      <c r="Z106" s="430"/>
      <c r="AA106" s="431"/>
      <c r="AB106" s="431"/>
      <c r="AC106" s="432" t="s">
        <v>568</v>
      </c>
      <c r="AD106" s="209" t="str">
        <f t="shared" si="17"/>
        <v>julio</v>
      </c>
      <c r="AE106" s="433" t="s">
        <v>172</v>
      </c>
      <c r="AF106" s="149" t="b">
        <v>0</v>
      </c>
      <c r="AG106" s="166"/>
      <c r="AH106" s="149" t="b">
        <v>0</v>
      </c>
      <c r="AI106" s="162"/>
      <c r="AJ106" s="143"/>
      <c r="AK106" s="143"/>
      <c r="AL106" s="143"/>
      <c r="AM106" s="143"/>
      <c r="AN106" s="143"/>
      <c r="AO106" s="143"/>
      <c r="AP106" s="143"/>
      <c r="AQ106" s="143"/>
    </row>
    <row r="107" ht="22.5" hidden="1" customHeight="1">
      <c r="A107" s="434" t="s">
        <v>34</v>
      </c>
      <c r="B107" s="435">
        <v>45842.0</v>
      </c>
      <c r="C107" s="436" t="s">
        <v>569</v>
      </c>
      <c r="D107" s="437" t="s">
        <v>570</v>
      </c>
      <c r="E107" s="438" t="s">
        <v>28</v>
      </c>
      <c r="F107" s="439" t="s">
        <v>571</v>
      </c>
      <c r="G107" s="440" t="s">
        <v>572</v>
      </c>
      <c r="H107" s="148" t="s">
        <v>257</v>
      </c>
      <c r="I107" s="438" t="s">
        <v>61</v>
      </c>
      <c r="J107" s="168">
        <v>1560.0</v>
      </c>
      <c r="K107" s="441">
        <f t="shared" si="1"/>
        <v>6239</v>
      </c>
      <c r="L107" s="170">
        <v>7799.0</v>
      </c>
      <c r="M107" s="239">
        <v>7360.31</v>
      </c>
      <c r="N107" s="155">
        <v>1649.99</v>
      </c>
      <c r="O107" s="442">
        <f t="shared" si="20"/>
        <v>438.69</v>
      </c>
      <c r="P107" s="316">
        <f t="shared" si="4"/>
        <v>0</v>
      </c>
      <c r="Q107" s="317"/>
      <c r="R107" s="159"/>
      <c r="S107" s="318"/>
      <c r="T107" s="443"/>
      <c r="U107" s="442"/>
      <c r="V107" s="444"/>
      <c r="W107" s="438"/>
      <c r="X107" s="445"/>
      <c r="Y107" s="444"/>
      <c r="Z107" s="446" t="s">
        <v>573</v>
      </c>
      <c r="AA107" s="447"/>
      <c r="AB107" s="447"/>
      <c r="AC107" s="440" t="s">
        <v>574</v>
      </c>
      <c r="AD107" s="435" t="str">
        <f t="shared" si="17"/>
        <v>julio</v>
      </c>
      <c r="AE107" s="434" t="s">
        <v>172</v>
      </c>
      <c r="AF107" s="440" t="b">
        <v>0</v>
      </c>
      <c r="AG107" s="166"/>
      <c r="AH107" s="149" t="b">
        <v>0</v>
      </c>
      <c r="AI107" s="162"/>
      <c r="AJ107" s="448"/>
      <c r="AK107" s="448"/>
      <c r="AL107" s="448"/>
      <c r="AM107" s="448"/>
      <c r="AN107" s="448"/>
      <c r="AO107" s="448"/>
      <c r="AP107" s="448"/>
      <c r="AQ107" s="448"/>
    </row>
    <row r="108" ht="22.5" hidden="1" customHeight="1">
      <c r="A108" s="434" t="s">
        <v>34</v>
      </c>
      <c r="B108" s="435">
        <v>45843.0</v>
      </c>
      <c r="C108" s="436" t="s">
        <v>569</v>
      </c>
      <c r="D108" s="437" t="s">
        <v>575</v>
      </c>
      <c r="E108" s="438" t="s">
        <v>28</v>
      </c>
      <c r="F108" s="439" t="s">
        <v>576</v>
      </c>
      <c r="G108" s="440">
        <v>5.199915015E10</v>
      </c>
      <c r="H108" s="148" t="s">
        <v>257</v>
      </c>
      <c r="I108" s="438" t="s">
        <v>61</v>
      </c>
      <c r="J108" s="168">
        <v>1560.0</v>
      </c>
      <c r="K108" s="441">
        <f t="shared" si="1"/>
        <v>6239</v>
      </c>
      <c r="L108" s="170">
        <v>7799.0</v>
      </c>
      <c r="M108" s="449">
        <v>7354.0</v>
      </c>
      <c r="N108" s="155">
        <v>1649.99</v>
      </c>
      <c r="O108" s="442">
        <f t="shared" si="20"/>
        <v>445</v>
      </c>
      <c r="P108" s="316">
        <f t="shared" si="4"/>
        <v>0</v>
      </c>
      <c r="Q108" s="317"/>
      <c r="R108" s="159"/>
      <c r="S108" s="318"/>
      <c r="T108" s="443"/>
      <c r="U108" s="442"/>
      <c r="V108" s="444"/>
      <c r="W108" s="438"/>
      <c r="X108" s="445"/>
      <c r="Y108" s="444"/>
      <c r="Z108" s="450"/>
      <c r="AA108" s="447"/>
      <c r="AB108" s="447"/>
      <c r="AC108" s="440" t="s">
        <v>577</v>
      </c>
      <c r="AD108" s="435" t="str">
        <f t="shared" si="17"/>
        <v>julio</v>
      </c>
      <c r="AE108" s="434" t="s">
        <v>172</v>
      </c>
      <c r="AF108" s="440" t="b">
        <v>0</v>
      </c>
      <c r="AG108" s="166"/>
      <c r="AH108" s="149" t="b">
        <v>0</v>
      </c>
      <c r="AI108" s="162"/>
      <c r="AJ108" s="448"/>
      <c r="AK108" s="448"/>
      <c r="AL108" s="448"/>
      <c r="AM108" s="448"/>
      <c r="AN108" s="448"/>
      <c r="AO108" s="448"/>
      <c r="AP108" s="448"/>
      <c r="AQ108" s="448"/>
    </row>
    <row r="109" ht="22.5" hidden="1" customHeight="1">
      <c r="A109" s="144" t="s">
        <v>259</v>
      </c>
      <c r="B109" s="145">
        <v>45844.0</v>
      </c>
      <c r="C109" s="393" t="s">
        <v>328</v>
      </c>
      <c r="D109" s="208" t="s">
        <v>578</v>
      </c>
      <c r="E109" s="148" t="s">
        <v>28</v>
      </c>
      <c r="F109" s="451" t="s">
        <v>579</v>
      </c>
      <c r="H109" s="148" t="s">
        <v>257</v>
      </c>
      <c r="I109" s="148" t="s">
        <v>61</v>
      </c>
      <c r="J109" s="312">
        <v>1340.0</v>
      </c>
      <c r="K109" s="169">
        <f t="shared" si="1"/>
        <v>5359</v>
      </c>
      <c r="L109" s="452">
        <v>6699.0</v>
      </c>
      <c r="M109" s="384">
        <v>6110.0</v>
      </c>
      <c r="N109" s="155">
        <v>1399.99</v>
      </c>
      <c r="O109" s="315">
        <f t="shared" si="20"/>
        <v>589</v>
      </c>
      <c r="P109" s="316">
        <f t="shared" si="4"/>
        <v>0</v>
      </c>
      <c r="Q109" s="321"/>
      <c r="R109" s="159"/>
      <c r="S109" s="318"/>
      <c r="T109" s="319"/>
      <c r="U109" s="315"/>
      <c r="V109" s="162"/>
      <c r="W109" s="453"/>
      <c r="X109" s="454"/>
      <c r="Y109" s="162"/>
      <c r="Z109" s="164"/>
      <c r="AA109" s="116"/>
      <c r="AB109" s="116"/>
      <c r="AC109" s="149" t="s">
        <v>580</v>
      </c>
      <c r="AD109" s="145" t="str">
        <f t="shared" si="17"/>
        <v>julio</v>
      </c>
      <c r="AE109" s="144" t="s">
        <v>172</v>
      </c>
      <c r="AF109" s="332" t="b">
        <v>0</v>
      </c>
      <c r="AG109" s="166"/>
      <c r="AH109" s="149" t="b">
        <v>0</v>
      </c>
      <c r="AI109" s="162"/>
      <c r="AJ109" s="143"/>
      <c r="AK109" s="143"/>
      <c r="AL109" s="143"/>
      <c r="AM109" s="143"/>
      <c r="AN109" s="143"/>
      <c r="AO109" s="143"/>
      <c r="AP109" s="143"/>
      <c r="AQ109" s="143"/>
    </row>
    <row r="110" ht="22.5" customHeight="1">
      <c r="A110" s="365" t="s">
        <v>162</v>
      </c>
      <c r="B110" s="187">
        <v>45845.0</v>
      </c>
      <c r="C110" s="113" t="s">
        <v>581</v>
      </c>
      <c r="D110" s="329" t="s">
        <v>582</v>
      </c>
      <c r="E110" s="367" t="s">
        <v>28</v>
      </c>
      <c r="F110" s="113" t="s">
        <v>583</v>
      </c>
      <c r="G110" s="368">
        <v>5.1999533067E10</v>
      </c>
      <c r="H110" s="148" t="s">
        <v>257</v>
      </c>
      <c r="I110" s="367" t="s">
        <v>61</v>
      </c>
      <c r="J110" s="168">
        <v>2663.0</v>
      </c>
      <c r="K110" s="370">
        <f t="shared" si="1"/>
        <v>6364</v>
      </c>
      <c r="L110" s="170">
        <v>9027.0</v>
      </c>
      <c r="M110" s="239">
        <v>8807.14</v>
      </c>
      <c r="N110" s="155">
        <v>1949.99</v>
      </c>
      <c r="O110" s="371">
        <f t="shared" si="20"/>
        <v>219.86</v>
      </c>
      <c r="P110" s="316">
        <f t="shared" si="4"/>
        <v>0</v>
      </c>
      <c r="Q110" s="321"/>
      <c r="R110" s="159"/>
      <c r="S110" s="318"/>
      <c r="T110" s="372"/>
      <c r="U110" s="371"/>
      <c r="V110" s="162"/>
      <c r="W110" s="148" t="s">
        <v>584</v>
      </c>
      <c r="X110" s="163"/>
      <c r="Y110" s="162"/>
      <c r="Z110" s="373"/>
      <c r="AA110" s="374"/>
      <c r="AB110" s="374"/>
      <c r="AC110" s="368" t="s">
        <v>585</v>
      </c>
      <c r="AD110" s="187" t="str">
        <f t="shared" si="17"/>
        <v>julio</v>
      </c>
      <c r="AE110" s="404" t="s">
        <v>172</v>
      </c>
      <c r="AF110" s="149" t="b">
        <v>0</v>
      </c>
      <c r="AG110" s="166"/>
      <c r="AH110" s="149" t="b">
        <v>0</v>
      </c>
      <c r="AI110" s="162"/>
      <c r="AJ110" s="376"/>
      <c r="AK110" s="376"/>
      <c r="AL110" s="376"/>
      <c r="AM110" s="376"/>
      <c r="AN110" s="376"/>
      <c r="AO110" s="376"/>
      <c r="AP110" s="376"/>
      <c r="AQ110" s="376"/>
    </row>
    <row r="111" ht="22.5" hidden="1" customHeight="1">
      <c r="A111" s="434" t="s">
        <v>34</v>
      </c>
      <c r="B111" s="435">
        <v>45846.0</v>
      </c>
      <c r="C111" s="455" t="s">
        <v>569</v>
      </c>
      <c r="D111" s="456" t="s">
        <v>586</v>
      </c>
      <c r="E111" s="438" t="s">
        <v>28</v>
      </c>
      <c r="F111" s="439" t="s">
        <v>587</v>
      </c>
      <c r="G111" s="440">
        <v>5.1947425028E10</v>
      </c>
      <c r="H111" s="148" t="s">
        <v>257</v>
      </c>
      <c r="I111" s="438" t="s">
        <v>61</v>
      </c>
      <c r="J111" s="168">
        <v>1560.0</v>
      </c>
      <c r="K111" s="457">
        <f t="shared" si="1"/>
        <v>6239</v>
      </c>
      <c r="L111" s="170">
        <v>7799.0</v>
      </c>
      <c r="M111" s="239">
        <v>7403.0</v>
      </c>
      <c r="N111" s="155">
        <v>1649.99</v>
      </c>
      <c r="O111" s="442">
        <f t="shared" si="20"/>
        <v>396</v>
      </c>
      <c r="P111" s="316">
        <f t="shared" si="4"/>
        <v>0</v>
      </c>
      <c r="Q111" s="317"/>
      <c r="R111" s="159"/>
      <c r="S111" s="318"/>
      <c r="T111" s="443"/>
      <c r="U111" s="442"/>
      <c r="V111" s="444"/>
      <c r="W111" s="438"/>
      <c r="X111" s="445"/>
      <c r="Y111" s="444"/>
      <c r="Z111" s="450"/>
      <c r="AA111" s="447"/>
      <c r="AB111" s="447"/>
      <c r="AC111" s="440" t="s">
        <v>588</v>
      </c>
      <c r="AD111" s="435" t="str">
        <f t="shared" si="17"/>
        <v>julio</v>
      </c>
      <c r="AE111" s="434" t="s">
        <v>172</v>
      </c>
      <c r="AF111" s="440" t="b">
        <v>0</v>
      </c>
      <c r="AG111" s="166"/>
      <c r="AH111" s="149" t="b">
        <v>0</v>
      </c>
      <c r="AI111" s="162"/>
      <c r="AJ111" s="448"/>
      <c r="AK111" s="448"/>
      <c r="AL111" s="448"/>
      <c r="AM111" s="448"/>
      <c r="AN111" s="448"/>
      <c r="AO111" s="448"/>
      <c r="AP111" s="448"/>
      <c r="AQ111" s="448"/>
    </row>
    <row r="112" ht="22.5" hidden="1" customHeight="1">
      <c r="A112" s="434" t="s">
        <v>34</v>
      </c>
      <c r="B112" s="435">
        <v>45847.0</v>
      </c>
      <c r="C112" s="455" t="s">
        <v>569</v>
      </c>
      <c r="D112" s="456" t="s">
        <v>589</v>
      </c>
      <c r="E112" s="438" t="s">
        <v>28</v>
      </c>
      <c r="F112" s="439" t="s">
        <v>590</v>
      </c>
      <c r="G112" s="440" t="s">
        <v>591</v>
      </c>
      <c r="H112" s="148" t="s">
        <v>257</v>
      </c>
      <c r="I112" s="438" t="s">
        <v>61</v>
      </c>
      <c r="J112" s="168">
        <v>1560.0</v>
      </c>
      <c r="K112" s="457">
        <f t="shared" si="1"/>
        <v>6239</v>
      </c>
      <c r="L112" s="170">
        <v>7799.0</v>
      </c>
      <c r="M112" s="239">
        <v>7403.0</v>
      </c>
      <c r="N112" s="155">
        <v>1649.99</v>
      </c>
      <c r="O112" s="442">
        <f t="shared" si="20"/>
        <v>396</v>
      </c>
      <c r="P112" s="316">
        <f t="shared" si="4"/>
        <v>0</v>
      </c>
      <c r="Q112" s="317"/>
      <c r="R112" s="159"/>
      <c r="S112" s="318"/>
      <c r="T112" s="443"/>
      <c r="U112" s="442"/>
      <c r="V112" s="444"/>
      <c r="W112" s="438"/>
      <c r="X112" s="445"/>
      <c r="Y112" s="444"/>
      <c r="Z112" s="450"/>
      <c r="AA112" s="447"/>
      <c r="AB112" s="447"/>
      <c r="AC112" s="440" t="s">
        <v>592</v>
      </c>
      <c r="AD112" s="435" t="str">
        <f t="shared" si="17"/>
        <v>julio</v>
      </c>
      <c r="AE112" s="434" t="s">
        <v>172</v>
      </c>
      <c r="AF112" s="440" t="b">
        <v>0</v>
      </c>
      <c r="AG112" s="166"/>
      <c r="AH112" s="149" t="b">
        <v>0</v>
      </c>
      <c r="AI112" s="162"/>
      <c r="AJ112" s="448"/>
      <c r="AK112" s="448"/>
      <c r="AL112" s="448"/>
      <c r="AM112" s="448"/>
      <c r="AN112" s="448"/>
      <c r="AO112" s="448"/>
      <c r="AP112" s="448"/>
      <c r="AQ112" s="448"/>
    </row>
    <row r="113" ht="22.5" hidden="1" customHeight="1">
      <c r="A113" s="434" t="s">
        <v>34</v>
      </c>
      <c r="B113" s="435">
        <v>45847.0</v>
      </c>
      <c r="C113" s="458" t="s">
        <v>593</v>
      </c>
      <c r="D113" s="456" t="s">
        <v>594</v>
      </c>
      <c r="E113" s="438" t="s">
        <v>28</v>
      </c>
      <c r="F113" s="459" t="s">
        <v>595</v>
      </c>
      <c r="G113" s="440">
        <v>5.1945869823E10</v>
      </c>
      <c r="H113" s="148" t="s">
        <v>257</v>
      </c>
      <c r="I113" s="438" t="s">
        <v>61</v>
      </c>
      <c r="J113" s="168">
        <v>1140.0</v>
      </c>
      <c r="K113" s="441">
        <f t="shared" si="1"/>
        <v>4559</v>
      </c>
      <c r="L113" s="170">
        <v>5699.0</v>
      </c>
      <c r="M113" s="239">
        <v>5350.17</v>
      </c>
      <c r="N113" s="460">
        <v>1159.99</v>
      </c>
      <c r="O113" s="442">
        <f t="shared" si="20"/>
        <v>348.83</v>
      </c>
      <c r="P113" s="461">
        <f t="shared" si="4"/>
        <v>0</v>
      </c>
      <c r="Q113" s="462"/>
      <c r="R113" s="159"/>
      <c r="S113" s="463"/>
      <c r="T113" s="464"/>
      <c r="U113" s="465"/>
      <c r="V113" s="444"/>
      <c r="W113" s="438"/>
      <c r="X113" s="445"/>
      <c r="Y113" s="444"/>
      <c r="Z113" s="466">
        <f>L113-J113</f>
        <v>4559</v>
      </c>
      <c r="AA113" s="447"/>
      <c r="AB113" s="447"/>
      <c r="AC113" s="440" t="s">
        <v>596</v>
      </c>
      <c r="AD113" s="435" t="str">
        <f t="shared" si="17"/>
        <v>julio</v>
      </c>
      <c r="AE113" s="434" t="s">
        <v>172</v>
      </c>
      <c r="AF113" s="440" t="b">
        <v>0</v>
      </c>
      <c r="AG113" s="166"/>
      <c r="AH113" s="149" t="b">
        <v>0</v>
      </c>
      <c r="AI113" s="162"/>
      <c r="AJ113" s="448"/>
      <c r="AK113" s="448"/>
      <c r="AL113" s="448"/>
      <c r="AM113" s="448"/>
      <c r="AN113" s="448"/>
      <c r="AO113" s="448"/>
      <c r="AP113" s="448"/>
      <c r="AQ113" s="448"/>
    </row>
    <row r="114" ht="22.5" customHeight="1">
      <c r="A114" s="365" t="s">
        <v>162</v>
      </c>
      <c r="B114" s="187">
        <v>45847.0</v>
      </c>
      <c r="C114" s="368" t="s">
        <v>597</v>
      </c>
      <c r="D114" s="329" t="s">
        <v>598</v>
      </c>
      <c r="E114" s="367" t="s">
        <v>28</v>
      </c>
      <c r="F114" s="113" t="s">
        <v>599</v>
      </c>
      <c r="G114" s="368">
        <v>5.1917992496E10</v>
      </c>
      <c r="H114" s="148" t="s">
        <v>257</v>
      </c>
      <c r="I114" s="367" t="s">
        <v>61</v>
      </c>
      <c r="J114" s="168">
        <v>1032.0</v>
      </c>
      <c r="K114" s="370">
        <f t="shared" si="1"/>
        <v>4371</v>
      </c>
      <c r="L114" s="170">
        <v>5403.0</v>
      </c>
      <c r="M114" s="239">
        <v>5085.68</v>
      </c>
      <c r="N114" s="155">
        <v>1069.99</v>
      </c>
      <c r="O114" s="371">
        <f t="shared" si="20"/>
        <v>317.32</v>
      </c>
      <c r="P114" s="316">
        <f t="shared" si="4"/>
        <v>0</v>
      </c>
      <c r="Q114" s="321"/>
      <c r="R114" s="159"/>
      <c r="S114" s="318"/>
      <c r="T114" s="372"/>
      <c r="U114" s="371"/>
      <c r="V114" s="162"/>
      <c r="W114" s="148" t="s">
        <v>584</v>
      </c>
      <c r="X114" s="163"/>
      <c r="Y114" s="162"/>
      <c r="Z114" s="373"/>
      <c r="AA114" s="374"/>
      <c r="AB114" s="374"/>
      <c r="AC114" s="368" t="s">
        <v>596</v>
      </c>
      <c r="AD114" s="187" t="str">
        <f t="shared" si="17"/>
        <v>julio</v>
      </c>
      <c r="AE114" s="404" t="s">
        <v>172</v>
      </c>
      <c r="AF114" s="149" t="b">
        <v>0</v>
      </c>
      <c r="AG114" s="166"/>
      <c r="AH114" s="149" t="b">
        <v>0</v>
      </c>
      <c r="AI114" s="162"/>
      <c r="AJ114" s="376"/>
      <c r="AK114" s="376"/>
      <c r="AL114" s="376"/>
      <c r="AM114" s="376"/>
      <c r="AN114" s="376"/>
      <c r="AO114" s="376"/>
      <c r="AP114" s="376"/>
      <c r="AQ114" s="376"/>
    </row>
    <row r="115" ht="22.5" customHeight="1">
      <c r="A115" s="365" t="s">
        <v>162</v>
      </c>
      <c r="B115" s="187">
        <v>45847.0</v>
      </c>
      <c r="C115" s="368" t="s">
        <v>600</v>
      </c>
      <c r="D115" s="329" t="s">
        <v>601</v>
      </c>
      <c r="E115" s="367" t="s">
        <v>28</v>
      </c>
      <c r="F115" s="351" t="s">
        <v>602</v>
      </c>
      <c r="G115" s="368">
        <v>5.19546939E10</v>
      </c>
      <c r="H115" s="148" t="s">
        <v>257</v>
      </c>
      <c r="I115" s="369">
        <v>1.0</v>
      </c>
      <c r="J115" s="168">
        <v>5797.53</v>
      </c>
      <c r="K115" s="370">
        <f t="shared" si="1"/>
        <v>0</v>
      </c>
      <c r="L115" s="170">
        <v>5797.53</v>
      </c>
      <c r="M115" s="239">
        <v>5793.0</v>
      </c>
      <c r="N115" s="155">
        <v>1274.99</v>
      </c>
      <c r="O115" s="371">
        <f t="shared" si="20"/>
        <v>4.53</v>
      </c>
      <c r="P115" s="316">
        <f t="shared" si="4"/>
        <v>0</v>
      </c>
      <c r="Q115" s="321"/>
      <c r="R115" s="159"/>
      <c r="S115" s="318"/>
      <c r="T115" s="372"/>
      <c r="U115" s="371"/>
      <c r="V115" s="162"/>
      <c r="W115" s="148"/>
      <c r="X115" s="163"/>
      <c r="Y115" s="162"/>
      <c r="Z115" s="373"/>
      <c r="AA115" s="374"/>
      <c r="AB115" s="374"/>
      <c r="AC115" s="113" t="s">
        <v>603</v>
      </c>
      <c r="AD115" s="187" t="str">
        <f t="shared" si="17"/>
        <v>julio</v>
      </c>
      <c r="AE115" s="404" t="s">
        <v>172</v>
      </c>
      <c r="AF115" s="149" t="b">
        <v>0</v>
      </c>
      <c r="AG115" s="166"/>
      <c r="AH115" s="149" t="b">
        <v>0</v>
      </c>
      <c r="AI115" s="162"/>
      <c r="AJ115" s="376"/>
      <c r="AK115" s="376"/>
      <c r="AL115" s="376"/>
      <c r="AM115" s="376"/>
      <c r="AN115" s="376"/>
      <c r="AO115" s="376"/>
      <c r="AP115" s="376"/>
      <c r="AQ115" s="376"/>
    </row>
    <row r="116" ht="22.5" customHeight="1">
      <c r="A116" s="365" t="s">
        <v>162</v>
      </c>
      <c r="B116" s="187">
        <v>45848.0</v>
      </c>
      <c r="C116" s="368" t="s">
        <v>600</v>
      </c>
      <c r="D116" s="329" t="s">
        <v>604</v>
      </c>
      <c r="E116" s="367" t="s">
        <v>28</v>
      </c>
      <c r="F116" s="351" t="s">
        <v>605</v>
      </c>
      <c r="G116" s="368">
        <v>5.1918526037E10</v>
      </c>
      <c r="H116" s="148" t="s">
        <v>257</v>
      </c>
      <c r="I116" s="367" t="s">
        <v>61</v>
      </c>
      <c r="J116" s="168">
        <v>1240.0</v>
      </c>
      <c r="K116" s="370">
        <f t="shared" si="1"/>
        <v>4959</v>
      </c>
      <c r="L116" s="170">
        <v>6199.0</v>
      </c>
      <c r="M116" s="239">
        <v>5793.0</v>
      </c>
      <c r="N116" s="155">
        <v>1274.99</v>
      </c>
      <c r="O116" s="371">
        <f t="shared" si="20"/>
        <v>406</v>
      </c>
      <c r="P116" s="316">
        <f t="shared" si="4"/>
        <v>0</v>
      </c>
      <c r="Q116" s="321"/>
      <c r="R116" s="159"/>
      <c r="S116" s="318"/>
      <c r="T116" s="372"/>
      <c r="U116" s="371"/>
      <c r="V116" s="162"/>
      <c r="W116" s="148"/>
      <c r="X116" s="163"/>
      <c r="Y116" s="162"/>
      <c r="Z116" s="373"/>
      <c r="AA116" s="374"/>
      <c r="AB116" s="374"/>
      <c r="AC116" s="368" t="s">
        <v>606</v>
      </c>
      <c r="AD116" s="187" t="str">
        <f t="shared" si="17"/>
        <v>julio</v>
      </c>
      <c r="AE116" s="404" t="s">
        <v>172</v>
      </c>
      <c r="AF116" s="149" t="b">
        <v>0</v>
      </c>
      <c r="AG116" s="166"/>
      <c r="AH116" s="149" t="b">
        <v>0</v>
      </c>
      <c r="AI116" s="162"/>
      <c r="AJ116" s="376"/>
      <c r="AK116" s="376"/>
      <c r="AL116" s="376"/>
      <c r="AM116" s="376"/>
      <c r="AN116" s="376"/>
      <c r="AO116" s="376"/>
      <c r="AP116" s="376"/>
      <c r="AQ116" s="376"/>
    </row>
    <row r="117" ht="22.5" hidden="1" customHeight="1">
      <c r="A117" s="144" t="s">
        <v>34</v>
      </c>
      <c r="B117" s="145">
        <v>45849.0</v>
      </c>
      <c r="C117" s="149" t="s">
        <v>539</v>
      </c>
      <c r="D117" s="329" t="s">
        <v>607</v>
      </c>
      <c r="E117" s="148" t="s">
        <v>28</v>
      </c>
      <c r="F117" s="467" t="s">
        <v>608</v>
      </c>
      <c r="G117" s="104">
        <v>9.77237975E8</v>
      </c>
      <c r="H117" s="148" t="s">
        <v>257</v>
      </c>
      <c r="I117" s="148" t="s">
        <v>61</v>
      </c>
      <c r="J117" s="168">
        <v>1300.0</v>
      </c>
      <c r="K117" s="169">
        <f t="shared" si="1"/>
        <v>5199</v>
      </c>
      <c r="L117" s="170">
        <v>6499.0</v>
      </c>
      <c r="M117" s="239">
        <v>6127.0</v>
      </c>
      <c r="N117" s="155">
        <v>1349.0</v>
      </c>
      <c r="O117" s="315">
        <f t="shared" si="20"/>
        <v>372</v>
      </c>
      <c r="P117" s="316">
        <f t="shared" si="4"/>
        <v>0</v>
      </c>
      <c r="Q117" s="317"/>
      <c r="R117" s="159"/>
      <c r="S117" s="318"/>
      <c r="T117" s="319"/>
      <c r="U117" s="315"/>
      <c r="V117" s="162"/>
      <c r="W117" s="330"/>
      <c r="X117" s="331"/>
      <c r="Y117" s="162"/>
      <c r="Z117" s="10" t="s">
        <v>609</v>
      </c>
      <c r="AA117" s="116"/>
      <c r="AB117" s="116"/>
      <c r="AC117" s="165"/>
      <c r="AD117" s="145" t="str">
        <f t="shared" si="17"/>
        <v>julio</v>
      </c>
      <c r="AE117" s="144" t="s">
        <v>172</v>
      </c>
      <c r="AF117" s="332" t="b">
        <v>0</v>
      </c>
      <c r="AG117" s="166"/>
      <c r="AH117" s="149" t="b">
        <v>0</v>
      </c>
      <c r="AI117" s="162"/>
      <c r="AJ117" s="143"/>
      <c r="AK117" s="143"/>
      <c r="AL117" s="143"/>
      <c r="AM117" s="143"/>
      <c r="AN117" s="143"/>
      <c r="AO117" s="143"/>
      <c r="AP117" s="143"/>
      <c r="AQ117" s="143"/>
    </row>
    <row r="118" ht="22.5" customHeight="1">
      <c r="A118" s="468" t="s">
        <v>162</v>
      </c>
      <c r="B118" s="469">
        <v>45850.0</v>
      </c>
      <c r="C118" s="470" t="s">
        <v>444</v>
      </c>
      <c r="D118" s="395" t="s">
        <v>610</v>
      </c>
      <c r="E118" s="471" t="s">
        <v>28</v>
      </c>
      <c r="F118" s="472" t="s">
        <v>611</v>
      </c>
      <c r="G118" s="470">
        <v>9.74510646E8</v>
      </c>
      <c r="H118" s="148" t="s">
        <v>257</v>
      </c>
      <c r="I118" s="473">
        <v>1.0</v>
      </c>
      <c r="J118" s="352"/>
      <c r="K118" s="474" t="str">
        <f t="shared" si="1"/>
        <v/>
      </c>
      <c r="L118" s="170">
        <v>6499.0</v>
      </c>
      <c r="M118" s="239">
        <v>6124.0</v>
      </c>
      <c r="N118" s="155">
        <v>1329.99</v>
      </c>
      <c r="O118" s="475">
        <f t="shared" si="20"/>
        <v>375</v>
      </c>
      <c r="P118" s="316">
        <f t="shared" si="4"/>
        <v>0</v>
      </c>
      <c r="Q118" s="321"/>
      <c r="R118" s="159"/>
      <c r="S118" s="318"/>
      <c r="T118" s="476"/>
      <c r="U118" s="475"/>
      <c r="V118" s="162"/>
      <c r="W118" s="148"/>
      <c r="X118" s="163"/>
      <c r="Y118" s="162"/>
      <c r="Z118" s="477"/>
      <c r="AA118" s="478"/>
      <c r="AB118" s="478"/>
      <c r="AC118" s="470" t="s">
        <v>612</v>
      </c>
      <c r="AD118" s="469" t="str">
        <f t="shared" si="17"/>
        <v>julio</v>
      </c>
      <c r="AE118" s="404" t="s">
        <v>172</v>
      </c>
      <c r="AF118" s="149" t="b">
        <v>0</v>
      </c>
      <c r="AG118" s="166"/>
      <c r="AH118" s="149" t="b">
        <v>0</v>
      </c>
      <c r="AI118" s="162"/>
      <c r="AJ118" s="479"/>
      <c r="AK118" s="479"/>
      <c r="AL118" s="479"/>
      <c r="AM118" s="479"/>
      <c r="AN118" s="479"/>
      <c r="AO118" s="479"/>
      <c r="AP118" s="479"/>
      <c r="AQ118" s="479"/>
    </row>
    <row r="119" ht="22.5" customHeight="1">
      <c r="A119" s="365" t="s">
        <v>162</v>
      </c>
      <c r="B119" s="187">
        <v>45850.0</v>
      </c>
      <c r="C119" s="207" t="s">
        <v>613</v>
      </c>
      <c r="D119" s="366" t="s">
        <v>614</v>
      </c>
      <c r="E119" s="367" t="s">
        <v>28</v>
      </c>
      <c r="F119" s="480" t="s">
        <v>615</v>
      </c>
      <c r="G119" s="368">
        <v>5.1901659626E10</v>
      </c>
      <c r="H119" s="148" t="s">
        <v>257</v>
      </c>
      <c r="I119" s="369">
        <v>0.3</v>
      </c>
      <c r="J119" s="168">
        <v>2160.0</v>
      </c>
      <c r="K119" s="370">
        <f t="shared" si="1"/>
        <v>5027</v>
      </c>
      <c r="L119" s="170">
        <v>7187.0</v>
      </c>
      <c r="M119" s="239">
        <v>7116.77</v>
      </c>
      <c r="N119" s="155">
        <v>1559.99</v>
      </c>
      <c r="O119" s="371">
        <f t="shared" si="20"/>
        <v>70.23</v>
      </c>
      <c r="P119" s="316">
        <f t="shared" si="4"/>
        <v>0</v>
      </c>
      <c r="Q119" s="321"/>
      <c r="R119" s="159"/>
      <c r="S119" s="318"/>
      <c r="T119" s="372"/>
      <c r="U119" s="371"/>
      <c r="V119" s="162"/>
      <c r="W119" s="148" t="s">
        <v>584</v>
      </c>
      <c r="X119" s="163"/>
      <c r="Y119" s="162"/>
      <c r="Z119" s="373"/>
      <c r="AA119" s="374"/>
      <c r="AB119" s="374"/>
      <c r="AC119" s="368" t="s">
        <v>616</v>
      </c>
      <c r="AD119" s="187" t="str">
        <f t="shared" si="17"/>
        <v>julio</v>
      </c>
      <c r="AE119" s="404" t="s">
        <v>172</v>
      </c>
      <c r="AF119" s="149" t="b">
        <v>0</v>
      </c>
      <c r="AG119" s="166"/>
      <c r="AH119" s="149" t="b">
        <v>0</v>
      </c>
      <c r="AI119" s="162"/>
      <c r="AJ119" s="376"/>
      <c r="AK119" s="376"/>
      <c r="AL119" s="376"/>
      <c r="AM119" s="376"/>
      <c r="AN119" s="376"/>
      <c r="AO119" s="376"/>
      <c r="AP119" s="376"/>
      <c r="AQ119" s="376"/>
    </row>
    <row r="120" ht="22.5" hidden="1" customHeight="1">
      <c r="A120" s="144" t="s">
        <v>34</v>
      </c>
      <c r="B120" s="145">
        <v>45852.0</v>
      </c>
      <c r="C120" s="481" t="s">
        <v>617</v>
      </c>
      <c r="D120" s="208" t="s">
        <v>618</v>
      </c>
      <c r="E120" s="148" t="s">
        <v>28</v>
      </c>
      <c r="F120" s="451" t="s">
        <v>619</v>
      </c>
      <c r="G120" s="149">
        <v>5.1990908785E10</v>
      </c>
      <c r="H120" s="148" t="s">
        <v>257</v>
      </c>
      <c r="I120" s="148" t="s">
        <v>61</v>
      </c>
      <c r="J120" s="168">
        <v>1880.0</v>
      </c>
      <c r="K120" s="169">
        <f t="shared" si="1"/>
        <v>7519</v>
      </c>
      <c r="L120" s="170">
        <v>9399.0</v>
      </c>
      <c r="M120" s="239">
        <v>8828.0</v>
      </c>
      <c r="N120" s="482">
        <v>1999.99</v>
      </c>
      <c r="O120" s="315">
        <f t="shared" si="20"/>
        <v>571</v>
      </c>
      <c r="P120" s="316">
        <f t="shared" si="4"/>
        <v>0</v>
      </c>
      <c r="Q120" s="317"/>
      <c r="R120" s="159"/>
      <c r="S120" s="318"/>
      <c r="T120" s="319"/>
      <c r="U120" s="315"/>
      <c r="V120" s="162"/>
      <c r="W120" s="148"/>
      <c r="X120" s="163"/>
      <c r="Y120" s="162"/>
      <c r="Z120" s="31">
        <f>L120-J120</f>
        <v>7519</v>
      </c>
      <c r="AA120" s="116"/>
      <c r="AB120" s="116"/>
      <c r="AC120" s="483" t="s">
        <v>620</v>
      </c>
      <c r="AD120" s="145" t="str">
        <f t="shared" si="17"/>
        <v>julio</v>
      </c>
      <c r="AE120" s="484" t="s">
        <v>172</v>
      </c>
      <c r="AF120" s="149" t="b">
        <v>0</v>
      </c>
      <c r="AG120" s="166"/>
      <c r="AH120" s="149" t="b">
        <v>0</v>
      </c>
      <c r="AI120" s="162"/>
      <c r="AJ120" s="143"/>
      <c r="AK120" s="143"/>
      <c r="AL120" s="143"/>
      <c r="AM120" s="143"/>
      <c r="AN120" s="143"/>
      <c r="AO120" s="143"/>
      <c r="AP120" s="143"/>
      <c r="AQ120" s="143"/>
    </row>
    <row r="121" ht="22.5" customHeight="1">
      <c r="A121" s="365" t="s">
        <v>162</v>
      </c>
      <c r="B121" s="187">
        <v>45852.0</v>
      </c>
      <c r="C121" s="387" t="s">
        <v>621</v>
      </c>
      <c r="D121" s="329" t="s">
        <v>622</v>
      </c>
      <c r="E121" s="367" t="s">
        <v>28</v>
      </c>
      <c r="F121" s="113" t="s">
        <v>623</v>
      </c>
      <c r="G121" s="368">
        <v>5.192064512E10</v>
      </c>
      <c r="H121" s="148" t="s">
        <v>257</v>
      </c>
      <c r="I121" s="369">
        <v>0.5</v>
      </c>
      <c r="J121" s="168">
        <v>9310.5</v>
      </c>
      <c r="K121" s="370">
        <f t="shared" si="1"/>
        <v>9310.5</v>
      </c>
      <c r="L121" s="170">
        <v>18621.0</v>
      </c>
      <c r="M121" s="239">
        <v>18250.68</v>
      </c>
      <c r="N121" s="155">
        <v>4426.69</v>
      </c>
      <c r="O121" s="371">
        <f t="shared" si="20"/>
        <v>370.32</v>
      </c>
      <c r="P121" s="316">
        <f t="shared" si="4"/>
        <v>0</v>
      </c>
      <c r="Q121" s="321"/>
      <c r="R121" s="159"/>
      <c r="S121" s="318"/>
      <c r="T121" s="372"/>
      <c r="U121" s="371"/>
      <c r="V121" s="162"/>
      <c r="W121" s="148" t="s">
        <v>584</v>
      </c>
      <c r="X121" s="163"/>
      <c r="Y121" s="162"/>
      <c r="Z121" s="373"/>
      <c r="AA121" s="374"/>
      <c r="AB121" s="374"/>
      <c r="AC121" s="368" t="s">
        <v>624</v>
      </c>
      <c r="AD121" s="187" t="str">
        <f t="shared" si="17"/>
        <v>julio</v>
      </c>
      <c r="AE121" s="404" t="s">
        <v>172</v>
      </c>
      <c r="AF121" s="149" t="b">
        <v>0</v>
      </c>
      <c r="AG121" s="166"/>
      <c r="AH121" s="149" t="b">
        <v>0</v>
      </c>
      <c r="AI121" s="162"/>
      <c r="AJ121" s="376"/>
      <c r="AK121" s="376"/>
      <c r="AL121" s="376"/>
      <c r="AM121" s="376"/>
      <c r="AN121" s="376"/>
      <c r="AO121" s="376"/>
      <c r="AP121" s="376"/>
      <c r="AQ121" s="376"/>
    </row>
    <row r="122" ht="22.5" hidden="1" customHeight="1">
      <c r="A122" s="144" t="s">
        <v>34</v>
      </c>
      <c r="B122" s="145">
        <v>45853.0</v>
      </c>
      <c r="C122" s="353" t="s">
        <v>625</v>
      </c>
      <c r="D122" s="329" t="s">
        <v>626</v>
      </c>
      <c r="E122" s="148" t="s">
        <v>28</v>
      </c>
      <c r="F122" s="410" t="s">
        <v>627</v>
      </c>
      <c r="G122" s="149">
        <v>5.1998705085E10</v>
      </c>
      <c r="H122" s="148" t="s">
        <v>257</v>
      </c>
      <c r="I122" s="148" t="s">
        <v>61</v>
      </c>
      <c r="J122" s="485">
        <v>1720.0</v>
      </c>
      <c r="K122" s="169">
        <f t="shared" si="1"/>
        <v>6885.17</v>
      </c>
      <c r="L122" s="170">
        <v>8605.17</v>
      </c>
      <c r="M122" s="239">
        <v>8304.19</v>
      </c>
      <c r="N122" s="155">
        <v>1799.99</v>
      </c>
      <c r="O122" s="315">
        <f t="shared" si="20"/>
        <v>300.98</v>
      </c>
      <c r="P122" s="316">
        <f t="shared" si="4"/>
        <v>0</v>
      </c>
      <c r="Q122" s="317"/>
      <c r="R122" s="159"/>
      <c r="S122" s="318"/>
      <c r="T122" s="319"/>
      <c r="U122" s="315"/>
      <c r="V122" s="162"/>
      <c r="W122" s="148"/>
      <c r="X122" s="163"/>
      <c r="Y122" s="162"/>
      <c r="Z122" s="31">
        <f>L122-J122</f>
        <v>6885.17</v>
      </c>
      <c r="AA122" s="116"/>
      <c r="AB122" s="116"/>
      <c r="AC122" s="149" t="s">
        <v>628</v>
      </c>
      <c r="AD122" s="145" t="str">
        <f t="shared" si="17"/>
        <v>julio</v>
      </c>
      <c r="AE122" s="144" t="s">
        <v>172</v>
      </c>
      <c r="AF122" s="149" t="b">
        <v>0</v>
      </c>
      <c r="AG122" s="166"/>
      <c r="AH122" s="149" t="b">
        <v>0</v>
      </c>
      <c r="AI122" s="162"/>
      <c r="AJ122" s="143"/>
      <c r="AK122" s="143"/>
      <c r="AL122" s="143"/>
      <c r="AM122" s="143"/>
      <c r="AN122" s="143"/>
      <c r="AO122" s="143"/>
      <c r="AP122" s="143"/>
      <c r="AQ122" s="143"/>
    </row>
    <row r="123" ht="22.5" customHeight="1">
      <c r="A123" s="365" t="s">
        <v>162</v>
      </c>
      <c r="B123" s="187">
        <v>45853.0</v>
      </c>
      <c r="C123" s="353" t="s">
        <v>625</v>
      </c>
      <c r="D123" s="329" t="s">
        <v>629</v>
      </c>
      <c r="E123" s="367" t="s">
        <v>28</v>
      </c>
      <c r="F123" s="113" t="s">
        <v>630</v>
      </c>
      <c r="G123" s="368">
        <v>9.69645134E8</v>
      </c>
      <c r="H123" s="148" t="s">
        <v>257</v>
      </c>
      <c r="I123" s="367" t="s">
        <v>61</v>
      </c>
      <c r="J123" s="168">
        <v>2500.0</v>
      </c>
      <c r="K123" s="370">
        <f t="shared" si="1"/>
        <v>5999</v>
      </c>
      <c r="L123" s="170">
        <v>8499.0</v>
      </c>
      <c r="M123" s="239">
        <v>8281.82</v>
      </c>
      <c r="N123" s="155">
        <v>1799.99</v>
      </c>
      <c r="O123" s="371">
        <f t="shared" si="20"/>
        <v>217.18</v>
      </c>
      <c r="P123" s="316">
        <f t="shared" si="4"/>
        <v>0</v>
      </c>
      <c r="Q123" s="321"/>
      <c r="R123" s="159"/>
      <c r="S123" s="318"/>
      <c r="T123" s="372"/>
      <c r="U123" s="371"/>
      <c r="V123" s="162"/>
      <c r="W123" s="148" t="s">
        <v>584</v>
      </c>
      <c r="X123" s="163"/>
      <c r="Y123" s="162"/>
      <c r="Z123" s="486" t="s">
        <v>631</v>
      </c>
      <c r="AA123" s="374"/>
      <c r="AB123" s="374"/>
      <c r="AC123" s="487" t="s">
        <v>632</v>
      </c>
      <c r="AD123" s="187" t="str">
        <f t="shared" si="17"/>
        <v>julio</v>
      </c>
      <c r="AE123" s="404" t="s">
        <v>172</v>
      </c>
      <c r="AF123" s="149" t="b">
        <v>0</v>
      </c>
      <c r="AG123" s="166"/>
      <c r="AH123" s="149" t="b">
        <v>0</v>
      </c>
      <c r="AI123" s="162"/>
      <c r="AJ123" s="376"/>
      <c r="AK123" s="376"/>
      <c r="AL123" s="376"/>
      <c r="AM123" s="376"/>
      <c r="AN123" s="376"/>
      <c r="AO123" s="376"/>
      <c r="AP123" s="376"/>
      <c r="AQ123" s="376"/>
    </row>
    <row r="124" ht="22.5" customHeight="1">
      <c r="A124" s="365" t="s">
        <v>162</v>
      </c>
      <c r="B124" s="187">
        <v>45854.0</v>
      </c>
      <c r="C124" s="488" t="s">
        <v>633</v>
      </c>
      <c r="D124" s="329" t="s">
        <v>634</v>
      </c>
      <c r="E124" s="367" t="s">
        <v>28</v>
      </c>
      <c r="F124" s="489" t="s">
        <v>635</v>
      </c>
      <c r="G124" s="368">
        <v>5.1987210011E10</v>
      </c>
      <c r="H124" s="148" t="s">
        <v>257</v>
      </c>
      <c r="I124" s="369">
        <v>0.3</v>
      </c>
      <c r="J124" s="168">
        <v>3588.0</v>
      </c>
      <c r="K124" s="370">
        <f t="shared" si="1"/>
        <v>8373</v>
      </c>
      <c r="L124" s="170">
        <v>11961.0</v>
      </c>
      <c r="M124" s="239">
        <v>11825.52</v>
      </c>
      <c r="N124" s="155">
        <v>2699.99</v>
      </c>
      <c r="O124" s="371">
        <f t="shared" si="20"/>
        <v>135.48</v>
      </c>
      <c r="P124" s="316">
        <f t="shared" si="4"/>
        <v>0</v>
      </c>
      <c r="Q124" s="321"/>
      <c r="R124" s="159"/>
      <c r="S124" s="318"/>
      <c r="T124" s="372"/>
      <c r="U124" s="371"/>
      <c r="V124" s="144" t="s">
        <v>584</v>
      </c>
      <c r="W124" s="148" t="s">
        <v>584</v>
      </c>
      <c r="X124" s="163"/>
      <c r="Y124" s="162"/>
      <c r="Z124" s="486"/>
      <c r="AA124" s="374"/>
      <c r="AB124" s="374"/>
      <c r="AC124" s="368" t="s">
        <v>636</v>
      </c>
      <c r="AD124" s="187" t="str">
        <f t="shared" si="17"/>
        <v>julio</v>
      </c>
      <c r="AE124" s="404" t="s">
        <v>172</v>
      </c>
      <c r="AF124" s="149" t="b">
        <v>0</v>
      </c>
      <c r="AG124" s="166"/>
      <c r="AH124" s="149" t="b">
        <v>0</v>
      </c>
      <c r="AI124" s="162"/>
      <c r="AJ124" s="376"/>
      <c r="AK124" s="376"/>
      <c r="AL124" s="376"/>
      <c r="AM124" s="376"/>
      <c r="AN124" s="376"/>
      <c r="AO124" s="376"/>
      <c r="AP124" s="376"/>
      <c r="AQ124" s="376"/>
    </row>
    <row r="125" ht="22.5" hidden="1" customHeight="1">
      <c r="A125" s="144" t="s">
        <v>259</v>
      </c>
      <c r="B125" s="145">
        <v>45854.0</v>
      </c>
      <c r="C125" s="488" t="s">
        <v>633</v>
      </c>
      <c r="D125" s="329" t="s">
        <v>637</v>
      </c>
      <c r="E125" s="148" t="s">
        <v>28</v>
      </c>
      <c r="F125" s="410" t="s">
        <v>638</v>
      </c>
      <c r="G125" s="149">
        <v>9.640872E8</v>
      </c>
      <c r="H125" s="148" t="s">
        <v>257</v>
      </c>
      <c r="I125" s="148" t="s">
        <v>61</v>
      </c>
      <c r="J125" s="220">
        <v>2760.0</v>
      </c>
      <c r="K125" s="169">
        <f t="shared" si="1"/>
        <v>9339</v>
      </c>
      <c r="L125" s="221">
        <v>12099.0</v>
      </c>
      <c r="M125" s="239">
        <v>11825.52</v>
      </c>
      <c r="N125" s="155">
        <v>2699.0</v>
      </c>
      <c r="O125" s="315">
        <f t="shared" si="20"/>
        <v>273.48</v>
      </c>
      <c r="P125" s="316">
        <f t="shared" si="4"/>
        <v>0</v>
      </c>
      <c r="Q125" s="321"/>
      <c r="R125" s="159"/>
      <c r="S125" s="318"/>
      <c r="T125" s="319"/>
      <c r="U125" s="315"/>
      <c r="V125" s="162"/>
      <c r="W125" s="490" t="s">
        <v>584</v>
      </c>
      <c r="X125" s="491"/>
      <c r="Y125" s="162"/>
      <c r="Z125" s="164"/>
      <c r="AA125" s="116"/>
      <c r="AB125" s="116"/>
      <c r="AC125" s="149"/>
      <c r="AD125" s="209" t="str">
        <f t="shared" si="17"/>
        <v>julio</v>
      </c>
      <c r="AE125" s="144" t="s">
        <v>172</v>
      </c>
      <c r="AF125" s="149" t="b">
        <v>0</v>
      </c>
      <c r="AG125" s="166"/>
      <c r="AH125" s="149" t="b">
        <v>0</v>
      </c>
      <c r="AI125" s="162"/>
      <c r="AJ125" s="143"/>
      <c r="AK125" s="143"/>
      <c r="AL125" s="143"/>
      <c r="AM125" s="143"/>
      <c r="AN125" s="143"/>
      <c r="AO125" s="143"/>
      <c r="AP125" s="143"/>
      <c r="AQ125" s="143"/>
    </row>
    <row r="126" ht="22.5" hidden="1" customHeight="1">
      <c r="A126" s="144" t="s">
        <v>259</v>
      </c>
      <c r="B126" s="145">
        <v>45855.0</v>
      </c>
      <c r="C126" s="353" t="s">
        <v>639</v>
      </c>
      <c r="D126" s="208" t="s">
        <v>640</v>
      </c>
      <c r="E126" s="148" t="s">
        <v>28</v>
      </c>
      <c r="F126" s="451" t="s">
        <v>641</v>
      </c>
      <c r="G126" s="149">
        <v>5.1931994396E10</v>
      </c>
      <c r="H126" s="148" t="s">
        <v>257</v>
      </c>
      <c r="I126" s="148" t="s">
        <v>61</v>
      </c>
      <c r="J126" s="220">
        <v>1699.8</v>
      </c>
      <c r="K126" s="169">
        <f t="shared" si="1"/>
        <v>6799.2</v>
      </c>
      <c r="L126" s="170">
        <v>8499.0</v>
      </c>
      <c r="M126" s="239">
        <v>8277.0</v>
      </c>
      <c r="N126" s="155">
        <v>1799.99</v>
      </c>
      <c r="O126" s="315">
        <f t="shared" si="20"/>
        <v>222</v>
      </c>
      <c r="P126" s="316">
        <f t="shared" si="4"/>
        <v>0</v>
      </c>
      <c r="Q126" s="321"/>
      <c r="R126" s="159"/>
      <c r="S126" s="318"/>
      <c r="T126" s="319"/>
      <c r="U126" s="315"/>
      <c r="V126" s="162"/>
      <c r="W126" s="194" t="s">
        <v>584</v>
      </c>
      <c r="X126" s="195"/>
      <c r="Y126" s="162"/>
      <c r="Z126" s="164"/>
      <c r="AA126" s="116"/>
      <c r="AB126" s="116"/>
      <c r="AC126" s="165"/>
      <c r="AD126" s="145" t="str">
        <f t="shared" si="17"/>
        <v>julio</v>
      </c>
      <c r="AE126" s="144" t="s">
        <v>172</v>
      </c>
      <c r="AF126" s="149" t="b">
        <v>0</v>
      </c>
      <c r="AG126" s="166"/>
      <c r="AH126" s="149" t="b">
        <v>0</v>
      </c>
      <c r="AI126" s="162"/>
      <c r="AJ126" s="143"/>
      <c r="AK126" s="143"/>
      <c r="AL126" s="143"/>
      <c r="AM126" s="143"/>
      <c r="AN126" s="143"/>
      <c r="AO126" s="143"/>
      <c r="AP126" s="143"/>
      <c r="AQ126" s="143"/>
    </row>
    <row r="127" ht="22.5" customHeight="1">
      <c r="A127" s="365" t="s">
        <v>162</v>
      </c>
      <c r="B127" s="187">
        <v>45856.0</v>
      </c>
      <c r="C127" s="353" t="s">
        <v>639</v>
      </c>
      <c r="D127" s="329" t="s">
        <v>642</v>
      </c>
      <c r="E127" s="367" t="s">
        <v>28</v>
      </c>
      <c r="F127" s="368" t="s">
        <v>643</v>
      </c>
      <c r="G127" s="368">
        <v>5.19492247E10</v>
      </c>
      <c r="H127" s="148" t="s">
        <v>257</v>
      </c>
      <c r="I127" s="369">
        <v>0.3</v>
      </c>
      <c r="J127" s="168">
        <v>2550.0</v>
      </c>
      <c r="K127" s="370">
        <f t="shared" si="1"/>
        <v>5949</v>
      </c>
      <c r="L127" s="170">
        <v>8499.0</v>
      </c>
      <c r="M127" s="239">
        <v>8281.82</v>
      </c>
      <c r="N127" s="155">
        <v>1799.99</v>
      </c>
      <c r="O127" s="371">
        <f t="shared" si="20"/>
        <v>217.18</v>
      </c>
      <c r="P127" s="316">
        <f t="shared" si="4"/>
        <v>0</v>
      </c>
      <c r="Q127" s="321"/>
      <c r="R127" s="159"/>
      <c r="S127" s="318"/>
      <c r="T127" s="372"/>
      <c r="U127" s="371"/>
      <c r="V127" s="144" t="s">
        <v>584</v>
      </c>
      <c r="W127" s="148" t="s">
        <v>584</v>
      </c>
      <c r="X127" s="163"/>
      <c r="Y127" s="162"/>
      <c r="Z127" s="486"/>
      <c r="AA127" s="374"/>
      <c r="AB127" s="374"/>
      <c r="AC127" s="368" t="s">
        <v>644</v>
      </c>
      <c r="AD127" s="187" t="str">
        <f t="shared" si="17"/>
        <v>julio</v>
      </c>
      <c r="AE127" s="404" t="s">
        <v>172</v>
      </c>
      <c r="AF127" s="149" t="b">
        <v>0</v>
      </c>
      <c r="AG127" s="166"/>
      <c r="AH127" s="149" t="b">
        <v>0</v>
      </c>
      <c r="AI127" s="162"/>
      <c r="AJ127" s="376"/>
      <c r="AK127" s="376"/>
      <c r="AL127" s="376"/>
      <c r="AM127" s="376"/>
      <c r="AN127" s="376"/>
      <c r="AO127" s="376"/>
      <c r="AP127" s="376"/>
      <c r="AQ127" s="376"/>
    </row>
    <row r="128" ht="22.5" hidden="1" customHeight="1">
      <c r="A128" s="144" t="s">
        <v>259</v>
      </c>
      <c r="B128" s="145">
        <v>45856.0</v>
      </c>
      <c r="C128" s="492" t="s">
        <v>645</v>
      </c>
      <c r="D128" s="208" t="s">
        <v>646</v>
      </c>
      <c r="E128" s="148" t="s">
        <v>28</v>
      </c>
      <c r="F128" s="467" t="s">
        <v>647</v>
      </c>
      <c r="G128" s="149">
        <v>5.193647973E10</v>
      </c>
      <c r="H128" s="148" t="s">
        <v>257</v>
      </c>
      <c r="I128" s="150">
        <v>1.0</v>
      </c>
      <c r="J128" s="493"/>
      <c r="K128" s="271" t="str">
        <f t="shared" si="1"/>
        <v/>
      </c>
      <c r="L128" s="221">
        <v>6099.0</v>
      </c>
      <c r="M128" s="239">
        <v>5862.0</v>
      </c>
      <c r="N128" s="277"/>
      <c r="O128" s="315">
        <f t="shared" si="20"/>
        <v>237</v>
      </c>
      <c r="P128" s="316">
        <f t="shared" si="4"/>
        <v>0</v>
      </c>
      <c r="Q128" s="321"/>
      <c r="R128" s="159"/>
      <c r="S128" s="318"/>
      <c r="T128" s="319"/>
      <c r="U128" s="315"/>
      <c r="V128" s="162"/>
      <c r="W128" s="194"/>
      <c r="X128" s="195"/>
      <c r="Y128" s="162"/>
      <c r="Z128" s="164"/>
      <c r="AA128" s="116"/>
      <c r="AB128" s="116"/>
      <c r="AC128" s="165"/>
      <c r="AD128" s="145" t="str">
        <f t="shared" si="17"/>
        <v>julio</v>
      </c>
      <c r="AE128" s="144" t="s">
        <v>172</v>
      </c>
      <c r="AF128" s="149" t="b">
        <v>0</v>
      </c>
      <c r="AG128" s="166"/>
      <c r="AH128" s="149" t="b">
        <v>0</v>
      </c>
      <c r="AI128" s="162"/>
      <c r="AJ128" s="143"/>
      <c r="AK128" s="143"/>
      <c r="AL128" s="143"/>
      <c r="AM128" s="143"/>
      <c r="AN128" s="143"/>
      <c r="AO128" s="143"/>
      <c r="AP128" s="143"/>
      <c r="AQ128" s="143"/>
    </row>
    <row r="129" ht="22.5" hidden="1" customHeight="1">
      <c r="A129" s="144" t="s">
        <v>259</v>
      </c>
      <c r="B129" s="145">
        <v>45856.0</v>
      </c>
      <c r="C129" s="377" t="s">
        <v>444</v>
      </c>
      <c r="D129" s="208" t="s">
        <v>648</v>
      </c>
      <c r="E129" s="148" t="s">
        <v>28</v>
      </c>
      <c r="F129" s="494" t="s">
        <v>649</v>
      </c>
      <c r="G129" s="149" t="s">
        <v>650</v>
      </c>
      <c r="H129" s="148" t="s">
        <v>257</v>
      </c>
      <c r="I129" s="150">
        <v>1.0</v>
      </c>
      <c r="J129" s="493"/>
      <c r="K129" s="271" t="str">
        <f t="shared" si="1"/>
        <v/>
      </c>
      <c r="L129" s="221">
        <v>6499.0</v>
      </c>
      <c r="M129" s="239">
        <v>6179.0</v>
      </c>
      <c r="N129" s="277"/>
      <c r="O129" s="315">
        <f t="shared" si="20"/>
        <v>320</v>
      </c>
      <c r="P129" s="316">
        <f t="shared" si="4"/>
        <v>0</v>
      </c>
      <c r="Q129" s="321"/>
      <c r="R129" s="159"/>
      <c r="S129" s="318"/>
      <c r="T129" s="319"/>
      <c r="U129" s="315"/>
      <c r="V129" s="162"/>
      <c r="W129" s="194"/>
      <c r="X129" s="195"/>
      <c r="Y129" s="162"/>
      <c r="Z129" s="164"/>
      <c r="AA129" s="116"/>
      <c r="AB129" s="116"/>
      <c r="AC129" s="165"/>
      <c r="AD129" s="145" t="str">
        <f t="shared" si="17"/>
        <v>julio</v>
      </c>
      <c r="AE129" s="144" t="s">
        <v>172</v>
      </c>
      <c r="AF129" s="149" t="b">
        <v>0</v>
      </c>
      <c r="AG129" s="166"/>
      <c r="AH129" s="149" t="b">
        <v>0</v>
      </c>
      <c r="AI129" s="162"/>
      <c r="AJ129" s="143"/>
      <c r="AK129" s="143"/>
      <c r="AL129" s="143"/>
      <c r="AM129" s="143"/>
      <c r="AN129" s="143"/>
      <c r="AO129" s="143"/>
      <c r="AP129" s="143"/>
      <c r="AQ129" s="143"/>
    </row>
    <row r="130" ht="22.5" hidden="1" customHeight="1">
      <c r="A130" s="144" t="s">
        <v>259</v>
      </c>
      <c r="B130" s="145">
        <v>45856.0</v>
      </c>
      <c r="C130" s="495" t="s">
        <v>645</v>
      </c>
      <c r="D130" s="329" t="s">
        <v>651</v>
      </c>
      <c r="E130" s="148" t="s">
        <v>28</v>
      </c>
      <c r="F130" s="467" t="s">
        <v>652</v>
      </c>
      <c r="G130" s="149">
        <v>9.88298012E8</v>
      </c>
      <c r="H130" s="148" t="s">
        <v>257</v>
      </c>
      <c r="I130" s="150">
        <v>1.0</v>
      </c>
      <c r="J130" s="493"/>
      <c r="K130" s="271" t="str">
        <f t="shared" si="1"/>
        <v/>
      </c>
      <c r="L130" s="170">
        <v>5900.0</v>
      </c>
      <c r="M130" s="239">
        <v>5479.0</v>
      </c>
      <c r="N130" s="277"/>
      <c r="O130" s="315">
        <f t="shared" si="20"/>
        <v>421</v>
      </c>
      <c r="P130" s="316">
        <f t="shared" si="4"/>
        <v>0</v>
      </c>
      <c r="Q130" s="321"/>
      <c r="R130" s="159"/>
      <c r="S130" s="318"/>
      <c r="T130" s="319"/>
      <c r="U130" s="315"/>
      <c r="V130" s="162"/>
      <c r="W130" s="194"/>
      <c r="X130" s="195"/>
      <c r="Y130" s="162"/>
      <c r="Z130" s="164"/>
      <c r="AA130" s="116"/>
      <c r="AB130" s="116"/>
      <c r="AC130" s="165"/>
      <c r="AD130" s="145" t="str">
        <f t="shared" si="17"/>
        <v>julio</v>
      </c>
      <c r="AE130" s="144" t="s">
        <v>172</v>
      </c>
      <c r="AF130" s="149" t="b">
        <v>0</v>
      </c>
      <c r="AG130" s="166"/>
      <c r="AH130" s="149" t="b">
        <v>0</v>
      </c>
      <c r="AI130" s="162"/>
      <c r="AJ130" s="143"/>
      <c r="AK130" s="143"/>
      <c r="AL130" s="143"/>
      <c r="AM130" s="143"/>
      <c r="AN130" s="143"/>
      <c r="AO130" s="143"/>
      <c r="AP130" s="143"/>
      <c r="AQ130" s="143"/>
    </row>
    <row r="131" ht="22.5" hidden="1" customHeight="1">
      <c r="A131" s="144" t="s">
        <v>259</v>
      </c>
      <c r="B131" s="145">
        <v>45856.0</v>
      </c>
      <c r="C131" s="393" t="s">
        <v>328</v>
      </c>
      <c r="D131" s="329" t="s">
        <v>653</v>
      </c>
      <c r="E131" s="148" t="s">
        <v>28</v>
      </c>
      <c r="F131" s="338" t="s">
        <v>654</v>
      </c>
      <c r="G131" s="149" t="s">
        <v>655</v>
      </c>
      <c r="H131" s="148" t="s">
        <v>257</v>
      </c>
      <c r="I131" s="150">
        <v>1.0</v>
      </c>
      <c r="J131" s="270"/>
      <c r="K131" s="271" t="str">
        <f t="shared" si="1"/>
        <v/>
      </c>
      <c r="L131" s="170">
        <v>7199.0</v>
      </c>
      <c r="M131" s="239">
        <v>6262.0</v>
      </c>
      <c r="N131" s="155">
        <v>1497.99</v>
      </c>
      <c r="O131" s="315">
        <f t="shared" si="20"/>
        <v>937</v>
      </c>
      <c r="P131" s="316">
        <f t="shared" si="4"/>
        <v>0</v>
      </c>
      <c r="Q131" s="321"/>
      <c r="R131" s="159"/>
      <c r="S131" s="318"/>
      <c r="T131" s="319"/>
      <c r="U131" s="315"/>
      <c r="V131" s="162"/>
      <c r="W131" s="194"/>
      <c r="X131" s="195"/>
      <c r="Y131" s="162"/>
      <c r="Z131" s="164"/>
      <c r="AA131" s="116"/>
      <c r="AB131" s="116"/>
      <c r="AC131" s="165"/>
      <c r="AD131" s="145" t="str">
        <f t="shared" si="17"/>
        <v>julio</v>
      </c>
      <c r="AE131" s="144" t="s">
        <v>172</v>
      </c>
      <c r="AF131" s="149" t="b">
        <v>0</v>
      </c>
      <c r="AG131" s="166"/>
      <c r="AH131" s="149" t="b">
        <v>0</v>
      </c>
      <c r="AI131" s="162"/>
      <c r="AJ131" s="143"/>
      <c r="AK131" s="143"/>
      <c r="AL131" s="143"/>
      <c r="AM131" s="143"/>
      <c r="AN131" s="143"/>
      <c r="AO131" s="143"/>
      <c r="AP131" s="143"/>
      <c r="AQ131" s="143"/>
    </row>
    <row r="132" ht="22.5" hidden="1" customHeight="1">
      <c r="A132" s="144" t="s">
        <v>34</v>
      </c>
      <c r="B132" s="145">
        <v>45857.0</v>
      </c>
      <c r="C132" s="188" t="s">
        <v>656</v>
      </c>
      <c r="D132" s="329" t="s">
        <v>657</v>
      </c>
      <c r="E132" s="148" t="s">
        <v>399</v>
      </c>
      <c r="F132" s="338"/>
      <c r="G132" s="149">
        <v>5.1918003463E10</v>
      </c>
      <c r="H132" s="148" t="s">
        <v>257</v>
      </c>
      <c r="I132" s="148" t="s">
        <v>61</v>
      </c>
      <c r="J132" s="168">
        <v>1180.0</v>
      </c>
      <c r="K132" s="169">
        <f t="shared" si="1"/>
        <v>4719</v>
      </c>
      <c r="L132" s="170">
        <v>5899.0</v>
      </c>
      <c r="M132" s="239">
        <v>5446.17</v>
      </c>
      <c r="N132" s="155">
        <v>1099.99</v>
      </c>
      <c r="O132" s="315">
        <f t="shared" si="20"/>
        <v>452.83</v>
      </c>
      <c r="P132" s="316">
        <f t="shared" si="4"/>
        <v>0</v>
      </c>
      <c r="Q132" s="317"/>
      <c r="R132" s="159"/>
      <c r="S132" s="318"/>
      <c r="T132" s="319"/>
      <c r="U132" s="315"/>
      <c r="V132" s="162"/>
      <c r="W132" s="148"/>
      <c r="X132" s="163"/>
      <c r="Y132" s="162"/>
      <c r="Z132" s="164"/>
      <c r="AA132" s="116"/>
      <c r="AB132" s="116"/>
      <c r="AC132" s="165"/>
      <c r="AD132" s="145" t="str">
        <f t="shared" si="17"/>
        <v>julio</v>
      </c>
      <c r="AE132" s="166"/>
      <c r="AF132" s="149" t="b">
        <v>0</v>
      </c>
      <c r="AG132" s="166"/>
      <c r="AH132" s="149" t="b">
        <v>0</v>
      </c>
      <c r="AI132" s="162"/>
      <c r="AJ132" s="143"/>
      <c r="AK132" s="143"/>
      <c r="AL132" s="143"/>
      <c r="AM132" s="143"/>
      <c r="AN132" s="143"/>
      <c r="AO132" s="143"/>
      <c r="AP132" s="143"/>
      <c r="AQ132" s="143"/>
    </row>
    <row r="133" ht="22.5" hidden="1" customHeight="1">
      <c r="A133" s="144" t="s">
        <v>259</v>
      </c>
      <c r="B133" s="145">
        <v>45857.0</v>
      </c>
      <c r="C133" s="496" t="s">
        <v>658</v>
      </c>
      <c r="D133" s="329" t="s">
        <v>659</v>
      </c>
      <c r="E133" s="148" t="s">
        <v>28</v>
      </c>
      <c r="F133" s="410" t="s">
        <v>660</v>
      </c>
      <c r="G133" s="149">
        <v>5.1969801639E10</v>
      </c>
      <c r="H133" s="148" t="s">
        <v>257</v>
      </c>
      <c r="I133" s="148" t="s">
        <v>61</v>
      </c>
      <c r="J133" s="312">
        <v>1179.8</v>
      </c>
      <c r="K133" s="169">
        <f t="shared" si="1"/>
        <v>4719.2</v>
      </c>
      <c r="L133" s="170">
        <v>5899.0</v>
      </c>
      <c r="M133" s="239">
        <v>5712.0</v>
      </c>
      <c r="N133" s="155">
        <v>1249.99</v>
      </c>
      <c r="O133" s="315">
        <f t="shared" si="20"/>
        <v>187</v>
      </c>
      <c r="P133" s="316">
        <f t="shared" si="4"/>
        <v>0</v>
      </c>
      <c r="Q133" s="321"/>
      <c r="R133" s="159"/>
      <c r="S133" s="318"/>
      <c r="T133" s="319"/>
      <c r="U133" s="315"/>
      <c r="V133" s="162"/>
      <c r="W133" s="194" t="s">
        <v>584</v>
      </c>
      <c r="X133" s="195"/>
      <c r="Y133" s="162"/>
      <c r="Z133" s="164"/>
      <c r="AA133" s="116"/>
      <c r="AB133" s="116"/>
      <c r="AC133" s="149" t="s">
        <v>661</v>
      </c>
      <c r="AD133" s="145" t="str">
        <f t="shared" si="17"/>
        <v>julio</v>
      </c>
      <c r="AE133" s="144" t="s">
        <v>172</v>
      </c>
      <c r="AF133" s="149" t="b">
        <v>0</v>
      </c>
      <c r="AG133" s="166"/>
      <c r="AH133" s="149" t="b">
        <v>0</v>
      </c>
      <c r="AI133" s="162"/>
      <c r="AJ133" s="143"/>
      <c r="AK133" s="143"/>
      <c r="AL133" s="143"/>
      <c r="AM133" s="143"/>
      <c r="AN133" s="143"/>
      <c r="AO133" s="143"/>
      <c r="AP133" s="143"/>
      <c r="AQ133" s="143"/>
    </row>
    <row r="134" ht="22.5" hidden="1" customHeight="1">
      <c r="A134" s="144" t="s">
        <v>259</v>
      </c>
      <c r="B134" s="145">
        <v>45857.0</v>
      </c>
      <c r="C134" s="496" t="s">
        <v>662</v>
      </c>
      <c r="D134" s="208" t="s">
        <v>663</v>
      </c>
      <c r="E134" s="148" t="s">
        <v>28</v>
      </c>
      <c r="F134" s="410" t="s">
        <v>664</v>
      </c>
      <c r="G134" s="149">
        <v>5.1977140006E10</v>
      </c>
      <c r="H134" s="148" t="s">
        <v>257</v>
      </c>
      <c r="I134" s="148" t="s">
        <v>61</v>
      </c>
      <c r="J134" s="220">
        <v>1945.85</v>
      </c>
      <c r="K134" s="169">
        <f t="shared" si="1"/>
        <v>7793.44</v>
      </c>
      <c r="L134" s="170">
        <v>9739.29</v>
      </c>
      <c r="M134" s="239">
        <v>9432.28</v>
      </c>
      <c r="N134" s="155">
        <v>2149.99</v>
      </c>
      <c r="O134" s="315">
        <f t="shared" si="20"/>
        <v>307.01</v>
      </c>
      <c r="P134" s="316">
        <f t="shared" si="4"/>
        <v>0</v>
      </c>
      <c r="Q134" s="321"/>
      <c r="R134" s="159"/>
      <c r="S134" s="318"/>
      <c r="T134" s="319"/>
      <c r="U134" s="315"/>
      <c r="V134" s="162"/>
      <c r="W134" s="194" t="s">
        <v>584</v>
      </c>
      <c r="X134" s="195"/>
      <c r="Y134" s="162"/>
      <c r="Z134" s="164"/>
      <c r="AA134" s="116"/>
      <c r="AB134" s="116"/>
      <c r="AC134" s="149" t="s">
        <v>665</v>
      </c>
      <c r="AD134" s="145" t="str">
        <f t="shared" si="17"/>
        <v>julio</v>
      </c>
      <c r="AE134" s="144" t="s">
        <v>172</v>
      </c>
      <c r="AF134" s="149" t="b">
        <v>0</v>
      </c>
      <c r="AG134" s="166"/>
      <c r="AH134" s="149" t="b">
        <v>0</v>
      </c>
      <c r="AI134" s="162"/>
      <c r="AJ134" s="143"/>
      <c r="AK134" s="143"/>
      <c r="AL134" s="143"/>
      <c r="AM134" s="143"/>
      <c r="AN134" s="143"/>
      <c r="AO134" s="143"/>
      <c r="AP134" s="143"/>
      <c r="AQ134" s="143"/>
    </row>
    <row r="135" ht="22.5" hidden="1" customHeight="1">
      <c r="A135" s="434" t="s">
        <v>34</v>
      </c>
      <c r="B135" s="435">
        <v>45857.0</v>
      </c>
      <c r="C135" s="215" t="s">
        <v>666</v>
      </c>
      <c r="D135" s="456" t="s">
        <v>667</v>
      </c>
      <c r="E135" s="438" t="s">
        <v>28</v>
      </c>
      <c r="F135" s="497" t="s">
        <v>668</v>
      </c>
      <c r="G135" s="440">
        <v>5.193125541E10</v>
      </c>
      <c r="H135" s="148" t="s">
        <v>257</v>
      </c>
      <c r="I135" s="498">
        <v>0.3</v>
      </c>
      <c r="J135" s="168">
        <v>2625.0</v>
      </c>
      <c r="K135" s="441">
        <f t="shared" si="1"/>
        <v>8777</v>
      </c>
      <c r="L135" s="170">
        <v>11402.0</v>
      </c>
      <c r="M135" s="239">
        <v>11352.0</v>
      </c>
      <c r="N135" s="155">
        <v>2599.99</v>
      </c>
      <c r="O135" s="499">
        <v>50.0</v>
      </c>
      <c r="P135" s="316">
        <f t="shared" si="4"/>
        <v>0</v>
      </c>
      <c r="Q135" s="317"/>
      <c r="R135" s="159"/>
      <c r="S135" s="346"/>
      <c r="T135" s="443"/>
      <c r="U135" s="442"/>
      <c r="V135" s="434" t="s">
        <v>584</v>
      </c>
      <c r="W135" s="438"/>
      <c r="X135" s="445"/>
      <c r="Y135" s="434" t="s">
        <v>584</v>
      </c>
      <c r="Z135" s="446" t="s">
        <v>669</v>
      </c>
      <c r="AA135" s="447"/>
      <c r="AB135" s="447"/>
      <c r="AC135" s="440"/>
      <c r="AD135" s="435" t="str">
        <f t="shared" si="17"/>
        <v>julio</v>
      </c>
      <c r="AE135" s="434" t="s">
        <v>172</v>
      </c>
      <c r="AF135" s="440" t="b">
        <v>0</v>
      </c>
      <c r="AG135" s="166"/>
      <c r="AH135" s="149" t="b">
        <v>0</v>
      </c>
      <c r="AI135" s="162"/>
      <c r="AJ135" s="448"/>
      <c r="AK135" s="448"/>
      <c r="AL135" s="448"/>
      <c r="AM135" s="448"/>
      <c r="AN135" s="448"/>
      <c r="AO135" s="448"/>
      <c r="AP135" s="448"/>
      <c r="AQ135" s="448"/>
    </row>
    <row r="136" ht="22.5" hidden="1" customHeight="1">
      <c r="A136" s="434" t="s">
        <v>34</v>
      </c>
      <c r="B136" s="435">
        <v>45859.0</v>
      </c>
      <c r="C136" s="500" t="s">
        <v>670</v>
      </c>
      <c r="D136" s="456" t="s">
        <v>671</v>
      </c>
      <c r="E136" s="438" t="s">
        <v>28</v>
      </c>
      <c r="F136" s="497" t="s">
        <v>672</v>
      </c>
      <c r="G136" s="440">
        <v>5.1918003463E10</v>
      </c>
      <c r="H136" s="148" t="s">
        <v>257</v>
      </c>
      <c r="I136" s="438" t="s">
        <v>61</v>
      </c>
      <c r="J136" s="168">
        <v>1180.0</v>
      </c>
      <c r="K136" s="441">
        <f t="shared" si="1"/>
        <v>5419</v>
      </c>
      <c r="L136" s="170">
        <v>6599.0</v>
      </c>
      <c r="M136" s="239">
        <v>6293.92</v>
      </c>
      <c r="N136" s="155">
        <v>1399.99</v>
      </c>
      <c r="O136" s="442">
        <f t="shared" ref="O136:O138" si="21">L136-M136</f>
        <v>305.08</v>
      </c>
      <c r="P136" s="316">
        <f t="shared" si="4"/>
        <v>0</v>
      </c>
      <c r="Q136" s="317"/>
      <c r="R136" s="159"/>
      <c r="S136" s="318"/>
      <c r="T136" s="443"/>
      <c r="U136" s="442"/>
      <c r="V136" s="444"/>
      <c r="W136" s="438"/>
      <c r="X136" s="445"/>
      <c r="Y136" s="444"/>
      <c r="Z136" s="450"/>
      <c r="AA136" s="447"/>
      <c r="AB136" s="447"/>
      <c r="AC136" s="440" t="s">
        <v>673</v>
      </c>
      <c r="AD136" s="435" t="str">
        <f t="shared" si="17"/>
        <v>julio</v>
      </c>
      <c r="AE136" s="434" t="s">
        <v>172</v>
      </c>
      <c r="AF136" s="440" t="b">
        <v>0</v>
      </c>
      <c r="AG136" s="166"/>
      <c r="AH136" s="149" t="b">
        <v>0</v>
      </c>
      <c r="AI136" s="162"/>
      <c r="AJ136" s="448"/>
      <c r="AK136" s="448"/>
      <c r="AL136" s="448"/>
      <c r="AM136" s="448"/>
      <c r="AN136" s="448"/>
      <c r="AO136" s="448"/>
      <c r="AP136" s="448"/>
      <c r="AQ136" s="448"/>
    </row>
    <row r="137" ht="22.5" hidden="1" customHeight="1">
      <c r="A137" s="144" t="s">
        <v>259</v>
      </c>
      <c r="B137" s="145">
        <v>45859.0</v>
      </c>
      <c r="C137" s="501" t="s">
        <v>674</v>
      </c>
      <c r="D137" s="208" t="s">
        <v>675</v>
      </c>
      <c r="E137" s="148" t="s">
        <v>28</v>
      </c>
      <c r="F137" s="467" t="s">
        <v>676</v>
      </c>
      <c r="G137" s="149">
        <v>5.1985461648E10</v>
      </c>
      <c r="H137" s="148" t="s">
        <v>257</v>
      </c>
      <c r="I137" s="150">
        <v>1.0</v>
      </c>
      <c r="J137" s="312"/>
      <c r="K137" s="271" t="str">
        <f t="shared" si="1"/>
        <v/>
      </c>
      <c r="L137" s="221">
        <v>7999.0</v>
      </c>
      <c r="M137" s="239">
        <v>7755.0</v>
      </c>
      <c r="N137" s="277"/>
      <c r="O137" s="315">
        <f t="shared" si="21"/>
        <v>244</v>
      </c>
      <c r="P137" s="316">
        <f t="shared" si="4"/>
        <v>0</v>
      </c>
      <c r="Q137" s="321"/>
      <c r="R137" s="159"/>
      <c r="S137" s="318"/>
      <c r="T137" s="319"/>
      <c r="U137" s="315"/>
      <c r="V137" s="162"/>
      <c r="W137" s="194"/>
      <c r="X137" s="195"/>
      <c r="Y137" s="162"/>
      <c r="Z137" s="164"/>
      <c r="AA137" s="116"/>
      <c r="AB137" s="116"/>
      <c r="AC137" s="165"/>
      <c r="AD137" s="145" t="str">
        <f t="shared" si="17"/>
        <v>julio</v>
      </c>
      <c r="AE137" s="144" t="s">
        <v>172</v>
      </c>
      <c r="AF137" s="149" t="b">
        <v>0</v>
      </c>
      <c r="AG137" s="166"/>
      <c r="AH137" s="149" t="b">
        <v>0</v>
      </c>
      <c r="AI137" s="162"/>
      <c r="AJ137" s="143"/>
      <c r="AK137" s="143"/>
      <c r="AL137" s="143"/>
      <c r="AM137" s="143"/>
      <c r="AN137" s="143"/>
      <c r="AO137" s="143"/>
      <c r="AP137" s="143"/>
      <c r="AQ137" s="143"/>
    </row>
    <row r="138" ht="22.5" hidden="1" customHeight="1">
      <c r="A138" s="144" t="s">
        <v>259</v>
      </c>
      <c r="B138" s="145">
        <v>45859.0</v>
      </c>
      <c r="C138" s="502" t="s">
        <v>677</v>
      </c>
      <c r="D138" s="329" t="s">
        <v>678</v>
      </c>
      <c r="E138" s="148" t="s">
        <v>28</v>
      </c>
      <c r="F138" s="410">
        <v>1.213072008E9</v>
      </c>
      <c r="G138" s="149">
        <v>5.1964852509E10</v>
      </c>
      <c r="H138" s="148" t="s">
        <v>257</v>
      </c>
      <c r="I138" s="150">
        <v>0.3</v>
      </c>
      <c r="J138" s="312">
        <v>2429.7</v>
      </c>
      <c r="K138" s="169">
        <f t="shared" si="1"/>
        <v>5669.3</v>
      </c>
      <c r="L138" s="170">
        <v>8099.0</v>
      </c>
      <c r="M138" s="239">
        <v>7857.75</v>
      </c>
      <c r="N138" s="155">
        <v>1699.0</v>
      </c>
      <c r="O138" s="315">
        <f t="shared" si="21"/>
        <v>241.25</v>
      </c>
      <c r="P138" s="316">
        <f t="shared" si="4"/>
        <v>0</v>
      </c>
      <c r="Q138" s="321"/>
      <c r="R138" s="159"/>
      <c r="S138" s="318"/>
      <c r="T138" s="319"/>
      <c r="U138" s="315"/>
      <c r="V138" s="162"/>
      <c r="W138" s="194" t="s">
        <v>584</v>
      </c>
      <c r="X138" s="195"/>
      <c r="Y138" s="162"/>
      <c r="Z138" s="164"/>
      <c r="AA138" s="116"/>
      <c r="AB138" s="116"/>
      <c r="AC138" s="149" t="s">
        <v>679</v>
      </c>
      <c r="AD138" s="145" t="str">
        <f t="shared" si="17"/>
        <v>julio</v>
      </c>
      <c r="AE138" s="144" t="s">
        <v>172</v>
      </c>
      <c r="AF138" s="149" t="b">
        <v>0</v>
      </c>
      <c r="AG138" s="166"/>
      <c r="AH138" s="149" t="b">
        <v>0</v>
      </c>
      <c r="AI138" s="162"/>
      <c r="AJ138" s="143"/>
      <c r="AK138" s="143"/>
      <c r="AL138" s="143"/>
      <c r="AM138" s="143"/>
      <c r="AN138" s="143"/>
      <c r="AO138" s="143"/>
      <c r="AP138" s="143"/>
      <c r="AQ138" s="143"/>
    </row>
    <row r="139" ht="22.5" hidden="1" customHeight="1">
      <c r="A139" s="434" t="s">
        <v>34</v>
      </c>
      <c r="B139" s="435">
        <v>45859.0</v>
      </c>
      <c r="C139" s="503" t="s">
        <v>677</v>
      </c>
      <c r="D139" s="456" t="s">
        <v>680</v>
      </c>
      <c r="E139" s="438" t="s">
        <v>28</v>
      </c>
      <c r="F139" s="504" t="s">
        <v>681</v>
      </c>
      <c r="G139" s="440">
        <v>5.1982543831E10</v>
      </c>
      <c r="H139" s="148" t="s">
        <v>257</v>
      </c>
      <c r="I139" s="438" t="s">
        <v>61</v>
      </c>
      <c r="J139" s="168">
        <v>1620.0</v>
      </c>
      <c r="K139" s="466">
        <f t="shared" si="1"/>
        <v>6479</v>
      </c>
      <c r="L139" s="170">
        <v>8099.0</v>
      </c>
      <c r="M139" s="239">
        <f>L139-O139</f>
        <v>7909</v>
      </c>
      <c r="N139" s="155">
        <v>1699.99</v>
      </c>
      <c r="O139" s="499">
        <v>190.0</v>
      </c>
      <c r="P139" s="344">
        <f t="shared" si="4"/>
        <v>0</v>
      </c>
      <c r="Q139" s="345"/>
      <c r="R139" s="159"/>
      <c r="S139" s="346"/>
      <c r="T139" s="505"/>
      <c r="U139" s="499"/>
      <c r="V139" s="434" t="s">
        <v>584</v>
      </c>
      <c r="W139" s="438"/>
      <c r="X139" s="445"/>
      <c r="Y139" s="444"/>
      <c r="Z139" s="506"/>
      <c r="AA139" s="447"/>
      <c r="AB139" s="447"/>
      <c r="AC139" s="507" t="s">
        <v>682</v>
      </c>
      <c r="AD139" s="435" t="str">
        <f t="shared" si="17"/>
        <v>julio</v>
      </c>
      <c r="AE139" s="508" t="s">
        <v>172</v>
      </c>
      <c r="AF139" s="440" t="b">
        <v>0</v>
      </c>
      <c r="AG139" s="166"/>
      <c r="AH139" s="149" t="b">
        <v>0</v>
      </c>
      <c r="AI139" s="162"/>
      <c r="AJ139" s="448"/>
      <c r="AK139" s="448"/>
      <c r="AL139" s="448"/>
      <c r="AM139" s="448"/>
      <c r="AN139" s="448"/>
      <c r="AO139" s="448"/>
      <c r="AP139" s="448"/>
      <c r="AQ139" s="448"/>
    </row>
    <row r="140" ht="22.5" hidden="1" customHeight="1">
      <c r="A140" s="144" t="s">
        <v>34</v>
      </c>
      <c r="B140" s="145">
        <v>45862.0</v>
      </c>
      <c r="C140" s="393" t="s">
        <v>328</v>
      </c>
      <c r="D140" s="329" t="s">
        <v>683</v>
      </c>
      <c r="E140" s="148" t="s">
        <v>28</v>
      </c>
      <c r="F140" s="451" t="s">
        <v>684</v>
      </c>
      <c r="G140" s="149">
        <v>5.1910427702E10</v>
      </c>
      <c r="H140" s="148" t="s">
        <v>257</v>
      </c>
      <c r="I140" s="148" t="s">
        <v>61</v>
      </c>
      <c r="J140" s="168">
        <v>1440.0</v>
      </c>
      <c r="K140" s="169">
        <f t="shared" si="1"/>
        <v>5759</v>
      </c>
      <c r="L140" s="170">
        <v>7199.0</v>
      </c>
      <c r="M140" s="239">
        <v>6807.0</v>
      </c>
      <c r="N140" s="155">
        <v>1499.0</v>
      </c>
      <c r="O140" s="315">
        <f t="shared" ref="O140:O149" si="22">L140-M140</f>
        <v>392</v>
      </c>
      <c r="P140" s="316">
        <f t="shared" si="4"/>
        <v>0</v>
      </c>
      <c r="Q140" s="317"/>
      <c r="R140" s="159"/>
      <c r="S140" s="318"/>
      <c r="T140" s="319"/>
      <c r="U140" s="315"/>
      <c r="V140" s="162"/>
      <c r="W140" s="148"/>
      <c r="X140" s="163"/>
      <c r="Y140" s="162"/>
      <c r="Z140" s="164"/>
      <c r="AA140" s="116"/>
      <c r="AB140" s="116"/>
      <c r="AC140" s="165"/>
      <c r="AD140" s="145" t="str">
        <f t="shared" si="17"/>
        <v>julio</v>
      </c>
      <c r="AE140" s="144" t="s">
        <v>172</v>
      </c>
      <c r="AF140" s="149" t="b">
        <v>0</v>
      </c>
      <c r="AG140" s="166"/>
      <c r="AH140" s="149" t="b">
        <v>0</v>
      </c>
      <c r="AI140" s="162"/>
      <c r="AJ140" s="143"/>
      <c r="AK140" s="143"/>
      <c r="AL140" s="143"/>
      <c r="AM140" s="143"/>
      <c r="AN140" s="143"/>
      <c r="AO140" s="143"/>
      <c r="AP140" s="143"/>
      <c r="AQ140" s="143"/>
    </row>
    <row r="141" ht="22.5" customHeight="1">
      <c r="A141" s="365" t="s">
        <v>162</v>
      </c>
      <c r="B141" s="187">
        <v>45862.0</v>
      </c>
      <c r="C141" s="368" t="s">
        <v>685</v>
      </c>
      <c r="D141" s="329" t="s">
        <v>686</v>
      </c>
      <c r="E141" s="367" t="s">
        <v>28</v>
      </c>
      <c r="F141" s="113" t="s">
        <v>687</v>
      </c>
      <c r="G141" s="368">
        <v>5.1974593846E10</v>
      </c>
      <c r="H141" s="148" t="s">
        <v>257</v>
      </c>
      <c r="I141" s="367" t="s">
        <v>61</v>
      </c>
      <c r="J141" s="168">
        <v>1420.0</v>
      </c>
      <c r="K141" s="370">
        <f t="shared" si="1"/>
        <v>5683</v>
      </c>
      <c r="L141" s="170">
        <v>7103.0</v>
      </c>
      <c r="M141" s="239">
        <v>6941.1</v>
      </c>
      <c r="N141" s="155">
        <v>1399.99</v>
      </c>
      <c r="O141" s="371">
        <f t="shared" si="22"/>
        <v>161.9</v>
      </c>
      <c r="P141" s="316">
        <f t="shared" si="4"/>
        <v>0</v>
      </c>
      <c r="Q141" s="321"/>
      <c r="R141" s="159"/>
      <c r="S141" s="318"/>
      <c r="T141" s="372"/>
      <c r="U141" s="371"/>
      <c r="V141" s="162"/>
      <c r="W141" s="148" t="s">
        <v>584</v>
      </c>
      <c r="X141" s="163"/>
      <c r="Y141" s="162"/>
      <c r="Z141" s="509" t="s">
        <v>688</v>
      </c>
      <c r="AA141" s="374"/>
      <c r="AB141" s="374"/>
      <c r="AC141" s="368" t="s">
        <v>689</v>
      </c>
      <c r="AD141" s="187" t="str">
        <f t="shared" si="17"/>
        <v>julio</v>
      </c>
      <c r="AE141" s="404" t="s">
        <v>172</v>
      </c>
      <c r="AF141" s="149" t="b">
        <v>0</v>
      </c>
      <c r="AG141" s="166"/>
      <c r="AH141" s="149" t="b">
        <v>0</v>
      </c>
      <c r="AI141" s="162"/>
      <c r="AJ141" s="376"/>
      <c r="AK141" s="376"/>
      <c r="AL141" s="376"/>
      <c r="AM141" s="376"/>
      <c r="AN141" s="376"/>
      <c r="AO141" s="376"/>
      <c r="AP141" s="376"/>
      <c r="AQ141" s="376"/>
    </row>
    <row r="142" ht="22.5" customHeight="1">
      <c r="A142" s="365" t="s">
        <v>162</v>
      </c>
      <c r="B142" s="187">
        <v>45863.0</v>
      </c>
      <c r="C142" s="368" t="s">
        <v>613</v>
      </c>
      <c r="D142" s="366" t="s">
        <v>690</v>
      </c>
      <c r="E142" s="367" t="s">
        <v>28</v>
      </c>
      <c r="F142" s="113" t="s">
        <v>691</v>
      </c>
      <c r="G142" s="368">
        <v>5.1952058775E10</v>
      </c>
      <c r="H142" s="148" t="s">
        <v>257</v>
      </c>
      <c r="I142" s="367" t="s">
        <v>61</v>
      </c>
      <c r="J142" s="168">
        <v>1540.0</v>
      </c>
      <c r="K142" s="370">
        <f t="shared" si="1"/>
        <v>6159</v>
      </c>
      <c r="L142" s="170">
        <v>7699.0</v>
      </c>
      <c r="M142" s="239">
        <v>7059.74</v>
      </c>
      <c r="N142" s="155">
        <v>1549.99</v>
      </c>
      <c r="O142" s="371">
        <f t="shared" si="22"/>
        <v>639.26</v>
      </c>
      <c r="P142" s="344">
        <f t="shared" si="4"/>
        <v>0</v>
      </c>
      <c r="Q142" s="510"/>
      <c r="R142" s="159"/>
      <c r="S142" s="318"/>
      <c r="T142" s="511"/>
      <c r="U142" s="512"/>
      <c r="V142" s="144" t="s">
        <v>584</v>
      </c>
      <c r="W142" s="148" t="s">
        <v>584</v>
      </c>
      <c r="X142" s="163"/>
      <c r="Y142" s="162"/>
      <c r="Z142" s="513" t="s">
        <v>692</v>
      </c>
      <c r="AA142" s="374"/>
      <c r="AB142" s="374"/>
      <c r="AC142" s="368" t="s">
        <v>693</v>
      </c>
      <c r="AD142" s="187" t="str">
        <f t="shared" si="17"/>
        <v>julio</v>
      </c>
      <c r="AE142" s="404" t="s">
        <v>172</v>
      </c>
      <c r="AF142" s="149" t="b">
        <v>0</v>
      </c>
      <c r="AG142" s="166"/>
      <c r="AH142" s="149" t="b">
        <v>0</v>
      </c>
      <c r="AI142" s="162"/>
      <c r="AJ142" s="376"/>
      <c r="AK142" s="376"/>
      <c r="AL142" s="376"/>
      <c r="AM142" s="376"/>
      <c r="AN142" s="376"/>
      <c r="AO142" s="376"/>
      <c r="AP142" s="376"/>
      <c r="AQ142" s="376"/>
    </row>
    <row r="143" ht="22.5" hidden="1" customHeight="1">
      <c r="A143" s="434" t="s">
        <v>34</v>
      </c>
      <c r="B143" s="440" t="s">
        <v>694</v>
      </c>
      <c r="C143" s="514" t="s">
        <v>685</v>
      </c>
      <c r="D143" s="437" t="s">
        <v>695</v>
      </c>
      <c r="E143" s="438" t="s">
        <v>28</v>
      </c>
      <c r="F143" s="439" t="s">
        <v>696</v>
      </c>
      <c r="G143" s="515" t="s">
        <v>697</v>
      </c>
      <c r="H143" s="148" t="s">
        <v>257</v>
      </c>
      <c r="I143" s="438" t="s">
        <v>61</v>
      </c>
      <c r="J143" s="168">
        <v>1340.0</v>
      </c>
      <c r="K143" s="441">
        <f t="shared" si="1"/>
        <v>5359</v>
      </c>
      <c r="L143" s="170">
        <v>6699.0</v>
      </c>
      <c r="M143" s="239">
        <v>6289.0</v>
      </c>
      <c r="N143" s="155">
        <v>1399.99</v>
      </c>
      <c r="O143" s="442">
        <f t="shared" si="22"/>
        <v>410</v>
      </c>
      <c r="P143" s="316">
        <f t="shared" si="4"/>
        <v>0</v>
      </c>
      <c r="Q143" s="317"/>
      <c r="R143" s="159"/>
      <c r="S143" s="318"/>
      <c r="T143" s="443"/>
      <c r="U143" s="442"/>
      <c r="V143" s="444"/>
      <c r="W143" s="516"/>
      <c r="X143" s="517"/>
      <c r="Y143" s="444"/>
      <c r="Z143" s="466">
        <f>L143-J143</f>
        <v>5359</v>
      </c>
      <c r="AA143" s="447"/>
      <c r="AB143" s="447"/>
      <c r="AC143" s="440" t="s">
        <v>698</v>
      </c>
      <c r="AD143" s="435" t="str">
        <f t="shared" si="17"/>
        <v>julio</v>
      </c>
      <c r="AE143" s="434" t="s">
        <v>172</v>
      </c>
      <c r="AF143" s="518" t="b">
        <v>0</v>
      </c>
      <c r="AG143" s="166"/>
      <c r="AH143" s="149" t="b">
        <v>0</v>
      </c>
      <c r="AI143" s="162"/>
      <c r="AJ143" s="448"/>
      <c r="AK143" s="448"/>
      <c r="AL143" s="448"/>
      <c r="AM143" s="448"/>
      <c r="AN143" s="448"/>
      <c r="AO143" s="448"/>
      <c r="AP143" s="448"/>
      <c r="AQ143" s="448"/>
    </row>
    <row r="144" ht="22.5" customHeight="1">
      <c r="A144" s="365" t="s">
        <v>162</v>
      </c>
      <c r="B144" s="187">
        <v>45864.0</v>
      </c>
      <c r="C144" s="519" t="s">
        <v>699</v>
      </c>
      <c r="D144" s="366" t="s">
        <v>700</v>
      </c>
      <c r="E144" s="367" t="s">
        <v>28</v>
      </c>
      <c r="F144" s="520" t="s">
        <v>701</v>
      </c>
      <c r="G144" s="368">
        <v>9.22253653E8</v>
      </c>
      <c r="H144" s="148" t="s">
        <v>257</v>
      </c>
      <c r="I144" s="367" t="s">
        <v>61</v>
      </c>
      <c r="J144" s="168">
        <v>8849.5</v>
      </c>
      <c r="K144" s="370">
        <f t="shared" si="1"/>
        <v>8849.5</v>
      </c>
      <c r="L144" s="170">
        <v>17699.0</v>
      </c>
      <c r="M144" s="239">
        <v>17294.0</v>
      </c>
      <c r="N144" s="155">
        <v>4199.99</v>
      </c>
      <c r="O144" s="371">
        <f t="shared" si="22"/>
        <v>405</v>
      </c>
      <c r="P144" s="316">
        <f t="shared" si="4"/>
        <v>0</v>
      </c>
      <c r="Q144" s="321"/>
      <c r="R144" s="159"/>
      <c r="S144" s="346">
        <v>405.0</v>
      </c>
      <c r="T144" s="372"/>
      <c r="U144" s="371"/>
      <c r="V144" s="144" t="s">
        <v>584</v>
      </c>
      <c r="W144" s="148" t="s">
        <v>584</v>
      </c>
      <c r="X144" s="163"/>
      <c r="Y144" s="162"/>
      <c r="Z144" s="373"/>
      <c r="AA144" s="374"/>
      <c r="AB144" s="374"/>
      <c r="AC144" s="368" t="s">
        <v>702</v>
      </c>
      <c r="AD144" s="187" t="str">
        <f t="shared" si="17"/>
        <v>julio</v>
      </c>
      <c r="AE144" s="404" t="s">
        <v>172</v>
      </c>
      <c r="AF144" s="149" t="b">
        <v>0</v>
      </c>
      <c r="AG144" s="166"/>
      <c r="AH144" s="149" t="b">
        <v>0</v>
      </c>
      <c r="AI144" s="162"/>
      <c r="AJ144" s="376"/>
      <c r="AK144" s="376"/>
      <c r="AL144" s="376"/>
      <c r="AM144" s="376"/>
      <c r="AN144" s="376"/>
      <c r="AO144" s="376"/>
      <c r="AP144" s="376"/>
      <c r="AQ144" s="376"/>
    </row>
    <row r="145" ht="22.5" customHeight="1">
      <c r="A145" s="365" t="s">
        <v>162</v>
      </c>
      <c r="B145" s="187">
        <v>45864.0</v>
      </c>
      <c r="C145" s="368" t="s">
        <v>699</v>
      </c>
      <c r="D145" s="366" t="s">
        <v>700</v>
      </c>
      <c r="E145" s="367" t="s">
        <v>28</v>
      </c>
      <c r="F145" s="520" t="s">
        <v>703</v>
      </c>
      <c r="G145" s="368">
        <v>9.22253653E8</v>
      </c>
      <c r="H145" s="148" t="s">
        <v>257</v>
      </c>
      <c r="I145" s="367" t="s">
        <v>61</v>
      </c>
      <c r="J145" s="168">
        <v>8849.5</v>
      </c>
      <c r="K145" s="370">
        <f t="shared" si="1"/>
        <v>8849.5</v>
      </c>
      <c r="L145" s="170">
        <v>17699.0</v>
      </c>
      <c r="M145" s="239">
        <v>17293.42</v>
      </c>
      <c r="N145" s="155">
        <v>4199.99</v>
      </c>
      <c r="O145" s="371">
        <f t="shared" si="22"/>
        <v>405.58</v>
      </c>
      <c r="P145" s="316">
        <f t="shared" si="4"/>
        <v>0</v>
      </c>
      <c r="Q145" s="321"/>
      <c r="R145" s="159"/>
      <c r="S145" s="346">
        <v>405.0</v>
      </c>
      <c r="T145" s="372"/>
      <c r="U145" s="371"/>
      <c r="V145" s="144" t="s">
        <v>584</v>
      </c>
      <c r="W145" s="148" t="s">
        <v>584</v>
      </c>
      <c r="X145" s="163"/>
      <c r="Y145" s="162"/>
      <c r="Z145" s="373"/>
      <c r="AA145" s="374"/>
      <c r="AB145" s="374"/>
      <c r="AC145" s="368" t="s">
        <v>704</v>
      </c>
      <c r="AD145" s="187" t="str">
        <f t="shared" si="17"/>
        <v>julio</v>
      </c>
      <c r="AE145" s="404" t="s">
        <v>172</v>
      </c>
      <c r="AF145" s="149" t="b">
        <v>0</v>
      </c>
      <c r="AG145" s="166"/>
      <c r="AH145" s="149" t="b">
        <v>0</v>
      </c>
      <c r="AI145" s="162"/>
      <c r="AJ145" s="376"/>
      <c r="AK145" s="376"/>
      <c r="AL145" s="376"/>
      <c r="AM145" s="376"/>
      <c r="AN145" s="376"/>
      <c r="AO145" s="376"/>
      <c r="AP145" s="376"/>
      <c r="AQ145" s="376"/>
    </row>
    <row r="146" ht="22.5" customHeight="1">
      <c r="A146" s="365" t="s">
        <v>162</v>
      </c>
      <c r="B146" s="187">
        <v>45864.0</v>
      </c>
      <c r="C146" s="368" t="s">
        <v>613</v>
      </c>
      <c r="D146" s="329" t="s">
        <v>705</v>
      </c>
      <c r="E146" s="367" t="s">
        <v>28</v>
      </c>
      <c r="F146" s="113" t="s">
        <v>706</v>
      </c>
      <c r="G146" s="368">
        <v>5.1988551794E10</v>
      </c>
      <c r="H146" s="148" t="s">
        <v>257</v>
      </c>
      <c r="I146" s="369">
        <v>0.3</v>
      </c>
      <c r="J146" s="168">
        <v>2309.0</v>
      </c>
      <c r="K146" s="370">
        <f t="shared" si="1"/>
        <v>5390</v>
      </c>
      <c r="L146" s="170">
        <v>7699.0</v>
      </c>
      <c r="M146" s="239">
        <v>7059.74</v>
      </c>
      <c r="N146" s="155">
        <v>1549.99</v>
      </c>
      <c r="O146" s="371">
        <f t="shared" si="22"/>
        <v>639.26</v>
      </c>
      <c r="P146" s="316">
        <f t="shared" si="4"/>
        <v>14</v>
      </c>
      <c r="Q146" s="510"/>
      <c r="R146" s="159"/>
      <c r="S146" s="318"/>
      <c r="T146" s="511">
        <v>41.0</v>
      </c>
      <c r="U146" s="512">
        <v>55.0</v>
      </c>
      <c r="V146" s="144" t="s">
        <v>584</v>
      </c>
      <c r="W146" s="148" t="s">
        <v>584</v>
      </c>
      <c r="X146" s="163"/>
      <c r="Y146" s="162"/>
      <c r="Z146" s="10" t="s">
        <v>707</v>
      </c>
      <c r="AA146" s="374"/>
      <c r="AB146" s="374"/>
      <c r="AC146" s="368" t="s">
        <v>708</v>
      </c>
      <c r="AD146" s="187" t="str">
        <f t="shared" si="17"/>
        <v>julio</v>
      </c>
      <c r="AE146" s="404" t="s">
        <v>172</v>
      </c>
      <c r="AF146" s="149" t="b">
        <v>0</v>
      </c>
      <c r="AG146" s="166"/>
      <c r="AH146" s="149" t="b">
        <v>0</v>
      </c>
      <c r="AI146" s="162"/>
      <c r="AJ146" s="376"/>
      <c r="AK146" s="376"/>
      <c r="AL146" s="376"/>
      <c r="AM146" s="376"/>
      <c r="AN146" s="376"/>
      <c r="AO146" s="376"/>
      <c r="AP146" s="376"/>
      <c r="AQ146" s="376"/>
    </row>
    <row r="147" ht="22.5" hidden="1" customHeight="1">
      <c r="A147" s="144" t="s">
        <v>259</v>
      </c>
      <c r="B147" s="145">
        <v>45864.0</v>
      </c>
      <c r="C147" s="149" t="s">
        <v>613</v>
      </c>
      <c r="D147" s="329" t="s">
        <v>709</v>
      </c>
      <c r="E147" s="148" t="s">
        <v>28</v>
      </c>
      <c r="F147" s="410" t="s">
        <v>710</v>
      </c>
      <c r="G147" s="165"/>
      <c r="H147" s="148" t="s">
        <v>257</v>
      </c>
      <c r="I147" s="150">
        <v>0.2</v>
      </c>
      <c r="J147" s="220">
        <v>1539.0</v>
      </c>
      <c r="K147" s="169">
        <f t="shared" si="1"/>
        <v>6160</v>
      </c>
      <c r="L147" s="170">
        <v>7699.0</v>
      </c>
      <c r="M147" s="239">
        <v>7059.74</v>
      </c>
      <c r="N147" s="277"/>
      <c r="O147" s="315">
        <f t="shared" si="22"/>
        <v>639.26</v>
      </c>
      <c r="P147" s="316">
        <f t="shared" si="4"/>
        <v>0</v>
      </c>
      <c r="Q147" s="321"/>
      <c r="R147" s="159"/>
      <c r="S147" s="318"/>
      <c r="T147" s="319"/>
      <c r="U147" s="315"/>
      <c r="V147" s="162"/>
      <c r="W147" s="194" t="s">
        <v>584</v>
      </c>
      <c r="X147" s="195"/>
      <c r="Y147" s="162"/>
      <c r="Z147" s="10"/>
      <c r="AA147" s="116"/>
      <c r="AB147" s="116"/>
      <c r="AC147" s="149" t="s">
        <v>711</v>
      </c>
      <c r="AD147" s="145" t="str">
        <f t="shared" si="17"/>
        <v>julio</v>
      </c>
      <c r="AE147" s="144" t="s">
        <v>172</v>
      </c>
      <c r="AF147" s="149" t="b">
        <v>0</v>
      </c>
      <c r="AG147" s="166"/>
      <c r="AH147" s="149" t="b">
        <v>0</v>
      </c>
      <c r="AI147" s="162"/>
      <c r="AJ147" s="143"/>
      <c r="AK147" s="143"/>
      <c r="AL147" s="143"/>
      <c r="AM147" s="143"/>
      <c r="AN147" s="143"/>
      <c r="AO147" s="143"/>
      <c r="AP147" s="143"/>
      <c r="AQ147" s="143"/>
    </row>
    <row r="148" ht="22.5" hidden="1" customHeight="1">
      <c r="A148" s="144" t="s">
        <v>259</v>
      </c>
      <c r="B148" s="145">
        <v>45864.0</v>
      </c>
      <c r="C148" s="501" t="s">
        <v>444</v>
      </c>
      <c r="D148" s="329" t="s">
        <v>712</v>
      </c>
      <c r="E148" s="148" t="s">
        <v>28</v>
      </c>
      <c r="F148" s="521" t="s">
        <v>713</v>
      </c>
      <c r="G148" s="149" t="s">
        <v>714</v>
      </c>
      <c r="H148" s="148" t="s">
        <v>257</v>
      </c>
      <c r="I148" s="150">
        <v>0.2</v>
      </c>
      <c r="J148" s="522">
        <v>1300.0</v>
      </c>
      <c r="K148" s="169">
        <f t="shared" si="1"/>
        <v>5299</v>
      </c>
      <c r="L148" s="170">
        <v>6599.0</v>
      </c>
      <c r="M148" s="239">
        <v>6179.0</v>
      </c>
      <c r="N148" s="277"/>
      <c r="O148" s="315">
        <f t="shared" si="22"/>
        <v>420</v>
      </c>
      <c r="P148" s="316">
        <f t="shared" si="4"/>
        <v>0</v>
      </c>
      <c r="Q148" s="321"/>
      <c r="R148" s="159"/>
      <c r="S148" s="318"/>
      <c r="T148" s="319"/>
      <c r="U148" s="315"/>
      <c r="V148" s="162"/>
      <c r="W148" s="194"/>
      <c r="X148" s="195"/>
      <c r="Y148" s="162"/>
      <c r="Z148" s="164"/>
      <c r="AA148" s="116"/>
      <c r="AB148" s="116"/>
      <c r="AC148" s="149"/>
      <c r="AD148" s="145" t="str">
        <f t="shared" si="17"/>
        <v>julio</v>
      </c>
      <c r="AE148" s="144" t="s">
        <v>172</v>
      </c>
      <c r="AF148" s="149" t="b">
        <v>0</v>
      </c>
      <c r="AG148" s="166"/>
      <c r="AH148" s="149" t="b">
        <v>0</v>
      </c>
      <c r="AI148" s="162"/>
      <c r="AJ148" s="143"/>
      <c r="AK148" s="143"/>
      <c r="AL148" s="143"/>
      <c r="AM148" s="143"/>
      <c r="AN148" s="143"/>
      <c r="AO148" s="143"/>
      <c r="AP148" s="143"/>
      <c r="AQ148" s="143"/>
    </row>
    <row r="149" ht="22.5" customHeight="1">
      <c r="A149" s="144" t="s">
        <v>162</v>
      </c>
      <c r="B149" s="145">
        <v>45865.0</v>
      </c>
      <c r="C149" s="272" t="s">
        <v>715</v>
      </c>
      <c r="D149" s="523" t="s">
        <v>716</v>
      </c>
      <c r="E149" s="148" t="s">
        <v>399</v>
      </c>
      <c r="F149" s="524"/>
      <c r="G149" s="149">
        <v>5.193523592E10</v>
      </c>
      <c r="H149" s="148" t="s">
        <v>257</v>
      </c>
      <c r="I149" s="148" t="s">
        <v>61</v>
      </c>
      <c r="J149" s="168">
        <v>1058.0</v>
      </c>
      <c r="K149" s="169">
        <f t="shared" si="1"/>
        <v>4231</v>
      </c>
      <c r="L149" s="170">
        <v>5289.0</v>
      </c>
      <c r="M149" s="239">
        <v>4693.93</v>
      </c>
      <c r="N149" s="155">
        <v>990.0</v>
      </c>
      <c r="O149" s="315">
        <f t="shared" si="22"/>
        <v>595.07</v>
      </c>
      <c r="P149" s="316">
        <f t="shared" si="4"/>
        <v>0</v>
      </c>
      <c r="Q149" s="321"/>
      <c r="R149" s="159"/>
      <c r="S149" s="318"/>
      <c r="T149" s="319"/>
      <c r="U149" s="315"/>
      <c r="V149" s="162"/>
      <c r="W149" s="148"/>
      <c r="X149" s="163"/>
      <c r="Y149" s="162"/>
      <c r="Z149" s="164"/>
      <c r="AA149" s="116"/>
      <c r="AB149" s="116"/>
      <c r="AC149" s="149" t="s">
        <v>717</v>
      </c>
      <c r="AD149" s="145" t="str">
        <f t="shared" si="17"/>
        <v>julio</v>
      </c>
      <c r="AE149" s="162"/>
      <c r="AF149" s="149" t="b">
        <v>0</v>
      </c>
      <c r="AG149" s="166"/>
      <c r="AH149" s="149" t="b">
        <v>0</v>
      </c>
      <c r="AI149" s="162"/>
      <c r="AJ149" s="143"/>
      <c r="AK149" s="143"/>
      <c r="AL149" s="143"/>
      <c r="AM149" s="143"/>
      <c r="AN149" s="143"/>
      <c r="AO149" s="143"/>
      <c r="AP149" s="143"/>
      <c r="AQ149" s="143"/>
    </row>
    <row r="150" ht="22.5" hidden="1" customHeight="1">
      <c r="A150" s="434" t="s">
        <v>34</v>
      </c>
      <c r="B150" s="435">
        <v>45866.0</v>
      </c>
      <c r="C150" s="497" t="s">
        <v>718</v>
      </c>
      <c r="D150" s="456" t="s">
        <v>719</v>
      </c>
      <c r="E150" s="438" t="s">
        <v>28</v>
      </c>
      <c r="F150" s="439" t="s">
        <v>720</v>
      </c>
      <c r="G150" s="440">
        <v>5.1902735656E10</v>
      </c>
      <c r="H150" s="148" t="s">
        <v>257</v>
      </c>
      <c r="I150" s="438" t="s">
        <v>61</v>
      </c>
      <c r="J150" s="168">
        <v>1600.0</v>
      </c>
      <c r="K150" s="441">
        <f t="shared" si="1"/>
        <v>6399</v>
      </c>
      <c r="L150" s="170">
        <v>7999.0</v>
      </c>
      <c r="M150" s="525">
        <v>7362.0</v>
      </c>
      <c r="N150" s="155">
        <v>1624.99</v>
      </c>
      <c r="O150" s="442">
        <f>L150-M150-P150</f>
        <v>587</v>
      </c>
      <c r="P150" s="316">
        <f t="shared" si="4"/>
        <v>50</v>
      </c>
      <c r="Q150" s="345"/>
      <c r="R150" s="159"/>
      <c r="S150" s="318"/>
      <c r="T150" s="505"/>
      <c r="U150" s="499">
        <v>50.0</v>
      </c>
      <c r="V150" s="444"/>
      <c r="W150" s="438"/>
      <c r="X150" s="445"/>
      <c r="Y150" s="444"/>
      <c r="Z150" s="466">
        <f>L150-J150</f>
        <v>6399</v>
      </c>
      <c r="AA150" s="447"/>
      <c r="AB150" s="447"/>
      <c r="AC150" s="440" t="s">
        <v>721</v>
      </c>
      <c r="AD150" s="435" t="str">
        <f t="shared" si="17"/>
        <v>julio</v>
      </c>
      <c r="AE150" s="526" t="s">
        <v>172</v>
      </c>
      <c r="AF150" s="440" t="b">
        <v>0</v>
      </c>
      <c r="AG150" s="166"/>
      <c r="AH150" s="149" t="b">
        <v>0</v>
      </c>
      <c r="AI150" s="162"/>
      <c r="AJ150" s="448"/>
      <c r="AK150" s="448"/>
      <c r="AL150" s="448"/>
      <c r="AM150" s="448"/>
      <c r="AN150" s="448"/>
      <c r="AO150" s="448"/>
      <c r="AP150" s="448"/>
      <c r="AQ150" s="448"/>
    </row>
    <row r="151" ht="22.5" hidden="1" customHeight="1">
      <c r="A151" s="434" t="s">
        <v>34</v>
      </c>
      <c r="B151" s="435">
        <v>45868.0</v>
      </c>
      <c r="C151" s="527" t="s">
        <v>541</v>
      </c>
      <c r="D151" s="456" t="s">
        <v>722</v>
      </c>
      <c r="E151" s="438" t="s">
        <v>28</v>
      </c>
      <c r="F151" s="528" t="s">
        <v>723</v>
      </c>
      <c r="G151" s="440">
        <v>5.1989935338E10</v>
      </c>
      <c r="H151" s="148" t="s">
        <v>257</v>
      </c>
      <c r="I151" s="438" t="s">
        <v>61</v>
      </c>
      <c r="J151" s="168">
        <v>1040.0</v>
      </c>
      <c r="K151" s="441">
        <f t="shared" si="1"/>
        <v>4159</v>
      </c>
      <c r="L151" s="170">
        <v>5199.0</v>
      </c>
      <c r="M151" s="239">
        <v>5021.0</v>
      </c>
      <c r="N151" s="529">
        <v>1069.49</v>
      </c>
      <c r="O151" s="442">
        <f t="shared" ref="O151:O158" si="23">L151-M151</f>
        <v>178</v>
      </c>
      <c r="P151" s="316">
        <f t="shared" si="4"/>
        <v>0</v>
      </c>
      <c r="Q151" s="317"/>
      <c r="R151" s="159"/>
      <c r="S151" s="318"/>
      <c r="T151" s="443"/>
      <c r="U151" s="442"/>
      <c r="V151" s="434" t="s">
        <v>584</v>
      </c>
      <c r="W151" s="438"/>
      <c r="X151" s="445"/>
      <c r="Y151" s="444"/>
      <c r="Z151" s="450"/>
      <c r="AA151" s="447"/>
      <c r="AB151" s="447"/>
      <c r="AC151" s="530"/>
      <c r="AD151" s="435" t="str">
        <f t="shared" si="17"/>
        <v>julio</v>
      </c>
      <c r="AE151" s="531" t="s">
        <v>724</v>
      </c>
      <c r="AF151" s="440" t="b">
        <v>1</v>
      </c>
      <c r="AG151" s="166"/>
      <c r="AH151" s="149" t="b">
        <v>0</v>
      </c>
      <c r="AI151" s="162"/>
      <c r="AJ151" s="448"/>
      <c r="AK151" s="448"/>
      <c r="AL151" s="448"/>
      <c r="AM151" s="448"/>
      <c r="AN151" s="448"/>
      <c r="AO151" s="448"/>
      <c r="AP151" s="448"/>
      <c r="AQ151" s="448"/>
    </row>
    <row r="152" ht="22.5" customHeight="1">
      <c r="A152" s="365" t="s">
        <v>162</v>
      </c>
      <c r="B152" s="187">
        <v>45868.0</v>
      </c>
      <c r="C152" s="353" t="s">
        <v>725</v>
      </c>
      <c r="D152" s="329" t="s">
        <v>726</v>
      </c>
      <c r="E152" s="367" t="s">
        <v>28</v>
      </c>
      <c r="F152" s="368" t="s">
        <v>727</v>
      </c>
      <c r="G152" s="368">
        <v>5.1918518828E10</v>
      </c>
      <c r="H152" s="148" t="s">
        <v>257</v>
      </c>
      <c r="I152" s="369">
        <v>0.5</v>
      </c>
      <c r="J152" s="168">
        <v>9509.0</v>
      </c>
      <c r="K152" s="370">
        <f t="shared" si="1"/>
        <v>9509</v>
      </c>
      <c r="L152" s="170">
        <v>19018.0</v>
      </c>
      <c r="M152" s="239">
        <v>18246.77</v>
      </c>
      <c r="N152" s="155">
        <v>4299.99</v>
      </c>
      <c r="O152" s="371">
        <f t="shared" si="23"/>
        <v>771.23</v>
      </c>
      <c r="P152" s="532">
        <f t="shared" si="4"/>
        <v>0</v>
      </c>
      <c r="Q152" s="533"/>
      <c r="R152" s="159"/>
      <c r="S152" s="318"/>
      <c r="T152" s="534"/>
      <c r="U152" s="535"/>
      <c r="V152" s="144" t="s">
        <v>584</v>
      </c>
      <c r="W152" s="148" t="s">
        <v>584</v>
      </c>
      <c r="X152" s="163"/>
      <c r="Y152" s="144" t="s">
        <v>584</v>
      </c>
      <c r="Z152" s="513" t="s">
        <v>728</v>
      </c>
      <c r="AA152" s="374"/>
      <c r="AB152" s="374"/>
      <c r="AC152" s="487" t="s">
        <v>729</v>
      </c>
      <c r="AD152" s="187" t="str">
        <f t="shared" si="17"/>
        <v>julio</v>
      </c>
      <c r="AE152" s="404" t="s">
        <v>724</v>
      </c>
      <c r="AF152" s="149" t="b">
        <v>1</v>
      </c>
      <c r="AG152" s="166"/>
      <c r="AH152" s="149" t="b">
        <v>0</v>
      </c>
      <c r="AI152" s="162"/>
      <c r="AJ152" s="376"/>
      <c r="AK152" s="376"/>
      <c r="AL152" s="376"/>
      <c r="AM152" s="376"/>
      <c r="AN152" s="376"/>
      <c r="AO152" s="376"/>
      <c r="AP152" s="376"/>
      <c r="AQ152" s="376"/>
    </row>
    <row r="153" ht="22.5" customHeight="1">
      <c r="A153" s="365" t="s">
        <v>162</v>
      </c>
      <c r="B153" s="187">
        <v>45868.0</v>
      </c>
      <c r="C153" s="368" t="s">
        <v>613</v>
      </c>
      <c r="D153" s="366" t="s">
        <v>730</v>
      </c>
      <c r="E153" s="367" t="s">
        <v>28</v>
      </c>
      <c r="F153" s="536" t="s">
        <v>731</v>
      </c>
      <c r="G153" s="368" t="s">
        <v>732</v>
      </c>
      <c r="H153" s="148" t="s">
        <v>257</v>
      </c>
      <c r="I153" s="369">
        <v>0.3</v>
      </c>
      <c r="J153" s="168">
        <v>2310.0</v>
      </c>
      <c r="K153" s="370">
        <f t="shared" si="1"/>
        <v>4940</v>
      </c>
      <c r="L153" s="170">
        <v>7250.0</v>
      </c>
      <c r="M153" s="239">
        <v>7059.74</v>
      </c>
      <c r="N153" s="155">
        <v>1549.99</v>
      </c>
      <c r="O153" s="371">
        <f t="shared" si="23"/>
        <v>190.26</v>
      </c>
      <c r="P153" s="537"/>
      <c r="Q153" s="510"/>
      <c r="R153" s="159"/>
      <c r="S153" s="318"/>
      <c r="T153" s="511">
        <v>42.72</v>
      </c>
      <c r="U153" s="511">
        <v>50.0</v>
      </c>
      <c r="V153" s="144" t="s">
        <v>584</v>
      </c>
      <c r="W153" s="148" t="s">
        <v>584</v>
      </c>
      <c r="X153" s="163"/>
      <c r="Y153" s="144" t="s">
        <v>584</v>
      </c>
      <c r="Z153" s="486" t="s">
        <v>733</v>
      </c>
      <c r="AA153" s="374"/>
      <c r="AB153" s="374"/>
      <c r="AC153" s="487" t="s">
        <v>734</v>
      </c>
      <c r="AD153" s="187" t="str">
        <f t="shared" si="17"/>
        <v>julio</v>
      </c>
      <c r="AE153" s="404" t="s">
        <v>172</v>
      </c>
      <c r="AF153" s="149" t="b">
        <v>0</v>
      </c>
      <c r="AG153" s="166"/>
      <c r="AH153" s="149" t="b">
        <v>0</v>
      </c>
      <c r="AI153" s="162"/>
      <c r="AJ153" s="143"/>
      <c r="AK153" s="143"/>
      <c r="AL153" s="143"/>
      <c r="AM153" s="143"/>
      <c r="AN153" s="143"/>
      <c r="AO153" s="143"/>
      <c r="AP153" s="143"/>
      <c r="AQ153" s="143"/>
    </row>
    <row r="154" ht="22.5" hidden="1" customHeight="1">
      <c r="A154" s="144" t="s">
        <v>259</v>
      </c>
      <c r="B154" s="145">
        <v>45869.0</v>
      </c>
      <c r="C154" s="538" t="s">
        <v>593</v>
      </c>
      <c r="D154" s="208" t="s">
        <v>735</v>
      </c>
      <c r="E154" s="148" t="s">
        <v>28</v>
      </c>
      <c r="F154" s="539" t="s">
        <v>736</v>
      </c>
      <c r="G154" s="149" t="s">
        <v>737</v>
      </c>
      <c r="H154" s="148" t="s">
        <v>257</v>
      </c>
      <c r="I154" s="148" t="s">
        <v>61</v>
      </c>
      <c r="J154" s="220">
        <v>5000.0</v>
      </c>
      <c r="K154" s="169">
        <f t="shared" si="1"/>
        <v>699</v>
      </c>
      <c r="L154" s="170">
        <v>5699.0</v>
      </c>
      <c r="M154" s="239">
        <v>5350.0</v>
      </c>
      <c r="N154" s="277"/>
      <c r="O154" s="315">
        <f t="shared" si="23"/>
        <v>349</v>
      </c>
      <c r="P154" s="316">
        <f>U154-T154</f>
        <v>0</v>
      </c>
      <c r="Q154" s="321"/>
      <c r="R154" s="159"/>
      <c r="S154" s="318"/>
      <c r="T154" s="319"/>
      <c r="U154" s="315"/>
      <c r="V154" s="162"/>
      <c r="W154" s="194" t="s">
        <v>584</v>
      </c>
      <c r="X154" s="195"/>
      <c r="Y154" s="162"/>
      <c r="Z154" s="164"/>
      <c r="AA154" s="116"/>
      <c r="AB154" s="116"/>
      <c r="AC154" s="540" t="s">
        <v>738</v>
      </c>
      <c r="AD154" s="145" t="str">
        <f t="shared" si="17"/>
        <v>julio</v>
      </c>
      <c r="AE154" s="541" t="s">
        <v>172</v>
      </c>
      <c r="AF154" s="149" t="b">
        <v>0</v>
      </c>
      <c r="AG154" s="166"/>
      <c r="AH154" s="149" t="b">
        <v>0</v>
      </c>
      <c r="AI154" s="162"/>
      <c r="AJ154" s="143"/>
      <c r="AK154" s="143"/>
      <c r="AL154" s="143"/>
      <c r="AM154" s="143"/>
      <c r="AN154" s="143"/>
      <c r="AO154" s="143"/>
      <c r="AP154" s="143"/>
      <c r="AQ154" s="143"/>
    </row>
    <row r="155" ht="22.5" customHeight="1">
      <c r="A155" s="542" t="s">
        <v>162</v>
      </c>
      <c r="B155" s="543">
        <v>45871.0</v>
      </c>
      <c r="C155" s="544" t="s">
        <v>613</v>
      </c>
      <c r="D155" s="545" t="s">
        <v>739</v>
      </c>
      <c r="E155" s="546" t="s">
        <v>28</v>
      </c>
      <c r="F155" s="544" t="s">
        <v>740</v>
      </c>
      <c r="G155" s="544">
        <v>5.1923856056E10</v>
      </c>
      <c r="H155" s="148" t="s">
        <v>257</v>
      </c>
      <c r="I155" s="546" t="s">
        <v>61</v>
      </c>
      <c r="J155" s="168">
        <v>2309.0</v>
      </c>
      <c r="K155" s="547">
        <f t="shared" si="1"/>
        <v>4941</v>
      </c>
      <c r="L155" s="170">
        <v>7250.0</v>
      </c>
      <c r="M155" s="239">
        <v>7059.74</v>
      </c>
      <c r="N155" s="155">
        <v>1549.99</v>
      </c>
      <c r="O155" s="548">
        <f t="shared" si="23"/>
        <v>190.26</v>
      </c>
      <c r="P155" s="537"/>
      <c r="Q155" s="510"/>
      <c r="R155" s="159"/>
      <c r="S155" s="318"/>
      <c r="T155" s="549">
        <v>27.0</v>
      </c>
      <c r="U155" s="549">
        <v>30.0</v>
      </c>
      <c r="V155" s="144" t="s">
        <v>584</v>
      </c>
      <c r="W155" s="148" t="s">
        <v>584</v>
      </c>
      <c r="X155" s="163"/>
      <c r="Y155" s="162"/>
      <c r="Z155" s="10" t="s">
        <v>741</v>
      </c>
      <c r="AA155" s="116"/>
      <c r="AB155" s="116"/>
      <c r="AC155" s="550"/>
      <c r="AD155" s="543" t="str">
        <f t="shared" si="17"/>
        <v>agosto</v>
      </c>
      <c r="AE155" s="542" t="s">
        <v>724</v>
      </c>
      <c r="AF155" s="149" t="b">
        <v>1</v>
      </c>
      <c r="AG155" s="166"/>
      <c r="AH155" s="149" t="b">
        <v>0</v>
      </c>
      <c r="AI155" s="162"/>
      <c r="AJ155" s="143"/>
      <c r="AK155" s="143"/>
      <c r="AL155" s="143"/>
      <c r="AM155" s="143"/>
      <c r="AN155" s="143"/>
      <c r="AO155" s="143"/>
      <c r="AP155" s="143"/>
      <c r="AQ155" s="143"/>
    </row>
    <row r="156" ht="22.5" customHeight="1">
      <c r="A156" s="144" t="s">
        <v>162</v>
      </c>
      <c r="B156" s="145">
        <v>45871.0</v>
      </c>
      <c r="C156" s="149" t="s">
        <v>613</v>
      </c>
      <c r="D156" s="329" t="s">
        <v>742</v>
      </c>
      <c r="E156" s="148" t="s">
        <v>28</v>
      </c>
      <c r="F156" s="480" t="s">
        <v>743</v>
      </c>
      <c r="G156" s="149">
        <v>5.1930377942E10</v>
      </c>
      <c r="H156" s="148" t="s">
        <v>257</v>
      </c>
      <c r="I156" s="150">
        <v>0.5</v>
      </c>
      <c r="J156" s="168">
        <v>3400.0</v>
      </c>
      <c r="K156" s="169">
        <f t="shared" si="1"/>
        <v>4299</v>
      </c>
      <c r="L156" s="170">
        <v>7699.0</v>
      </c>
      <c r="M156" s="239">
        <v>7351.0</v>
      </c>
      <c r="N156" s="155">
        <v>1649.99</v>
      </c>
      <c r="O156" s="315">
        <f t="shared" si="23"/>
        <v>348</v>
      </c>
      <c r="P156" s="316">
        <f>U156-T156</f>
        <v>0</v>
      </c>
      <c r="Q156" s="321"/>
      <c r="R156" s="159"/>
      <c r="S156" s="318"/>
      <c r="T156" s="319"/>
      <c r="U156" s="315"/>
      <c r="V156" s="144" t="s">
        <v>584</v>
      </c>
      <c r="W156" s="148" t="s">
        <v>584</v>
      </c>
      <c r="X156" s="163"/>
      <c r="Y156" s="162"/>
      <c r="Z156" s="10" t="s">
        <v>744</v>
      </c>
      <c r="AA156" s="116"/>
      <c r="AB156" s="116"/>
      <c r="AC156" s="165"/>
      <c r="AD156" s="145" t="str">
        <f t="shared" si="17"/>
        <v>agosto</v>
      </c>
      <c r="AE156" s="144" t="s">
        <v>724</v>
      </c>
      <c r="AF156" s="149" t="b">
        <v>1</v>
      </c>
      <c r="AG156" s="166"/>
      <c r="AH156" s="149" t="b">
        <v>0</v>
      </c>
      <c r="AI156" s="162"/>
      <c r="AJ156" s="143"/>
      <c r="AK156" s="143"/>
      <c r="AL156" s="143"/>
      <c r="AM156" s="143"/>
      <c r="AN156" s="143"/>
      <c r="AO156" s="143"/>
      <c r="AP156" s="143"/>
      <c r="AQ156" s="143"/>
    </row>
    <row r="157" ht="22.5" hidden="1" customHeight="1">
      <c r="A157" s="144" t="s">
        <v>259</v>
      </c>
      <c r="B157" s="551">
        <v>45871.0</v>
      </c>
      <c r="C157" s="552" t="s">
        <v>745</v>
      </c>
      <c r="D157" s="553" t="s">
        <v>746</v>
      </c>
      <c r="E157" s="554" t="s">
        <v>28</v>
      </c>
      <c r="F157" s="555" t="s">
        <v>747</v>
      </c>
      <c r="G157" s="248">
        <v>5.1992875E10</v>
      </c>
      <c r="H157" s="148" t="s">
        <v>257</v>
      </c>
      <c r="I157" s="556">
        <v>0.2</v>
      </c>
      <c r="J157" s="220">
        <v>1400.0</v>
      </c>
      <c r="K157" s="557">
        <f t="shared" si="1"/>
        <v>4499</v>
      </c>
      <c r="L157" s="170">
        <v>5899.0</v>
      </c>
      <c r="M157" s="239">
        <v>5683.0</v>
      </c>
      <c r="N157" s="277"/>
      <c r="O157" s="558">
        <f t="shared" si="23"/>
        <v>216</v>
      </c>
      <c r="P157" s="537"/>
      <c r="Q157" s="321"/>
      <c r="R157" s="159"/>
      <c r="S157" s="318"/>
      <c r="T157" s="559"/>
      <c r="U157" s="559"/>
      <c r="V157" s="560" t="s">
        <v>584</v>
      </c>
      <c r="W157" s="194" t="s">
        <v>584</v>
      </c>
      <c r="X157" s="195"/>
      <c r="Y157" s="560" t="s">
        <v>584</v>
      </c>
      <c r="Z157" s="341"/>
      <c r="AA157" s="561"/>
      <c r="AB157" s="561"/>
      <c r="AC157" s="562"/>
      <c r="AD157" s="551" t="str">
        <f t="shared" si="17"/>
        <v>agosto</v>
      </c>
      <c r="AE157" s="560" t="s">
        <v>724</v>
      </c>
      <c r="AF157" s="248" t="b">
        <v>1</v>
      </c>
      <c r="AG157" s="166"/>
      <c r="AH157" s="149" t="b">
        <v>0</v>
      </c>
      <c r="AI157" s="162"/>
      <c r="AJ157" s="143"/>
      <c r="AK157" s="143"/>
      <c r="AL157" s="143"/>
      <c r="AM157" s="143"/>
      <c r="AN157" s="143"/>
      <c r="AO157" s="143"/>
      <c r="AP157" s="143"/>
      <c r="AQ157" s="143"/>
    </row>
    <row r="158" ht="22.5" hidden="1" customHeight="1">
      <c r="A158" s="144" t="s">
        <v>259</v>
      </c>
      <c r="B158" s="145">
        <v>45871.0</v>
      </c>
      <c r="C158" s="149" t="s">
        <v>613</v>
      </c>
      <c r="D158" s="208" t="s">
        <v>748</v>
      </c>
      <c r="E158" s="148" t="s">
        <v>28</v>
      </c>
      <c r="F158" s="540" t="s">
        <v>749</v>
      </c>
      <c r="G158" s="149">
        <v>5.1971791632E10</v>
      </c>
      <c r="H158" s="148" t="s">
        <v>257</v>
      </c>
      <c r="I158" s="150">
        <v>1.0</v>
      </c>
      <c r="J158" s="270"/>
      <c r="K158" s="271" t="str">
        <f t="shared" si="1"/>
        <v/>
      </c>
      <c r="L158" s="221">
        <v>7799.0</v>
      </c>
      <c r="M158" s="239">
        <v>7351.0</v>
      </c>
      <c r="N158" s="277"/>
      <c r="O158" s="315">
        <f t="shared" si="23"/>
        <v>448</v>
      </c>
      <c r="P158" s="316">
        <f>U158-T158</f>
        <v>0</v>
      </c>
      <c r="Q158" s="321"/>
      <c r="R158" s="159"/>
      <c r="S158" s="318"/>
      <c r="T158" s="319"/>
      <c r="U158" s="315"/>
      <c r="V158" s="144" t="s">
        <v>584</v>
      </c>
      <c r="W158" s="194"/>
      <c r="X158" s="195"/>
      <c r="Y158" s="144" t="s">
        <v>750</v>
      </c>
      <c r="Z158" s="164"/>
      <c r="AA158" s="116"/>
      <c r="AB158" s="116"/>
      <c r="AC158" s="165"/>
      <c r="AD158" s="145" t="str">
        <f t="shared" si="17"/>
        <v>agosto</v>
      </c>
      <c r="AE158" s="144" t="s">
        <v>724</v>
      </c>
      <c r="AF158" s="149" t="b">
        <v>1</v>
      </c>
      <c r="AG158" s="166"/>
      <c r="AH158" s="149" t="b">
        <v>0</v>
      </c>
      <c r="AI158" s="162"/>
      <c r="AJ158" s="143"/>
      <c r="AK158" s="143"/>
      <c r="AL158" s="143"/>
      <c r="AM158" s="143"/>
      <c r="AN158" s="143"/>
      <c r="AO158" s="143"/>
      <c r="AP158" s="143"/>
      <c r="AQ158" s="143"/>
    </row>
    <row r="159" ht="22.5" hidden="1" customHeight="1">
      <c r="A159" s="434" t="s">
        <v>34</v>
      </c>
      <c r="B159" s="435">
        <v>45873.0</v>
      </c>
      <c r="C159" s="497" t="s">
        <v>745</v>
      </c>
      <c r="D159" s="456" t="s">
        <v>751</v>
      </c>
      <c r="E159" s="438" t="s">
        <v>28</v>
      </c>
      <c r="F159" s="497" t="s">
        <v>752</v>
      </c>
      <c r="G159" s="440">
        <v>5.1929561036E10</v>
      </c>
      <c r="H159" s="148" t="s">
        <v>257</v>
      </c>
      <c r="I159" s="498">
        <v>0.2</v>
      </c>
      <c r="J159" s="168">
        <v>1180.0</v>
      </c>
      <c r="K159" s="441">
        <f t="shared" si="1"/>
        <v>4719</v>
      </c>
      <c r="L159" s="170">
        <v>5899.0</v>
      </c>
      <c r="M159" s="239">
        <v>5387.0</v>
      </c>
      <c r="N159" s="482">
        <v>1239.99</v>
      </c>
      <c r="O159" s="442">
        <f>L159-M159-U159</f>
        <v>417</v>
      </c>
      <c r="P159" s="537"/>
      <c r="Q159" s="317"/>
      <c r="R159" s="159"/>
      <c r="S159" s="318"/>
      <c r="T159" s="443"/>
      <c r="U159" s="505">
        <v>95.0</v>
      </c>
      <c r="V159" s="434" t="s">
        <v>584</v>
      </c>
      <c r="W159" s="438"/>
      <c r="X159" s="445"/>
      <c r="Y159" s="434" t="s">
        <v>584</v>
      </c>
      <c r="Z159" s="450"/>
      <c r="AA159" s="447"/>
      <c r="AB159" s="447"/>
      <c r="AC159" s="563" t="s">
        <v>753</v>
      </c>
      <c r="AD159" s="435" t="str">
        <f t="shared" si="17"/>
        <v>agosto</v>
      </c>
      <c r="AE159" s="564" t="s">
        <v>724</v>
      </c>
      <c r="AF159" s="440" t="b">
        <v>1</v>
      </c>
      <c r="AG159" s="166"/>
      <c r="AH159" s="149" t="b">
        <v>0</v>
      </c>
      <c r="AI159" s="162"/>
      <c r="AJ159" s="448"/>
      <c r="AK159" s="448"/>
      <c r="AL159" s="448"/>
      <c r="AM159" s="448"/>
      <c r="AN159" s="448"/>
      <c r="AO159" s="448"/>
      <c r="AP159" s="448"/>
      <c r="AQ159" s="448"/>
    </row>
    <row r="160" ht="22.5" customHeight="1">
      <c r="A160" s="144" t="s">
        <v>162</v>
      </c>
      <c r="B160" s="145">
        <v>45874.0</v>
      </c>
      <c r="C160" s="149" t="s">
        <v>539</v>
      </c>
      <c r="D160" s="208" t="s">
        <v>754</v>
      </c>
      <c r="E160" s="148" t="s">
        <v>28</v>
      </c>
      <c r="F160" s="149" t="s">
        <v>755</v>
      </c>
      <c r="G160" s="149">
        <v>5.1949765434E10</v>
      </c>
      <c r="H160" s="148" t="s">
        <v>257</v>
      </c>
      <c r="I160" s="150">
        <v>1.0</v>
      </c>
      <c r="J160" s="352"/>
      <c r="K160" s="271" t="str">
        <f t="shared" si="1"/>
        <v/>
      </c>
      <c r="L160" s="170">
        <v>6199.0</v>
      </c>
      <c r="M160" s="239">
        <v>6127.0</v>
      </c>
      <c r="N160" s="155">
        <v>1349.0</v>
      </c>
      <c r="O160" s="315">
        <f t="shared" ref="O160:O163" si="24">L160-M160</f>
        <v>72</v>
      </c>
      <c r="P160" s="316">
        <f t="shared" ref="P160:P161" si="25">U160-T160</f>
        <v>0</v>
      </c>
      <c r="Q160" s="321"/>
      <c r="R160" s="159"/>
      <c r="S160" s="318"/>
      <c r="T160" s="319"/>
      <c r="U160" s="315"/>
      <c r="V160" s="144" t="s">
        <v>584</v>
      </c>
      <c r="W160" s="148" t="s">
        <v>584</v>
      </c>
      <c r="X160" s="163"/>
      <c r="Y160" s="162"/>
      <c r="Z160" s="164"/>
      <c r="AA160" s="116"/>
      <c r="AB160" s="116"/>
      <c r="AC160" s="165"/>
      <c r="AD160" s="145" t="str">
        <f t="shared" si="17"/>
        <v>agosto</v>
      </c>
      <c r="AE160" s="144" t="s">
        <v>724</v>
      </c>
      <c r="AF160" s="149" t="b">
        <v>1</v>
      </c>
      <c r="AG160" s="166"/>
      <c r="AH160" s="149" t="b">
        <v>0</v>
      </c>
      <c r="AI160" s="162"/>
      <c r="AJ160" s="143"/>
      <c r="AK160" s="143"/>
      <c r="AL160" s="143"/>
      <c r="AM160" s="143"/>
      <c r="AN160" s="143"/>
      <c r="AO160" s="143"/>
      <c r="AP160" s="143"/>
      <c r="AQ160" s="143"/>
    </row>
    <row r="161" ht="22.5" customHeight="1">
      <c r="A161" s="144" t="s">
        <v>162</v>
      </c>
      <c r="B161" s="145">
        <v>45876.0</v>
      </c>
      <c r="C161" s="149" t="s">
        <v>756</v>
      </c>
      <c r="D161" s="329" t="s">
        <v>757</v>
      </c>
      <c r="E161" s="148" t="s">
        <v>28</v>
      </c>
      <c r="F161" s="149" t="s">
        <v>758</v>
      </c>
      <c r="G161" s="149">
        <v>5.1931827335E10</v>
      </c>
      <c r="H161" s="148" t="s">
        <v>257</v>
      </c>
      <c r="I161" s="150">
        <v>1.0</v>
      </c>
      <c r="J161" s="352"/>
      <c r="K161" s="271" t="str">
        <f t="shared" si="1"/>
        <v/>
      </c>
      <c r="L161" s="170">
        <v>7799.0</v>
      </c>
      <c r="M161" s="239">
        <v>7338.0</v>
      </c>
      <c r="N161" s="155">
        <v>1649.99</v>
      </c>
      <c r="O161" s="315">
        <f t="shared" si="24"/>
        <v>461</v>
      </c>
      <c r="P161" s="316">
        <f t="shared" si="25"/>
        <v>0</v>
      </c>
      <c r="Q161" s="321"/>
      <c r="R161" s="159"/>
      <c r="S161" s="318"/>
      <c r="T161" s="319"/>
      <c r="U161" s="315"/>
      <c r="V161" s="144" t="s">
        <v>584</v>
      </c>
      <c r="W161" s="148" t="s">
        <v>584</v>
      </c>
      <c r="X161" s="163"/>
      <c r="Y161" s="162"/>
      <c r="Z161" s="164"/>
      <c r="AA161" s="116"/>
      <c r="AB161" s="116"/>
      <c r="AC161" s="165"/>
      <c r="AD161" s="145" t="str">
        <f t="shared" si="17"/>
        <v>agosto</v>
      </c>
      <c r="AE161" s="144" t="s">
        <v>724</v>
      </c>
      <c r="AF161" s="149" t="b">
        <v>1</v>
      </c>
      <c r="AG161" s="166"/>
      <c r="AH161" s="149" t="b">
        <v>0</v>
      </c>
      <c r="AI161" s="162"/>
      <c r="AJ161" s="143"/>
      <c r="AK161" s="143"/>
      <c r="AL161" s="143"/>
      <c r="AM161" s="143"/>
      <c r="AN161" s="143"/>
      <c r="AO161" s="143"/>
      <c r="AP161" s="143"/>
      <c r="AQ161" s="143"/>
    </row>
    <row r="162" ht="22.5" hidden="1" customHeight="1">
      <c r="A162" s="144" t="s">
        <v>259</v>
      </c>
      <c r="B162" s="145">
        <v>45876.0</v>
      </c>
      <c r="C162" s="565" t="s">
        <v>759</v>
      </c>
      <c r="D162" s="329" t="s">
        <v>760</v>
      </c>
      <c r="E162" s="148" t="s">
        <v>28</v>
      </c>
      <c r="F162" s="262" t="s">
        <v>761</v>
      </c>
      <c r="G162" s="149">
        <v>5.199188758E10</v>
      </c>
      <c r="H162" s="148" t="s">
        <v>257</v>
      </c>
      <c r="I162" s="150">
        <v>0.3</v>
      </c>
      <c r="J162" s="312">
        <v>2287.56</v>
      </c>
      <c r="K162" s="169">
        <f t="shared" si="1"/>
        <v>5337.65</v>
      </c>
      <c r="L162" s="170">
        <v>7625.21</v>
      </c>
      <c r="M162" s="239">
        <v>7380.62</v>
      </c>
      <c r="N162" s="155">
        <v>1649.0</v>
      </c>
      <c r="O162" s="315">
        <f t="shared" si="24"/>
        <v>244.59</v>
      </c>
      <c r="P162" s="537"/>
      <c r="Q162" s="321"/>
      <c r="R162" s="159"/>
      <c r="S162" s="318"/>
      <c r="T162" s="319"/>
      <c r="U162" s="319"/>
      <c r="V162" s="144" t="s">
        <v>584</v>
      </c>
      <c r="W162" s="194" t="s">
        <v>584</v>
      </c>
      <c r="X162" s="195"/>
      <c r="Y162" s="144" t="s">
        <v>584</v>
      </c>
      <c r="Z162" s="164"/>
      <c r="AA162" s="116"/>
      <c r="AB162" s="116"/>
      <c r="AC162" s="149" t="s">
        <v>762</v>
      </c>
      <c r="AD162" s="145" t="str">
        <f t="shared" si="17"/>
        <v>agosto</v>
      </c>
      <c r="AE162" s="144" t="s">
        <v>724</v>
      </c>
      <c r="AF162" s="149" t="b">
        <v>1</v>
      </c>
      <c r="AG162" s="166"/>
      <c r="AH162" s="149" t="b">
        <v>0</v>
      </c>
      <c r="AI162" s="162"/>
      <c r="AJ162" s="143"/>
      <c r="AK162" s="143"/>
      <c r="AL162" s="143"/>
      <c r="AM162" s="143"/>
      <c r="AN162" s="143"/>
      <c r="AO162" s="143"/>
      <c r="AP162" s="143"/>
      <c r="AQ162" s="143"/>
    </row>
    <row r="163" ht="22.5" hidden="1" customHeight="1">
      <c r="A163" s="144" t="s">
        <v>259</v>
      </c>
      <c r="B163" s="145">
        <v>45877.0</v>
      </c>
      <c r="C163" s="188" t="s">
        <v>763</v>
      </c>
      <c r="D163" s="208" t="s">
        <v>764</v>
      </c>
      <c r="E163" s="148" t="s">
        <v>28</v>
      </c>
      <c r="F163" s="149" t="s">
        <v>765</v>
      </c>
      <c r="G163" s="149" t="s">
        <v>766</v>
      </c>
      <c r="H163" s="148" t="s">
        <v>257</v>
      </c>
      <c r="I163" s="150">
        <v>0.5</v>
      </c>
      <c r="J163" s="312">
        <v>8673.16</v>
      </c>
      <c r="K163" s="169">
        <f t="shared" si="1"/>
        <v>8773.17</v>
      </c>
      <c r="L163" s="170">
        <v>17446.33</v>
      </c>
      <c r="M163" s="239">
        <v>13799.0</v>
      </c>
      <c r="N163" s="155">
        <v>3199.0</v>
      </c>
      <c r="O163" s="371">
        <f t="shared" si="24"/>
        <v>3647.33</v>
      </c>
      <c r="P163" s="316">
        <f>U163-T163</f>
        <v>0</v>
      </c>
      <c r="Q163" s="321"/>
      <c r="R163" s="159"/>
      <c r="S163" s="318"/>
      <c r="T163" s="319"/>
      <c r="U163" s="315"/>
      <c r="V163" s="144" t="s">
        <v>584</v>
      </c>
      <c r="W163" s="194" t="s">
        <v>584</v>
      </c>
      <c r="X163" s="195"/>
      <c r="Y163" s="144" t="s">
        <v>584</v>
      </c>
      <c r="Z163" s="164"/>
      <c r="AA163" s="116"/>
      <c r="AB163" s="116"/>
      <c r="AC163" s="165"/>
      <c r="AD163" s="145" t="str">
        <f t="shared" si="17"/>
        <v>agosto</v>
      </c>
      <c r="AE163" s="144" t="s">
        <v>724</v>
      </c>
      <c r="AF163" s="149" t="b">
        <v>1</v>
      </c>
      <c r="AG163" s="166"/>
      <c r="AH163" s="149" t="b">
        <v>0</v>
      </c>
      <c r="AI163" s="162"/>
      <c r="AJ163" s="143"/>
      <c r="AK163" s="143"/>
      <c r="AL163" s="143"/>
      <c r="AM163" s="143"/>
      <c r="AN163" s="143"/>
      <c r="AO163" s="143"/>
      <c r="AP163" s="143"/>
      <c r="AQ163" s="143"/>
    </row>
    <row r="164" ht="22.5" hidden="1" customHeight="1">
      <c r="A164" s="434" t="s">
        <v>34</v>
      </c>
      <c r="B164" s="435">
        <v>45877.0</v>
      </c>
      <c r="C164" s="566" t="s">
        <v>767</v>
      </c>
      <c r="D164" s="456" t="s">
        <v>768</v>
      </c>
      <c r="E164" s="438" t="s">
        <v>28</v>
      </c>
      <c r="F164" s="497" t="s">
        <v>769</v>
      </c>
      <c r="G164" s="440">
        <v>5.1967096731E10</v>
      </c>
      <c r="H164" s="148" t="s">
        <v>257</v>
      </c>
      <c r="I164" s="498">
        <v>0.2</v>
      </c>
      <c r="J164" s="168">
        <v>1640.0</v>
      </c>
      <c r="K164" s="441">
        <f t="shared" si="1"/>
        <v>6559</v>
      </c>
      <c r="L164" s="170">
        <v>8199.0</v>
      </c>
      <c r="M164" s="239">
        <v>7450.0</v>
      </c>
      <c r="N164" s="155">
        <v>1649.99</v>
      </c>
      <c r="O164" s="442">
        <f>L164-M164-U164</f>
        <v>719</v>
      </c>
      <c r="P164" s="537"/>
      <c r="Q164" s="317"/>
      <c r="R164" s="159"/>
      <c r="S164" s="318"/>
      <c r="T164" s="443"/>
      <c r="U164" s="505">
        <v>30.0</v>
      </c>
      <c r="V164" s="434" t="s">
        <v>584</v>
      </c>
      <c r="W164" s="438"/>
      <c r="X164" s="445"/>
      <c r="Y164" s="434" t="s">
        <v>584</v>
      </c>
      <c r="Z164" s="450"/>
      <c r="AA164" s="447"/>
      <c r="AB164" s="447"/>
      <c r="AC164" s="440" t="s">
        <v>770</v>
      </c>
      <c r="AD164" s="435" t="str">
        <f t="shared" si="17"/>
        <v>agosto</v>
      </c>
      <c r="AE164" s="434" t="s">
        <v>724</v>
      </c>
      <c r="AF164" s="440" t="b">
        <v>1</v>
      </c>
      <c r="AG164" s="166"/>
      <c r="AH164" s="149" t="b">
        <v>0</v>
      </c>
      <c r="AI164" s="162"/>
      <c r="AJ164" s="448"/>
      <c r="AK164" s="448"/>
      <c r="AL164" s="448"/>
      <c r="AM164" s="448"/>
      <c r="AN164" s="448"/>
      <c r="AO164" s="448"/>
      <c r="AP164" s="448"/>
      <c r="AQ164" s="448"/>
    </row>
    <row r="165" ht="22.5" hidden="1" customHeight="1">
      <c r="A165" s="144" t="s">
        <v>259</v>
      </c>
      <c r="B165" s="145">
        <v>45877.0</v>
      </c>
      <c r="C165" s="567" t="s">
        <v>771</v>
      </c>
      <c r="D165" s="208" t="s">
        <v>772</v>
      </c>
      <c r="E165" s="148" t="s">
        <v>28</v>
      </c>
      <c r="F165" s="568">
        <v>1.214828689E9</v>
      </c>
      <c r="G165" s="149">
        <v>5.198877679E10</v>
      </c>
      <c r="H165" s="148" t="s">
        <v>257</v>
      </c>
      <c r="I165" s="150">
        <v>0.2</v>
      </c>
      <c r="J165" s="312">
        <v>2760.0</v>
      </c>
      <c r="K165" s="169">
        <f t="shared" si="1"/>
        <v>6439</v>
      </c>
      <c r="L165" s="170">
        <v>9199.0</v>
      </c>
      <c r="M165" s="239">
        <v>8390.0</v>
      </c>
      <c r="N165" s="155">
        <v>1699.0</v>
      </c>
      <c r="O165" s="315">
        <f t="shared" ref="O165:O169" si="26">L165-M165</f>
        <v>809</v>
      </c>
      <c r="P165" s="537"/>
      <c r="Q165" s="321"/>
      <c r="R165" s="159"/>
      <c r="S165" s="318"/>
      <c r="T165" s="319"/>
      <c r="U165" s="319"/>
      <c r="V165" s="144" t="s">
        <v>584</v>
      </c>
      <c r="W165" s="194" t="s">
        <v>584</v>
      </c>
      <c r="X165" s="195"/>
      <c r="Y165" s="144" t="s">
        <v>584</v>
      </c>
      <c r="Z165" s="164"/>
      <c r="AA165" s="116"/>
      <c r="AB165" s="116"/>
      <c r="AC165" s="165"/>
      <c r="AD165" s="145" t="str">
        <f t="shared" si="17"/>
        <v>agosto</v>
      </c>
      <c r="AE165" s="144" t="s">
        <v>724</v>
      </c>
      <c r="AF165" s="149" t="b">
        <v>1</v>
      </c>
      <c r="AG165" s="166"/>
      <c r="AH165" s="149" t="b">
        <v>0</v>
      </c>
      <c r="AI165" s="162"/>
      <c r="AJ165" s="143"/>
      <c r="AK165" s="143"/>
      <c r="AL165" s="143"/>
      <c r="AM165" s="143"/>
      <c r="AN165" s="143"/>
      <c r="AO165" s="143"/>
      <c r="AP165" s="143"/>
      <c r="AQ165" s="143"/>
    </row>
    <row r="166" ht="22.5" hidden="1" customHeight="1">
      <c r="A166" s="144" t="s">
        <v>259</v>
      </c>
      <c r="B166" s="187">
        <v>45877.0</v>
      </c>
      <c r="C166" s="569" t="s">
        <v>674</v>
      </c>
      <c r="D166" s="366" t="s">
        <v>773</v>
      </c>
      <c r="E166" s="367" t="s">
        <v>28</v>
      </c>
      <c r="F166" s="113" t="s">
        <v>774</v>
      </c>
      <c r="G166" s="368" t="s">
        <v>775</v>
      </c>
      <c r="H166" s="148" t="s">
        <v>257</v>
      </c>
      <c r="I166" s="369">
        <v>1.0</v>
      </c>
      <c r="J166" s="270"/>
      <c r="K166" s="390" t="str">
        <f t="shared" si="1"/>
        <v/>
      </c>
      <c r="L166" s="170">
        <v>8400.0</v>
      </c>
      <c r="M166" s="239">
        <v>7755.0</v>
      </c>
      <c r="N166" s="277"/>
      <c r="O166" s="371">
        <f t="shared" si="26"/>
        <v>645</v>
      </c>
      <c r="P166" s="316">
        <f>U166-T166</f>
        <v>0</v>
      </c>
      <c r="Q166" s="321"/>
      <c r="R166" s="159"/>
      <c r="S166" s="318"/>
      <c r="T166" s="372"/>
      <c r="U166" s="371"/>
      <c r="V166" s="365" t="s">
        <v>584</v>
      </c>
      <c r="W166" s="194" t="s">
        <v>584</v>
      </c>
      <c r="X166" s="195"/>
      <c r="Y166" s="365" t="s">
        <v>750</v>
      </c>
      <c r="Z166" s="373"/>
      <c r="AA166" s="374"/>
      <c r="AB166" s="374"/>
      <c r="AC166" s="388"/>
      <c r="AD166" s="187" t="str">
        <f t="shared" si="17"/>
        <v>agosto</v>
      </c>
      <c r="AE166" s="365" t="s">
        <v>724</v>
      </c>
      <c r="AF166" s="368" t="b">
        <v>1</v>
      </c>
      <c r="AG166" s="166"/>
      <c r="AH166" s="149" t="b">
        <v>0</v>
      </c>
      <c r="AI166" s="162"/>
      <c r="AJ166" s="376"/>
      <c r="AK166" s="376"/>
      <c r="AL166" s="376"/>
      <c r="AM166" s="376"/>
      <c r="AN166" s="376"/>
      <c r="AO166" s="376"/>
      <c r="AP166" s="376"/>
      <c r="AQ166" s="376"/>
    </row>
    <row r="167" ht="22.5" hidden="1" customHeight="1">
      <c r="A167" s="144" t="s">
        <v>259</v>
      </c>
      <c r="B167" s="551">
        <v>45877.0</v>
      </c>
      <c r="C167" s="570" t="s">
        <v>776</v>
      </c>
      <c r="D167" s="571" t="s">
        <v>777</v>
      </c>
      <c r="E167" s="554" t="s">
        <v>28</v>
      </c>
      <c r="F167" s="249" t="s">
        <v>778</v>
      </c>
      <c r="G167" s="248">
        <v>5.1993287847E10</v>
      </c>
      <c r="H167" s="148" t="s">
        <v>257</v>
      </c>
      <c r="I167" s="556">
        <v>1.0</v>
      </c>
      <c r="J167" s="270"/>
      <c r="K167" s="572" t="str">
        <f t="shared" si="1"/>
        <v/>
      </c>
      <c r="L167" s="170">
        <v>5100.0</v>
      </c>
      <c r="M167" s="239">
        <v>5038.0</v>
      </c>
      <c r="N167" s="277"/>
      <c r="O167" s="371">
        <f t="shared" si="26"/>
        <v>62</v>
      </c>
      <c r="P167" s="316"/>
      <c r="Q167" s="510"/>
      <c r="R167" s="159"/>
      <c r="S167" s="318"/>
      <c r="T167" s="573">
        <v>50.0</v>
      </c>
      <c r="U167" s="573">
        <v>62.0</v>
      </c>
      <c r="V167" s="560" t="s">
        <v>584</v>
      </c>
      <c r="W167" s="194" t="s">
        <v>584</v>
      </c>
      <c r="X167" s="195"/>
      <c r="Y167" s="560" t="s">
        <v>750</v>
      </c>
      <c r="Z167" s="341"/>
      <c r="AA167" s="561"/>
      <c r="AB167" s="561"/>
      <c r="AC167" s="562"/>
      <c r="AD167" s="551" t="str">
        <f t="shared" si="17"/>
        <v>agosto</v>
      </c>
      <c r="AE167" s="560" t="s">
        <v>724</v>
      </c>
      <c r="AF167" s="248" t="b">
        <v>1</v>
      </c>
      <c r="AG167" s="166"/>
      <c r="AH167" s="149" t="b">
        <v>0</v>
      </c>
      <c r="AI167" s="162"/>
      <c r="AJ167" s="143"/>
      <c r="AK167" s="143"/>
      <c r="AL167" s="143"/>
      <c r="AM167" s="143"/>
      <c r="AN167" s="143"/>
      <c r="AO167" s="143"/>
      <c r="AP167" s="143"/>
      <c r="AQ167" s="143"/>
    </row>
    <row r="168" ht="22.5" hidden="1" customHeight="1">
      <c r="A168" s="434" t="s">
        <v>34</v>
      </c>
      <c r="B168" s="435">
        <v>45878.0</v>
      </c>
      <c r="C168" s="574" t="s">
        <v>613</v>
      </c>
      <c r="D168" s="456" t="s">
        <v>779</v>
      </c>
      <c r="E168" s="438" t="s">
        <v>28</v>
      </c>
      <c r="F168" s="497" t="s">
        <v>780</v>
      </c>
      <c r="G168" s="440" t="s">
        <v>781</v>
      </c>
      <c r="H168" s="148" t="s">
        <v>257</v>
      </c>
      <c r="I168" s="498">
        <v>0.2</v>
      </c>
      <c r="J168" s="168">
        <v>1560.0</v>
      </c>
      <c r="K168" s="441">
        <f t="shared" si="1"/>
        <v>6739</v>
      </c>
      <c r="L168" s="170">
        <v>8299.0</v>
      </c>
      <c r="M168" s="239">
        <v>7256.0</v>
      </c>
      <c r="N168" s="155">
        <v>1549.99</v>
      </c>
      <c r="O168" s="442">
        <f t="shared" si="26"/>
        <v>1043</v>
      </c>
      <c r="P168" s="316">
        <f t="shared" ref="P168:P186" si="27">U168-T168</f>
        <v>0</v>
      </c>
      <c r="Q168" s="317"/>
      <c r="R168" s="159"/>
      <c r="S168" s="318"/>
      <c r="T168" s="443"/>
      <c r="U168" s="442"/>
      <c r="V168" s="434" t="s">
        <v>584</v>
      </c>
      <c r="W168" s="438"/>
      <c r="X168" s="445"/>
      <c r="Y168" s="434" t="s">
        <v>584</v>
      </c>
      <c r="Z168" s="450"/>
      <c r="AA168" s="447"/>
      <c r="AB168" s="447"/>
      <c r="AC168" s="575"/>
      <c r="AD168" s="435" t="str">
        <f t="shared" si="17"/>
        <v>agosto</v>
      </c>
      <c r="AE168" s="434" t="s">
        <v>724</v>
      </c>
      <c r="AF168" s="440" t="b">
        <v>1</v>
      </c>
      <c r="AG168" s="166"/>
      <c r="AH168" s="149" t="b">
        <v>0</v>
      </c>
      <c r="AI168" s="162"/>
      <c r="AJ168" s="448"/>
      <c r="AK168" s="448"/>
      <c r="AL168" s="448"/>
      <c r="AM168" s="448"/>
      <c r="AN168" s="448"/>
      <c r="AO168" s="448"/>
      <c r="AP168" s="448"/>
      <c r="AQ168" s="448"/>
    </row>
    <row r="169" ht="22.5" customHeight="1">
      <c r="A169" s="365" t="s">
        <v>162</v>
      </c>
      <c r="B169" s="187">
        <v>45881.0</v>
      </c>
      <c r="C169" s="488" t="s">
        <v>782</v>
      </c>
      <c r="D169" s="329" t="s">
        <v>783</v>
      </c>
      <c r="E169" s="367" t="s">
        <v>28</v>
      </c>
      <c r="F169" s="113" t="s">
        <v>784</v>
      </c>
      <c r="G169" s="368">
        <v>5.1923028718E10</v>
      </c>
      <c r="H169" s="148" t="s">
        <v>257</v>
      </c>
      <c r="I169" s="369">
        <v>0.5</v>
      </c>
      <c r="J169" s="168">
        <v>6100.0</v>
      </c>
      <c r="K169" s="370">
        <f t="shared" si="1"/>
        <v>5750</v>
      </c>
      <c r="L169" s="170">
        <v>11850.0</v>
      </c>
      <c r="M169" s="239">
        <v>11718.71</v>
      </c>
      <c r="N169" s="155">
        <v>2699.99</v>
      </c>
      <c r="O169" s="371">
        <f t="shared" si="26"/>
        <v>131.29</v>
      </c>
      <c r="P169" s="316">
        <f t="shared" si="27"/>
        <v>0</v>
      </c>
      <c r="Q169" s="321"/>
      <c r="R169" s="159"/>
      <c r="S169" s="318"/>
      <c r="T169" s="372"/>
      <c r="U169" s="371"/>
      <c r="V169" s="365" t="s">
        <v>584</v>
      </c>
      <c r="W169" s="367" t="s">
        <v>584</v>
      </c>
      <c r="X169" s="576"/>
      <c r="Y169" s="365" t="s">
        <v>584</v>
      </c>
      <c r="Z169" s="486" t="s">
        <v>785</v>
      </c>
      <c r="AA169" s="374"/>
      <c r="AB169" s="374"/>
      <c r="AC169" s="388"/>
      <c r="AD169" s="187" t="str">
        <f t="shared" si="17"/>
        <v>agosto</v>
      </c>
      <c r="AE169" s="365" t="s">
        <v>724</v>
      </c>
      <c r="AF169" s="368" t="b">
        <v>1</v>
      </c>
      <c r="AG169" s="166"/>
      <c r="AH169" s="149" t="b">
        <v>0</v>
      </c>
      <c r="AI169" s="162"/>
      <c r="AJ169" s="376"/>
      <c r="AK169" s="376"/>
      <c r="AL169" s="376"/>
      <c r="AM169" s="376"/>
      <c r="AN169" s="376"/>
      <c r="AO169" s="376"/>
      <c r="AP169" s="376"/>
      <c r="AQ169" s="376"/>
    </row>
    <row r="170" ht="22.5" hidden="1" customHeight="1">
      <c r="A170" s="434" t="s">
        <v>34</v>
      </c>
      <c r="B170" s="435">
        <v>45881.0</v>
      </c>
      <c r="C170" s="566" t="s">
        <v>745</v>
      </c>
      <c r="D170" s="456" t="s">
        <v>786</v>
      </c>
      <c r="E170" s="438" t="s">
        <v>28</v>
      </c>
      <c r="F170" s="497" t="s">
        <v>787</v>
      </c>
      <c r="G170" s="440">
        <v>5.1900193372E10</v>
      </c>
      <c r="H170" s="148" t="s">
        <v>257</v>
      </c>
      <c r="I170" s="498">
        <v>0.2</v>
      </c>
      <c r="J170" s="168">
        <v>1180.0</v>
      </c>
      <c r="K170" s="441">
        <f t="shared" si="1"/>
        <v>4719</v>
      </c>
      <c r="L170" s="170">
        <v>5899.0</v>
      </c>
      <c r="M170" s="239">
        <v>5387.0</v>
      </c>
      <c r="N170" s="155">
        <v>1239.99</v>
      </c>
      <c r="O170" s="442">
        <f>L170-M170-U170</f>
        <v>417</v>
      </c>
      <c r="P170" s="316">
        <f t="shared" si="27"/>
        <v>95</v>
      </c>
      <c r="Q170" s="317"/>
      <c r="R170" s="159"/>
      <c r="S170" s="318"/>
      <c r="T170" s="443"/>
      <c r="U170" s="499">
        <v>95.0</v>
      </c>
      <c r="V170" s="434" t="s">
        <v>584</v>
      </c>
      <c r="W170" s="438"/>
      <c r="X170" s="445"/>
      <c r="Y170" s="444"/>
      <c r="Z170" s="450"/>
      <c r="AA170" s="447"/>
      <c r="AB170" s="447"/>
      <c r="AC170" s="575"/>
      <c r="AD170" s="435" t="str">
        <f t="shared" si="17"/>
        <v>agosto</v>
      </c>
      <c r="AE170" s="434" t="s">
        <v>724</v>
      </c>
      <c r="AF170" s="440" t="b">
        <v>1</v>
      </c>
      <c r="AG170" s="166"/>
      <c r="AH170" s="149" t="b">
        <v>0</v>
      </c>
      <c r="AI170" s="162"/>
      <c r="AJ170" s="448"/>
      <c r="AK170" s="448"/>
      <c r="AL170" s="448"/>
      <c r="AM170" s="448"/>
      <c r="AN170" s="448"/>
      <c r="AO170" s="448"/>
      <c r="AP170" s="448"/>
      <c r="AQ170" s="448"/>
    </row>
    <row r="171" ht="22.5" hidden="1" customHeight="1">
      <c r="A171" s="434" t="s">
        <v>34</v>
      </c>
      <c r="B171" s="435">
        <v>45882.0</v>
      </c>
      <c r="C171" s="455" t="s">
        <v>328</v>
      </c>
      <c r="D171" s="437" t="s">
        <v>788</v>
      </c>
      <c r="E171" s="438" t="s">
        <v>28</v>
      </c>
      <c r="F171" s="497" t="s">
        <v>789</v>
      </c>
      <c r="G171" s="440" t="s">
        <v>790</v>
      </c>
      <c r="H171" s="148" t="s">
        <v>257</v>
      </c>
      <c r="I171" s="498">
        <v>1.0</v>
      </c>
      <c r="J171" s="352"/>
      <c r="K171" s="577" t="str">
        <f t="shared" si="1"/>
        <v/>
      </c>
      <c r="L171" s="170">
        <v>7199.0</v>
      </c>
      <c r="M171" s="239">
        <v>6807.0</v>
      </c>
      <c r="N171" s="155">
        <v>1603.93</v>
      </c>
      <c r="O171" s="442">
        <f t="shared" ref="O171:O172" si="28">L171-M171</f>
        <v>392</v>
      </c>
      <c r="P171" s="316">
        <f t="shared" si="27"/>
        <v>0</v>
      </c>
      <c r="Q171" s="317"/>
      <c r="R171" s="159"/>
      <c r="S171" s="318"/>
      <c r="T171" s="443"/>
      <c r="U171" s="442"/>
      <c r="V171" s="434" t="s">
        <v>584</v>
      </c>
      <c r="W171" s="438"/>
      <c r="X171" s="445"/>
      <c r="Y171" s="444"/>
      <c r="Z171" s="450"/>
      <c r="AA171" s="447"/>
      <c r="AB171" s="447"/>
      <c r="AC171" s="575"/>
      <c r="AD171" s="435" t="str">
        <f t="shared" si="17"/>
        <v>agosto</v>
      </c>
      <c r="AE171" s="434" t="s">
        <v>724</v>
      </c>
      <c r="AF171" s="440" t="b">
        <v>1</v>
      </c>
      <c r="AG171" s="166"/>
      <c r="AH171" s="149" t="b">
        <v>0</v>
      </c>
      <c r="AI171" s="162"/>
      <c r="AJ171" s="448"/>
      <c r="AK171" s="448"/>
      <c r="AL171" s="448"/>
      <c r="AM171" s="448"/>
      <c r="AN171" s="448"/>
      <c r="AO171" s="448"/>
      <c r="AP171" s="448"/>
      <c r="AQ171" s="448"/>
    </row>
    <row r="172" ht="22.5" hidden="1" customHeight="1">
      <c r="A172" s="144" t="s">
        <v>259</v>
      </c>
      <c r="B172" s="187">
        <v>45882.0</v>
      </c>
      <c r="C172" s="569" t="s">
        <v>613</v>
      </c>
      <c r="D172" s="366" t="s">
        <v>791</v>
      </c>
      <c r="E172" s="367" t="s">
        <v>28</v>
      </c>
      <c r="F172" s="578" t="s">
        <v>792</v>
      </c>
      <c r="G172" s="368" t="s">
        <v>793</v>
      </c>
      <c r="H172" s="148" t="s">
        <v>257</v>
      </c>
      <c r="I172" s="369">
        <v>0.2</v>
      </c>
      <c r="J172" s="220">
        <v>1559.8</v>
      </c>
      <c r="K172" s="370">
        <f t="shared" si="1"/>
        <v>6239.2</v>
      </c>
      <c r="L172" s="170">
        <v>7799.0</v>
      </c>
      <c r="M172" s="239">
        <v>7067.0</v>
      </c>
      <c r="N172" s="277"/>
      <c r="O172" s="371">
        <f t="shared" si="28"/>
        <v>732</v>
      </c>
      <c r="P172" s="316">
        <f t="shared" si="27"/>
        <v>0</v>
      </c>
      <c r="Q172" s="321"/>
      <c r="R172" s="159"/>
      <c r="S172" s="318"/>
      <c r="T172" s="372"/>
      <c r="U172" s="371"/>
      <c r="V172" s="365" t="s">
        <v>584</v>
      </c>
      <c r="W172" s="194" t="s">
        <v>584</v>
      </c>
      <c r="X172" s="195"/>
      <c r="Y172" s="365" t="s">
        <v>584</v>
      </c>
      <c r="Z172" s="373"/>
      <c r="AA172" s="374"/>
      <c r="AB172" s="374"/>
      <c r="AC172" s="388"/>
      <c r="AD172" s="187" t="str">
        <f t="shared" si="17"/>
        <v>agosto</v>
      </c>
      <c r="AE172" s="365" t="s">
        <v>724</v>
      </c>
      <c r="AF172" s="368" t="b">
        <v>1</v>
      </c>
      <c r="AG172" s="166"/>
      <c r="AH172" s="149" t="b">
        <v>0</v>
      </c>
      <c r="AI172" s="162"/>
      <c r="AJ172" s="376"/>
      <c r="AK172" s="376"/>
      <c r="AL172" s="376"/>
      <c r="AM172" s="376"/>
      <c r="AN172" s="376"/>
      <c r="AO172" s="376"/>
      <c r="AP172" s="376"/>
      <c r="AQ172" s="376"/>
    </row>
    <row r="173" ht="22.5" hidden="1" customHeight="1">
      <c r="A173" s="434" t="s">
        <v>34</v>
      </c>
      <c r="B173" s="435">
        <v>45883.0</v>
      </c>
      <c r="C173" s="579" t="s">
        <v>794</v>
      </c>
      <c r="D173" s="437" t="s">
        <v>795</v>
      </c>
      <c r="E173" s="438" t="s">
        <v>28</v>
      </c>
      <c r="F173" s="580" t="s">
        <v>796</v>
      </c>
      <c r="G173" s="440" t="s">
        <v>797</v>
      </c>
      <c r="H173" s="148" t="s">
        <v>257</v>
      </c>
      <c r="I173" s="498">
        <v>0.2</v>
      </c>
      <c r="J173" s="168">
        <v>1340.0</v>
      </c>
      <c r="K173" s="441">
        <f t="shared" si="1"/>
        <v>5359</v>
      </c>
      <c r="L173" s="170">
        <v>6699.0</v>
      </c>
      <c r="M173" s="239">
        <v>6335.0</v>
      </c>
      <c r="N173" s="155">
        <v>1499.99</v>
      </c>
      <c r="O173" s="499">
        <v>344.0</v>
      </c>
      <c r="P173" s="316">
        <f t="shared" si="27"/>
        <v>20</v>
      </c>
      <c r="Q173" s="345"/>
      <c r="R173" s="159"/>
      <c r="S173" s="346"/>
      <c r="T173" s="505"/>
      <c r="U173" s="499">
        <v>20.0</v>
      </c>
      <c r="V173" s="434" t="s">
        <v>584</v>
      </c>
      <c r="W173" s="438"/>
      <c r="X173" s="445"/>
      <c r="Y173" s="444"/>
      <c r="Z173" s="450"/>
      <c r="AA173" s="447"/>
      <c r="AB173" s="447"/>
      <c r="AC173" s="575"/>
      <c r="AD173" s="435" t="str">
        <f t="shared" si="17"/>
        <v>agosto</v>
      </c>
      <c r="AE173" s="434" t="s">
        <v>724</v>
      </c>
      <c r="AF173" s="440" t="b">
        <v>1</v>
      </c>
      <c r="AG173" s="166"/>
      <c r="AH173" s="149" t="b">
        <v>0</v>
      </c>
      <c r="AI173" s="162"/>
      <c r="AJ173" s="448"/>
      <c r="AK173" s="448"/>
      <c r="AL173" s="448"/>
      <c r="AM173" s="448"/>
      <c r="AN173" s="448"/>
      <c r="AO173" s="448"/>
      <c r="AP173" s="448"/>
      <c r="AQ173" s="448"/>
    </row>
    <row r="174" ht="22.5" hidden="1" customHeight="1">
      <c r="A174" s="144" t="s">
        <v>259</v>
      </c>
      <c r="B174" s="145">
        <v>45885.0</v>
      </c>
      <c r="C174" s="309" t="s">
        <v>798</v>
      </c>
      <c r="D174" s="329" t="s">
        <v>799</v>
      </c>
      <c r="E174" s="148" t="s">
        <v>399</v>
      </c>
      <c r="F174" s="262" t="s">
        <v>800</v>
      </c>
      <c r="G174" s="149">
        <v>5.1940883472E10</v>
      </c>
      <c r="H174" s="148" t="s">
        <v>257</v>
      </c>
      <c r="I174" s="150">
        <v>0.3</v>
      </c>
      <c r="J174" s="312">
        <v>2310.64</v>
      </c>
      <c r="K174" s="169">
        <f t="shared" si="1"/>
        <v>5391.48</v>
      </c>
      <c r="L174" s="170">
        <v>7702.12</v>
      </c>
      <c r="M174" s="239">
        <v>7582.9</v>
      </c>
      <c r="N174" s="155">
        <v>1699.0</v>
      </c>
      <c r="O174" s="315">
        <f t="shared" ref="O174:O179" si="29">L174-M174</f>
        <v>119.22</v>
      </c>
      <c r="P174" s="316">
        <f t="shared" si="27"/>
        <v>0</v>
      </c>
      <c r="Q174" s="321"/>
      <c r="R174" s="159"/>
      <c r="S174" s="318"/>
      <c r="T174" s="319"/>
      <c r="U174" s="315"/>
      <c r="V174" s="144" t="s">
        <v>584</v>
      </c>
      <c r="W174" s="194"/>
      <c r="X174" s="195"/>
      <c r="Y174" s="144" t="s">
        <v>584</v>
      </c>
      <c r="Z174" s="164"/>
      <c r="AA174" s="116"/>
      <c r="AB174" s="116"/>
      <c r="AC174" s="149" t="s">
        <v>801</v>
      </c>
      <c r="AD174" s="145" t="str">
        <f t="shared" si="17"/>
        <v>agosto</v>
      </c>
      <c r="AE174" s="162"/>
      <c r="AF174" s="149" t="b">
        <v>0</v>
      </c>
      <c r="AG174" s="166"/>
      <c r="AH174" s="149" t="b">
        <v>0</v>
      </c>
      <c r="AI174" s="162"/>
      <c r="AJ174" s="143"/>
      <c r="AK174" s="143"/>
      <c r="AL174" s="143"/>
      <c r="AM174" s="143"/>
      <c r="AN174" s="143"/>
      <c r="AO174" s="143"/>
      <c r="AP174" s="143"/>
      <c r="AQ174" s="143"/>
    </row>
    <row r="175" ht="22.5" hidden="1" customHeight="1">
      <c r="A175" s="144" t="s">
        <v>259</v>
      </c>
      <c r="B175" s="145">
        <v>45885.0</v>
      </c>
      <c r="C175" s="581" t="s">
        <v>802</v>
      </c>
      <c r="D175" s="329" t="s">
        <v>803</v>
      </c>
      <c r="E175" s="148" t="s">
        <v>28</v>
      </c>
      <c r="F175" s="262" t="s">
        <v>804</v>
      </c>
      <c r="G175" s="149" t="s">
        <v>805</v>
      </c>
      <c r="H175" s="148" t="s">
        <v>257</v>
      </c>
      <c r="I175" s="150">
        <v>0.3</v>
      </c>
      <c r="J175" s="312">
        <v>3000.0</v>
      </c>
      <c r="K175" s="169">
        <f t="shared" si="1"/>
        <v>6999</v>
      </c>
      <c r="L175" s="170">
        <v>9999.0</v>
      </c>
      <c r="M175" s="239">
        <v>9418.89</v>
      </c>
      <c r="N175" s="155">
        <v>2141.99</v>
      </c>
      <c r="O175" s="315">
        <f t="shared" si="29"/>
        <v>580.11</v>
      </c>
      <c r="P175" s="316">
        <f t="shared" si="27"/>
        <v>0</v>
      </c>
      <c r="Q175" s="321"/>
      <c r="R175" s="159"/>
      <c r="S175" s="318"/>
      <c r="T175" s="319"/>
      <c r="U175" s="315"/>
      <c r="V175" s="144" t="s">
        <v>584</v>
      </c>
      <c r="W175" s="194" t="s">
        <v>584</v>
      </c>
      <c r="X175" s="195"/>
      <c r="Y175" s="144" t="s">
        <v>584</v>
      </c>
      <c r="Z175" s="164"/>
      <c r="AA175" s="116"/>
      <c r="AB175" s="116"/>
      <c r="AC175" s="149" t="s">
        <v>806</v>
      </c>
      <c r="AD175" s="145" t="str">
        <f t="shared" si="17"/>
        <v>agosto</v>
      </c>
      <c r="AE175" s="144" t="s">
        <v>724</v>
      </c>
      <c r="AF175" s="149" t="b">
        <v>1</v>
      </c>
      <c r="AG175" s="166"/>
      <c r="AH175" s="149" t="b">
        <v>0</v>
      </c>
      <c r="AI175" s="162"/>
      <c r="AJ175" s="143"/>
      <c r="AK175" s="143"/>
      <c r="AL175" s="143"/>
      <c r="AM175" s="143"/>
      <c r="AN175" s="143"/>
      <c r="AO175" s="143"/>
      <c r="AP175" s="143"/>
      <c r="AQ175" s="143"/>
    </row>
    <row r="176" ht="22.5" hidden="1" customHeight="1">
      <c r="A176" s="560" t="s">
        <v>34</v>
      </c>
      <c r="B176" s="551">
        <v>45887.0</v>
      </c>
      <c r="C176" s="582" t="s">
        <v>794</v>
      </c>
      <c r="D176" s="553" t="s">
        <v>807</v>
      </c>
      <c r="E176" s="554" t="s">
        <v>28</v>
      </c>
      <c r="F176" s="583" t="s">
        <v>808</v>
      </c>
      <c r="G176" s="248" t="s">
        <v>809</v>
      </c>
      <c r="H176" s="148" t="s">
        <v>257</v>
      </c>
      <c r="I176" s="556">
        <v>0.2</v>
      </c>
      <c r="J176" s="168">
        <v>1460.0</v>
      </c>
      <c r="K176" s="557">
        <f t="shared" si="1"/>
        <v>5839</v>
      </c>
      <c r="L176" s="170">
        <v>7299.0</v>
      </c>
      <c r="M176" s="239">
        <v>7098.16</v>
      </c>
      <c r="N176" s="155">
        <v>1499.99</v>
      </c>
      <c r="O176" s="558">
        <f t="shared" si="29"/>
        <v>200.84</v>
      </c>
      <c r="P176" s="316">
        <f t="shared" si="27"/>
        <v>0</v>
      </c>
      <c r="Q176" s="317"/>
      <c r="R176" s="159"/>
      <c r="S176" s="318"/>
      <c r="T176" s="559"/>
      <c r="U176" s="558"/>
      <c r="V176" s="261"/>
      <c r="W176" s="554"/>
      <c r="X176" s="584"/>
      <c r="Y176" s="560" t="s">
        <v>584</v>
      </c>
      <c r="Z176" s="324" t="s">
        <v>810</v>
      </c>
      <c r="AA176" s="561"/>
      <c r="AB176" s="561"/>
      <c r="AC176" s="585" t="s">
        <v>811</v>
      </c>
      <c r="AD176" s="551" t="str">
        <f t="shared" si="17"/>
        <v>agosto</v>
      </c>
      <c r="AE176" s="560" t="s">
        <v>724</v>
      </c>
      <c r="AF176" s="248" t="b">
        <v>1</v>
      </c>
      <c r="AG176" s="166"/>
      <c r="AH176" s="149" t="b">
        <v>0</v>
      </c>
      <c r="AI176" s="162"/>
      <c r="AJ176" s="143"/>
      <c r="AK176" s="143"/>
      <c r="AL176" s="143"/>
      <c r="AM176" s="143"/>
      <c r="AN176" s="143"/>
      <c r="AO176" s="143"/>
      <c r="AP176" s="143"/>
      <c r="AQ176" s="143"/>
    </row>
    <row r="177" ht="22.5" customHeight="1">
      <c r="A177" s="144" t="s">
        <v>162</v>
      </c>
      <c r="B177" s="145">
        <v>45887.0</v>
      </c>
      <c r="C177" s="149" t="s">
        <v>812</v>
      </c>
      <c r="D177" s="329" t="s">
        <v>813</v>
      </c>
      <c r="E177" s="148" t="s">
        <v>28</v>
      </c>
      <c r="F177" s="262" t="s">
        <v>814</v>
      </c>
      <c r="G177" s="149">
        <v>5.1923462845E10</v>
      </c>
      <c r="H177" s="148" t="s">
        <v>257</v>
      </c>
      <c r="I177" s="148" t="s">
        <v>61</v>
      </c>
      <c r="J177" s="168">
        <v>1500.0</v>
      </c>
      <c r="K177" s="169">
        <f t="shared" si="1"/>
        <v>4643</v>
      </c>
      <c r="L177" s="170">
        <v>6143.0</v>
      </c>
      <c r="M177" s="239">
        <v>5822.2</v>
      </c>
      <c r="N177" s="155">
        <v>1399.95</v>
      </c>
      <c r="O177" s="315">
        <f t="shared" si="29"/>
        <v>320.8</v>
      </c>
      <c r="P177" s="316">
        <f t="shared" si="27"/>
        <v>0</v>
      </c>
      <c r="Q177" s="321"/>
      <c r="R177" s="159"/>
      <c r="S177" s="318"/>
      <c r="T177" s="319"/>
      <c r="U177" s="315"/>
      <c r="V177" s="144" t="s">
        <v>584</v>
      </c>
      <c r="W177" s="148" t="s">
        <v>584</v>
      </c>
      <c r="X177" s="163"/>
      <c r="Y177" s="144" t="s">
        <v>584</v>
      </c>
      <c r="Z177" s="164"/>
      <c r="AA177" s="116"/>
      <c r="AB177" s="116"/>
      <c r="AC177" s="149" t="s">
        <v>815</v>
      </c>
      <c r="AD177" s="145" t="str">
        <f t="shared" si="17"/>
        <v>agosto</v>
      </c>
      <c r="AE177" s="144" t="s">
        <v>724</v>
      </c>
      <c r="AF177" s="149" t="b">
        <v>1</v>
      </c>
      <c r="AG177" s="166"/>
      <c r="AH177" s="149" t="b">
        <v>0</v>
      </c>
      <c r="AI177" s="162"/>
      <c r="AJ177" s="143"/>
      <c r="AK177" s="143"/>
      <c r="AL177" s="143"/>
      <c r="AM177" s="143"/>
      <c r="AN177" s="143"/>
      <c r="AO177" s="143"/>
      <c r="AP177" s="143"/>
      <c r="AQ177" s="143"/>
    </row>
    <row r="178" ht="22.5" customHeight="1">
      <c r="A178" s="144" t="s">
        <v>162</v>
      </c>
      <c r="B178" s="145">
        <v>45887.0</v>
      </c>
      <c r="C178" s="207" t="s">
        <v>816</v>
      </c>
      <c r="D178" s="208" t="s">
        <v>817</v>
      </c>
      <c r="E178" s="148" t="s">
        <v>28</v>
      </c>
      <c r="F178" s="262" t="s">
        <v>818</v>
      </c>
      <c r="G178" s="149">
        <v>5.1924374659E10</v>
      </c>
      <c r="H178" s="148" t="s">
        <v>257</v>
      </c>
      <c r="I178" s="148" t="s">
        <v>61</v>
      </c>
      <c r="J178" s="168">
        <v>1025.0</v>
      </c>
      <c r="K178" s="169">
        <f t="shared" si="1"/>
        <v>4104</v>
      </c>
      <c r="L178" s="170">
        <v>5129.0</v>
      </c>
      <c r="M178" s="239">
        <v>4951.74</v>
      </c>
      <c r="N178" s="155">
        <v>1099.99</v>
      </c>
      <c r="O178" s="315">
        <f t="shared" si="29"/>
        <v>177.26</v>
      </c>
      <c r="P178" s="316">
        <f t="shared" si="27"/>
        <v>0</v>
      </c>
      <c r="Q178" s="321"/>
      <c r="R178" s="159"/>
      <c r="S178" s="318"/>
      <c r="T178" s="319"/>
      <c r="U178" s="315"/>
      <c r="V178" s="144" t="s">
        <v>584</v>
      </c>
      <c r="W178" s="148" t="s">
        <v>584</v>
      </c>
      <c r="X178" s="163"/>
      <c r="Y178" s="144" t="s">
        <v>584</v>
      </c>
      <c r="Z178" s="164"/>
      <c r="AA178" s="116"/>
      <c r="AB178" s="116"/>
      <c r="AC178" s="149" t="s">
        <v>819</v>
      </c>
      <c r="AD178" s="145" t="str">
        <f t="shared" si="17"/>
        <v>agosto</v>
      </c>
      <c r="AE178" s="144" t="s">
        <v>724</v>
      </c>
      <c r="AF178" s="149" t="b">
        <v>1</v>
      </c>
      <c r="AG178" s="166"/>
      <c r="AH178" s="149" t="b">
        <v>0</v>
      </c>
      <c r="AI178" s="162"/>
      <c r="AJ178" s="143"/>
      <c r="AK178" s="143"/>
      <c r="AL178" s="143"/>
      <c r="AM178" s="143"/>
      <c r="AN178" s="143"/>
      <c r="AO178" s="143"/>
      <c r="AP178" s="143"/>
      <c r="AQ178" s="143"/>
    </row>
    <row r="179" ht="22.5" customHeight="1">
      <c r="A179" s="365" t="s">
        <v>162</v>
      </c>
      <c r="B179" s="187">
        <v>45887.0</v>
      </c>
      <c r="C179" s="368" t="s">
        <v>745</v>
      </c>
      <c r="D179" s="329" t="s">
        <v>820</v>
      </c>
      <c r="E179" s="367" t="s">
        <v>28</v>
      </c>
      <c r="F179" s="368" t="s">
        <v>821</v>
      </c>
      <c r="G179" s="368">
        <v>5.1916567801E10</v>
      </c>
      <c r="H179" s="148" t="s">
        <v>257</v>
      </c>
      <c r="I179" s="367" t="s">
        <v>61</v>
      </c>
      <c r="J179" s="168">
        <v>1180.0</v>
      </c>
      <c r="K179" s="370">
        <f t="shared" si="1"/>
        <v>4719</v>
      </c>
      <c r="L179" s="170">
        <v>5899.0</v>
      </c>
      <c r="M179" s="239">
        <v>5485.0</v>
      </c>
      <c r="N179" s="155">
        <v>1259.99</v>
      </c>
      <c r="O179" s="371">
        <f t="shared" si="29"/>
        <v>414</v>
      </c>
      <c r="P179" s="316">
        <f t="shared" si="27"/>
        <v>14</v>
      </c>
      <c r="Q179" s="510"/>
      <c r="R179" s="159"/>
      <c r="S179" s="318"/>
      <c r="T179" s="511">
        <v>41.0</v>
      </c>
      <c r="U179" s="512">
        <v>55.0</v>
      </c>
      <c r="V179" s="365" t="s">
        <v>584</v>
      </c>
      <c r="W179" s="367" t="s">
        <v>584</v>
      </c>
      <c r="X179" s="576"/>
      <c r="Y179" s="375"/>
      <c r="Z179" s="486" t="s">
        <v>822</v>
      </c>
      <c r="AA179" s="374"/>
      <c r="AB179" s="374"/>
      <c r="AC179" s="388"/>
      <c r="AD179" s="187" t="str">
        <f t="shared" si="17"/>
        <v>agosto</v>
      </c>
      <c r="AE179" s="365" t="s">
        <v>724</v>
      </c>
      <c r="AF179" s="368" t="b">
        <v>1</v>
      </c>
      <c r="AG179" s="166"/>
      <c r="AH179" s="149" t="b">
        <v>0</v>
      </c>
      <c r="AI179" s="162"/>
      <c r="AJ179" s="376"/>
      <c r="AK179" s="376"/>
      <c r="AL179" s="376"/>
      <c r="AM179" s="376"/>
      <c r="AN179" s="376"/>
      <c r="AO179" s="376"/>
      <c r="AP179" s="376"/>
      <c r="AQ179" s="376"/>
    </row>
    <row r="180" ht="22.5" hidden="1" customHeight="1">
      <c r="A180" s="434" t="s">
        <v>34</v>
      </c>
      <c r="B180" s="435">
        <v>45888.0</v>
      </c>
      <c r="C180" s="574" t="s">
        <v>613</v>
      </c>
      <c r="D180" s="456" t="s">
        <v>823</v>
      </c>
      <c r="E180" s="438" t="s">
        <v>28</v>
      </c>
      <c r="F180" s="566" t="s">
        <v>824</v>
      </c>
      <c r="G180" s="440">
        <v>5.1976730053E10</v>
      </c>
      <c r="H180" s="148" t="s">
        <v>257</v>
      </c>
      <c r="I180" s="498">
        <v>0.2</v>
      </c>
      <c r="J180" s="168">
        <v>1559.8</v>
      </c>
      <c r="K180" s="441">
        <f t="shared" si="1"/>
        <v>6239.2</v>
      </c>
      <c r="L180" s="170">
        <v>7799.0</v>
      </c>
      <c r="M180" s="239">
        <v>7256.0</v>
      </c>
      <c r="N180" s="155">
        <v>1549.99</v>
      </c>
      <c r="O180" s="442">
        <f>L180-M180-35</f>
        <v>508</v>
      </c>
      <c r="P180" s="316">
        <f t="shared" si="27"/>
        <v>35</v>
      </c>
      <c r="Q180" s="317"/>
      <c r="R180" s="159"/>
      <c r="S180" s="318"/>
      <c r="T180" s="443"/>
      <c r="U180" s="499">
        <v>35.0</v>
      </c>
      <c r="V180" s="434" t="s">
        <v>584</v>
      </c>
      <c r="W180" s="438"/>
      <c r="X180" s="445"/>
      <c r="Y180" s="434" t="s">
        <v>584</v>
      </c>
      <c r="Z180" s="450"/>
      <c r="AA180" s="447"/>
      <c r="AB180" s="447"/>
      <c r="AC180" s="575"/>
      <c r="AD180" s="435" t="str">
        <f t="shared" si="17"/>
        <v>agosto</v>
      </c>
      <c r="AE180" s="434" t="s">
        <v>724</v>
      </c>
      <c r="AF180" s="440" t="b">
        <v>1</v>
      </c>
      <c r="AG180" s="166"/>
      <c r="AH180" s="149" t="b">
        <v>0</v>
      </c>
      <c r="AI180" s="162"/>
      <c r="AJ180" s="448"/>
      <c r="AK180" s="448"/>
      <c r="AL180" s="448"/>
      <c r="AM180" s="448"/>
      <c r="AN180" s="448"/>
      <c r="AO180" s="448"/>
      <c r="AP180" s="448"/>
      <c r="AQ180" s="448"/>
    </row>
    <row r="181" ht="22.5" hidden="1" customHeight="1">
      <c r="A181" s="144" t="s">
        <v>34</v>
      </c>
      <c r="B181" s="145">
        <v>45888.0</v>
      </c>
      <c r="C181" s="567" t="s">
        <v>825</v>
      </c>
      <c r="D181" s="329" t="s">
        <v>826</v>
      </c>
      <c r="E181" s="148" t="s">
        <v>28</v>
      </c>
      <c r="F181" s="586" t="s">
        <v>827</v>
      </c>
      <c r="G181" s="149" t="s">
        <v>828</v>
      </c>
      <c r="H181" s="148" t="s">
        <v>257</v>
      </c>
      <c r="I181" s="150">
        <v>0.2</v>
      </c>
      <c r="J181" s="168">
        <v>1540.0</v>
      </c>
      <c r="K181" s="169">
        <f t="shared" si="1"/>
        <v>6159</v>
      </c>
      <c r="L181" s="170">
        <v>7699.0</v>
      </c>
      <c r="M181" s="239">
        <v>7326.0</v>
      </c>
      <c r="N181" s="155">
        <v>1649.99</v>
      </c>
      <c r="O181" s="315">
        <f t="shared" ref="O181:O186" si="30">L181-M181</f>
        <v>373</v>
      </c>
      <c r="P181" s="316">
        <f t="shared" si="27"/>
        <v>0</v>
      </c>
      <c r="Q181" s="317"/>
      <c r="R181" s="159"/>
      <c r="S181" s="318"/>
      <c r="T181" s="319"/>
      <c r="U181" s="315"/>
      <c r="V181" s="144" t="s">
        <v>584</v>
      </c>
      <c r="W181" s="148"/>
      <c r="X181" s="163"/>
      <c r="Y181" s="144" t="s">
        <v>584</v>
      </c>
      <c r="Z181" s="164"/>
      <c r="AA181" s="116"/>
      <c r="AB181" s="116"/>
      <c r="AC181" s="165"/>
      <c r="AD181" s="145" t="str">
        <f t="shared" si="17"/>
        <v>agosto</v>
      </c>
      <c r="AE181" s="144" t="s">
        <v>724</v>
      </c>
      <c r="AF181" s="149" t="b">
        <v>1</v>
      </c>
      <c r="AG181" s="166"/>
      <c r="AH181" s="149" t="b">
        <v>0</v>
      </c>
      <c r="AI181" s="162"/>
      <c r="AJ181" s="143"/>
      <c r="AK181" s="143"/>
      <c r="AL181" s="143"/>
      <c r="AM181" s="143"/>
      <c r="AN181" s="143"/>
      <c r="AO181" s="143"/>
      <c r="AP181" s="143"/>
      <c r="AQ181" s="143"/>
    </row>
    <row r="182" ht="22.5" customHeight="1">
      <c r="A182" s="144" t="s">
        <v>162</v>
      </c>
      <c r="B182" s="145">
        <v>45888.0</v>
      </c>
      <c r="C182" s="353" t="s">
        <v>829</v>
      </c>
      <c r="D182" s="329" t="s">
        <v>830</v>
      </c>
      <c r="E182" s="148" t="s">
        <v>28</v>
      </c>
      <c r="F182" s="587" t="s">
        <v>831</v>
      </c>
      <c r="G182" s="149">
        <v>5.1960198782E10</v>
      </c>
      <c r="H182" s="148" t="s">
        <v>257</v>
      </c>
      <c r="I182" s="148" t="s">
        <v>61</v>
      </c>
      <c r="J182" s="168">
        <v>5925.0</v>
      </c>
      <c r="K182" s="169">
        <f t="shared" si="1"/>
        <v>5925</v>
      </c>
      <c r="L182" s="170">
        <v>11850.0</v>
      </c>
      <c r="M182" s="239">
        <v>11197.91</v>
      </c>
      <c r="N182" s="155">
        <v>2299.99</v>
      </c>
      <c r="O182" s="315">
        <f t="shared" si="30"/>
        <v>652.09</v>
      </c>
      <c r="P182" s="316">
        <f t="shared" si="27"/>
        <v>0</v>
      </c>
      <c r="Q182" s="321"/>
      <c r="R182" s="159"/>
      <c r="S182" s="318"/>
      <c r="T182" s="319"/>
      <c r="U182" s="315"/>
      <c r="V182" s="144" t="s">
        <v>584</v>
      </c>
      <c r="W182" s="148" t="s">
        <v>584</v>
      </c>
      <c r="X182" s="163"/>
      <c r="Y182" s="162"/>
      <c r="Z182" s="588" t="s">
        <v>832</v>
      </c>
      <c r="AA182" s="116"/>
      <c r="AB182" s="116"/>
      <c r="AC182" s="165"/>
      <c r="AD182" s="145" t="str">
        <f t="shared" si="17"/>
        <v>agosto</v>
      </c>
      <c r="AE182" s="144" t="s">
        <v>724</v>
      </c>
      <c r="AF182" s="149" t="b">
        <v>1</v>
      </c>
      <c r="AG182" s="166"/>
      <c r="AH182" s="149" t="b">
        <v>0</v>
      </c>
      <c r="AI182" s="162"/>
      <c r="AJ182" s="143"/>
      <c r="AK182" s="143"/>
      <c r="AL182" s="143"/>
      <c r="AM182" s="143"/>
      <c r="AN182" s="143"/>
      <c r="AO182" s="143"/>
      <c r="AP182" s="143"/>
      <c r="AQ182" s="143"/>
    </row>
    <row r="183" ht="22.5" customHeight="1">
      <c r="A183" s="144" t="s">
        <v>162</v>
      </c>
      <c r="B183" s="145">
        <v>45888.0</v>
      </c>
      <c r="C183" s="149" t="s">
        <v>613</v>
      </c>
      <c r="D183" s="329" t="s">
        <v>833</v>
      </c>
      <c r="E183" s="148" t="s">
        <v>28</v>
      </c>
      <c r="F183" s="149" t="s">
        <v>834</v>
      </c>
      <c r="G183" s="149">
        <v>9.39291517E8</v>
      </c>
      <c r="H183" s="148" t="s">
        <v>257</v>
      </c>
      <c r="I183" s="148" t="s">
        <v>61</v>
      </c>
      <c r="J183" s="168">
        <v>2300.0</v>
      </c>
      <c r="K183" s="169">
        <f t="shared" si="1"/>
        <v>5499</v>
      </c>
      <c r="L183" s="170">
        <v>7799.0</v>
      </c>
      <c r="M183" s="239">
        <v>7256.0</v>
      </c>
      <c r="N183" s="155">
        <v>1549.99</v>
      </c>
      <c r="O183" s="315">
        <f t="shared" si="30"/>
        <v>543</v>
      </c>
      <c r="P183" s="316">
        <f t="shared" si="27"/>
        <v>0</v>
      </c>
      <c r="Q183" s="321"/>
      <c r="R183" s="159"/>
      <c r="S183" s="318"/>
      <c r="T183" s="319"/>
      <c r="U183" s="315"/>
      <c r="V183" s="144" t="s">
        <v>584</v>
      </c>
      <c r="W183" s="148" t="s">
        <v>584</v>
      </c>
      <c r="X183" s="163"/>
      <c r="Y183" s="162"/>
      <c r="Z183" s="164"/>
      <c r="AA183" s="116"/>
      <c r="AB183" s="116"/>
      <c r="AC183" s="165"/>
      <c r="AD183" s="145" t="str">
        <f t="shared" si="17"/>
        <v>agosto</v>
      </c>
      <c r="AE183" s="144" t="s">
        <v>724</v>
      </c>
      <c r="AF183" s="149" t="b">
        <v>1</v>
      </c>
      <c r="AG183" s="166"/>
      <c r="AH183" s="149" t="b">
        <v>0</v>
      </c>
      <c r="AI183" s="162"/>
      <c r="AJ183" s="143"/>
      <c r="AK183" s="143"/>
      <c r="AL183" s="143"/>
      <c r="AM183" s="143"/>
      <c r="AN183" s="143"/>
      <c r="AO183" s="143"/>
      <c r="AP183" s="143"/>
      <c r="AQ183" s="143"/>
    </row>
    <row r="184" ht="22.5" hidden="1" customHeight="1">
      <c r="A184" s="144" t="s">
        <v>259</v>
      </c>
      <c r="B184" s="187">
        <v>45888.0</v>
      </c>
      <c r="C184" s="589" t="s">
        <v>613</v>
      </c>
      <c r="D184" s="366" t="s">
        <v>835</v>
      </c>
      <c r="E184" s="367" t="s">
        <v>28</v>
      </c>
      <c r="F184" s="590" t="s">
        <v>836</v>
      </c>
      <c r="G184" s="368">
        <v>5.1966987064E10</v>
      </c>
      <c r="H184" s="148" t="s">
        <v>257</v>
      </c>
      <c r="I184" s="369">
        <v>1.0</v>
      </c>
      <c r="J184" s="270"/>
      <c r="K184" s="412" t="str">
        <f t="shared" si="1"/>
        <v/>
      </c>
      <c r="L184" s="170">
        <v>7799.0</v>
      </c>
      <c r="M184" s="239">
        <v>7256.0</v>
      </c>
      <c r="N184" s="155">
        <v>1549.0</v>
      </c>
      <c r="O184" s="413">
        <f t="shared" si="30"/>
        <v>543</v>
      </c>
      <c r="P184" s="316">
        <f t="shared" si="27"/>
        <v>0</v>
      </c>
      <c r="Q184" s="321"/>
      <c r="R184" s="159"/>
      <c r="S184" s="318"/>
      <c r="T184" s="415"/>
      <c r="U184" s="413"/>
      <c r="V184" s="365" t="s">
        <v>584</v>
      </c>
      <c r="W184" s="194" t="s">
        <v>584</v>
      </c>
      <c r="X184" s="195"/>
      <c r="Y184" s="365" t="s">
        <v>584</v>
      </c>
      <c r="Z184" s="418"/>
      <c r="AA184" s="419"/>
      <c r="AB184" s="419"/>
      <c r="AC184" s="388"/>
      <c r="AD184" s="187" t="str">
        <f t="shared" si="17"/>
        <v>agosto</v>
      </c>
      <c r="AE184" s="144" t="s">
        <v>724</v>
      </c>
      <c r="AF184" s="368" t="b">
        <v>1</v>
      </c>
      <c r="AG184" s="166"/>
      <c r="AH184" s="149" t="b">
        <v>0</v>
      </c>
      <c r="AI184" s="162"/>
      <c r="AJ184" s="421"/>
      <c r="AK184" s="421"/>
      <c r="AL184" s="421"/>
      <c r="AM184" s="421"/>
      <c r="AN184" s="421"/>
      <c r="AO184" s="421"/>
      <c r="AP184" s="421"/>
      <c r="AQ184" s="421"/>
    </row>
    <row r="185" ht="22.5" hidden="1" customHeight="1">
      <c r="A185" s="144" t="s">
        <v>259</v>
      </c>
      <c r="B185" s="145">
        <v>45889.0</v>
      </c>
      <c r="C185" s="591" t="s">
        <v>837</v>
      </c>
      <c r="D185" s="208" t="s">
        <v>838</v>
      </c>
      <c r="E185" s="148" t="s">
        <v>28</v>
      </c>
      <c r="F185" s="591" t="s">
        <v>839</v>
      </c>
      <c r="G185" s="149" t="s">
        <v>840</v>
      </c>
      <c r="H185" s="148" t="s">
        <v>257</v>
      </c>
      <c r="I185" s="150">
        <v>0.2</v>
      </c>
      <c r="J185" s="312">
        <v>1200.0</v>
      </c>
      <c r="K185" s="169">
        <f t="shared" si="1"/>
        <v>4699</v>
      </c>
      <c r="L185" s="170">
        <v>5899.0</v>
      </c>
      <c r="M185" s="239">
        <v>5485.0</v>
      </c>
      <c r="N185" s="277"/>
      <c r="O185" s="315">
        <f t="shared" si="30"/>
        <v>414</v>
      </c>
      <c r="P185" s="316">
        <f t="shared" si="27"/>
        <v>0</v>
      </c>
      <c r="Q185" s="321"/>
      <c r="R185" s="159"/>
      <c r="S185" s="318"/>
      <c r="T185" s="319"/>
      <c r="U185" s="315"/>
      <c r="V185" s="144" t="s">
        <v>584</v>
      </c>
      <c r="W185" s="194" t="s">
        <v>584</v>
      </c>
      <c r="X185" s="195"/>
      <c r="Y185" s="144" t="s">
        <v>750</v>
      </c>
      <c r="Z185" s="164"/>
      <c r="AA185" s="116"/>
      <c r="AB185" s="116"/>
      <c r="AC185" s="165"/>
      <c r="AD185" s="145" t="str">
        <f t="shared" si="17"/>
        <v>agosto</v>
      </c>
      <c r="AE185" s="144" t="s">
        <v>724</v>
      </c>
      <c r="AF185" s="149" t="b">
        <v>1</v>
      </c>
      <c r="AG185" s="166"/>
      <c r="AH185" s="149" t="b">
        <v>0</v>
      </c>
      <c r="AI185" s="162"/>
      <c r="AJ185" s="143"/>
      <c r="AK185" s="143"/>
      <c r="AL185" s="143"/>
      <c r="AM185" s="143"/>
      <c r="AN185" s="143"/>
      <c r="AO185" s="143"/>
      <c r="AP185" s="143"/>
      <c r="AQ185" s="143"/>
    </row>
    <row r="186" ht="22.5" hidden="1" customHeight="1">
      <c r="A186" s="144" t="s">
        <v>259</v>
      </c>
      <c r="B186" s="187">
        <v>45891.0</v>
      </c>
      <c r="C186" s="592" t="s">
        <v>841</v>
      </c>
      <c r="D186" s="366" t="s">
        <v>842</v>
      </c>
      <c r="E186" s="367" t="s">
        <v>28</v>
      </c>
      <c r="F186" s="113" t="s">
        <v>843</v>
      </c>
      <c r="G186" s="368" t="s">
        <v>844</v>
      </c>
      <c r="H186" s="148" t="s">
        <v>257</v>
      </c>
      <c r="I186" s="369">
        <v>0.2</v>
      </c>
      <c r="J186" s="312">
        <v>1785.29</v>
      </c>
      <c r="K186" s="370">
        <f t="shared" si="1"/>
        <v>4165.67</v>
      </c>
      <c r="L186" s="170">
        <v>5950.96</v>
      </c>
      <c r="M186" s="239">
        <v>5678.66</v>
      </c>
      <c r="N186" s="155">
        <v>1349.0</v>
      </c>
      <c r="O186" s="371">
        <f t="shared" si="30"/>
        <v>272.3</v>
      </c>
      <c r="P186" s="316">
        <f t="shared" si="27"/>
        <v>0</v>
      </c>
      <c r="Q186" s="321"/>
      <c r="R186" s="159"/>
      <c r="S186" s="318"/>
      <c r="T186" s="372"/>
      <c r="U186" s="371"/>
      <c r="V186" s="365" t="s">
        <v>584</v>
      </c>
      <c r="W186" s="367" t="s">
        <v>584</v>
      </c>
      <c r="X186" s="576"/>
      <c r="Y186" s="365" t="s">
        <v>584</v>
      </c>
      <c r="Z186" s="373"/>
      <c r="AA186" s="374"/>
      <c r="AB186" s="374"/>
      <c r="AC186" s="368"/>
      <c r="AD186" s="187" t="str">
        <f t="shared" si="17"/>
        <v>agosto</v>
      </c>
      <c r="AE186" s="365" t="s">
        <v>724</v>
      </c>
      <c r="AF186" s="368" t="b">
        <v>1</v>
      </c>
      <c r="AG186" s="166"/>
      <c r="AH186" s="149" t="b">
        <v>0</v>
      </c>
      <c r="AI186" s="162"/>
      <c r="AJ186" s="376"/>
      <c r="AK186" s="376"/>
      <c r="AL186" s="376"/>
      <c r="AM186" s="376"/>
      <c r="AN186" s="376"/>
      <c r="AO186" s="376"/>
      <c r="AP186" s="376"/>
      <c r="AQ186" s="376"/>
    </row>
    <row r="187" ht="22.5" hidden="1" customHeight="1">
      <c r="A187" s="593" t="s">
        <v>34</v>
      </c>
      <c r="B187" s="594">
        <v>45892.0</v>
      </c>
      <c r="C187" s="595" t="s">
        <v>845</v>
      </c>
      <c r="D187" s="596" t="s">
        <v>846</v>
      </c>
      <c r="E187" s="398" t="s">
        <v>28</v>
      </c>
      <c r="F187" s="597" t="s">
        <v>847</v>
      </c>
      <c r="G187" s="397" t="s">
        <v>848</v>
      </c>
      <c r="H187" s="148" t="s">
        <v>257</v>
      </c>
      <c r="I187" s="598">
        <v>0.2</v>
      </c>
      <c r="J187" s="168">
        <v>1000.0</v>
      </c>
      <c r="K187" s="399">
        <f t="shared" si="1"/>
        <v>3654.87</v>
      </c>
      <c r="L187" s="342">
        <v>4654.87</v>
      </c>
      <c r="M187" s="282">
        <v>4158.18</v>
      </c>
      <c r="N187" s="155">
        <v>799.99</v>
      </c>
      <c r="O187" s="400">
        <f>L187-M187-P187</f>
        <v>446.69</v>
      </c>
      <c r="P187" s="344">
        <v>50.0</v>
      </c>
      <c r="Q187" s="317"/>
      <c r="R187" s="159"/>
      <c r="S187" s="318"/>
      <c r="T187" s="401"/>
      <c r="U187" s="400"/>
      <c r="V187" s="593" t="s">
        <v>584</v>
      </c>
      <c r="W187" s="398"/>
      <c r="X187" s="599"/>
      <c r="Y187" s="593" t="s">
        <v>584</v>
      </c>
      <c r="Z187" s="402"/>
      <c r="AA187" s="403"/>
      <c r="AB187" s="403"/>
      <c r="AC187" s="397" t="s">
        <v>849</v>
      </c>
      <c r="AD187" s="594" t="str">
        <f t="shared" si="17"/>
        <v>agosto</v>
      </c>
      <c r="AE187" s="593" t="s">
        <v>724</v>
      </c>
      <c r="AF187" s="397" t="b">
        <v>1</v>
      </c>
      <c r="AG187" s="166"/>
      <c r="AH187" s="149" t="b">
        <v>0</v>
      </c>
      <c r="AI187" s="162"/>
      <c r="AJ187" s="405"/>
      <c r="AK187" s="405"/>
      <c r="AL187" s="405"/>
      <c r="AM187" s="405"/>
      <c r="AN187" s="405"/>
      <c r="AO187" s="405"/>
      <c r="AP187" s="405"/>
      <c r="AQ187" s="405"/>
    </row>
    <row r="188" ht="22.5" customHeight="1">
      <c r="A188" s="144" t="s">
        <v>162</v>
      </c>
      <c r="B188" s="145">
        <v>45892.0</v>
      </c>
      <c r="C188" s="149" t="s">
        <v>825</v>
      </c>
      <c r="D188" s="208" t="s">
        <v>850</v>
      </c>
      <c r="E188" s="148" t="s">
        <v>28</v>
      </c>
      <c r="F188" s="149" t="s">
        <v>851</v>
      </c>
      <c r="G188" s="149">
        <v>5.197313298E10</v>
      </c>
      <c r="H188" s="148" t="s">
        <v>257</v>
      </c>
      <c r="I188" s="150">
        <v>0.3</v>
      </c>
      <c r="J188" s="168">
        <v>2310.0</v>
      </c>
      <c r="K188" s="169">
        <f t="shared" si="1"/>
        <v>5439</v>
      </c>
      <c r="L188" s="170">
        <v>7749.0</v>
      </c>
      <c r="M188" s="239">
        <v>7326.0</v>
      </c>
      <c r="N188" s="155">
        <v>1649.99</v>
      </c>
      <c r="O188" s="315">
        <f t="shared" ref="O188:O196" si="31">L188-M188</f>
        <v>423</v>
      </c>
      <c r="P188" s="316">
        <f t="shared" ref="P188:P230" si="32">U188-T188</f>
        <v>0</v>
      </c>
      <c r="Q188" s="321"/>
      <c r="R188" s="159"/>
      <c r="S188" s="318"/>
      <c r="T188" s="319"/>
      <c r="U188" s="315"/>
      <c r="V188" s="144" t="s">
        <v>584</v>
      </c>
      <c r="W188" s="148" t="s">
        <v>584</v>
      </c>
      <c r="X188" s="163"/>
      <c r="Y188" s="144" t="s">
        <v>584</v>
      </c>
      <c r="Z188" s="164"/>
      <c r="AA188" s="116"/>
      <c r="AB188" s="116"/>
      <c r="AC188" s="165"/>
      <c r="AD188" s="145" t="str">
        <f t="shared" si="17"/>
        <v>agosto</v>
      </c>
      <c r="AE188" s="144" t="s">
        <v>724</v>
      </c>
      <c r="AF188" s="149" t="b">
        <v>1</v>
      </c>
      <c r="AG188" s="166"/>
      <c r="AH188" s="149" t="b">
        <v>0</v>
      </c>
      <c r="AI188" s="162"/>
      <c r="AJ188" s="143"/>
      <c r="AK188" s="143"/>
      <c r="AL188" s="143"/>
      <c r="AM188" s="143"/>
      <c r="AN188" s="143"/>
      <c r="AO188" s="143"/>
      <c r="AP188" s="143"/>
      <c r="AQ188" s="143"/>
    </row>
    <row r="189" ht="22.5" customHeight="1">
      <c r="A189" s="144" t="s">
        <v>162</v>
      </c>
      <c r="B189" s="145">
        <v>45892.0</v>
      </c>
      <c r="C189" s="149" t="s">
        <v>745</v>
      </c>
      <c r="D189" s="329" t="s">
        <v>852</v>
      </c>
      <c r="E189" s="148" t="s">
        <v>28</v>
      </c>
      <c r="F189" s="149" t="s">
        <v>853</v>
      </c>
      <c r="G189" s="149">
        <v>5.1955256909E10</v>
      </c>
      <c r="H189" s="148" t="s">
        <v>257</v>
      </c>
      <c r="I189" s="150">
        <v>1.0</v>
      </c>
      <c r="J189" s="168">
        <v>5859.0</v>
      </c>
      <c r="K189" s="169">
        <f t="shared" si="1"/>
        <v>0</v>
      </c>
      <c r="L189" s="170">
        <v>5859.0</v>
      </c>
      <c r="M189" s="239">
        <v>5485.0</v>
      </c>
      <c r="N189" s="600">
        <v>1259.99</v>
      </c>
      <c r="O189" s="315">
        <f t="shared" si="31"/>
        <v>374</v>
      </c>
      <c r="P189" s="316">
        <f t="shared" si="32"/>
        <v>0</v>
      </c>
      <c r="Q189" s="321"/>
      <c r="R189" s="159"/>
      <c r="S189" s="318"/>
      <c r="T189" s="319"/>
      <c r="U189" s="315"/>
      <c r="V189" s="144" t="s">
        <v>584</v>
      </c>
      <c r="W189" s="148" t="s">
        <v>584</v>
      </c>
      <c r="X189" s="163"/>
      <c r="Y189" s="162"/>
      <c r="Z189" s="164"/>
      <c r="AA189" s="116"/>
      <c r="AB189" s="116"/>
      <c r="AC189" s="165"/>
      <c r="AD189" s="145" t="str">
        <f t="shared" si="17"/>
        <v>agosto</v>
      </c>
      <c r="AE189" s="144" t="s">
        <v>724</v>
      </c>
      <c r="AF189" s="149" t="b">
        <v>1</v>
      </c>
      <c r="AG189" s="166"/>
      <c r="AH189" s="149" t="b">
        <v>0</v>
      </c>
      <c r="AI189" s="162"/>
      <c r="AJ189" s="143"/>
      <c r="AK189" s="143"/>
      <c r="AL189" s="143"/>
      <c r="AM189" s="143"/>
      <c r="AN189" s="143"/>
      <c r="AO189" s="143"/>
      <c r="AP189" s="143"/>
      <c r="AQ189" s="143"/>
    </row>
    <row r="190" ht="22.5" hidden="1" customHeight="1">
      <c r="A190" s="144" t="s">
        <v>259</v>
      </c>
      <c r="B190" s="145">
        <v>45892.0</v>
      </c>
      <c r="C190" s="601" t="s">
        <v>854</v>
      </c>
      <c r="D190" s="329" t="s">
        <v>855</v>
      </c>
      <c r="E190" s="148" t="s">
        <v>28</v>
      </c>
      <c r="F190" s="591" t="s">
        <v>856</v>
      </c>
      <c r="G190" s="149" t="s">
        <v>857</v>
      </c>
      <c r="H190" s="148" t="s">
        <v>257</v>
      </c>
      <c r="I190" s="150">
        <v>1.0</v>
      </c>
      <c r="J190" s="270"/>
      <c r="K190" s="271" t="str">
        <f t="shared" si="1"/>
        <v/>
      </c>
      <c r="L190" s="170">
        <v>8099.0</v>
      </c>
      <c r="M190" s="239">
        <v>7709.0</v>
      </c>
      <c r="N190" s="277"/>
      <c r="O190" s="413">
        <f t="shared" si="31"/>
        <v>390</v>
      </c>
      <c r="P190" s="316">
        <f t="shared" si="32"/>
        <v>0</v>
      </c>
      <c r="Q190" s="321"/>
      <c r="R190" s="159"/>
      <c r="S190" s="318"/>
      <c r="T190" s="319"/>
      <c r="U190" s="315"/>
      <c r="V190" s="144" t="s">
        <v>584</v>
      </c>
      <c r="W190" s="194" t="s">
        <v>584</v>
      </c>
      <c r="X190" s="195"/>
      <c r="Y190" s="144" t="s">
        <v>584</v>
      </c>
      <c r="Z190" s="164"/>
      <c r="AA190" s="116"/>
      <c r="AB190" s="116"/>
      <c r="AC190" s="165"/>
      <c r="AD190" s="145" t="str">
        <f t="shared" si="17"/>
        <v>agosto</v>
      </c>
      <c r="AE190" s="144" t="s">
        <v>724</v>
      </c>
      <c r="AF190" s="338" t="b">
        <v>1</v>
      </c>
      <c r="AG190" s="166"/>
      <c r="AH190" s="149" t="b">
        <v>0</v>
      </c>
      <c r="AI190" s="162"/>
      <c r="AJ190" s="143"/>
      <c r="AK190" s="143"/>
      <c r="AL190" s="143"/>
      <c r="AM190" s="143"/>
      <c r="AN190" s="143"/>
      <c r="AO190" s="143"/>
      <c r="AP190" s="143"/>
      <c r="AQ190" s="143"/>
    </row>
    <row r="191" ht="22.5" hidden="1" customHeight="1">
      <c r="A191" s="593" t="s">
        <v>34</v>
      </c>
      <c r="B191" s="594">
        <v>45892.0</v>
      </c>
      <c r="C191" s="602" t="s">
        <v>666</v>
      </c>
      <c r="D191" s="603" t="s">
        <v>858</v>
      </c>
      <c r="E191" s="398" t="s">
        <v>28</v>
      </c>
      <c r="F191" s="604" t="s">
        <v>859</v>
      </c>
      <c r="G191" s="397" t="s">
        <v>860</v>
      </c>
      <c r="H191" s="148" t="s">
        <v>257</v>
      </c>
      <c r="I191" s="398" t="s">
        <v>61</v>
      </c>
      <c r="J191" s="168">
        <v>6000.0</v>
      </c>
      <c r="K191" s="399">
        <f t="shared" si="1"/>
        <v>5929</v>
      </c>
      <c r="L191" s="170">
        <v>11929.0</v>
      </c>
      <c r="M191" s="239">
        <v>11244.38</v>
      </c>
      <c r="N191" s="155">
        <v>2599.99</v>
      </c>
      <c r="O191" s="400">
        <f t="shared" si="31"/>
        <v>684.62</v>
      </c>
      <c r="P191" s="316">
        <f t="shared" si="32"/>
        <v>0</v>
      </c>
      <c r="Q191" s="317"/>
      <c r="R191" s="159"/>
      <c r="S191" s="318"/>
      <c r="T191" s="401"/>
      <c r="U191" s="400"/>
      <c r="V191" s="593" t="s">
        <v>584</v>
      </c>
      <c r="W191" s="398"/>
      <c r="X191" s="599"/>
      <c r="Y191" s="593" t="s">
        <v>584</v>
      </c>
      <c r="Z191" s="402"/>
      <c r="AA191" s="403"/>
      <c r="AB191" s="403"/>
      <c r="AC191" s="397" t="s">
        <v>861</v>
      </c>
      <c r="AD191" s="594" t="str">
        <f t="shared" si="17"/>
        <v>agosto</v>
      </c>
      <c r="AE191" s="593" t="s">
        <v>724</v>
      </c>
      <c r="AF191" s="397" t="b">
        <v>1</v>
      </c>
      <c r="AG191" s="166"/>
      <c r="AH191" s="149" t="b">
        <v>0</v>
      </c>
      <c r="AI191" s="162"/>
      <c r="AJ191" s="405"/>
      <c r="AK191" s="405"/>
      <c r="AL191" s="405"/>
      <c r="AM191" s="405"/>
      <c r="AN191" s="405"/>
      <c r="AO191" s="405"/>
      <c r="AP191" s="405"/>
      <c r="AQ191" s="405"/>
    </row>
    <row r="192" ht="22.5" hidden="1" customHeight="1">
      <c r="A192" s="144" t="s">
        <v>259</v>
      </c>
      <c r="B192" s="187">
        <v>45888.0</v>
      </c>
      <c r="C192" s="565" t="s">
        <v>862</v>
      </c>
      <c r="D192" s="329" t="s">
        <v>863</v>
      </c>
      <c r="E192" s="367" t="s">
        <v>28</v>
      </c>
      <c r="F192" s="113" t="s">
        <v>864</v>
      </c>
      <c r="G192" s="368" t="s">
        <v>865</v>
      </c>
      <c r="H192" s="148" t="s">
        <v>257</v>
      </c>
      <c r="I192" s="367" t="s">
        <v>61</v>
      </c>
      <c r="J192" s="312">
        <v>2519.7</v>
      </c>
      <c r="K192" s="370">
        <f t="shared" si="1"/>
        <v>7319.3</v>
      </c>
      <c r="L192" s="170">
        <v>9839.0</v>
      </c>
      <c r="M192" s="239">
        <v>9524.0</v>
      </c>
      <c r="N192" s="155">
        <v>2199.99</v>
      </c>
      <c r="O192" s="371">
        <f t="shared" si="31"/>
        <v>315</v>
      </c>
      <c r="P192" s="316">
        <f t="shared" si="32"/>
        <v>0</v>
      </c>
      <c r="Q192" s="321"/>
      <c r="R192" s="159"/>
      <c r="S192" s="318"/>
      <c r="T192" s="372"/>
      <c r="U192" s="371"/>
      <c r="V192" s="365" t="s">
        <v>584</v>
      </c>
      <c r="W192" s="367" t="s">
        <v>584</v>
      </c>
      <c r="X192" s="576"/>
      <c r="Y192" s="365" t="s">
        <v>584</v>
      </c>
      <c r="Z192" s="373"/>
      <c r="AA192" s="374"/>
      <c r="AB192" s="374"/>
      <c r="AC192" s="368" t="s">
        <v>866</v>
      </c>
      <c r="AD192" s="187" t="str">
        <f t="shared" si="17"/>
        <v>agosto</v>
      </c>
      <c r="AE192" s="365" t="s">
        <v>724</v>
      </c>
      <c r="AF192" s="368" t="b">
        <v>1</v>
      </c>
      <c r="AG192" s="166"/>
      <c r="AH192" s="149" t="b">
        <v>0</v>
      </c>
      <c r="AI192" s="162"/>
      <c r="AJ192" s="376"/>
      <c r="AK192" s="376"/>
      <c r="AL192" s="376"/>
      <c r="AM192" s="376"/>
      <c r="AN192" s="376"/>
      <c r="AO192" s="376"/>
      <c r="AP192" s="376"/>
      <c r="AQ192" s="376"/>
    </row>
    <row r="193" ht="22.5" customHeight="1">
      <c r="A193" s="144" t="s">
        <v>162</v>
      </c>
      <c r="B193" s="145">
        <v>45894.0</v>
      </c>
      <c r="C193" s="149" t="s">
        <v>771</v>
      </c>
      <c r="D193" s="208" t="s">
        <v>867</v>
      </c>
      <c r="E193" s="148" t="s">
        <v>28</v>
      </c>
      <c r="F193" s="149" t="s">
        <v>868</v>
      </c>
      <c r="G193" s="149">
        <v>5.198029522E10</v>
      </c>
      <c r="H193" s="148" t="s">
        <v>257</v>
      </c>
      <c r="I193" s="150">
        <v>1.0</v>
      </c>
      <c r="J193" s="168">
        <v>8650.0</v>
      </c>
      <c r="K193" s="169">
        <f t="shared" si="1"/>
        <v>0</v>
      </c>
      <c r="L193" s="170">
        <v>8650.0</v>
      </c>
      <c r="M193" s="239">
        <v>7844.0</v>
      </c>
      <c r="N193" s="155">
        <v>1599.99</v>
      </c>
      <c r="O193" s="315">
        <f t="shared" si="31"/>
        <v>806</v>
      </c>
      <c r="P193" s="316">
        <f t="shared" si="32"/>
        <v>0</v>
      </c>
      <c r="Q193" s="321"/>
      <c r="R193" s="159"/>
      <c r="S193" s="318"/>
      <c r="T193" s="319"/>
      <c r="U193" s="315"/>
      <c r="V193" s="365" t="s">
        <v>584</v>
      </c>
      <c r="W193" s="148" t="s">
        <v>584</v>
      </c>
      <c r="X193" s="163"/>
      <c r="Y193" s="162"/>
      <c r="Z193" s="164"/>
      <c r="AA193" s="116"/>
      <c r="AB193" s="116"/>
      <c r="AC193" s="165"/>
      <c r="AD193" s="145" t="str">
        <f t="shared" si="17"/>
        <v>agosto</v>
      </c>
      <c r="AE193" s="144" t="s">
        <v>724</v>
      </c>
      <c r="AF193" s="149" t="b">
        <v>1</v>
      </c>
      <c r="AG193" s="166"/>
      <c r="AH193" s="149" t="b">
        <v>0</v>
      </c>
      <c r="AI193" s="162"/>
      <c r="AJ193" s="143"/>
      <c r="AK193" s="143"/>
      <c r="AL193" s="143"/>
      <c r="AM193" s="143"/>
      <c r="AN193" s="143"/>
      <c r="AO193" s="143"/>
      <c r="AP193" s="143"/>
      <c r="AQ193" s="143"/>
    </row>
    <row r="194" ht="22.5" customHeight="1">
      <c r="A194" s="144" t="s">
        <v>162</v>
      </c>
      <c r="B194" s="145">
        <v>45895.0</v>
      </c>
      <c r="C194" s="149" t="s">
        <v>869</v>
      </c>
      <c r="D194" s="208" t="s">
        <v>870</v>
      </c>
      <c r="E194" s="148" t="s">
        <v>28</v>
      </c>
      <c r="F194" s="149" t="s">
        <v>871</v>
      </c>
      <c r="G194" s="149">
        <v>5.1949796293E10</v>
      </c>
      <c r="H194" s="148" t="s">
        <v>257</v>
      </c>
      <c r="I194" s="150">
        <v>1.0</v>
      </c>
      <c r="J194" s="168">
        <v>5950.0</v>
      </c>
      <c r="K194" s="169">
        <f t="shared" si="1"/>
        <v>40</v>
      </c>
      <c r="L194" s="170">
        <v>5990.0</v>
      </c>
      <c r="M194" s="239">
        <v>5782.0</v>
      </c>
      <c r="N194" s="155">
        <v>1349.99</v>
      </c>
      <c r="O194" s="315">
        <f t="shared" si="31"/>
        <v>208</v>
      </c>
      <c r="P194" s="316">
        <f t="shared" si="32"/>
        <v>17</v>
      </c>
      <c r="Q194" s="510"/>
      <c r="R194" s="159"/>
      <c r="S194" s="318"/>
      <c r="T194" s="343">
        <v>23.0</v>
      </c>
      <c r="U194" s="343">
        <v>40.0</v>
      </c>
      <c r="V194" s="144" t="s">
        <v>584</v>
      </c>
      <c r="W194" s="148" t="s">
        <v>584</v>
      </c>
      <c r="X194" s="163"/>
      <c r="Y194" s="162"/>
      <c r="Z194" s="10" t="s">
        <v>872</v>
      </c>
      <c r="AA194" s="116"/>
      <c r="AB194" s="116"/>
      <c r="AC194" s="165"/>
      <c r="AD194" s="145" t="str">
        <f t="shared" si="17"/>
        <v>agosto</v>
      </c>
      <c r="AE194" s="144" t="s">
        <v>724</v>
      </c>
      <c r="AF194" s="149" t="b">
        <v>1</v>
      </c>
      <c r="AG194" s="166"/>
      <c r="AH194" s="149" t="b">
        <v>0</v>
      </c>
      <c r="AI194" s="162"/>
      <c r="AJ194" s="143"/>
      <c r="AK194" s="143"/>
      <c r="AL194" s="143"/>
      <c r="AM194" s="143"/>
      <c r="AN194" s="143"/>
      <c r="AO194" s="143"/>
      <c r="AP194" s="143"/>
      <c r="AQ194" s="143"/>
    </row>
    <row r="195" ht="22.5" hidden="1" customHeight="1">
      <c r="A195" s="144" t="s">
        <v>34</v>
      </c>
      <c r="B195" s="145">
        <v>45896.0</v>
      </c>
      <c r="C195" s="149" t="s">
        <v>873</v>
      </c>
      <c r="D195" s="329" t="s">
        <v>874</v>
      </c>
      <c r="E195" s="148" t="s">
        <v>28</v>
      </c>
      <c r="F195" s="351" t="s">
        <v>875</v>
      </c>
      <c r="G195" s="149" t="s">
        <v>876</v>
      </c>
      <c r="H195" s="148" t="s">
        <v>257</v>
      </c>
      <c r="I195" s="150">
        <v>0.5</v>
      </c>
      <c r="J195" s="168">
        <v>7399.0</v>
      </c>
      <c r="K195" s="169">
        <f t="shared" si="1"/>
        <v>7400</v>
      </c>
      <c r="L195" s="170">
        <v>14799.0</v>
      </c>
      <c r="M195" s="239">
        <v>14287.17</v>
      </c>
      <c r="N195" s="155">
        <v>3199.99</v>
      </c>
      <c r="O195" s="315">
        <f t="shared" si="31"/>
        <v>511.83</v>
      </c>
      <c r="P195" s="316">
        <f t="shared" si="32"/>
        <v>0</v>
      </c>
      <c r="Q195" s="317"/>
      <c r="R195" s="159"/>
      <c r="S195" s="318"/>
      <c r="T195" s="319"/>
      <c r="U195" s="315"/>
      <c r="V195" s="144" t="s">
        <v>584</v>
      </c>
      <c r="W195" s="148"/>
      <c r="X195" s="163"/>
      <c r="Y195" s="144" t="s">
        <v>584</v>
      </c>
      <c r="Z195" s="164"/>
      <c r="AA195" s="116"/>
      <c r="AB195" s="116"/>
      <c r="AC195" s="165"/>
      <c r="AD195" s="145" t="str">
        <f t="shared" si="17"/>
        <v>agosto</v>
      </c>
      <c r="AE195" s="144" t="s">
        <v>724</v>
      </c>
      <c r="AF195" s="149" t="b">
        <v>1</v>
      </c>
      <c r="AG195" s="166"/>
      <c r="AH195" s="149" t="b">
        <v>0</v>
      </c>
      <c r="AI195" s="162"/>
      <c r="AJ195" s="143"/>
      <c r="AK195" s="143"/>
      <c r="AL195" s="143"/>
      <c r="AM195" s="143"/>
      <c r="AN195" s="143"/>
      <c r="AO195" s="143"/>
      <c r="AP195" s="143"/>
      <c r="AQ195" s="143"/>
    </row>
    <row r="196" ht="22.5" hidden="1" customHeight="1">
      <c r="A196" s="434" t="s">
        <v>34</v>
      </c>
      <c r="B196" s="435">
        <v>45896.0</v>
      </c>
      <c r="C196" s="527" t="s">
        <v>756</v>
      </c>
      <c r="D196" s="437" t="s">
        <v>877</v>
      </c>
      <c r="E196" s="438" t="s">
        <v>28</v>
      </c>
      <c r="F196" s="605" t="s">
        <v>878</v>
      </c>
      <c r="G196" s="440">
        <v>5.1954104553E10</v>
      </c>
      <c r="H196" s="148" t="s">
        <v>257</v>
      </c>
      <c r="I196" s="498">
        <v>1.0</v>
      </c>
      <c r="J196" s="168">
        <v>7799.0</v>
      </c>
      <c r="K196" s="441">
        <f t="shared" si="1"/>
        <v>0</v>
      </c>
      <c r="L196" s="170">
        <v>7799.0</v>
      </c>
      <c r="M196" s="239">
        <v>7338.0</v>
      </c>
      <c r="N196" s="155">
        <v>1649.99</v>
      </c>
      <c r="O196" s="442">
        <f t="shared" si="31"/>
        <v>461</v>
      </c>
      <c r="P196" s="316">
        <f t="shared" si="32"/>
        <v>0</v>
      </c>
      <c r="Q196" s="317"/>
      <c r="R196" s="159"/>
      <c r="S196" s="318"/>
      <c r="T196" s="443"/>
      <c r="U196" s="442"/>
      <c r="V196" s="434" t="s">
        <v>584</v>
      </c>
      <c r="W196" s="438"/>
      <c r="X196" s="445"/>
      <c r="Y196" s="444"/>
      <c r="Z196" s="450"/>
      <c r="AA196" s="447"/>
      <c r="AB196" s="447"/>
      <c r="AC196" s="575"/>
      <c r="AD196" s="435" t="str">
        <f t="shared" si="17"/>
        <v>agosto</v>
      </c>
      <c r="AE196" s="434" t="s">
        <v>724</v>
      </c>
      <c r="AF196" s="440" t="b">
        <v>1</v>
      </c>
      <c r="AG196" s="166"/>
      <c r="AH196" s="149" t="b">
        <v>0</v>
      </c>
      <c r="AI196" s="162"/>
      <c r="AJ196" s="448"/>
      <c r="AK196" s="448"/>
      <c r="AL196" s="448"/>
      <c r="AM196" s="448"/>
      <c r="AN196" s="448"/>
      <c r="AO196" s="448"/>
      <c r="AP196" s="448"/>
      <c r="AQ196" s="448"/>
    </row>
    <row r="197" ht="22.5" hidden="1" customHeight="1">
      <c r="A197" s="593" t="s">
        <v>34</v>
      </c>
      <c r="B197" s="594">
        <v>45896.0</v>
      </c>
      <c r="C197" s="606" t="s">
        <v>879</v>
      </c>
      <c r="D197" s="607" t="s">
        <v>880</v>
      </c>
      <c r="E197" s="398" t="s">
        <v>28</v>
      </c>
      <c r="F197" s="604" t="s">
        <v>881</v>
      </c>
      <c r="G197" s="397" t="s">
        <v>882</v>
      </c>
      <c r="H197" s="148" t="s">
        <v>257</v>
      </c>
      <c r="I197" s="598">
        <v>0.2</v>
      </c>
      <c r="J197" s="168">
        <v>1320.0</v>
      </c>
      <c r="K197" s="399">
        <f t="shared" si="1"/>
        <v>5279</v>
      </c>
      <c r="L197" s="170">
        <v>6599.0</v>
      </c>
      <c r="M197" s="239">
        <v>6143.39</v>
      </c>
      <c r="N197" s="155">
        <v>1299.99</v>
      </c>
      <c r="O197" s="400">
        <f>L197-M197-P197</f>
        <v>455.61</v>
      </c>
      <c r="P197" s="316">
        <f t="shared" si="32"/>
        <v>0</v>
      </c>
      <c r="Q197" s="345"/>
      <c r="R197" s="159"/>
      <c r="S197" s="318"/>
      <c r="T197" s="608">
        <v>30.0</v>
      </c>
      <c r="U197" s="609">
        <v>30.0</v>
      </c>
      <c r="V197" s="593" t="s">
        <v>584</v>
      </c>
      <c r="W197" s="398"/>
      <c r="X197" s="599"/>
      <c r="Y197" s="593" t="s">
        <v>584</v>
      </c>
      <c r="Z197" s="402"/>
      <c r="AA197" s="403"/>
      <c r="AB197" s="403"/>
      <c r="AC197" s="397" t="s">
        <v>883</v>
      </c>
      <c r="AD197" s="594" t="str">
        <f t="shared" si="17"/>
        <v>agosto</v>
      </c>
      <c r="AE197" s="593" t="s">
        <v>724</v>
      </c>
      <c r="AF197" s="397" t="b">
        <v>1</v>
      </c>
      <c r="AG197" s="166"/>
      <c r="AH197" s="149" t="b">
        <v>0</v>
      </c>
      <c r="AI197" s="162"/>
      <c r="AJ197" s="405"/>
      <c r="AK197" s="405"/>
      <c r="AL197" s="405"/>
      <c r="AM197" s="405"/>
      <c r="AN197" s="405"/>
      <c r="AO197" s="405"/>
      <c r="AP197" s="405"/>
      <c r="AQ197" s="405"/>
    </row>
    <row r="198" ht="22.5" hidden="1" customHeight="1">
      <c r="A198" s="144" t="s">
        <v>259</v>
      </c>
      <c r="B198" s="145">
        <v>45896.0</v>
      </c>
      <c r="C198" s="610" t="s">
        <v>884</v>
      </c>
      <c r="D198" s="208" t="s">
        <v>885</v>
      </c>
      <c r="E198" s="148" t="s">
        <v>28</v>
      </c>
      <c r="F198" s="591" t="s">
        <v>886</v>
      </c>
      <c r="G198" s="611" t="s">
        <v>887</v>
      </c>
      <c r="H198" s="148" t="s">
        <v>257</v>
      </c>
      <c r="I198" s="150">
        <v>0.2</v>
      </c>
      <c r="J198" s="612">
        <v>1099.8</v>
      </c>
      <c r="K198" s="169">
        <f t="shared" si="1"/>
        <v>4399.2</v>
      </c>
      <c r="L198" s="613">
        <v>5499.0</v>
      </c>
      <c r="M198" s="449">
        <v>5458.0</v>
      </c>
      <c r="N198" s="277"/>
      <c r="O198" s="315"/>
      <c r="P198" s="316">
        <f t="shared" si="32"/>
        <v>11</v>
      </c>
      <c r="Q198" s="510"/>
      <c r="R198" s="159"/>
      <c r="S198" s="318"/>
      <c r="T198" s="347">
        <v>30.0</v>
      </c>
      <c r="U198" s="343">
        <v>41.0</v>
      </c>
      <c r="V198" s="144" t="s">
        <v>584</v>
      </c>
      <c r="W198" s="194" t="s">
        <v>584</v>
      </c>
      <c r="X198" s="195"/>
      <c r="Y198" s="162"/>
      <c r="Z198" s="164"/>
      <c r="AA198" s="116"/>
      <c r="AB198" s="116"/>
      <c r="AC198" s="165"/>
      <c r="AD198" s="145" t="str">
        <f t="shared" si="17"/>
        <v>agosto</v>
      </c>
      <c r="AE198" s="144" t="s">
        <v>724</v>
      </c>
      <c r="AF198" s="149" t="b">
        <v>1</v>
      </c>
      <c r="AG198" s="166"/>
      <c r="AH198" s="149" t="b">
        <v>0</v>
      </c>
      <c r="AI198" s="162"/>
      <c r="AJ198" s="143"/>
      <c r="AK198" s="143"/>
      <c r="AL198" s="143"/>
      <c r="AM198" s="143"/>
      <c r="AN198" s="143"/>
      <c r="AO198" s="143"/>
      <c r="AP198" s="143"/>
      <c r="AQ198" s="143"/>
    </row>
    <row r="199" ht="22.5" customHeight="1">
      <c r="A199" s="144" t="s">
        <v>162</v>
      </c>
      <c r="B199" s="145">
        <v>45897.0</v>
      </c>
      <c r="C199" s="149" t="s">
        <v>888</v>
      </c>
      <c r="D199" s="329" t="s">
        <v>889</v>
      </c>
      <c r="E199" s="148" t="s">
        <v>28</v>
      </c>
      <c r="F199" s="262" t="s">
        <v>890</v>
      </c>
      <c r="G199" s="149">
        <v>9.4156237E8</v>
      </c>
      <c r="H199" s="148" t="s">
        <v>257</v>
      </c>
      <c r="I199" s="150">
        <v>0.2</v>
      </c>
      <c r="J199" s="614">
        <v>1000.0</v>
      </c>
      <c r="K199" s="169">
        <f t="shared" si="1"/>
        <v>3999</v>
      </c>
      <c r="L199" s="613">
        <v>4999.0</v>
      </c>
      <c r="M199" s="449">
        <v>4861.5</v>
      </c>
      <c r="N199" s="155">
        <v>1099.99</v>
      </c>
      <c r="O199" s="315">
        <f t="shared" ref="O199:O200" si="33">L199-M199</f>
        <v>137.5</v>
      </c>
      <c r="P199" s="316">
        <f t="shared" si="32"/>
        <v>0</v>
      </c>
      <c r="Q199" s="321"/>
      <c r="R199" s="159"/>
      <c r="S199" s="318"/>
      <c r="T199" s="319"/>
      <c r="U199" s="315"/>
      <c r="V199" s="144" t="s">
        <v>584</v>
      </c>
      <c r="W199" s="148" t="s">
        <v>584</v>
      </c>
      <c r="X199" s="163"/>
      <c r="Y199" s="144" t="s">
        <v>584</v>
      </c>
      <c r="Z199" s="164"/>
      <c r="AA199" s="116"/>
      <c r="AB199" s="116"/>
      <c r="AC199" s="149" t="s">
        <v>891</v>
      </c>
      <c r="AD199" s="145" t="str">
        <f t="shared" si="17"/>
        <v>agosto</v>
      </c>
      <c r="AE199" s="144" t="s">
        <v>724</v>
      </c>
      <c r="AF199" s="149" t="b">
        <v>1</v>
      </c>
      <c r="AG199" s="166"/>
      <c r="AH199" s="149" t="b">
        <v>0</v>
      </c>
      <c r="AI199" s="162"/>
      <c r="AJ199" s="143"/>
      <c r="AK199" s="143"/>
      <c r="AL199" s="143"/>
      <c r="AM199" s="143"/>
      <c r="AN199" s="143"/>
      <c r="AO199" s="143"/>
      <c r="AP199" s="143"/>
      <c r="AQ199" s="143"/>
    </row>
    <row r="200" ht="22.5" hidden="1" customHeight="1">
      <c r="A200" s="144" t="s">
        <v>259</v>
      </c>
      <c r="B200" s="145">
        <v>45897.0</v>
      </c>
      <c r="C200" s="615" t="s">
        <v>593</v>
      </c>
      <c r="D200" s="329" t="s">
        <v>892</v>
      </c>
      <c r="E200" s="148" t="s">
        <v>28</v>
      </c>
      <c r="F200" s="616" t="s">
        <v>893</v>
      </c>
      <c r="G200" s="611" t="s">
        <v>894</v>
      </c>
      <c r="H200" s="148" t="s">
        <v>257</v>
      </c>
      <c r="I200" s="150">
        <v>0.2</v>
      </c>
      <c r="J200" s="312">
        <v>1179.8</v>
      </c>
      <c r="K200" s="169">
        <f t="shared" si="1"/>
        <v>4719.2</v>
      </c>
      <c r="L200" s="170">
        <v>5899.0</v>
      </c>
      <c r="M200" s="449">
        <v>5077.0</v>
      </c>
      <c r="N200" s="277"/>
      <c r="O200" s="315">
        <f t="shared" si="33"/>
        <v>822</v>
      </c>
      <c r="P200" s="316">
        <f t="shared" si="32"/>
        <v>0</v>
      </c>
      <c r="Q200" s="321"/>
      <c r="R200" s="159"/>
      <c r="S200" s="318"/>
      <c r="T200" s="319"/>
      <c r="U200" s="315"/>
      <c r="V200" s="144" t="s">
        <v>584</v>
      </c>
      <c r="W200" s="194" t="s">
        <v>584</v>
      </c>
      <c r="X200" s="195"/>
      <c r="Y200" s="144" t="s">
        <v>584</v>
      </c>
      <c r="Z200" s="164"/>
      <c r="AA200" s="116"/>
      <c r="AB200" s="116"/>
      <c r="AC200" s="165"/>
      <c r="AE200" s="144" t="s">
        <v>724</v>
      </c>
      <c r="AF200" s="149" t="b">
        <v>1</v>
      </c>
      <c r="AG200" s="166"/>
      <c r="AH200" s="149" t="b">
        <v>0</v>
      </c>
      <c r="AI200" s="162"/>
      <c r="AJ200" s="143"/>
      <c r="AK200" s="143"/>
      <c r="AL200" s="143"/>
      <c r="AM200" s="143"/>
      <c r="AN200" s="143"/>
      <c r="AO200" s="143"/>
      <c r="AP200" s="143"/>
      <c r="AQ200" s="143"/>
    </row>
    <row r="201" ht="22.5" hidden="1" customHeight="1">
      <c r="A201" s="593" t="s">
        <v>34</v>
      </c>
      <c r="B201" s="594">
        <v>45898.0</v>
      </c>
      <c r="C201" s="397" t="s">
        <v>895</v>
      </c>
      <c r="D201" s="603" t="s">
        <v>896</v>
      </c>
      <c r="E201" s="398" t="s">
        <v>28</v>
      </c>
      <c r="F201" s="604" t="s">
        <v>897</v>
      </c>
      <c r="G201" s="397">
        <v>5.1987198531E10</v>
      </c>
      <c r="H201" s="148" t="s">
        <v>257</v>
      </c>
      <c r="I201" s="598">
        <v>0.2</v>
      </c>
      <c r="J201" s="168">
        <v>1063.3</v>
      </c>
      <c r="K201" s="399">
        <f t="shared" si="1"/>
        <v>4253.21</v>
      </c>
      <c r="L201" s="170">
        <v>5316.51</v>
      </c>
      <c r="M201" s="239">
        <v>4996.38</v>
      </c>
      <c r="N201" s="155">
        <v>1143.0</v>
      </c>
      <c r="O201" s="400">
        <f>L201-M201-P201</f>
        <v>320.13</v>
      </c>
      <c r="P201" s="316">
        <f t="shared" si="32"/>
        <v>0</v>
      </c>
      <c r="Q201" s="345"/>
      <c r="R201" s="159"/>
      <c r="S201" s="318"/>
      <c r="T201" s="608">
        <v>30.0</v>
      </c>
      <c r="U201" s="609">
        <v>30.0</v>
      </c>
      <c r="V201" s="593" t="s">
        <v>584</v>
      </c>
      <c r="W201" s="398" t="s">
        <v>584</v>
      </c>
      <c r="X201" s="599"/>
      <c r="Y201" s="593" t="s">
        <v>584</v>
      </c>
      <c r="Z201" s="402"/>
      <c r="AA201" s="403"/>
      <c r="AB201" s="403"/>
      <c r="AC201" s="397" t="s">
        <v>898</v>
      </c>
      <c r="AD201" s="617"/>
      <c r="AE201" s="593" t="s">
        <v>899</v>
      </c>
      <c r="AF201" s="397" t="b">
        <v>1</v>
      </c>
      <c r="AG201" s="166"/>
      <c r="AH201" s="149" t="b">
        <v>0</v>
      </c>
      <c r="AI201" s="162"/>
      <c r="AJ201" s="405"/>
      <c r="AK201" s="405"/>
      <c r="AL201" s="405"/>
      <c r="AM201" s="405"/>
      <c r="AN201" s="405"/>
      <c r="AO201" s="405"/>
      <c r="AP201" s="405"/>
      <c r="AQ201" s="405"/>
    </row>
    <row r="202" ht="22.5" customHeight="1">
      <c r="A202" s="144" t="s">
        <v>162</v>
      </c>
      <c r="B202" s="145">
        <v>45898.0</v>
      </c>
      <c r="C202" s="149" t="s">
        <v>900</v>
      </c>
      <c r="D202" s="208" t="s">
        <v>901</v>
      </c>
      <c r="E202" s="148" t="s">
        <v>28</v>
      </c>
      <c r="F202" s="262" t="s">
        <v>902</v>
      </c>
      <c r="G202" s="149">
        <v>5.1961208275E10</v>
      </c>
      <c r="H202" s="148" t="s">
        <v>257</v>
      </c>
      <c r="I202" s="150">
        <v>1.0</v>
      </c>
      <c r="J202" s="168">
        <v>6599.0</v>
      </c>
      <c r="K202" s="169">
        <f t="shared" si="1"/>
        <v>0</v>
      </c>
      <c r="L202" s="170">
        <v>6599.0</v>
      </c>
      <c r="M202" s="239">
        <v>6263.18</v>
      </c>
      <c r="N202" s="155">
        <v>1499.99</v>
      </c>
      <c r="O202" s="315">
        <f t="shared" ref="O202:O203" si="34">L202-M202</f>
        <v>335.82</v>
      </c>
      <c r="P202" s="316">
        <f t="shared" si="32"/>
        <v>0</v>
      </c>
      <c r="Q202" s="321"/>
      <c r="R202" s="159"/>
      <c r="S202" s="318"/>
      <c r="T202" s="319"/>
      <c r="U202" s="315"/>
      <c r="V202" s="144" t="s">
        <v>584</v>
      </c>
      <c r="W202" s="148" t="s">
        <v>584</v>
      </c>
      <c r="X202" s="163"/>
      <c r="Y202" s="144" t="s">
        <v>584</v>
      </c>
      <c r="Z202" s="164"/>
      <c r="AA202" s="116"/>
      <c r="AB202" s="116"/>
      <c r="AC202" s="165"/>
      <c r="AD202" s="145" t="str">
        <f t="shared" ref="AD202:AD244" si="35">TEXT(B202,"mmmm")</f>
        <v>agosto</v>
      </c>
      <c r="AE202" s="144" t="s">
        <v>899</v>
      </c>
      <c r="AF202" s="149" t="b">
        <v>1</v>
      </c>
      <c r="AG202" s="166"/>
      <c r="AH202" s="149" t="b">
        <v>0</v>
      </c>
      <c r="AI202" s="162"/>
      <c r="AJ202" s="143"/>
      <c r="AK202" s="143"/>
      <c r="AL202" s="143"/>
      <c r="AM202" s="143"/>
      <c r="AN202" s="143"/>
      <c r="AO202" s="143"/>
      <c r="AP202" s="143"/>
      <c r="AQ202" s="143"/>
    </row>
    <row r="203" ht="22.5" customHeight="1">
      <c r="A203" s="144" t="s">
        <v>162</v>
      </c>
      <c r="B203" s="145">
        <v>45898.0</v>
      </c>
      <c r="C203" s="618" t="s">
        <v>903</v>
      </c>
      <c r="D203" s="208" t="s">
        <v>904</v>
      </c>
      <c r="E203" s="148" t="s">
        <v>28</v>
      </c>
      <c r="F203" s="619" t="s">
        <v>905</v>
      </c>
      <c r="G203" s="149">
        <v>5.1947408727E10</v>
      </c>
      <c r="H203" s="148" t="s">
        <v>257</v>
      </c>
      <c r="I203" s="150">
        <v>1.0</v>
      </c>
      <c r="J203" s="168">
        <v>7360.0</v>
      </c>
      <c r="K203" s="169">
        <f t="shared" si="1"/>
        <v>0</v>
      </c>
      <c r="L203" s="170">
        <v>7360.0</v>
      </c>
      <c r="M203" s="239">
        <v>6851.53</v>
      </c>
      <c r="N203" s="155">
        <v>1299.99</v>
      </c>
      <c r="O203" s="315">
        <f t="shared" si="34"/>
        <v>508.47</v>
      </c>
      <c r="P203" s="316">
        <f t="shared" si="32"/>
        <v>0</v>
      </c>
      <c r="Q203" s="321"/>
      <c r="R203" s="159"/>
      <c r="S203" s="318"/>
      <c r="T203" s="319"/>
      <c r="U203" s="315"/>
      <c r="V203" s="144" t="s">
        <v>584</v>
      </c>
      <c r="W203" s="148" t="s">
        <v>584</v>
      </c>
      <c r="X203" s="163"/>
      <c r="Y203" s="144" t="s">
        <v>584</v>
      </c>
      <c r="Z203" s="10"/>
      <c r="AA203" s="116"/>
      <c r="AB203" s="116"/>
      <c r="AC203" s="620" t="s">
        <v>811</v>
      </c>
      <c r="AD203" s="145" t="str">
        <f t="shared" si="35"/>
        <v>agosto</v>
      </c>
      <c r="AE203" s="144" t="s">
        <v>899</v>
      </c>
      <c r="AF203" s="149" t="b">
        <v>1</v>
      </c>
      <c r="AG203" s="166"/>
      <c r="AH203" s="149" t="b">
        <v>0</v>
      </c>
      <c r="AI203" s="162"/>
      <c r="AJ203" s="143"/>
      <c r="AK203" s="143"/>
      <c r="AL203" s="143"/>
      <c r="AM203" s="143"/>
      <c r="AN203" s="143"/>
      <c r="AO203" s="143"/>
      <c r="AP203" s="143"/>
      <c r="AQ203" s="143"/>
    </row>
    <row r="204" ht="22.5" hidden="1" customHeight="1">
      <c r="A204" s="593" t="s">
        <v>34</v>
      </c>
      <c r="B204" s="594">
        <v>45898.0</v>
      </c>
      <c r="C204" s="621" t="s">
        <v>906</v>
      </c>
      <c r="D204" s="596" t="s">
        <v>907</v>
      </c>
      <c r="E204" s="398" t="s">
        <v>28</v>
      </c>
      <c r="F204" s="622" t="s">
        <v>908</v>
      </c>
      <c r="G204" s="397" t="s">
        <v>909</v>
      </c>
      <c r="H204" s="148" t="s">
        <v>257</v>
      </c>
      <c r="I204" s="598">
        <v>0.2</v>
      </c>
      <c r="J204" s="168">
        <v>1100.0</v>
      </c>
      <c r="K204" s="399">
        <f t="shared" si="1"/>
        <v>4399</v>
      </c>
      <c r="L204" s="170">
        <v>5499.0</v>
      </c>
      <c r="M204" s="239">
        <v>5154.3</v>
      </c>
      <c r="N204" s="155">
        <v>1189.99</v>
      </c>
      <c r="O204" s="400">
        <f>L204-M204-S204</f>
        <v>344.7</v>
      </c>
      <c r="P204" s="316">
        <f t="shared" si="32"/>
        <v>0</v>
      </c>
      <c r="Q204" s="317"/>
      <c r="R204" s="159"/>
      <c r="S204" s="346"/>
      <c r="T204" s="401"/>
      <c r="U204" s="400"/>
      <c r="V204" s="593" t="s">
        <v>584</v>
      </c>
      <c r="W204" s="398" t="s">
        <v>584</v>
      </c>
      <c r="X204" s="599"/>
      <c r="Y204" s="593"/>
      <c r="Z204" s="402"/>
      <c r="AA204" s="403"/>
      <c r="AB204" s="403"/>
      <c r="AC204" s="397" t="s">
        <v>910</v>
      </c>
      <c r="AD204" s="594" t="str">
        <f t="shared" si="35"/>
        <v>agosto</v>
      </c>
      <c r="AE204" s="593" t="s">
        <v>899</v>
      </c>
      <c r="AF204" s="397" t="b">
        <v>1</v>
      </c>
      <c r="AG204" s="166"/>
      <c r="AH204" s="149" t="b">
        <v>0</v>
      </c>
      <c r="AI204" s="162"/>
      <c r="AJ204" s="405"/>
      <c r="AK204" s="405"/>
      <c r="AL204" s="405"/>
      <c r="AM204" s="405"/>
      <c r="AN204" s="405"/>
      <c r="AO204" s="405"/>
      <c r="AP204" s="405"/>
      <c r="AQ204" s="405"/>
    </row>
    <row r="205" ht="22.5" hidden="1" customHeight="1">
      <c r="A205" s="422" t="s">
        <v>34</v>
      </c>
      <c r="B205" s="209">
        <v>45901.0</v>
      </c>
      <c r="C205" s="623" t="s">
        <v>911</v>
      </c>
      <c r="D205" s="624" t="s">
        <v>912</v>
      </c>
      <c r="E205" s="424" t="s">
        <v>28</v>
      </c>
      <c r="F205" s="625" t="s">
        <v>913</v>
      </c>
      <c r="G205" s="378">
        <v>5.1947660504E10</v>
      </c>
      <c r="H205" s="148" t="s">
        <v>257</v>
      </c>
      <c r="I205" s="426">
        <v>0.2</v>
      </c>
      <c r="J205" s="168">
        <v>1160.0</v>
      </c>
      <c r="K205" s="399">
        <f t="shared" si="1"/>
        <v>4639</v>
      </c>
      <c r="L205" s="170">
        <v>5799.0</v>
      </c>
      <c r="M205" s="239">
        <v>5437.0</v>
      </c>
      <c r="N205" s="155">
        <v>1274.99</v>
      </c>
      <c r="O205" s="428">
        <f t="shared" ref="O205:O209" si="36">L205-M205</f>
        <v>362</v>
      </c>
      <c r="P205" s="316">
        <f t="shared" si="32"/>
        <v>0</v>
      </c>
      <c r="Q205" s="317"/>
      <c r="R205" s="159"/>
      <c r="S205" s="318"/>
      <c r="T205" s="429"/>
      <c r="U205" s="428"/>
      <c r="V205" s="422" t="s">
        <v>584</v>
      </c>
      <c r="W205" s="424" t="s">
        <v>584</v>
      </c>
      <c r="X205" s="626"/>
      <c r="Y205" s="422" t="s">
        <v>584</v>
      </c>
      <c r="Z205" s="164"/>
      <c r="AA205" s="116"/>
      <c r="AB205" s="116"/>
      <c r="AC205" s="627"/>
      <c r="AD205" s="209" t="str">
        <f t="shared" si="35"/>
        <v>septiembre</v>
      </c>
      <c r="AE205" s="422" t="s">
        <v>899</v>
      </c>
      <c r="AF205" s="378" t="b">
        <v>1</v>
      </c>
      <c r="AG205" s="166"/>
      <c r="AH205" s="149" t="b">
        <v>0</v>
      </c>
      <c r="AI205" s="162"/>
      <c r="AJ205" s="143"/>
      <c r="AK205" s="143"/>
      <c r="AL205" s="143"/>
      <c r="AM205" s="143"/>
      <c r="AN205" s="143"/>
      <c r="AO205" s="143"/>
      <c r="AP205" s="143"/>
      <c r="AQ205" s="143"/>
    </row>
    <row r="206" ht="22.5" customHeight="1">
      <c r="A206" s="144" t="s">
        <v>162</v>
      </c>
      <c r="B206" s="145">
        <v>45902.0</v>
      </c>
      <c r="C206" s="615" t="s">
        <v>911</v>
      </c>
      <c r="D206" s="208" t="s">
        <v>914</v>
      </c>
      <c r="E206" s="148" t="s">
        <v>28</v>
      </c>
      <c r="F206" s="149" t="s">
        <v>915</v>
      </c>
      <c r="G206" s="149" t="s">
        <v>916</v>
      </c>
      <c r="H206" s="148" t="s">
        <v>257</v>
      </c>
      <c r="I206" s="150">
        <v>0.2</v>
      </c>
      <c r="J206" s="168">
        <v>1160.0</v>
      </c>
      <c r="K206" s="169">
        <f t="shared" si="1"/>
        <v>4639</v>
      </c>
      <c r="L206" s="170">
        <v>5799.0</v>
      </c>
      <c r="M206" s="239">
        <v>5437.0</v>
      </c>
      <c r="N206" s="155">
        <v>1274.99</v>
      </c>
      <c r="O206" s="315">
        <f t="shared" si="36"/>
        <v>362</v>
      </c>
      <c r="P206" s="316">
        <f t="shared" si="32"/>
        <v>5</v>
      </c>
      <c r="Q206" s="510"/>
      <c r="R206" s="159"/>
      <c r="S206" s="318"/>
      <c r="T206" s="347">
        <v>20.0</v>
      </c>
      <c r="U206" s="343">
        <v>25.0</v>
      </c>
      <c r="V206" s="144" t="s">
        <v>584</v>
      </c>
      <c r="W206" s="148" t="s">
        <v>584</v>
      </c>
      <c r="X206" s="163"/>
      <c r="Y206" s="144" t="s">
        <v>584</v>
      </c>
      <c r="Z206" s="10" t="s">
        <v>917</v>
      </c>
      <c r="AA206" s="116"/>
      <c r="AB206" s="116"/>
      <c r="AC206" s="165"/>
      <c r="AD206" s="145" t="str">
        <f t="shared" si="35"/>
        <v>septiembre</v>
      </c>
      <c r="AE206" s="144" t="s">
        <v>899</v>
      </c>
      <c r="AF206" s="149" t="b">
        <v>1</v>
      </c>
      <c r="AG206" s="166"/>
      <c r="AH206" s="149" t="b">
        <v>0</v>
      </c>
      <c r="AI206" s="162"/>
      <c r="AJ206" s="143"/>
      <c r="AK206" s="143"/>
      <c r="AL206" s="143"/>
      <c r="AM206" s="143"/>
      <c r="AN206" s="143"/>
      <c r="AO206" s="143"/>
      <c r="AP206" s="143"/>
      <c r="AQ206" s="143"/>
    </row>
    <row r="207" ht="22.5" customHeight="1">
      <c r="A207" s="144" t="s">
        <v>162</v>
      </c>
      <c r="B207" s="145">
        <v>45902.0</v>
      </c>
      <c r="C207" s="149" t="s">
        <v>918</v>
      </c>
      <c r="D207" s="329" t="s">
        <v>919</v>
      </c>
      <c r="E207" s="148" t="s">
        <v>28</v>
      </c>
      <c r="F207" s="149" t="s">
        <v>920</v>
      </c>
      <c r="G207" s="149">
        <v>5.197547796E10</v>
      </c>
      <c r="H207" s="148" t="s">
        <v>257</v>
      </c>
      <c r="I207" s="150">
        <v>1.0</v>
      </c>
      <c r="J207" s="168">
        <v>5699.0</v>
      </c>
      <c r="K207" s="169">
        <f t="shared" si="1"/>
        <v>0</v>
      </c>
      <c r="L207" s="170">
        <v>5699.0</v>
      </c>
      <c r="M207" s="239">
        <v>5077.0</v>
      </c>
      <c r="N207" s="155">
        <v>1149.99</v>
      </c>
      <c r="O207" s="315">
        <f t="shared" si="36"/>
        <v>622</v>
      </c>
      <c r="P207" s="316">
        <f t="shared" si="32"/>
        <v>5</v>
      </c>
      <c r="Q207" s="510"/>
      <c r="R207" s="159"/>
      <c r="S207" s="318"/>
      <c r="T207" s="347">
        <v>30.0</v>
      </c>
      <c r="U207" s="343">
        <v>35.0</v>
      </c>
      <c r="V207" s="144" t="s">
        <v>584</v>
      </c>
      <c r="W207" s="148" t="s">
        <v>584</v>
      </c>
      <c r="X207" s="163"/>
      <c r="Y207" s="144" t="s">
        <v>584</v>
      </c>
      <c r="Z207" s="10" t="s">
        <v>921</v>
      </c>
      <c r="AA207" s="116"/>
      <c r="AB207" s="116"/>
      <c r="AC207" s="149" t="s">
        <v>922</v>
      </c>
      <c r="AD207" s="145" t="str">
        <f t="shared" si="35"/>
        <v>septiembre</v>
      </c>
      <c r="AE207" s="144" t="s">
        <v>899</v>
      </c>
      <c r="AF207" s="149" t="b">
        <v>1</v>
      </c>
      <c r="AG207" s="166"/>
      <c r="AH207" s="149" t="b">
        <v>0</v>
      </c>
      <c r="AI207" s="162"/>
      <c r="AJ207" s="143"/>
      <c r="AK207" s="143"/>
      <c r="AL207" s="143"/>
      <c r="AM207" s="143"/>
      <c r="AN207" s="143"/>
      <c r="AO207" s="143"/>
      <c r="AP207" s="143"/>
      <c r="AQ207" s="143"/>
    </row>
    <row r="208" ht="22.5" customHeight="1">
      <c r="A208" s="144" t="s">
        <v>162</v>
      </c>
      <c r="B208" s="145">
        <v>45902.0</v>
      </c>
      <c r="C208" s="149" t="s">
        <v>923</v>
      </c>
      <c r="D208" s="208" t="s">
        <v>924</v>
      </c>
      <c r="E208" s="148" t="s">
        <v>28</v>
      </c>
      <c r="F208" s="149" t="s">
        <v>925</v>
      </c>
      <c r="G208" s="149" t="s">
        <v>926</v>
      </c>
      <c r="H208" s="148" t="s">
        <v>257</v>
      </c>
      <c r="I208" s="150">
        <v>1.0</v>
      </c>
      <c r="J208" s="168">
        <v>8199.0</v>
      </c>
      <c r="K208" s="169">
        <f t="shared" si="1"/>
        <v>0</v>
      </c>
      <c r="L208" s="170">
        <v>8199.0</v>
      </c>
      <c r="M208" s="239">
        <v>7566.0</v>
      </c>
      <c r="N208" s="155">
        <v>1599.99</v>
      </c>
      <c r="O208" s="315">
        <f t="shared" si="36"/>
        <v>633</v>
      </c>
      <c r="P208" s="316">
        <f t="shared" si="32"/>
        <v>0</v>
      </c>
      <c r="Q208" s="510"/>
      <c r="R208" s="159"/>
      <c r="S208" s="346">
        <v>349.0</v>
      </c>
      <c r="T208" s="347">
        <v>10.0</v>
      </c>
      <c r="U208" s="343">
        <v>10.0</v>
      </c>
      <c r="V208" s="365" t="s">
        <v>584</v>
      </c>
      <c r="W208" s="367" t="s">
        <v>584</v>
      </c>
      <c r="X208" s="576"/>
      <c r="Y208" s="375"/>
      <c r="Z208" s="10" t="s">
        <v>927</v>
      </c>
      <c r="AA208" s="116"/>
      <c r="AB208" s="116"/>
      <c r="AC208" s="388"/>
      <c r="AD208" s="145" t="str">
        <f t="shared" si="35"/>
        <v>septiembre</v>
      </c>
      <c r="AE208" s="365" t="s">
        <v>899</v>
      </c>
      <c r="AF208" s="368" t="b">
        <v>1</v>
      </c>
      <c r="AG208" s="166"/>
      <c r="AH208" s="149" t="b">
        <v>0</v>
      </c>
      <c r="AI208" s="162"/>
      <c r="AJ208" s="143"/>
      <c r="AK208" s="143"/>
      <c r="AL208" s="143"/>
      <c r="AM208" s="143"/>
      <c r="AN208" s="143"/>
      <c r="AO208" s="143"/>
      <c r="AP208" s="143"/>
      <c r="AQ208" s="143"/>
    </row>
    <row r="209" ht="22.5" customHeight="1">
      <c r="A209" s="144" t="s">
        <v>162</v>
      </c>
      <c r="B209" s="145">
        <v>45903.0</v>
      </c>
      <c r="C209" s="149" t="s">
        <v>617</v>
      </c>
      <c r="D209" s="329" t="s">
        <v>928</v>
      </c>
      <c r="E209" s="148" t="s">
        <v>28</v>
      </c>
      <c r="F209" s="149" t="s">
        <v>929</v>
      </c>
      <c r="G209" s="149">
        <v>5.1952636699E10</v>
      </c>
      <c r="H209" s="148" t="s">
        <v>257</v>
      </c>
      <c r="I209" s="150">
        <v>0.3</v>
      </c>
      <c r="J209" s="628">
        <v>2969.7</v>
      </c>
      <c r="K209" s="169">
        <f t="shared" si="1"/>
        <v>6929.3</v>
      </c>
      <c r="L209" s="170">
        <v>9899.0</v>
      </c>
      <c r="M209" s="239">
        <v>9377.0</v>
      </c>
      <c r="N209" s="155">
        <v>2159.99</v>
      </c>
      <c r="O209" s="315">
        <f t="shared" si="36"/>
        <v>522</v>
      </c>
      <c r="P209" s="316">
        <f t="shared" si="32"/>
        <v>0</v>
      </c>
      <c r="Q209" s="321"/>
      <c r="R209" s="159"/>
      <c r="S209" s="318"/>
      <c r="T209" s="319"/>
      <c r="U209" s="315"/>
      <c r="V209" s="144" t="s">
        <v>584</v>
      </c>
      <c r="W209" s="148" t="s">
        <v>584</v>
      </c>
      <c r="X209" s="163"/>
      <c r="Y209" s="162"/>
      <c r="Z209" s="164"/>
      <c r="AA209" s="116"/>
      <c r="AB209" s="116"/>
      <c r="AC209" s="165"/>
      <c r="AD209" s="145" t="str">
        <f t="shared" si="35"/>
        <v>septiembre</v>
      </c>
      <c r="AE209" s="144" t="s">
        <v>899</v>
      </c>
      <c r="AF209" s="149" t="b">
        <v>1</v>
      </c>
      <c r="AG209" s="166"/>
      <c r="AH209" s="149" t="b">
        <v>0</v>
      </c>
      <c r="AI209" s="162"/>
      <c r="AJ209" s="143"/>
      <c r="AK209" s="143"/>
      <c r="AL209" s="143"/>
      <c r="AM209" s="143"/>
      <c r="AN209" s="143"/>
      <c r="AO209" s="143"/>
      <c r="AP209" s="143"/>
      <c r="AQ209" s="143"/>
    </row>
    <row r="210" ht="22.5" hidden="1" customHeight="1">
      <c r="A210" s="593" t="s">
        <v>34</v>
      </c>
      <c r="B210" s="594">
        <v>45904.0</v>
      </c>
      <c r="C210" s="606" t="s">
        <v>903</v>
      </c>
      <c r="D210" s="596" t="s">
        <v>930</v>
      </c>
      <c r="E210" s="398" t="s">
        <v>28</v>
      </c>
      <c r="F210" s="622" t="s">
        <v>931</v>
      </c>
      <c r="G210" s="397">
        <v>9.29469718E8</v>
      </c>
      <c r="H210" s="148" t="s">
        <v>257</v>
      </c>
      <c r="I210" s="598">
        <v>0.2</v>
      </c>
      <c r="J210" s="168">
        <v>1375.0</v>
      </c>
      <c r="K210" s="399">
        <f t="shared" si="1"/>
        <v>5499</v>
      </c>
      <c r="L210" s="170">
        <v>6874.0</v>
      </c>
      <c r="M210" s="239">
        <v>6054.0</v>
      </c>
      <c r="N210" s="155">
        <v>1299.99</v>
      </c>
      <c r="O210" s="400">
        <f>L210-M210-U210</f>
        <v>790</v>
      </c>
      <c r="P210" s="316">
        <f t="shared" si="32"/>
        <v>0</v>
      </c>
      <c r="Q210" s="345"/>
      <c r="R210" s="159"/>
      <c r="S210" s="318"/>
      <c r="T210" s="608">
        <v>30.0</v>
      </c>
      <c r="U210" s="609">
        <v>30.0</v>
      </c>
      <c r="V210" s="593" t="s">
        <v>584</v>
      </c>
      <c r="W210" s="398" t="s">
        <v>584</v>
      </c>
      <c r="X210" s="599"/>
      <c r="Y210" s="593" t="s">
        <v>584</v>
      </c>
      <c r="Z210" s="402"/>
      <c r="AA210" s="403"/>
      <c r="AB210" s="403"/>
      <c r="AC210" s="629"/>
      <c r="AD210" s="594" t="str">
        <f t="shared" si="35"/>
        <v>septiembre</v>
      </c>
      <c r="AE210" s="593" t="s">
        <v>899</v>
      </c>
      <c r="AF210" s="397" t="b">
        <v>1</v>
      </c>
      <c r="AG210" s="166"/>
      <c r="AH210" s="149" t="b">
        <v>0</v>
      </c>
      <c r="AI210" s="162"/>
      <c r="AJ210" s="405"/>
      <c r="AK210" s="405"/>
      <c r="AL210" s="405"/>
      <c r="AM210" s="405"/>
      <c r="AN210" s="405"/>
      <c r="AO210" s="405"/>
      <c r="AP210" s="405"/>
      <c r="AQ210" s="405"/>
    </row>
    <row r="211" ht="22.5" hidden="1" customHeight="1">
      <c r="A211" s="144" t="s">
        <v>34</v>
      </c>
      <c r="B211" s="145">
        <v>45904.0</v>
      </c>
      <c r="C211" s="615" t="s">
        <v>923</v>
      </c>
      <c r="D211" s="329" t="s">
        <v>932</v>
      </c>
      <c r="E211" s="148" t="s">
        <v>28</v>
      </c>
      <c r="F211" s="630" t="s">
        <v>933</v>
      </c>
      <c r="G211" s="149">
        <v>5.1974730778E10</v>
      </c>
      <c r="H211" s="148" t="s">
        <v>257</v>
      </c>
      <c r="I211" s="150">
        <v>0.3</v>
      </c>
      <c r="J211" s="168">
        <v>2400.0</v>
      </c>
      <c r="K211" s="399">
        <f t="shared" si="1"/>
        <v>5599</v>
      </c>
      <c r="L211" s="170">
        <v>7999.0</v>
      </c>
      <c r="M211" s="284">
        <v>7566.0</v>
      </c>
      <c r="N211" s="155">
        <v>1599.99</v>
      </c>
      <c r="O211" s="315">
        <f t="shared" ref="O211:O217" si="37">L211-M211</f>
        <v>433</v>
      </c>
      <c r="P211" s="316">
        <f t="shared" si="32"/>
        <v>0</v>
      </c>
      <c r="Q211" s="317"/>
      <c r="R211" s="159"/>
      <c r="S211" s="318"/>
      <c r="T211" s="319"/>
      <c r="U211" s="315"/>
      <c r="V211" s="144" t="s">
        <v>584</v>
      </c>
      <c r="W211" s="148" t="s">
        <v>584</v>
      </c>
      <c r="X211" s="163"/>
      <c r="Y211" s="162"/>
      <c r="Z211" s="164"/>
      <c r="AA211" s="116"/>
      <c r="AB211" s="116"/>
      <c r="AC211" s="165"/>
      <c r="AD211" s="145" t="str">
        <f t="shared" si="35"/>
        <v>septiembre</v>
      </c>
      <c r="AE211" s="144" t="s">
        <v>899</v>
      </c>
      <c r="AF211" s="149" t="b">
        <v>1</v>
      </c>
      <c r="AG211" s="166"/>
      <c r="AH211" s="149" t="b">
        <v>0</v>
      </c>
      <c r="AI211" s="162"/>
      <c r="AJ211" s="143"/>
      <c r="AK211" s="143"/>
      <c r="AL211" s="143"/>
      <c r="AM211" s="143"/>
      <c r="AN211" s="143"/>
      <c r="AO211" s="143"/>
      <c r="AP211" s="143"/>
      <c r="AQ211" s="143"/>
    </row>
    <row r="212" ht="22.5" hidden="1" customHeight="1">
      <c r="A212" s="144" t="s">
        <v>259</v>
      </c>
      <c r="B212" s="187">
        <v>45904.0</v>
      </c>
      <c r="C212" s="631" t="s">
        <v>911</v>
      </c>
      <c r="D212" s="632" t="s">
        <v>934</v>
      </c>
      <c r="E212" s="367" t="s">
        <v>28</v>
      </c>
      <c r="F212" s="586" t="s">
        <v>935</v>
      </c>
      <c r="G212" s="368" t="s">
        <v>936</v>
      </c>
      <c r="H212" s="148" t="s">
        <v>257</v>
      </c>
      <c r="I212" s="369">
        <v>0.2</v>
      </c>
      <c r="J212" s="312">
        <v>1159.8</v>
      </c>
      <c r="K212" s="370">
        <f t="shared" si="1"/>
        <v>4639.2</v>
      </c>
      <c r="L212" s="170">
        <v>5799.0</v>
      </c>
      <c r="M212" s="239">
        <v>5437.0</v>
      </c>
      <c r="N212" s="155">
        <v>1274.99</v>
      </c>
      <c r="O212" s="371">
        <f t="shared" si="37"/>
        <v>362</v>
      </c>
      <c r="P212" s="316">
        <f t="shared" si="32"/>
        <v>0</v>
      </c>
      <c r="Q212" s="321"/>
      <c r="R212" s="159"/>
      <c r="S212" s="318"/>
      <c r="T212" s="372"/>
      <c r="U212" s="371"/>
      <c r="V212" s="365" t="s">
        <v>584</v>
      </c>
      <c r="W212" s="367" t="s">
        <v>584</v>
      </c>
      <c r="X212" s="576"/>
      <c r="Y212" s="365" t="s">
        <v>584</v>
      </c>
      <c r="Z212" s="373"/>
      <c r="AA212" s="374"/>
      <c r="AB212" s="374"/>
      <c r="AC212" s="388"/>
      <c r="AD212" s="187" t="str">
        <f t="shared" si="35"/>
        <v>septiembre</v>
      </c>
      <c r="AE212" s="365" t="s">
        <v>899</v>
      </c>
      <c r="AF212" s="368" t="b">
        <v>1</v>
      </c>
      <c r="AG212" s="166"/>
      <c r="AH212" s="149" t="b">
        <v>0</v>
      </c>
      <c r="AI212" s="162"/>
      <c r="AJ212" s="376"/>
      <c r="AK212" s="376"/>
      <c r="AL212" s="376"/>
      <c r="AM212" s="376"/>
      <c r="AN212" s="376"/>
      <c r="AO212" s="376"/>
      <c r="AP212" s="376"/>
      <c r="AQ212" s="376"/>
    </row>
    <row r="213" ht="22.5" hidden="1" customHeight="1">
      <c r="A213" s="144" t="s">
        <v>259</v>
      </c>
      <c r="B213" s="145">
        <v>45904.0</v>
      </c>
      <c r="C213" s="633" t="s">
        <v>937</v>
      </c>
      <c r="D213" s="634" t="s">
        <v>938</v>
      </c>
      <c r="E213" s="148" t="s">
        <v>28</v>
      </c>
      <c r="F213" s="591" t="s">
        <v>939</v>
      </c>
      <c r="G213" s="149" t="s">
        <v>940</v>
      </c>
      <c r="H213" s="148" t="s">
        <v>257</v>
      </c>
      <c r="I213" s="150">
        <v>1.0</v>
      </c>
      <c r="J213" s="270"/>
      <c r="K213" s="271" t="str">
        <f t="shared" si="1"/>
        <v/>
      </c>
      <c r="L213" s="170">
        <v>8034.0</v>
      </c>
      <c r="M213" s="239">
        <v>7954.0</v>
      </c>
      <c r="N213" s="155">
        <v>1799.99</v>
      </c>
      <c r="O213" s="371">
        <f t="shared" si="37"/>
        <v>80</v>
      </c>
      <c r="P213" s="316">
        <f t="shared" si="32"/>
        <v>0</v>
      </c>
      <c r="Q213" s="321"/>
      <c r="R213" s="159"/>
      <c r="S213" s="318"/>
      <c r="T213" s="319"/>
      <c r="U213" s="315"/>
      <c r="V213" s="144" t="s">
        <v>584</v>
      </c>
      <c r="W213" s="148" t="s">
        <v>584</v>
      </c>
      <c r="X213" s="163"/>
      <c r="Y213" s="162"/>
      <c r="Z213" s="164"/>
      <c r="AA213" s="116"/>
      <c r="AB213" s="116"/>
      <c r="AC213" s="165"/>
      <c r="AD213" s="145" t="str">
        <f t="shared" si="35"/>
        <v>septiembre</v>
      </c>
      <c r="AE213" s="144" t="s">
        <v>899</v>
      </c>
      <c r="AF213" s="149" t="b">
        <v>1</v>
      </c>
      <c r="AG213" s="166"/>
      <c r="AH213" s="149" t="b">
        <v>0</v>
      </c>
      <c r="AI213" s="162"/>
      <c r="AJ213" s="143"/>
      <c r="AK213" s="143"/>
      <c r="AL213" s="143"/>
      <c r="AM213" s="143"/>
      <c r="AN213" s="143"/>
      <c r="AO213" s="143"/>
      <c r="AP213" s="143"/>
      <c r="AQ213" s="143"/>
    </row>
    <row r="214" ht="22.5" hidden="1" customHeight="1">
      <c r="A214" s="144" t="s">
        <v>259</v>
      </c>
      <c r="B214" s="145">
        <v>45904.0</v>
      </c>
      <c r="C214" s="615" t="s">
        <v>918</v>
      </c>
      <c r="D214" s="635" t="s">
        <v>941</v>
      </c>
      <c r="E214" s="148" t="s">
        <v>28</v>
      </c>
      <c r="F214" s="489" t="s">
        <v>942</v>
      </c>
      <c r="G214" s="149" t="s">
        <v>943</v>
      </c>
      <c r="H214" s="148" t="s">
        <v>257</v>
      </c>
      <c r="I214" s="150">
        <v>0.2</v>
      </c>
      <c r="J214" s="312">
        <v>1139.8</v>
      </c>
      <c r="K214" s="169">
        <f t="shared" si="1"/>
        <v>4559.2</v>
      </c>
      <c r="L214" s="170">
        <v>5699.0</v>
      </c>
      <c r="M214" s="239">
        <v>5077.0</v>
      </c>
      <c r="N214" s="155">
        <v>1149.99</v>
      </c>
      <c r="O214" s="315">
        <f t="shared" si="37"/>
        <v>622</v>
      </c>
      <c r="P214" s="316">
        <f t="shared" si="32"/>
        <v>0</v>
      </c>
      <c r="Q214" s="321"/>
      <c r="R214" s="159"/>
      <c r="S214" s="318"/>
      <c r="T214" s="319"/>
      <c r="U214" s="315"/>
      <c r="V214" s="144" t="s">
        <v>584</v>
      </c>
      <c r="W214" s="148" t="s">
        <v>584</v>
      </c>
      <c r="X214" s="163"/>
      <c r="Y214" s="144" t="s">
        <v>584</v>
      </c>
      <c r="Z214" s="164"/>
      <c r="AA214" s="116"/>
      <c r="AB214" s="116"/>
      <c r="AC214" s="149" t="s">
        <v>944</v>
      </c>
      <c r="AD214" s="145" t="str">
        <f t="shared" si="35"/>
        <v>septiembre</v>
      </c>
      <c r="AE214" s="144" t="s">
        <v>899</v>
      </c>
      <c r="AF214" s="149" t="b">
        <v>1</v>
      </c>
      <c r="AG214" s="166"/>
      <c r="AH214" s="149" t="b">
        <v>0</v>
      </c>
      <c r="AI214" s="162"/>
      <c r="AJ214" s="143"/>
      <c r="AK214" s="143"/>
      <c r="AL214" s="143"/>
      <c r="AM214" s="143"/>
      <c r="AN214" s="143"/>
      <c r="AO214" s="143"/>
      <c r="AP214" s="143"/>
      <c r="AQ214" s="143"/>
    </row>
    <row r="215" ht="22.5" hidden="1" customHeight="1">
      <c r="A215" s="593" t="s">
        <v>34</v>
      </c>
      <c r="B215" s="594">
        <v>45905.0</v>
      </c>
      <c r="C215" s="636" t="s">
        <v>918</v>
      </c>
      <c r="D215" s="603" t="s">
        <v>945</v>
      </c>
      <c r="E215" s="398" t="s">
        <v>28</v>
      </c>
      <c r="F215" s="622" t="s">
        <v>946</v>
      </c>
      <c r="G215" s="397">
        <v>5.1922335436E10</v>
      </c>
      <c r="H215" s="148" t="s">
        <v>257</v>
      </c>
      <c r="I215" s="598">
        <v>0.2</v>
      </c>
      <c r="J215" s="168">
        <v>1140.0</v>
      </c>
      <c r="K215" s="399">
        <f t="shared" si="1"/>
        <v>4559</v>
      </c>
      <c r="L215" s="170">
        <v>5699.0</v>
      </c>
      <c r="M215" s="239">
        <v>5077.0</v>
      </c>
      <c r="N215" s="155">
        <v>1149.99</v>
      </c>
      <c r="O215" s="400">
        <f t="shared" si="37"/>
        <v>622</v>
      </c>
      <c r="P215" s="316">
        <f t="shared" si="32"/>
        <v>0</v>
      </c>
      <c r="Q215" s="317"/>
      <c r="R215" s="159"/>
      <c r="S215" s="318"/>
      <c r="T215" s="401"/>
      <c r="U215" s="400"/>
      <c r="V215" s="593" t="s">
        <v>584</v>
      </c>
      <c r="W215" s="398" t="s">
        <v>584</v>
      </c>
      <c r="X215" s="599"/>
      <c r="Y215" s="593" t="s">
        <v>584</v>
      </c>
      <c r="Z215" s="402"/>
      <c r="AA215" s="403"/>
      <c r="AB215" s="403"/>
      <c r="AC215" s="397" t="s">
        <v>947</v>
      </c>
      <c r="AD215" s="594" t="str">
        <f t="shared" si="35"/>
        <v>septiembre</v>
      </c>
      <c r="AE215" s="593" t="s">
        <v>899</v>
      </c>
      <c r="AF215" s="397" t="b">
        <v>1</v>
      </c>
      <c r="AG215" s="166"/>
      <c r="AH215" s="149" t="b">
        <v>0</v>
      </c>
      <c r="AI215" s="162"/>
      <c r="AJ215" s="405"/>
      <c r="AK215" s="405"/>
      <c r="AL215" s="405"/>
      <c r="AM215" s="405"/>
      <c r="AN215" s="405"/>
      <c r="AO215" s="405"/>
      <c r="AP215" s="405"/>
      <c r="AQ215" s="405"/>
    </row>
    <row r="216" ht="22.5" hidden="1" customHeight="1">
      <c r="A216" s="144" t="s">
        <v>259</v>
      </c>
      <c r="B216" s="145">
        <v>45906.0</v>
      </c>
      <c r="C216" s="637" t="s">
        <v>948</v>
      </c>
      <c r="D216" s="208" t="s">
        <v>949</v>
      </c>
      <c r="E216" s="148" t="s">
        <v>28</v>
      </c>
      <c r="F216" s="262" t="s">
        <v>950</v>
      </c>
      <c r="G216" s="149" t="s">
        <v>951</v>
      </c>
      <c r="H216" s="148" t="s">
        <v>257</v>
      </c>
      <c r="I216" s="148" t="s">
        <v>61</v>
      </c>
      <c r="J216" s="312">
        <v>2426.0</v>
      </c>
      <c r="K216" s="169">
        <f t="shared" si="1"/>
        <v>6548</v>
      </c>
      <c r="L216" s="170">
        <v>8974.0</v>
      </c>
      <c r="M216" s="239">
        <v>8774.0</v>
      </c>
      <c r="N216" s="155">
        <v>1999.0</v>
      </c>
      <c r="O216" s="315">
        <f t="shared" si="37"/>
        <v>200</v>
      </c>
      <c r="P216" s="316">
        <f t="shared" si="32"/>
        <v>0</v>
      </c>
      <c r="Q216" s="321"/>
      <c r="R216" s="159"/>
      <c r="S216" s="318"/>
      <c r="T216" s="319"/>
      <c r="U216" s="315"/>
      <c r="V216" s="144" t="s">
        <v>584</v>
      </c>
      <c r="W216" s="148" t="s">
        <v>584</v>
      </c>
      <c r="X216" s="163"/>
      <c r="Y216" s="144" t="s">
        <v>584</v>
      </c>
      <c r="Z216" s="164"/>
      <c r="AA216" s="116"/>
      <c r="AB216" s="116"/>
      <c r="AC216" s="149" t="s">
        <v>952</v>
      </c>
      <c r="AD216" s="145" t="str">
        <f t="shared" si="35"/>
        <v>septiembre</v>
      </c>
      <c r="AE216" s="144" t="s">
        <v>899</v>
      </c>
      <c r="AF216" s="149" t="b">
        <v>1</v>
      </c>
      <c r="AG216" s="166"/>
      <c r="AH216" s="149" t="b">
        <v>0</v>
      </c>
      <c r="AI216" s="162"/>
      <c r="AJ216" s="143"/>
      <c r="AK216" s="143"/>
      <c r="AL216" s="143"/>
      <c r="AM216" s="143"/>
      <c r="AN216" s="143"/>
      <c r="AO216" s="143"/>
      <c r="AP216" s="143"/>
      <c r="AQ216" s="143"/>
    </row>
    <row r="217" ht="22.5" hidden="1" customHeight="1">
      <c r="A217" s="593" t="s">
        <v>34</v>
      </c>
      <c r="B217" s="594">
        <v>45905.0</v>
      </c>
      <c r="C217" s="606" t="s">
        <v>903</v>
      </c>
      <c r="D217" s="596" t="s">
        <v>953</v>
      </c>
      <c r="E217" s="398" t="s">
        <v>28</v>
      </c>
      <c r="F217" s="622" t="s">
        <v>954</v>
      </c>
      <c r="G217" s="638">
        <v>9.67227837E8</v>
      </c>
      <c r="H217" s="148" t="s">
        <v>257</v>
      </c>
      <c r="I217" s="639"/>
      <c r="J217" s="168">
        <v>1400.0</v>
      </c>
      <c r="K217" s="399">
        <f t="shared" si="1"/>
        <v>5299</v>
      </c>
      <c r="L217" s="170">
        <v>6699.0</v>
      </c>
      <c r="M217" s="239">
        <v>6054.0</v>
      </c>
      <c r="N217" s="155">
        <v>1299.99</v>
      </c>
      <c r="O217" s="400">
        <f t="shared" si="37"/>
        <v>645</v>
      </c>
      <c r="P217" s="316">
        <f t="shared" si="32"/>
        <v>0</v>
      </c>
      <c r="Q217" s="317"/>
      <c r="R217" s="159"/>
      <c r="S217" s="318"/>
      <c r="T217" s="401"/>
      <c r="U217" s="400"/>
      <c r="V217" s="593" t="s">
        <v>584</v>
      </c>
      <c r="W217" s="398" t="s">
        <v>584</v>
      </c>
      <c r="X217" s="599"/>
      <c r="Y217" s="640"/>
      <c r="Z217" s="402"/>
      <c r="AA217" s="403"/>
      <c r="AB217" s="403"/>
      <c r="AC217" s="629"/>
      <c r="AD217" s="594" t="str">
        <f t="shared" si="35"/>
        <v>septiembre</v>
      </c>
      <c r="AE217" s="593" t="s">
        <v>899</v>
      </c>
      <c r="AF217" s="397" t="b">
        <v>1</v>
      </c>
      <c r="AG217" s="166"/>
      <c r="AH217" s="149" t="b">
        <v>0</v>
      </c>
      <c r="AI217" s="162"/>
      <c r="AJ217" s="405"/>
      <c r="AK217" s="405"/>
      <c r="AL217" s="405"/>
      <c r="AM217" s="405"/>
      <c r="AN217" s="405"/>
      <c r="AO217" s="405"/>
      <c r="AP217" s="405"/>
      <c r="AQ217" s="405"/>
    </row>
    <row r="218" ht="22.5" hidden="1" customHeight="1">
      <c r="A218" s="593" t="s">
        <v>34</v>
      </c>
      <c r="B218" s="594">
        <v>45906.0</v>
      </c>
      <c r="C218" s="397" t="s">
        <v>955</v>
      </c>
      <c r="D218" s="603" t="s">
        <v>956</v>
      </c>
      <c r="E218" s="398" t="s">
        <v>28</v>
      </c>
      <c r="F218" s="604" t="s">
        <v>957</v>
      </c>
      <c r="G218" s="397">
        <v>5.1972762646E10</v>
      </c>
      <c r="H218" s="148" t="s">
        <v>257</v>
      </c>
      <c r="I218" s="639"/>
      <c r="J218" s="168">
        <v>1600.0</v>
      </c>
      <c r="K218" s="399">
        <f t="shared" si="1"/>
        <v>6399</v>
      </c>
      <c r="L218" s="170">
        <v>7999.0</v>
      </c>
      <c r="M218" s="239">
        <v>7125.02</v>
      </c>
      <c r="N218" s="155">
        <v>1599.99</v>
      </c>
      <c r="O218" s="400">
        <f>L218-M218-U218</f>
        <v>823.98</v>
      </c>
      <c r="P218" s="316">
        <f t="shared" si="32"/>
        <v>0</v>
      </c>
      <c r="Q218" s="345"/>
      <c r="R218" s="159"/>
      <c r="S218" s="318"/>
      <c r="T218" s="608">
        <v>50.0</v>
      </c>
      <c r="U218" s="609">
        <v>50.0</v>
      </c>
      <c r="V218" s="593" t="s">
        <v>584</v>
      </c>
      <c r="W218" s="398" t="s">
        <v>584</v>
      </c>
      <c r="X218" s="599"/>
      <c r="Y218" s="593" t="s">
        <v>584</v>
      </c>
      <c r="Z218" s="402"/>
      <c r="AA218" s="403"/>
      <c r="AB218" s="403"/>
      <c r="AC218" s="397" t="s">
        <v>958</v>
      </c>
      <c r="AD218" s="594" t="str">
        <f t="shared" si="35"/>
        <v>septiembre</v>
      </c>
      <c r="AE218" s="593" t="s">
        <v>899</v>
      </c>
      <c r="AF218" s="397" t="b">
        <v>1</v>
      </c>
      <c r="AG218" s="166"/>
      <c r="AH218" s="149" t="b">
        <v>0</v>
      </c>
      <c r="AI218" s="162"/>
      <c r="AJ218" s="405"/>
      <c r="AK218" s="405"/>
      <c r="AL218" s="405"/>
      <c r="AM218" s="405"/>
      <c r="AN218" s="405"/>
      <c r="AO218" s="405"/>
      <c r="AP218" s="405"/>
      <c r="AQ218" s="405"/>
    </row>
    <row r="219" ht="22.5" hidden="1" customHeight="1">
      <c r="A219" s="144" t="s">
        <v>259</v>
      </c>
      <c r="B219" s="145">
        <v>45907.0</v>
      </c>
      <c r="C219" s="615" t="s">
        <v>918</v>
      </c>
      <c r="D219" s="624" t="s">
        <v>959</v>
      </c>
      <c r="E219" s="148" t="s">
        <v>28</v>
      </c>
      <c r="F219" s="489" t="s">
        <v>960</v>
      </c>
      <c r="G219" s="165"/>
      <c r="H219" s="148" t="s">
        <v>257</v>
      </c>
      <c r="I219" s="150">
        <v>0.2</v>
      </c>
      <c r="J219" s="312">
        <v>1200.0</v>
      </c>
      <c r="K219" s="169">
        <f t="shared" si="1"/>
        <v>4499</v>
      </c>
      <c r="L219" s="170">
        <v>5699.0</v>
      </c>
      <c r="M219" s="239">
        <v>5077.0</v>
      </c>
      <c r="N219" s="155">
        <v>1149.99</v>
      </c>
      <c r="O219" s="315">
        <f t="shared" ref="O219:O226" si="38">L219-M219</f>
        <v>622</v>
      </c>
      <c r="P219" s="316">
        <f t="shared" si="32"/>
        <v>0</v>
      </c>
      <c r="Q219" s="321"/>
      <c r="R219" s="159"/>
      <c r="S219" s="318"/>
      <c r="T219" s="319"/>
      <c r="U219" s="315"/>
      <c r="V219" s="144" t="s">
        <v>584</v>
      </c>
      <c r="W219" s="148" t="s">
        <v>584</v>
      </c>
      <c r="X219" s="163"/>
      <c r="Y219" s="162"/>
      <c r="Z219" s="164"/>
      <c r="AA219" s="116"/>
      <c r="AB219" s="116"/>
      <c r="AC219" s="165"/>
      <c r="AD219" s="145" t="str">
        <f t="shared" si="35"/>
        <v>septiembre</v>
      </c>
      <c r="AE219" s="144" t="s">
        <v>899</v>
      </c>
      <c r="AF219" s="149" t="b">
        <v>1</v>
      </c>
      <c r="AG219" s="166"/>
      <c r="AH219" s="149" t="b">
        <v>0</v>
      </c>
      <c r="AI219" s="162"/>
      <c r="AJ219" s="143"/>
      <c r="AK219" s="143"/>
      <c r="AL219" s="143"/>
      <c r="AM219" s="143"/>
      <c r="AN219" s="143"/>
      <c r="AO219" s="143"/>
      <c r="AP219" s="143"/>
      <c r="AQ219" s="143"/>
    </row>
    <row r="220" ht="22.5" hidden="1" customHeight="1">
      <c r="A220" s="144" t="s">
        <v>34</v>
      </c>
      <c r="B220" s="145">
        <v>45906.0</v>
      </c>
      <c r="C220" s="149" t="s">
        <v>961</v>
      </c>
      <c r="D220" s="208" t="s">
        <v>962</v>
      </c>
      <c r="E220" s="148" t="s">
        <v>399</v>
      </c>
      <c r="F220" s="246" t="s">
        <v>963</v>
      </c>
      <c r="G220" s="149">
        <v>5.191254025E10</v>
      </c>
      <c r="H220" s="148" t="s">
        <v>257</v>
      </c>
      <c r="I220" s="150">
        <v>0.2</v>
      </c>
      <c r="J220" s="168">
        <v>1760.0</v>
      </c>
      <c r="K220" s="169">
        <f t="shared" si="1"/>
        <v>7039</v>
      </c>
      <c r="L220" s="170">
        <v>8799.0</v>
      </c>
      <c r="M220" s="239">
        <v>8032.16</v>
      </c>
      <c r="N220" s="155">
        <v>1839.99</v>
      </c>
      <c r="O220" s="315">
        <f t="shared" si="38"/>
        <v>766.84</v>
      </c>
      <c r="P220" s="316">
        <f t="shared" si="32"/>
        <v>0</v>
      </c>
      <c r="Q220" s="317"/>
      <c r="R220" s="159"/>
      <c r="S220" s="318"/>
      <c r="T220" s="319"/>
      <c r="U220" s="315"/>
      <c r="V220" s="144" t="s">
        <v>584</v>
      </c>
      <c r="W220" s="148"/>
      <c r="X220" s="163"/>
      <c r="Y220" s="144" t="s">
        <v>584</v>
      </c>
      <c r="Z220" s="10" t="s">
        <v>964</v>
      </c>
      <c r="AA220" s="116"/>
      <c r="AB220" s="116"/>
      <c r="AC220" s="149" t="s">
        <v>965</v>
      </c>
      <c r="AD220" s="145" t="str">
        <f t="shared" si="35"/>
        <v>septiembre</v>
      </c>
      <c r="AE220" s="144" t="s">
        <v>899</v>
      </c>
      <c r="AF220" s="149" t="b">
        <v>0</v>
      </c>
      <c r="AG220" s="166"/>
      <c r="AH220" s="149" t="b">
        <v>0</v>
      </c>
      <c r="AI220" s="162"/>
      <c r="AJ220" s="143"/>
      <c r="AK220" s="143"/>
      <c r="AL220" s="143"/>
      <c r="AM220" s="143"/>
      <c r="AN220" s="143"/>
      <c r="AO220" s="143"/>
      <c r="AP220" s="143"/>
      <c r="AQ220" s="143"/>
    </row>
    <row r="221" ht="22.5" hidden="1" customHeight="1">
      <c r="A221" s="560" t="s">
        <v>34</v>
      </c>
      <c r="B221" s="551">
        <v>45906.0</v>
      </c>
      <c r="C221" s="641" t="s">
        <v>906</v>
      </c>
      <c r="D221" s="571" t="s">
        <v>966</v>
      </c>
      <c r="E221" s="554" t="s">
        <v>399</v>
      </c>
      <c r="F221" s="642" t="s">
        <v>967</v>
      </c>
      <c r="G221" s="248">
        <v>5.1917234894E10</v>
      </c>
      <c r="H221" s="148" t="s">
        <v>257</v>
      </c>
      <c r="I221" s="556">
        <v>0.2</v>
      </c>
      <c r="J221" s="168">
        <v>1159.8</v>
      </c>
      <c r="K221" s="557">
        <f t="shared" si="1"/>
        <v>4639.2</v>
      </c>
      <c r="L221" s="170">
        <v>5799.0</v>
      </c>
      <c r="M221" s="239">
        <v>5430.46</v>
      </c>
      <c r="N221" s="155">
        <v>1189.0</v>
      </c>
      <c r="O221" s="558">
        <f t="shared" si="38"/>
        <v>368.54</v>
      </c>
      <c r="P221" s="316">
        <f t="shared" si="32"/>
        <v>0</v>
      </c>
      <c r="Q221" s="317"/>
      <c r="R221" s="159"/>
      <c r="S221" s="318"/>
      <c r="T221" s="559"/>
      <c r="U221" s="558"/>
      <c r="V221" s="560" t="s">
        <v>584</v>
      </c>
      <c r="W221" s="554"/>
      <c r="X221" s="584"/>
      <c r="Y221" s="560" t="s">
        <v>968</v>
      </c>
      <c r="Z221" s="324" t="s">
        <v>964</v>
      </c>
      <c r="AA221" s="561"/>
      <c r="AB221" s="561"/>
      <c r="AC221" s="248" t="s">
        <v>969</v>
      </c>
      <c r="AD221" s="551" t="str">
        <f t="shared" si="35"/>
        <v>septiembre</v>
      </c>
      <c r="AE221" s="560" t="s">
        <v>899</v>
      </c>
      <c r="AF221" s="248" t="b">
        <v>0</v>
      </c>
      <c r="AG221" s="166"/>
      <c r="AH221" s="149" t="b">
        <v>0</v>
      </c>
      <c r="AI221" s="162"/>
      <c r="AJ221" s="143"/>
      <c r="AK221" s="143"/>
      <c r="AL221" s="143"/>
      <c r="AM221" s="143"/>
      <c r="AN221" s="143"/>
      <c r="AO221" s="143"/>
      <c r="AP221" s="143"/>
      <c r="AQ221" s="143"/>
    </row>
    <row r="222" ht="22.5" customHeight="1">
      <c r="A222" s="144" t="s">
        <v>162</v>
      </c>
      <c r="B222" s="145">
        <v>45906.0</v>
      </c>
      <c r="C222" s="149" t="s">
        <v>923</v>
      </c>
      <c r="D222" s="208" t="s">
        <v>970</v>
      </c>
      <c r="E222" s="148" t="s">
        <v>28</v>
      </c>
      <c r="F222" s="149" t="s">
        <v>971</v>
      </c>
      <c r="G222" s="149">
        <v>5.1978211098E10</v>
      </c>
      <c r="H222" s="148" t="s">
        <v>257</v>
      </c>
      <c r="I222" s="150">
        <v>1.0</v>
      </c>
      <c r="J222" s="168">
        <v>8199.0</v>
      </c>
      <c r="K222" s="169">
        <f t="shared" si="1"/>
        <v>0</v>
      </c>
      <c r="L222" s="170">
        <v>8199.0</v>
      </c>
      <c r="M222" s="239">
        <v>7566.0</v>
      </c>
      <c r="N222" s="155">
        <v>1599.99</v>
      </c>
      <c r="O222" s="315">
        <f t="shared" si="38"/>
        <v>633</v>
      </c>
      <c r="P222" s="316">
        <f t="shared" si="32"/>
        <v>0</v>
      </c>
      <c r="Q222" s="321"/>
      <c r="R222" s="159"/>
      <c r="S222" s="346">
        <v>350.0</v>
      </c>
      <c r="T222" s="319"/>
      <c r="U222" s="315"/>
      <c r="V222" s="144" t="s">
        <v>584</v>
      </c>
      <c r="W222" s="148" t="s">
        <v>584</v>
      </c>
      <c r="X222" s="163"/>
      <c r="Y222" s="162"/>
      <c r="Z222" s="164"/>
      <c r="AA222" s="116"/>
      <c r="AB222" s="116"/>
      <c r="AC222" s="165"/>
      <c r="AD222" s="145" t="str">
        <f t="shared" si="35"/>
        <v>septiembre</v>
      </c>
      <c r="AE222" s="144" t="s">
        <v>899</v>
      </c>
      <c r="AF222" s="149" t="b">
        <v>1</v>
      </c>
      <c r="AG222" s="166"/>
      <c r="AH222" s="149" t="b">
        <v>0</v>
      </c>
      <c r="AI222" s="162"/>
      <c r="AJ222" s="143"/>
      <c r="AK222" s="143"/>
      <c r="AL222" s="143"/>
      <c r="AM222" s="143"/>
      <c r="AN222" s="143"/>
      <c r="AO222" s="143"/>
      <c r="AP222" s="143"/>
      <c r="AQ222" s="143"/>
    </row>
    <row r="223" ht="22.5" hidden="1" customHeight="1">
      <c r="A223" s="144" t="s">
        <v>259</v>
      </c>
      <c r="B223" s="145">
        <v>45906.0</v>
      </c>
      <c r="C223" s="615" t="s">
        <v>923</v>
      </c>
      <c r="D223" s="643" t="s">
        <v>972</v>
      </c>
      <c r="E223" s="148" t="s">
        <v>28</v>
      </c>
      <c r="F223" s="489" t="s">
        <v>973</v>
      </c>
      <c r="G223" s="149" t="s">
        <v>974</v>
      </c>
      <c r="H223" s="148" t="s">
        <v>257</v>
      </c>
      <c r="I223" s="150">
        <v>1.0</v>
      </c>
      <c r="J223" s="312"/>
      <c r="K223" s="271" t="str">
        <f t="shared" si="1"/>
        <v/>
      </c>
      <c r="L223" s="170">
        <v>8050.0</v>
      </c>
      <c r="M223" s="239">
        <v>7566.0</v>
      </c>
      <c r="N223" s="277"/>
      <c r="O223" s="315">
        <f t="shared" si="38"/>
        <v>484</v>
      </c>
      <c r="P223" s="316">
        <f t="shared" si="32"/>
        <v>0</v>
      </c>
      <c r="Q223" s="510"/>
      <c r="R223" s="159"/>
      <c r="S223" s="346">
        <v>350.0</v>
      </c>
      <c r="T223" s="347"/>
      <c r="U223" s="343"/>
      <c r="V223" s="144" t="s">
        <v>584</v>
      </c>
      <c r="W223" s="148" t="s">
        <v>584</v>
      </c>
      <c r="X223" s="163"/>
      <c r="Y223" s="162"/>
      <c r="Z223" s="164"/>
      <c r="AA223" s="116"/>
      <c r="AB223" s="116"/>
      <c r="AC223" s="165"/>
      <c r="AD223" s="145" t="str">
        <f t="shared" si="35"/>
        <v>septiembre</v>
      </c>
      <c r="AE223" s="144" t="s">
        <v>899</v>
      </c>
      <c r="AF223" s="149" t="b">
        <v>1</v>
      </c>
      <c r="AG223" s="166"/>
      <c r="AH223" s="149" t="b">
        <v>0</v>
      </c>
      <c r="AI223" s="162"/>
      <c r="AJ223" s="143"/>
      <c r="AK223" s="143"/>
      <c r="AL223" s="143"/>
      <c r="AM223" s="143"/>
      <c r="AN223" s="143"/>
      <c r="AO223" s="143"/>
      <c r="AP223" s="143"/>
      <c r="AQ223" s="143"/>
    </row>
    <row r="224" ht="22.5" hidden="1" customHeight="1">
      <c r="A224" s="144" t="s">
        <v>259</v>
      </c>
      <c r="B224" s="145">
        <v>45906.0</v>
      </c>
      <c r="C224" s="615" t="s">
        <v>975</v>
      </c>
      <c r="D224" s="643" t="s">
        <v>976</v>
      </c>
      <c r="E224" s="148" t="s">
        <v>28</v>
      </c>
      <c r="F224" s="489" t="s">
        <v>977</v>
      </c>
      <c r="G224" s="149">
        <v>5.1951946395E10</v>
      </c>
      <c r="H224" s="148" t="s">
        <v>257</v>
      </c>
      <c r="I224" s="150">
        <v>0.2</v>
      </c>
      <c r="J224" s="312">
        <v>1339.8</v>
      </c>
      <c r="K224" s="169">
        <f t="shared" si="1"/>
        <v>5359.2</v>
      </c>
      <c r="L224" s="170">
        <v>6699.0</v>
      </c>
      <c r="M224" s="239">
        <v>6227.0</v>
      </c>
      <c r="N224" s="155">
        <v>1499.0</v>
      </c>
      <c r="O224" s="315">
        <f t="shared" si="38"/>
        <v>472</v>
      </c>
      <c r="P224" s="316">
        <f t="shared" si="32"/>
        <v>0</v>
      </c>
      <c r="Q224" s="321"/>
      <c r="R224" s="159"/>
      <c r="S224" s="318"/>
      <c r="T224" s="319"/>
      <c r="U224" s="315"/>
      <c r="V224" s="144" t="s">
        <v>584</v>
      </c>
      <c r="W224" s="148" t="s">
        <v>584</v>
      </c>
      <c r="X224" s="163"/>
      <c r="Y224" s="162"/>
      <c r="Z224" s="164"/>
      <c r="AA224" s="116"/>
      <c r="AB224" s="116"/>
      <c r="AC224" s="165"/>
      <c r="AD224" s="145" t="str">
        <f t="shared" si="35"/>
        <v>septiembre</v>
      </c>
      <c r="AE224" s="144" t="s">
        <v>899</v>
      </c>
      <c r="AF224" s="149" t="b">
        <v>1</v>
      </c>
      <c r="AG224" s="166"/>
      <c r="AH224" s="149" t="b">
        <v>0</v>
      </c>
      <c r="AI224" s="162"/>
      <c r="AJ224" s="143"/>
      <c r="AK224" s="143"/>
      <c r="AL224" s="143"/>
      <c r="AM224" s="143"/>
      <c r="AN224" s="143"/>
      <c r="AO224" s="143"/>
      <c r="AP224" s="143"/>
      <c r="AQ224" s="143"/>
    </row>
    <row r="225" ht="22.5" hidden="1" customHeight="1">
      <c r="A225" s="593" t="s">
        <v>34</v>
      </c>
      <c r="B225" s="594">
        <v>45909.0</v>
      </c>
      <c r="C225" s="606" t="s">
        <v>903</v>
      </c>
      <c r="D225" s="603" t="s">
        <v>978</v>
      </c>
      <c r="E225" s="398" t="s">
        <v>28</v>
      </c>
      <c r="F225" s="597" t="s">
        <v>979</v>
      </c>
      <c r="G225" s="397" t="s">
        <v>980</v>
      </c>
      <c r="H225" s="148" t="s">
        <v>257</v>
      </c>
      <c r="I225" s="598">
        <v>0.2</v>
      </c>
      <c r="J225" s="168">
        <v>1340.0</v>
      </c>
      <c r="K225" s="399">
        <f t="shared" si="1"/>
        <v>5359</v>
      </c>
      <c r="L225" s="170">
        <v>6699.0</v>
      </c>
      <c r="M225" s="239">
        <v>6405.62</v>
      </c>
      <c r="N225" s="155">
        <v>1299.99</v>
      </c>
      <c r="O225" s="400">
        <f t="shared" si="38"/>
        <v>293.38</v>
      </c>
      <c r="P225" s="316">
        <f t="shared" si="32"/>
        <v>0</v>
      </c>
      <c r="Q225" s="317"/>
      <c r="R225" s="159"/>
      <c r="S225" s="318"/>
      <c r="T225" s="401"/>
      <c r="U225" s="400"/>
      <c r="V225" s="593" t="s">
        <v>584</v>
      </c>
      <c r="W225" s="398" t="s">
        <v>584</v>
      </c>
      <c r="X225" s="599"/>
      <c r="Y225" s="593" t="s">
        <v>584</v>
      </c>
      <c r="Z225" s="402"/>
      <c r="AA225" s="403"/>
      <c r="AB225" s="403"/>
      <c r="AC225" s="629"/>
      <c r="AD225" s="594" t="str">
        <f t="shared" si="35"/>
        <v>septiembre</v>
      </c>
      <c r="AE225" s="593" t="s">
        <v>899</v>
      </c>
      <c r="AF225" s="397" t="b">
        <v>1</v>
      </c>
      <c r="AG225" s="166"/>
      <c r="AH225" s="149" t="b">
        <v>0</v>
      </c>
      <c r="AI225" s="162"/>
      <c r="AJ225" s="405"/>
      <c r="AK225" s="405"/>
      <c r="AL225" s="405"/>
      <c r="AM225" s="405"/>
      <c r="AN225" s="405"/>
      <c r="AO225" s="405"/>
      <c r="AP225" s="405"/>
      <c r="AQ225" s="405"/>
    </row>
    <row r="226" ht="22.5" hidden="1" customHeight="1">
      <c r="A226" s="593" t="s">
        <v>34</v>
      </c>
      <c r="B226" s="594">
        <v>45910.0</v>
      </c>
      <c r="C226" s="602" t="s">
        <v>869</v>
      </c>
      <c r="D226" s="603" t="s">
        <v>981</v>
      </c>
      <c r="E226" s="398" t="s">
        <v>28</v>
      </c>
      <c r="F226" s="597" t="s">
        <v>982</v>
      </c>
      <c r="G226" s="397">
        <v>5.1979999426E10</v>
      </c>
      <c r="H226" s="148" t="s">
        <v>257</v>
      </c>
      <c r="I226" s="598">
        <v>0.2</v>
      </c>
      <c r="J226" s="168">
        <v>1280.0</v>
      </c>
      <c r="K226" s="399">
        <f t="shared" si="1"/>
        <v>5119</v>
      </c>
      <c r="L226" s="170">
        <v>6399.0</v>
      </c>
      <c r="M226" s="239">
        <v>5870.39</v>
      </c>
      <c r="N226" s="155">
        <v>1349.99</v>
      </c>
      <c r="O226" s="400">
        <f t="shared" si="38"/>
        <v>528.61</v>
      </c>
      <c r="P226" s="316">
        <f t="shared" si="32"/>
        <v>0</v>
      </c>
      <c r="Q226" s="317"/>
      <c r="R226" s="159"/>
      <c r="S226" s="318"/>
      <c r="T226" s="401"/>
      <c r="U226" s="400"/>
      <c r="V226" s="593" t="s">
        <v>584</v>
      </c>
      <c r="W226" s="398" t="s">
        <v>584</v>
      </c>
      <c r="X226" s="599"/>
      <c r="Y226" s="593" t="s">
        <v>584</v>
      </c>
      <c r="Z226" s="402"/>
      <c r="AA226" s="403"/>
      <c r="AB226" s="403"/>
      <c r="AC226" s="397" t="s">
        <v>983</v>
      </c>
      <c r="AD226" s="594" t="str">
        <f t="shared" si="35"/>
        <v>septiembre</v>
      </c>
      <c r="AE226" s="593" t="s">
        <v>899</v>
      </c>
      <c r="AF226" s="397" t="b">
        <v>1</v>
      </c>
      <c r="AG226" s="166"/>
      <c r="AH226" s="149" t="b">
        <v>0</v>
      </c>
      <c r="AI226" s="162"/>
      <c r="AJ226" s="405"/>
      <c r="AK226" s="405"/>
      <c r="AL226" s="405"/>
      <c r="AM226" s="405"/>
      <c r="AN226" s="405"/>
      <c r="AO226" s="405"/>
      <c r="AP226" s="405"/>
      <c r="AQ226" s="405"/>
    </row>
    <row r="227" ht="22.5" hidden="1" customHeight="1">
      <c r="A227" s="434" t="s">
        <v>34</v>
      </c>
      <c r="B227" s="435">
        <v>45910.0</v>
      </c>
      <c r="C227" s="644" t="s">
        <v>802</v>
      </c>
      <c r="D227" s="437" t="s">
        <v>984</v>
      </c>
      <c r="E227" s="438" t="s">
        <v>28</v>
      </c>
      <c r="F227" s="497" t="s">
        <v>985</v>
      </c>
      <c r="G227" s="440" t="s">
        <v>986</v>
      </c>
      <c r="H227" s="438" t="s">
        <v>257</v>
      </c>
      <c r="I227" s="498">
        <v>0.3</v>
      </c>
      <c r="J227" s="168">
        <v>3000.0</v>
      </c>
      <c r="K227" s="399">
        <f t="shared" si="1"/>
        <v>6999</v>
      </c>
      <c r="L227" s="170">
        <v>9999.0</v>
      </c>
      <c r="M227" s="239">
        <v>9084.65</v>
      </c>
      <c r="N227" s="155">
        <v>2099.99</v>
      </c>
      <c r="O227" s="442">
        <f>L227-M227-U227</f>
        <v>754.35</v>
      </c>
      <c r="P227" s="316">
        <f t="shared" si="32"/>
        <v>0</v>
      </c>
      <c r="Q227" s="345"/>
      <c r="R227" s="645"/>
      <c r="S227" s="318"/>
      <c r="T227" s="505">
        <v>160.0</v>
      </c>
      <c r="U227" s="499">
        <v>160.0</v>
      </c>
      <c r="V227" s="434" t="s">
        <v>584</v>
      </c>
      <c r="W227" s="438" t="s">
        <v>584</v>
      </c>
      <c r="X227" s="445"/>
      <c r="Y227" s="434" t="s">
        <v>584</v>
      </c>
      <c r="Z227" s="450"/>
      <c r="AA227" s="447"/>
      <c r="AB227" s="447"/>
      <c r="AC227" s="440" t="s">
        <v>987</v>
      </c>
      <c r="AD227" s="435" t="str">
        <f t="shared" si="35"/>
        <v>septiembre</v>
      </c>
      <c r="AE227" s="434" t="s">
        <v>899</v>
      </c>
      <c r="AF227" s="440" t="b">
        <v>1</v>
      </c>
      <c r="AG227" s="166"/>
      <c r="AH227" s="149" t="b">
        <v>0</v>
      </c>
      <c r="AI227" s="162"/>
      <c r="AJ227" s="448"/>
      <c r="AK227" s="448"/>
      <c r="AL227" s="448"/>
      <c r="AM227" s="448"/>
      <c r="AN227" s="448"/>
      <c r="AO227" s="448"/>
      <c r="AP227" s="448"/>
      <c r="AQ227" s="448"/>
    </row>
    <row r="228" ht="22.5" hidden="1" customHeight="1">
      <c r="A228" s="144" t="s">
        <v>259</v>
      </c>
      <c r="B228" s="145">
        <v>45910.0</v>
      </c>
      <c r="C228" s="215" t="s">
        <v>988</v>
      </c>
      <c r="D228" s="208" t="s">
        <v>989</v>
      </c>
      <c r="E228" s="148" t="s">
        <v>28</v>
      </c>
      <c r="F228" s="262" t="s">
        <v>990</v>
      </c>
      <c r="G228" s="149">
        <v>5.1966653741E10</v>
      </c>
      <c r="H228" s="148" t="s">
        <v>257</v>
      </c>
      <c r="I228" s="150">
        <v>0.2</v>
      </c>
      <c r="J228" s="312">
        <v>1150.0</v>
      </c>
      <c r="K228" s="169">
        <f t="shared" si="1"/>
        <v>4581.98</v>
      </c>
      <c r="L228" s="170">
        <v>5731.98</v>
      </c>
      <c r="M228" s="239">
        <v>5231.92</v>
      </c>
      <c r="N228" s="155">
        <v>1149.0</v>
      </c>
      <c r="O228" s="315">
        <f t="shared" ref="O228:O231" si="39">L228-M228</f>
        <v>500.06</v>
      </c>
      <c r="P228" s="316">
        <f t="shared" si="32"/>
        <v>0</v>
      </c>
      <c r="Q228" s="321"/>
      <c r="R228" s="159"/>
      <c r="S228" s="318"/>
      <c r="T228" s="319"/>
      <c r="U228" s="315"/>
      <c r="V228" s="144" t="s">
        <v>584</v>
      </c>
      <c r="W228" s="148" t="s">
        <v>584</v>
      </c>
      <c r="X228" s="163"/>
      <c r="Y228" s="144" t="s">
        <v>584</v>
      </c>
      <c r="Z228" s="164"/>
      <c r="AA228" s="116"/>
      <c r="AB228" s="116"/>
      <c r="AC228" s="646" t="s">
        <v>991</v>
      </c>
      <c r="AD228" s="145" t="str">
        <f t="shared" si="35"/>
        <v>septiembre</v>
      </c>
      <c r="AE228" s="144" t="s">
        <v>899</v>
      </c>
      <c r="AF228" s="149" t="b">
        <v>1</v>
      </c>
      <c r="AG228" s="166"/>
      <c r="AH228" s="149" t="b">
        <v>0</v>
      </c>
      <c r="AI228" s="162"/>
      <c r="AJ228" s="143"/>
      <c r="AK228" s="143"/>
      <c r="AL228" s="143"/>
      <c r="AM228" s="143"/>
      <c r="AN228" s="143"/>
      <c r="AO228" s="143"/>
      <c r="AP228" s="143"/>
      <c r="AQ228" s="143"/>
    </row>
    <row r="229" ht="22.5" hidden="1" customHeight="1">
      <c r="A229" s="144" t="s">
        <v>259</v>
      </c>
      <c r="B229" s="145">
        <v>45910.0</v>
      </c>
      <c r="C229" s="633" t="s">
        <v>771</v>
      </c>
      <c r="D229" s="208" t="s">
        <v>992</v>
      </c>
      <c r="E229" s="148" t="s">
        <v>28</v>
      </c>
      <c r="F229" s="647">
        <v>1.217751766E9</v>
      </c>
      <c r="G229" s="149" t="s">
        <v>993</v>
      </c>
      <c r="H229" s="148" t="s">
        <v>257</v>
      </c>
      <c r="I229" s="150">
        <v>1.0</v>
      </c>
      <c r="J229" s="270"/>
      <c r="K229" s="271" t="str">
        <f t="shared" si="1"/>
        <v/>
      </c>
      <c r="L229" s="170">
        <v>8999.0</v>
      </c>
      <c r="M229" s="239">
        <v>8092.0</v>
      </c>
      <c r="N229" s="277"/>
      <c r="O229" s="315">
        <f t="shared" si="39"/>
        <v>907</v>
      </c>
      <c r="P229" s="316">
        <f t="shared" si="32"/>
        <v>0</v>
      </c>
      <c r="Q229" s="321"/>
      <c r="R229" s="159"/>
      <c r="S229" s="346">
        <v>350.0</v>
      </c>
      <c r="T229" s="319"/>
      <c r="U229" s="315"/>
      <c r="V229" s="144" t="s">
        <v>584</v>
      </c>
      <c r="W229" s="648" t="s">
        <v>584</v>
      </c>
      <c r="X229" s="649"/>
      <c r="Y229" s="162"/>
      <c r="Z229" s="164"/>
      <c r="AA229" s="116"/>
      <c r="AB229" s="116"/>
      <c r="AC229" s="165"/>
      <c r="AD229" s="145" t="str">
        <f t="shared" si="35"/>
        <v>septiembre</v>
      </c>
      <c r="AE229" s="144" t="s">
        <v>899</v>
      </c>
      <c r="AF229" s="149" t="b">
        <v>1</v>
      </c>
      <c r="AG229" s="166"/>
      <c r="AH229" s="149" t="b">
        <v>0</v>
      </c>
      <c r="AI229" s="162"/>
      <c r="AJ229" s="143"/>
      <c r="AK229" s="143"/>
      <c r="AL229" s="143"/>
      <c r="AM229" s="143"/>
      <c r="AN229" s="143"/>
      <c r="AO229" s="143"/>
      <c r="AP229" s="143"/>
      <c r="AQ229" s="143"/>
    </row>
    <row r="230" ht="22.5" hidden="1" customHeight="1">
      <c r="A230" s="144" t="s">
        <v>259</v>
      </c>
      <c r="B230" s="145">
        <v>45912.0</v>
      </c>
      <c r="C230" s="615" t="s">
        <v>923</v>
      </c>
      <c r="D230" s="208" t="s">
        <v>994</v>
      </c>
      <c r="E230" s="148" t="s">
        <v>28</v>
      </c>
      <c r="F230" s="630" t="s">
        <v>995</v>
      </c>
      <c r="G230" s="149">
        <v>5.198051751E10</v>
      </c>
      <c r="H230" s="148" t="s">
        <v>257</v>
      </c>
      <c r="I230" s="150">
        <v>1.0</v>
      </c>
      <c r="J230" s="270"/>
      <c r="K230" s="271" t="str">
        <f t="shared" si="1"/>
        <v/>
      </c>
      <c r="L230" s="170">
        <v>7999.0</v>
      </c>
      <c r="M230" s="239">
        <v>7566.0</v>
      </c>
      <c r="N230" s="155">
        <v>1599.99</v>
      </c>
      <c r="O230" s="315">
        <f t="shared" si="39"/>
        <v>433</v>
      </c>
      <c r="P230" s="316">
        <f t="shared" si="32"/>
        <v>0</v>
      </c>
      <c r="Q230" s="321"/>
      <c r="R230" s="159"/>
      <c r="S230" s="346">
        <v>350.0</v>
      </c>
      <c r="T230" s="319"/>
      <c r="U230" s="315"/>
      <c r="V230" s="144" t="s">
        <v>584</v>
      </c>
      <c r="W230" s="148" t="s">
        <v>584</v>
      </c>
      <c r="X230" s="163"/>
      <c r="Y230" s="162"/>
      <c r="Z230" s="164"/>
      <c r="AA230" s="116"/>
      <c r="AB230" s="116"/>
      <c r="AC230" s="165"/>
      <c r="AD230" s="145" t="str">
        <f t="shared" si="35"/>
        <v>septiembre</v>
      </c>
      <c r="AE230" s="144" t="s">
        <v>899</v>
      </c>
      <c r="AF230" s="149" t="b">
        <v>1</v>
      </c>
      <c r="AG230" s="166"/>
      <c r="AH230" s="149" t="b">
        <v>0</v>
      </c>
      <c r="AI230" s="162"/>
      <c r="AJ230" s="143"/>
      <c r="AK230" s="143"/>
      <c r="AL230" s="143"/>
      <c r="AM230" s="143"/>
      <c r="AN230" s="143"/>
      <c r="AO230" s="143"/>
      <c r="AP230" s="143"/>
      <c r="AQ230" s="143"/>
    </row>
    <row r="231" ht="22.5" hidden="1" customHeight="1">
      <c r="A231" s="144" t="s">
        <v>259</v>
      </c>
      <c r="B231" s="187">
        <v>45912.0</v>
      </c>
      <c r="C231" s="215" t="s">
        <v>996</v>
      </c>
      <c r="D231" s="635" t="s">
        <v>997</v>
      </c>
      <c r="E231" s="367" t="s">
        <v>28</v>
      </c>
      <c r="F231" s="650" t="s">
        <v>998</v>
      </c>
      <c r="G231" s="651">
        <v>5.1992772257E10</v>
      </c>
      <c r="H231" s="367" t="s">
        <v>257</v>
      </c>
      <c r="I231" s="369">
        <v>0.5</v>
      </c>
      <c r="J231" s="612" t="s">
        <v>999</v>
      </c>
      <c r="K231" s="390" t="str">
        <f t="shared" si="1"/>
        <v>#VALUE!</v>
      </c>
      <c r="L231" s="342">
        <v>18803.85</v>
      </c>
      <c r="M231" s="239">
        <v>18053.85</v>
      </c>
      <c r="N231" s="155">
        <v>4299.99</v>
      </c>
      <c r="O231" s="371">
        <f t="shared" si="39"/>
        <v>750</v>
      </c>
      <c r="P231" s="316"/>
      <c r="Q231" s="321"/>
      <c r="R231" s="652"/>
      <c r="S231" s="318"/>
      <c r="T231" s="372"/>
      <c r="U231" s="371"/>
      <c r="V231" s="365" t="s">
        <v>584</v>
      </c>
      <c r="W231" s="367" t="s">
        <v>584</v>
      </c>
      <c r="X231" s="576"/>
      <c r="Y231" s="365" t="s">
        <v>584</v>
      </c>
      <c r="Z231" s="373"/>
      <c r="AA231" s="374"/>
      <c r="AB231" s="374"/>
      <c r="AC231" s="368"/>
      <c r="AD231" s="187" t="str">
        <f t="shared" si="35"/>
        <v>septiembre</v>
      </c>
      <c r="AE231" s="365" t="s">
        <v>899</v>
      </c>
      <c r="AF231" s="368" t="b">
        <v>1</v>
      </c>
      <c r="AG231" s="166"/>
      <c r="AH231" s="149" t="b">
        <v>0</v>
      </c>
      <c r="AI231" s="162"/>
      <c r="AJ231" s="376"/>
      <c r="AK231" s="376"/>
      <c r="AL231" s="376"/>
      <c r="AM231" s="376"/>
      <c r="AN231" s="376"/>
      <c r="AO231" s="376"/>
      <c r="AP231" s="376"/>
      <c r="AQ231" s="376"/>
    </row>
    <row r="232" ht="22.5" hidden="1" customHeight="1">
      <c r="A232" s="434" t="s">
        <v>34</v>
      </c>
      <c r="B232" s="435">
        <v>45913.0</v>
      </c>
      <c r="C232" s="653" t="s">
        <v>1000</v>
      </c>
      <c r="D232" s="437" t="s">
        <v>1001</v>
      </c>
      <c r="E232" s="438" t="s">
        <v>28</v>
      </c>
      <c r="F232" s="566" t="s">
        <v>1002</v>
      </c>
      <c r="G232" s="440">
        <v>5.1992772257E10</v>
      </c>
      <c r="H232" s="148" t="s">
        <v>257</v>
      </c>
      <c r="I232" s="498">
        <v>1.0</v>
      </c>
      <c r="J232" s="614">
        <v>8999.0</v>
      </c>
      <c r="K232" s="399">
        <f t="shared" si="1"/>
        <v>0</v>
      </c>
      <c r="L232" s="342">
        <v>8999.0</v>
      </c>
      <c r="M232" s="239">
        <v>8288.0</v>
      </c>
      <c r="N232" s="654">
        <v>1699.99</v>
      </c>
      <c r="O232" s="442">
        <f>L232-M232-P232</f>
        <v>661</v>
      </c>
      <c r="P232" s="344">
        <v>50.0</v>
      </c>
      <c r="Q232" s="317"/>
      <c r="R232" s="159"/>
      <c r="S232" s="346">
        <v>349.0</v>
      </c>
      <c r="T232" s="443"/>
      <c r="U232" s="499">
        <v>55.0</v>
      </c>
      <c r="V232" s="434" t="s">
        <v>584</v>
      </c>
      <c r="W232" s="438" t="s">
        <v>584</v>
      </c>
      <c r="X232" s="445"/>
      <c r="Y232" s="444"/>
      <c r="Z232" s="450"/>
      <c r="AA232" s="447"/>
      <c r="AB232" s="447"/>
      <c r="AC232" s="575"/>
      <c r="AD232" s="145" t="str">
        <f t="shared" si="35"/>
        <v>septiembre</v>
      </c>
      <c r="AE232" s="434" t="s">
        <v>899</v>
      </c>
      <c r="AF232" s="440" t="b">
        <v>1</v>
      </c>
      <c r="AG232" s="166"/>
      <c r="AH232" s="149" t="b">
        <v>0</v>
      </c>
      <c r="AI232" s="162"/>
      <c r="AJ232" s="448"/>
      <c r="AK232" s="448"/>
      <c r="AL232" s="448"/>
      <c r="AM232" s="448"/>
      <c r="AN232" s="448"/>
      <c r="AO232" s="448"/>
      <c r="AP232" s="448"/>
      <c r="AQ232" s="448"/>
    </row>
    <row r="233" ht="22.5" hidden="1" customHeight="1">
      <c r="A233" s="144" t="s">
        <v>259</v>
      </c>
      <c r="B233" s="145">
        <v>45913.0</v>
      </c>
      <c r="C233" s="615" t="s">
        <v>923</v>
      </c>
      <c r="D233" s="208" t="s">
        <v>1003</v>
      </c>
      <c r="E233" s="148" t="s">
        <v>28</v>
      </c>
      <c r="F233" s="630" t="s">
        <v>1004</v>
      </c>
      <c r="G233" s="149">
        <v>5.1994267201E10</v>
      </c>
      <c r="H233" s="148" t="s">
        <v>257</v>
      </c>
      <c r="I233" s="150">
        <v>0.3</v>
      </c>
      <c r="J233" s="312">
        <v>2339.7</v>
      </c>
      <c r="K233" s="169">
        <f t="shared" si="1"/>
        <v>5459.3</v>
      </c>
      <c r="L233" s="170">
        <v>7799.0</v>
      </c>
      <c r="M233" s="239">
        <v>7216.0</v>
      </c>
      <c r="N233" s="155">
        <v>1599.99</v>
      </c>
      <c r="O233" s="315">
        <f t="shared" ref="O233:O245" si="40">L233-M233</f>
        <v>583</v>
      </c>
      <c r="P233" s="316">
        <f t="shared" ref="P233:P243" si="41">U233-T233</f>
        <v>0</v>
      </c>
      <c r="Q233" s="321"/>
      <c r="R233" s="159"/>
      <c r="S233" s="318"/>
      <c r="T233" s="319"/>
      <c r="U233" s="315"/>
      <c r="V233" s="144" t="s">
        <v>584</v>
      </c>
      <c r="W233" s="148" t="s">
        <v>584</v>
      </c>
      <c r="X233" s="163"/>
      <c r="Y233" s="144" t="s">
        <v>584</v>
      </c>
      <c r="Z233" s="164"/>
      <c r="AA233" s="116"/>
      <c r="AB233" s="116"/>
      <c r="AC233" s="165"/>
      <c r="AD233" s="145" t="str">
        <f t="shared" si="35"/>
        <v>septiembre</v>
      </c>
      <c r="AE233" s="144" t="s">
        <v>899</v>
      </c>
      <c r="AF233" s="149" t="b">
        <v>1</v>
      </c>
      <c r="AG233" s="166"/>
      <c r="AH233" s="149" t="b">
        <v>0</v>
      </c>
      <c r="AI233" s="162"/>
      <c r="AJ233" s="143"/>
      <c r="AK233" s="143"/>
      <c r="AL233" s="143"/>
      <c r="AM233" s="143"/>
      <c r="AN233" s="143"/>
      <c r="AO233" s="143"/>
      <c r="AP233" s="143"/>
      <c r="AQ233" s="143"/>
    </row>
    <row r="234" ht="22.5" hidden="1" customHeight="1">
      <c r="A234" s="144" t="s">
        <v>259</v>
      </c>
      <c r="B234" s="145">
        <v>45914.0</v>
      </c>
      <c r="C234" s="149" t="s">
        <v>1005</v>
      </c>
      <c r="D234" s="655" t="s">
        <v>1006</v>
      </c>
      <c r="E234" s="148" t="s">
        <v>28</v>
      </c>
      <c r="F234" s="351" t="s">
        <v>1007</v>
      </c>
      <c r="G234" s="149" t="s">
        <v>1008</v>
      </c>
      <c r="H234" s="148" t="s">
        <v>257</v>
      </c>
      <c r="I234" s="150">
        <v>0.2</v>
      </c>
      <c r="J234" s="312">
        <v>1319.8</v>
      </c>
      <c r="K234" s="169">
        <f t="shared" si="1"/>
        <v>5279.2</v>
      </c>
      <c r="L234" s="170">
        <v>6599.0</v>
      </c>
      <c r="M234" s="239">
        <v>5970.54</v>
      </c>
      <c r="N234" s="155">
        <v>1349.99</v>
      </c>
      <c r="O234" s="315">
        <f t="shared" si="40"/>
        <v>628.46</v>
      </c>
      <c r="P234" s="316">
        <f t="shared" si="41"/>
        <v>0</v>
      </c>
      <c r="Q234" s="321"/>
      <c r="R234" s="159"/>
      <c r="S234" s="318"/>
      <c r="T234" s="319"/>
      <c r="U234" s="315"/>
      <c r="V234" s="144" t="s">
        <v>584</v>
      </c>
      <c r="W234" s="148" t="s">
        <v>584</v>
      </c>
      <c r="X234" s="163"/>
      <c r="Y234" s="144" t="s">
        <v>584</v>
      </c>
      <c r="Z234" s="164"/>
      <c r="AA234" s="116"/>
      <c r="AB234" s="116"/>
      <c r="AC234" s="149" t="s">
        <v>1009</v>
      </c>
      <c r="AD234" s="145" t="str">
        <f t="shared" si="35"/>
        <v>septiembre</v>
      </c>
      <c r="AE234" s="144" t="s">
        <v>899</v>
      </c>
      <c r="AF234" s="149" t="b">
        <v>1</v>
      </c>
      <c r="AG234" s="166"/>
      <c r="AH234" s="149" t="b">
        <v>0</v>
      </c>
      <c r="AI234" s="162"/>
      <c r="AJ234" s="143"/>
      <c r="AK234" s="143"/>
      <c r="AL234" s="143"/>
      <c r="AM234" s="143"/>
      <c r="AN234" s="143"/>
      <c r="AO234" s="143"/>
      <c r="AP234" s="143"/>
      <c r="AQ234" s="143"/>
    </row>
    <row r="235" ht="22.5" hidden="1" customHeight="1">
      <c r="A235" s="144" t="s">
        <v>259</v>
      </c>
      <c r="B235" s="145">
        <v>45915.0</v>
      </c>
      <c r="C235" s="309" t="s">
        <v>798</v>
      </c>
      <c r="D235" s="656" t="s">
        <v>799</v>
      </c>
      <c r="E235" s="148" t="s">
        <v>28</v>
      </c>
      <c r="F235" s="246" t="s">
        <v>1010</v>
      </c>
      <c r="G235" s="149" t="s">
        <v>1011</v>
      </c>
      <c r="H235" s="148" t="s">
        <v>257</v>
      </c>
      <c r="I235" s="150">
        <v>0.3</v>
      </c>
      <c r="J235" s="312">
        <v>2310.64</v>
      </c>
      <c r="K235" s="169">
        <f t="shared" si="1"/>
        <v>5759.3</v>
      </c>
      <c r="L235" s="170">
        <v>8069.94</v>
      </c>
      <c r="M235" s="239">
        <v>7910.51</v>
      </c>
      <c r="N235" s="155">
        <v>1799.0</v>
      </c>
      <c r="O235" s="315">
        <f t="shared" si="40"/>
        <v>159.43</v>
      </c>
      <c r="P235" s="316">
        <f t="shared" si="41"/>
        <v>0</v>
      </c>
      <c r="Q235" s="321"/>
      <c r="R235" s="159"/>
      <c r="S235" s="318"/>
      <c r="T235" s="319"/>
      <c r="U235" s="315"/>
      <c r="V235" s="144" t="s">
        <v>584</v>
      </c>
      <c r="W235" s="148"/>
      <c r="X235" s="163"/>
      <c r="Y235" s="144" t="s">
        <v>584</v>
      </c>
      <c r="Z235" s="164"/>
      <c r="AA235" s="116"/>
      <c r="AB235" s="116"/>
      <c r="AC235" s="149" t="s">
        <v>1012</v>
      </c>
      <c r="AD235" s="145" t="str">
        <f t="shared" si="35"/>
        <v>septiembre</v>
      </c>
      <c r="AE235" s="144" t="s">
        <v>899</v>
      </c>
      <c r="AF235" s="149" t="b">
        <v>1</v>
      </c>
      <c r="AG235" s="166"/>
      <c r="AH235" s="149" t="b">
        <v>0</v>
      </c>
      <c r="AI235" s="162"/>
      <c r="AJ235" s="143"/>
      <c r="AK235" s="143"/>
      <c r="AL235" s="143"/>
      <c r="AM235" s="143"/>
      <c r="AN235" s="143"/>
      <c r="AO235" s="143"/>
      <c r="AP235" s="143"/>
      <c r="AQ235" s="143"/>
    </row>
    <row r="236" ht="22.5" customHeight="1">
      <c r="A236" s="144" t="s">
        <v>162</v>
      </c>
      <c r="B236" s="145">
        <v>45917.0</v>
      </c>
      <c r="C236" s="207" t="s">
        <v>1013</v>
      </c>
      <c r="D236" s="208" t="s">
        <v>1014</v>
      </c>
      <c r="E236" s="148" t="s">
        <v>28</v>
      </c>
      <c r="F236" s="262" t="s">
        <v>1015</v>
      </c>
      <c r="G236" s="149">
        <v>5.1959374238E10</v>
      </c>
      <c r="H236" s="148" t="s">
        <v>257</v>
      </c>
      <c r="I236" s="150">
        <v>0.2</v>
      </c>
      <c r="J236" s="168">
        <v>1390.0</v>
      </c>
      <c r="K236" s="169">
        <f t="shared" si="1"/>
        <v>5560</v>
      </c>
      <c r="L236" s="170">
        <v>6950.0</v>
      </c>
      <c r="M236" s="239">
        <v>6756.72</v>
      </c>
      <c r="N236" s="155">
        <v>1499.99</v>
      </c>
      <c r="O236" s="315">
        <f t="shared" si="40"/>
        <v>193.28</v>
      </c>
      <c r="P236" s="316">
        <f t="shared" si="41"/>
        <v>0</v>
      </c>
      <c r="Q236" s="321"/>
      <c r="R236" s="159"/>
      <c r="S236" s="318"/>
      <c r="T236" s="319"/>
      <c r="U236" s="315"/>
      <c r="V236" s="144" t="s">
        <v>584</v>
      </c>
      <c r="W236" s="367" t="s">
        <v>584</v>
      </c>
      <c r="X236" s="576"/>
      <c r="Y236" s="144" t="s">
        <v>584</v>
      </c>
      <c r="Z236" s="164"/>
      <c r="AA236" s="116"/>
      <c r="AB236" s="116"/>
      <c r="AC236" s="149" t="s">
        <v>1016</v>
      </c>
      <c r="AD236" s="145" t="str">
        <f t="shared" si="35"/>
        <v>septiembre</v>
      </c>
      <c r="AE236" s="144" t="s">
        <v>899</v>
      </c>
      <c r="AF236" s="149" t="b">
        <v>1</v>
      </c>
      <c r="AG236" s="166"/>
      <c r="AH236" s="149" t="b">
        <v>0</v>
      </c>
      <c r="AI236" s="162"/>
      <c r="AJ236" s="143"/>
      <c r="AK236" s="143"/>
      <c r="AL236" s="143"/>
      <c r="AM236" s="143"/>
      <c r="AN236" s="143"/>
      <c r="AO236" s="143"/>
      <c r="AP236" s="143"/>
      <c r="AQ236" s="143"/>
    </row>
    <row r="237" ht="22.5" hidden="1" customHeight="1">
      <c r="A237" s="144" t="s">
        <v>259</v>
      </c>
      <c r="B237" s="145">
        <v>45917.0</v>
      </c>
      <c r="C237" s="615" t="s">
        <v>911</v>
      </c>
      <c r="D237" s="208" t="s">
        <v>1017</v>
      </c>
      <c r="E237" s="148" t="s">
        <v>28</v>
      </c>
      <c r="F237" s="630" t="s">
        <v>1018</v>
      </c>
      <c r="G237" s="149">
        <v>5.1912501518E10</v>
      </c>
      <c r="H237" s="148" t="s">
        <v>257</v>
      </c>
      <c r="I237" s="150">
        <v>1.0</v>
      </c>
      <c r="J237" s="270"/>
      <c r="K237" s="271" t="str">
        <f t="shared" si="1"/>
        <v/>
      </c>
      <c r="L237" s="170">
        <v>6699.0</v>
      </c>
      <c r="M237" s="239">
        <v>6523.0</v>
      </c>
      <c r="N237" s="155">
        <v>1484.0</v>
      </c>
      <c r="O237" s="315">
        <f t="shared" si="40"/>
        <v>176</v>
      </c>
      <c r="P237" s="316">
        <f t="shared" si="41"/>
        <v>0</v>
      </c>
      <c r="Q237" s="321"/>
      <c r="R237" s="159"/>
      <c r="S237" s="346">
        <v>349.0</v>
      </c>
      <c r="T237" s="319"/>
      <c r="U237" s="315"/>
      <c r="V237" s="144" t="s">
        <v>584</v>
      </c>
      <c r="W237" s="148" t="s">
        <v>584</v>
      </c>
      <c r="X237" s="163"/>
      <c r="Y237" s="162"/>
      <c r="Z237" s="164"/>
      <c r="AA237" s="116"/>
      <c r="AB237" s="116"/>
      <c r="AC237" s="165"/>
      <c r="AD237" s="145" t="str">
        <f t="shared" si="35"/>
        <v>septiembre</v>
      </c>
      <c r="AE237" s="144" t="s">
        <v>899</v>
      </c>
      <c r="AF237" s="149" t="b">
        <v>1</v>
      </c>
      <c r="AG237" s="166"/>
      <c r="AH237" s="149" t="b">
        <v>0</v>
      </c>
      <c r="AI237" s="162"/>
      <c r="AJ237" s="143"/>
      <c r="AK237" s="143"/>
      <c r="AL237" s="143"/>
      <c r="AM237" s="143"/>
      <c r="AN237" s="143"/>
      <c r="AO237" s="143"/>
      <c r="AP237" s="143"/>
      <c r="AQ237" s="143"/>
    </row>
    <row r="238" ht="22.5" hidden="1" customHeight="1">
      <c r="A238" s="593" t="s">
        <v>34</v>
      </c>
      <c r="B238" s="594">
        <v>45920.0</v>
      </c>
      <c r="C238" s="636" t="s">
        <v>888</v>
      </c>
      <c r="D238" s="603" t="s">
        <v>1019</v>
      </c>
      <c r="E238" s="398" t="s">
        <v>28</v>
      </c>
      <c r="F238" s="597" t="s">
        <v>1020</v>
      </c>
      <c r="G238" s="397">
        <v>5.1932012707E10</v>
      </c>
      <c r="H238" s="398" t="s">
        <v>257</v>
      </c>
      <c r="I238" s="639"/>
      <c r="J238" s="168">
        <v>1140.0</v>
      </c>
      <c r="K238" s="399">
        <f t="shared" si="1"/>
        <v>4559</v>
      </c>
      <c r="L238" s="170">
        <v>5699.0</v>
      </c>
      <c r="M238" s="239">
        <v>5411.22</v>
      </c>
      <c r="N238" s="155">
        <v>1199.99</v>
      </c>
      <c r="O238" s="400">
        <f t="shared" si="40"/>
        <v>287.78</v>
      </c>
      <c r="P238" s="316">
        <f t="shared" si="41"/>
        <v>0</v>
      </c>
      <c r="Q238" s="317"/>
      <c r="R238" s="657"/>
      <c r="S238" s="400"/>
      <c r="T238" s="401"/>
      <c r="U238" s="400"/>
      <c r="V238" s="593" t="s">
        <v>584</v>
      </c>
      <c r="W238" s="398"/>
      <c r="X238" s="599"/>
      <c r="Y238" s="593" t="s">
        <v>584</v>
      </c>
      <c r="Z238" s="402"/>
      <c r="AA238" s="403"/>
      <c r="AB238" s="403"/>
      <c r="AC238" s="397" t="s">
        <v>1021</v>
      </c>
      <c r="AD238" s="594" t="str">
        <f t="shared" si="35"/>
        <v>septiembre</v>
      </c>
      <c r="AE238" s="593" t="s">
        <v>899</v>
      </c>
      <c r="AF238" s="397" t="b">
        <v>1</v>
      </c>
      <c r="AG238" s="166"/>
      <c r="AH238" s="149" t="b">
        <v>0</v>
      </c>
      <c r="AI238" s="162"/>
      <c r="AJ238" s="405"/>
      <c r="AK238" s="405"/>
      <c r="AL238" s="405"/>
      <c r="AM238" s="405"/>
      <c r="AN238" s="405"/>
      <c r="AO238" s="405"/>
      <c r="AP238" s="405"/>
      <c r="AQ238" s="405"/>
    </row>
    <row r="239" ht="22.5" customHeight="1">
      <c r="A239" s="144" t="s">
        <v>162</v>
      </c>
      <c r="B239" s="145">
        <v>45920.0</v>
      </c>
      <c r="C239" s="615" t="s">
        <v>1022</v>
      </c>
      <c r="D239" s="208" t="s">
        <v>1023</v>
      </c>
      <c r="E239" s="148" t="s">
        <v>28</v>
      </c>
      <c r="F239" s="262" t="s">
        <v>1024</v>
      </c>
      <c r="G239" s="149">
        <v>5.1928925168E10</v>
      </c>
      <c r="H239" s="148" t="s">
        <v>257</v>
      </c>
      <c r="I239" s="150">
        <v>0.2</v>
      </c>
      <c r="J239" s="168">
        <v>1260.0</v>
      </c>
      <c r="K239" s="169">
        <f t="shared" si="1"/>
        <v>5039</v>
      </c>
      <c r="L239" s="170">
        <v>6299.0</v>
      </c>
      <c r="M239" s="239">
        <v>5968.21</v>
      </c>
      <c r="N239" s="155">
        <v>1349.99</v>
      </c>
      <c r="O239" s="315">
        <f t="shared" si="40"/>
        <v>330.79</v>
      </c>
      <c r="P239" s="316">
        <f t="shared" si="41"/>
        <v>10</v>
      </c>
      <c r="Q239" s="510"/>
      <c r="R239" s="159"/>
      <c r="S239" s="318"/>
      <c r="T239" s="347">
        <v>335.0</v>
      </c>
      <c r="U239" s="343">
        <v>345.0</v>
      </c>
      <c r="V239" s="144" t="s">
        <v>584</v>
      </c>
      <c r="W239" s="148" t="s">
        <v>584</v>
      </c>
      <c r="X239" s="163"/>
      <c r="Y239" s="144" t="s">
        <v>584</v>
      </c>
      <c r="Z239" s="10" t="s">
        <v>1025</v>
      </c>
      <c r="AA239" s="116"/>
      <c r="AB239" s="116"/>
      <c r="AC239" s="149" t="s">
        <v>1026</v>
      </c>
      <c r="AD239" s="145" t="str">
        <f t="shared" si="35"/>
        <v>septiembre</v>
      </c>
      <c r="AE239" s="144" t="s">
        <v>899</v>
      </c>
      <c r="AF239" s="149" t="b">
        <v>1</v>
      </c>
      <c r="AG239" s="166"/>
      <c r="AH239" s="149" t="b">
        <v>0</v>
      </c>
      <c r="AI239" s="162"/>
      <c r="AJ239" s="143"/>
      <c r="AK239" s="143"/>
      <c r="AL239" s="143"/>
      <c r="AM239" s="143"/>
      <c r="AN239" s="143"/>
      <c r="AO239" s="143"/>
      <c r="AP239" s="143"/>
      <c r="AQ239" s="143"/>
    </row>
    <row r="240" ht="22.5" customHeight="1">
      <c r="A240" s="144" t="s">
        <v>162</v>
      </c>
      <c r="B240" s="145">
        <v>45923.0</v>
      </c>
      <c r="C240" s="149" t="s">
        <v>593</v>
      </c>
      <c r="D240" s="208" t="s">
        <v>1027</v>
      </c>
      <c r="E240" s="148" t="s">
        <v>28</v>
      </c>
      <c r="F240" s="149" t="s">
        <v>1028</v>
      </c>
      <c r="G240" s="149" t="s">
        <v>1029</v>
      </c>
      <c r="H240" s="148" t="s">
        <v>257</v>
      </c>
      <c r="I240" s="150">
        <v>1.0</v>
      </c>
      <c r="J240" s="168">
        <v>400.0</v>
      </c>
      <c r="K240" s="169">
        <f t="shared" si="1"/>
        <v>5648</v>
      </c>
      <c r="L240" s="170">
        <v>6048.0</v>
      </c>
      <c r="M240" s="239">
        <v>5426.0</v>
      </c>
      <c r="N240" s="155">
        <v>1149.99</v>
      </c>
      <c r="O240" s="315">
        <f t="shared" si="40"/>
        <v>622</v>
      </c>
      <c r="P240" s="316">
        <f t="shared" si="41"/>
        <v>0</v>
      </c>
      <c r="Q240" s="321"/>
      <c r="R240" s="159"/>
      <c r="S240" s="346">
        <v>349.0</v>
      </c>
      <c r="T240" s="319"/>
      <c r="U240" s="315"/>
      <c r="V240" s="144" t="s">
        <v>584</v>
      </c>
      <c r="W240" s="148" t="s">
        <v>584</v>
      </c>
      <c r="X240" s="163"/>
      <c r="Y240" s="162"/>
      <c r="Z240" s="164"/>
      <c r="AA240" s="116"/>
      <c r="AB240" s="116"/>
      <c r="AC240" s="165"/>
      <c r="AD240" s="145" t="str">
        <f t="shared" si="35"/>
        <v>septiembre</v>
      </c>
      <c r="AE240" s="144" t="s">
        <v>899</v>
      </c>
      <c r="AF240" s="149" t="b">
        <v>1</v>
      </c>
      <c r="AG240" s="166"/>
      <c r="AH240" s="149" t="b">
        <v>0</v>
      </c>
      <c r="AI240" s="162"/>
      <c r="AJ240" s="143"/>
      <c r="AK240" s="143"/>
      <c r="AL240" s="143"/>
      <c r="AM240" s="143"/>
      <c r="AN240" s="143"/>
      <c r="AO240" s="143"/>
      <c r="AP240" s="143"/>
      <c r="AQ240" s="143"/>
    </row>
    <row r="241" ht="22.5" hidden="1" customHeight="1">
      <c r="A241" s="593" t="s">
        <v>34</v>
      </c>
      <c r="B241" s="594">
        <v>45924.0</v>
      </c>
      <c r="C241" s="658" t="s">
        <v>1030</v>
      </c>
      <c r="D241" s="603" t="s">
        <v>1031</v>
      </c>
      <c r="E241" s="398" t="s">
        <v>28</v>
      </c>
      <c r="F241" s="597" t="s">
        <v>1032</v>
      </c>
      <c r="G241" s="397">
        <v>5.1912920157E10</v>
      </c>
      <c r="H241" s="398" t="s">
        <v>257</v>
      </c>
      <c r="I241" s="639"/>
      <c r="J241" s="168">
        <v>1140.0</v>
      </c>
      <c r="K241" s="399">
        <f t="shared" si="1"/>
        <v>4559</v>
      </c>
      <c r="L241" s="170">
        <v>5699.0</v>
      </c>
      <c r="M241" s="239">
        <v>5256.65</v>
      </c>
      <c r="N241" s="155">
        <v>1149.99</v>
      </c>
      <c r="O241" s="400">
        <f t="shared" si="40"/>
        <v>442.35</v>
      </c>
      <c r="P241" s="316">
        <f t="shared" si="41"/>
        <v>0</v>
      </c>
      <c r="Q241" s="317"/>
      <c r="R241" s="657"/>
      <c r="S241" s="318"/>
      <c r="T241" s="401"/>
      <c r="U241" s="400"/>
      <c r="V241" s="593" t="s">
        <v>584</v>
      </c>
      <c r="W241" s="398" t="s">
        <v>584</v>
      </c>
      <c r="X241" s="599"/>
      <c r="Y241" s="593" t="s">
        <v>584</v>
      </c>
      <c r="Z241" s="402"/>
      <c r="AA241" s="403"/>
      <c r="AB241" s="403"/>
      <c r="AC241" s="397" t="s">
        <v>1033</v>
      </c>
      <c r="AD241" s="594" t="str">
        <f t="shared" si="35"/>
        <v>septiembre</v>
      </c>
      <c r="AE241" s="593" t="s">
        <v>899</v>
      </c>
      <c r="AF241" s="397" t="b">
        <v>1</v>
      </c>
      <c r="AG241" s="166"/>
      <c r="AH241" s="149" t="b">
        <v>0</v>
      </c>
      <c r="AI241" s="162"/>
      <c r="AJ241" s="405"/>
      <c r="AK241" s="405"/>
      <c r="AL241" s="405"/>
      <c r="AM241" s="405"/>
      <c r="AN241" s="405"/>
      <c r="AO241" s="405"/>
      <c r="AP241" s="405"/>
      <c r="AQ241" s="405"/>
    </row>
    <row r="242" ht="22.5" customHeight="1">
      <c r="A242" s="144" t="s">
        <v>162</v>
      </c>
      <c r="B242" s="145">
        <v>45924.0</v>
      </c>
      <c r="C242" s="149" t="s">
        <v>879</v>
      </c>
      <c r="D242" s="208" t="s">
        <v>1034</v>
      </c>
      <c r="E242" s="148" t="s">
        <v>28</v>
      </c>
      <c r="F242" s="149" t="s">
        <v>1035</v>
      </c>
      <c r="G242" s="149" t="s">
        <v>1036</v>
      </c>
      <c r="H242" s="148" t="s">
        <v>257</v>
      </c>
      <c r="I242" s="150">
        <v>0.5</v>
      </c>
      <c r="J242" s="168">
        <v>3000.0</v>
      </c>
      <c r="K242" s="169">
        <f t="shared" si="1"/>
        <v>3699</v>
      </c>
      <c r="L242" s="170">
        <v>6699.0</v>
      </c>
      <c r="M242" s="239">
        <v>5985.0</v>
      </c>
      <c r="N242" s="155">
        <v>1299.99</v>
      </c>
      <c r="O242" s="315">
        <f t="shared" si="40"/>
        <v>714</v>
      </c>
      <c r="P242" s="316">
        <f t="shared" si="41"/>
        <v>0</v>
      </c>
      <c r="Q242" s="321"/>
      <c r="R242" s="159"/>
      <c r="S242" s="318"/>
      <c r="T242" s="319"/>
      <c r="U242" s="315"/>
      <c r="V242" s="144" t="s">
        <v>584</v>
      </c>
      <c r="W242" s="367" t="s">
        <v>584</v>
      </c>
      <c r="X242" s="576"/>
      <c r="Y242" s="144" t="s">
        <v>584</v>
      </c>
      <c r="Z242" s="164"/>
      <c r="AA242" s="116"/>
      <c r="AB242" s="116"/>
      <c r="AC242" s="165"/>
      <c r="AD242" s="145" t="str">
        <f t="shared" si="35"/>
        <v>septiembre</v>
      </c>
      <c r="AE242" s="144" t="s">
        <v>899</v>
      </c>
      <c r="AF242" s="149" t="b">
        <v>1</v>
      </c>
      <c r="AG242" s="166"/>
      <c r="AH242" s="149" t="b">
        <v>0</v>
      </c>
      <c r="AI242" s="162"/>
      <c r="AJ242" s="143"/>
      <c r="AK242" s="143"/>
      <c r="AL242" s="143"/>
      <c r="AM242" s="143"/>
      <c r="AN242" s="143"/>
      <c r="AO242" s="143"/>
      <c r="AP242" s="143"/>
      <c r="AQ242" s="143"/>
    </row>
    <row r="243" ht="22.5" customHeight="1">
      <c r="A243" s="144" t="s">
        <v>162</v>
      </c>
      <c r="B243" s="145">
        <v>45924.0</v>
      </c>
      <c r="C243" s="659" t="s">
        <v>593</v>
      </c>
      <c r="D243" s="329" t="s">
        <v>1037</v>
      </c>
      <c r="E243" s="148" t="s">
        <v>28</v>
      </c>
      <c r="F243" s="149" t="s">
        <v>1038</v>
      </c>
      <c r="G243" s="149">
        <v>5.1933802363E10</v>
      </c>
      <c r="H243" s="148" t="s">
        <v>257</v>
      </c>
      <c r="I243" s="150">
        <v>0.2</v>
      </c>
      <c r="J243" s="168">
        <v>1139.8</v>
      </c>
      <c r="K243" s="169">
        <f t="shared" si="1"/>
        <v>4559.2</v>
      </c>
      <c r="L243" s="170">
        <v>5699.0</v>
      </c>
      <c r="M243" s="239">
        <v>5077.0</v>
      </c>
      <c r="N243" s="155">
        <v>1149.99</v>
      </c>
      <c r="O243" s="315">
        <f t="shared" si="40"/>
        <v>622</v>
      </c>
      <c r="P243" s="316">
        <f t="shared" si="41"/>
        <v>0</v>
      </c>
      <c r="Q243" s="321"/>
      <c r="R243" s="159"/>
      <c r="S243" s="318"/>
      <c r="T243" s="319"/>
      <c r="U243" s="315"/>
      <c r="V243" s="144" t="s">
        <v>584</v>
      </c>
      <c r="W243" s="148" t="s">
        <v>584</v>
      </c>
      <c r="X243" s="163"/>
      <c r="Y243" s="144" t="s">
        <v>584</v>
      </c>
      <c r="Z243" s="164"/>
      <c r="AA243" s="116"/>
      <c r="AB243" s="116"/>
      <c r="AC243" s="165"/>
      <c r="AD243" s="145" t="str">
        <f t="shared" si="35"/>
        <v>septiembre</v>
      </c>
      <c r="AE243" s="144" t="s">
        <v>899</v>
      </c>
      <c r="AF243" s="149" t="b">
        <v>1</v>
      </c>
      <c r="AG243" s="166"/>
      <c r="AH243" s="149" t="b">
        <v>0</v>
      </c>
      <c r="AI243" s="162"/>
      <c r="AJ243" s="143"/>
      <c r="AK243" s="143"/>
      <c r="AL243" s="143"/>
      <c r="AM243" s="143"/>
      <c r="AN243" s="143"/>
      <c r="AO243" s="143"/>
      <c r="AP243" s="143"/>
      <c r="AQ243" s="143"/>
    </row>
    <row r="244" ht="22.5" hidden="1" customHeight="1">
      <c r="A244" s="434" t="s">
        <v>34</v>
      </c>
      <c r="B244" s="435">
        <v>45925.0</v>
      </c>
      <c r="C244" s="660" t="s">
        <v>1039</v>
      </c>
      <c r="D244" s="456" t="s">
        <v>1040</v>
      </c>
      <c r="E244" s="438" t="s">
        <v>28</v>
      </c>
      <c r="F244" s="566" t="s">
        <v>1041</v>
      </c>
      <c r="G244" s="440">
        <v>5.1979681174E10</v>
      </c>
      <c r="H244" s="438" t="s">
        <v>257</v>
      </c>
      <c r="I244" s="498">
        <v>0.5</v>
      </c>
      <c r="J244" s="168">
        <v>6330.0</v>
      </c>
      <c r="K244" s="441">
        <f t="shared" si="1"/>
        <v>6331.48</v>
      </c>
      <c r="L244" s="170">
        <v>12661.48</v>
      </c>
      <c r="M244" s="239">
        <v>12020.39</v>
      </c>
      <c r="N244" s="155">
        <v>2699.99</v>
      </c>
      <c r="O244" s="442">
        <f t="shared" si="40"/>
        <v>641.09</v>
      </c>
      <c r="P244" s="344">
        <v>95.0</v>
      </c>
      <c r="Q244" s="317">
        <f>O244-P244</f>
        <v>546.09</v>
      </c>
      <c r="R244" s="645"/>
      <c r="S244" s="442"/>
      <c r="T244" s="505">
        <v>95.0</v>
      </c>
      <c r="U244" s="499">
        <v>95.0</v>
      </c>
      <c r="V244" s="434" t="s">
        <v>584</v>
      </c>
      <c r="W244" s="438"/>
      <c r="X244" s="445"/>
      <c r="Y244" s="434" t="s">
        <v>584</v>
      </c>
      <c r="Z244" s="450"/>
      <c r="AA244" s="447"/>
      <c r="AB244" s="447"/>
      <c r="AC244" s="575"/>
      <c r="AD244" s="435" t="str">
        <f t="shared" si="35"/>
        <v>septiembre</v>
      </c>
      <c r="AE244" s="434" t="s">
        <v>899</v>
      </c>
      <c r="AF244" s="440" t="b">
        <v>1</v>
      </c>
      <c r="AG244" s="166"/>
      <c r="AH244" s="149" t="b">
        <v>0</v>
      </c>
      <c r="AI244" s="162"/>
      <c r="AJ244" s="448"/>
      <c r="AK244" s="448"/>
      <c r="AL244" s="448"/>
      <c r="AM244" s="448"/>
      <c r="AN244" s="448"/>
      <c r="AO244" s="448"/>
      <c r="AP244" s="448"/>
      <c r="AQ244" s="448"/>
    </row>
    <row r="245" ht="22.5" hidden="1" customHeight="1">
      <c r="A245" s="144" t="s">
        <v>259</v>
      </c>
      <c r="B245" s="145">
        <v>45925.0</v>
      </c>
      <c r="C245" s="262" t="s">
        <v>1042</v>
      </c>
      <c r="D245" s="208" t="s">
        <v>1043</v>
      </c>
      <c r="E245" s="148" t="s">
        <v>28</v>
      </c>
      <c r="F245" s="661" t="s">
        <v>179</v>
      </c>
      <c r="G245" s="149">
        <v>5.1982739768E10</v>
      </c>
      <c r="H245" s="148" t="s">
        <v>257</v>
      </c>
      <c r="I245" s="150">
        <v>1.0</v>
      </c>
      <c r="J245" s="270"/>
      <c r="K245" s="271" t="str">
        <f t="shared" si="1"/>
        <v/>
      </c>
      <c r="L245" s="170">
        <v>10499.0</v>
      </c>
      <c r="M245" s="239">
        <v>10300.0</v>
      </c>
      <c r="N245" s="155">
        <v>2199.99</v>
      </c>
      <c r="O245" s="315">
        <f t="shared" si="40"/>
        <v>199</v>
      </c>
      <c r="P245" s="316">
        <f t="shared" ref="P245:P256" si="42">U245-T245</f>
        <v>0</v>
      </c>
      <c r="Q245" s="321"/>
      <c r="R245" s="159"/>
      <c r="S245" s="346">
        <v>350.0</v>
      </c>
      <c r="T245" s="319"/>
      <c r="U245" s="315"/>
      <c r="V245" s="144" t="s">
        <v>584</v>
      </c>
      <c r="W245" s="148" t="s">
        <v>584</v>
      </c>
      <c r="X245" s="163"/>
      <c r="Y245" s="162"/>
      <c r="Z245" s="164"/>
      <c r="AA245" s="116"/>
      <c r="AB245" s="116"/>
      <c r="AC245" s="165"/>
      <c r="AE245" s="144" t="s">
        <v>899</v>
      </c>
      <c r="AF245" s="149" t="b">
        <v>1</v>
      </c>
      <c r="AG245" s="166"/>
      <c r="AH245" s="149" t="b">
        <v>0</v>
      </c>
      <c r="AI245" s="162"/>
      <c r="AJ245" s="143"/>
      <c r="AK245" s="143"/>
      <c r="AL245" s="143"/>
      <c r="AM245" s="143"/>
      <c r="AN245" s="143"/>
      <c r="AO245" s="143"/>
      <c r="AP245" s="143"/>
      <c r="AQ245" s="143"/>
    </row>
    <row r="246" ht="22.5" hidden="1" customHeight="1">
      <c r="A246" s="434" t="s">
        <v>34</v>
      </c>
      <c r="B246" s="435">
        <v>45927.0</v>
      </c>
      <c r="C246" s="662" t="s">
        <v>1044</v>
      </c>
      <c r="D246" s="456" t="s">
        <v>1045</v>
      </c>
      <c r="E246" s="438" t="s">
        <v>28</v>
      </c>
      <c r="F246" s="497" t="s">
        <v>1046</v>
      </c>
      <c r="G246" s="440">
        <v>5.1901293728E10</v>
      </c>
      <c r="H246" s="438" t="s">
        <v>257</v>
      </c>
      <c r="I246" s="498">
        <v>0.2</v>
      </c>
      <c r="J246" s="485">
        <v>1050.0</v>
      </c>
      <c r="K246" s="441">
        <f t="shared" si="1"/>
        <v>4185.72</v>
      </c>
      <c r="L246" s="170">
        <v>5235.72</v>
      </c>
      <c r="M246" s="384">
        <v>5135.72</v>
      </c>
      <c r="N246" s="155">
        <v>1099.99</v>
      </c>
      <c r="O246" s="499">
        <v>100.0</v>
      </c>
      <c r="P246" s="316">
        <f t="shared" si="42"/>
        <v>0</v>
      </c>
      <c r="Q246" s="345">
        <v>70.0</v>
      </c>
      <c r="R246" s="645"/>
      <c r="S246" s="442"/>
      <c r="T246" s="505">
        <v>30.0</v>
      </c>
      <c r="U246" s="499">
        <v>30.0</v>
      </c>
      <c r="V246" s="434" t="s">
        <v>584</v>
      </c>
      <c r="W246" s="438" t="s">
        <v>584</v>
      </c>
      <c r="X246" s="445"/>
      <c r="Y246" s="434" t="s">
        <v>584</v>
      </c>
      <c r="Z246" s="450"/>
      <c r="AA246" s="447"/>
      <c r="AB246" s="447"/>
      <c r="AC246" s="440" t="s">
        <v>1047</v>
      </c>
      <c r="AD246" s="435" t="str">
        <f t="shared" ref="AD246:AD248" si="43">TEXT(B246,"mmmm")</f>
        <v>septiembre</v>
      </c>
      <c r="AE246" s="434" t="s">
        <v>1048</v>
      </c>
      <c r="AF246" s="440" t="b">
        <v>1</v>
      </c>
      <c r="AG246" s="166"/>
      <c r="AH246" s="149" t="b">
        <v>0</v>
      </c>
      <c r="AI246" s="162"/>
      <c r="AJ246" s="448"/>
      <c r="AK246" s="448"/>
      <c r="AL246" s="448"/>
      <c r="AM246" s="448"/>
      <c r="AN246" s="448"/>
      <c r="AO246" s="448"/>
      <c r="AP246" s="448"/>
      <c r="AQ246" s="448"/>
    </row>
    <row r="247" ht="22.5" customHeight="1">
      <c r="A247" s="144" t="s">
        <v>162</v>
      </c>
      <c r="B247" s="145">
        <v>45927.0</v>
      </c>
      <c r="C247" s="149" t="s">
        <v>923</v>
      </c>
      <c r="D247" s="208" t="s">
        <v>1049</v>
      </c>
      <c r="E247" s="148" t="s">
        <v>28</v>
      </c>
      <c r="F247" s="451" t="s">
        <v>1050</v>
      </c>
      <c r="G247" s="149">
        <v>5.1945801348E10</v>
      </c>
      <c r="H247" s="148" t="s">
        <v>257</v>
      </c>
      <c r="I247" s="150">
        <v>1.0</v>
      </c>
      <c r="J247" s="168">
        <v>8099.0</v>
      </c>
      <c r="K247" s="169">
        <f t="shared" si="1"/>
        <v>0</v>
      </c>
      <c r="L247" s="170">
        <v>8099.0</v>
      </c>
      <c r="M247" s="239">
        <v>7566.0</v>
      </c>
      <c r="N247" s="155">
        <v>1599.99</v>
      </c>
      <c r="O247" s="315">
        <f t="shared" ref="O247:O268" si="44">L247-M247</f>
        <v>533</v>
      </c>
      <c r="P247" s="316">
        <f t="shared" si="42"/>
        <v>0</v>
      </c>
      <c r="Q247" s="321"/>
      <c r="R247" s="159"/>
      <c r="S247" s="346">
        <v>449.0</v>
      </c>
      <c r="T247" s="319"/>
      <c r="U247" s="315"/>
      <c r="V247" s="144" t="s">
        <v>584</v>
      </c>
      <c r="W247" s="148" t="s">
        <v>584</v>
      </c>
      <c r="X247" s="163"/>
      <c r="Y247" s="162"/>
      <c r="Z247" s="164"/>
      <c r="AA247" s="116"/>
      <c r="AB247" s="116"/>
      <c r="AC247" s="165"/>
      <c r="AD247" s="145" t="str">
        <f t="shared" si="43"/>
        <v>septiembre</v>
      </c>
      <c r="AE247" s="144" t="s">
        <v>899</v>
      </c>
      <c r="AF247" s="149" t="b">
        <v>1</v>
      </c>
      <c r="AG247" s="166"/>
      <c r="AH247" s="149" t="b">
        <v>0</v>
      </c>
      <c r="AI247" s="162"/>
      <c r="AJ247" s="143"/>
      <c r="AK247" s="143"/>
      <c r="AL247" s="143"/>
      <c r="AM247" s="143"/>
      <c r="AN247" s="143"/>
      <c r="AO247" s="143"/>
      <c r="AP247" s="143"/>
      <c r="AQ247" s="143"/>
    </row>
    <row r="248" ht="22.5" customHeight="1">
      <c r="A248" s="144" t="s">
        <v>162</v>
      </c>
      <c r="B248" s="145">
        <v>45927.0</v>
      </c>
      <c r="C248" s="149" t="s">
        <v>1000</v>
      </c>
      <c r="D248" s="208" t="s">
        <v>1051</v>
      </c>
      <c r="E248" s="148" t="s">
        <v>28</v>
      </c>
      <c r="F248" s="410" t="s">
        <v>1052</v>
      </c>
      <c r="G248" s="149">
        <v>5.1996655049E10</v>
      </c>
      <c r="H248" s="148" t="s">
        <v>257</v>
      </c>
      <c r="I248" s="150">
        <v>1.0</v>
      </c>
      <c r="J248" s="168">
        <v>8479.0</v>
      </c>
      <c r="K248" s="169">
        <f t="shared" si="1"/>
        <v>0</v>
      </c>
      <c r="L248" s="170">
        <v>8479.0</v>
      </c>
      <c r="M248" s="239">
        <v>8288.0</v>
      </c>
      <c r="N248" s="155">
        <v>1699.99</v>
      </c>
      <c r="O248" s="315">
        <f t="shared" si="44"/>
        <v>191</v>
      </c>
      <c r="P248" s="316">
        <f t="shared" si="42"/>
        <v>0</v>
      </c>
      <c r="Q248" s="321"/>
      <c r="R248" s="159"/>
      <c r="S248" s="346">
        <v>349.0</v>
      </c>
      <c r="T248" s="319"/>
      <c r="U248" s="315"/>
      <c r="V248" s="144" t="s">
        <v>584</v>
      </c>
      <c r="W248" s="148" t="s">
        <v>584</v>
      </c>
      <c r="X248" s="163"/>
      <c r="Y248" s="162"/>
      <c r="Z248" s="164"/>
      <c r="AA248" s="116"/>
      <c r="AB248" s="116"/>
      <c r="AC248" s="165"/>
      <c r="AD248" s="145" t="str">
        <f t="shared" si="43"/>
        <v>septiembre</v>
      </c>
      <c r="AE248" s="144" t="s">
        <v>899</v>
      </c>
      <c r="AF248" s="149" t="b">
        <v>1</v>
      </c>
      <c r="AG248" s="166"/>
      <c r="AH248" s="149" t="b">
        <v>0</v>
      </c>
      <c r="AI248" s="162"/>
      <c r="AJ248" s="143"/>
      <c r="AK248" s="143"/>
      <c r="AL248" s="143"/>
      <c r="AM248" s="143"/>
      <c r="AN248" s="143"/>
      <c r="AO248" s="143"/>
      <c r="AP248" s="143"/>
      <c r="AQ248" s="143"/>
    </row>
    <row r="249" ht="22.5" hidden="1" customHeight="1">
      <c r="A249" s="144" t="s">
        <v>259</v>
      </c>
      <c r="B249" s="187">
        <v>45929.0</v>
      </c>
      <c r="C249" s="368" t="s">
        <v>1053</v>
      </c>
      <c r="D249" s="366" t="s">
        <v>1054</v>
      </c>
      <c r="E249" s="367" t="s">
        <v>28</v>
      </c>
      <c r="F249" s="113" t="s">
        <v>1055</v>
      </c>
      <c r="G249" s="368" t="s">
        <v>1056</v>
      </c>
      <c r="H249" s="367" t="s">
        <v>257</v>
      </c>
      <c r="I249" s="369">
        <v>0.2</v>
      </c>
      <c r="J249" s="312">
        <v>1579.99</v>
      </c>
      <c r="K249" s="370">
        <f t="shared" si="1"/>
        <v>6319.01</v>
      </c>
      <c r="L249" s="170">
        <v>7899.0</v>
      </c>
      <c r="M249" s="239">
        <v>7462.81</v>
      </c>
      <c r="N249" s="155">
        <v>1599.0</v>
      </c>
      <c r="O249" s="371">
        <f t="shared" si="44"/>
        <v>436.19</v>
      </c>
      <c r="P249" s="316">
        <f t="shared" si="42"/>
        <v>0</v>
      </c>
      <c r="Q249" s="321"/>
      <c r="R249" s="652"/>
      <c r="S249" s="371"/>
      <c r="T249" s="372"/>
      <c r="U249" s="371"/>
      <c r="V249" s="365" t="s">
        <v>584</v>
      </c>
      <c r="W249" s="367" t="s">
        <v>584</v>
      </c>
      <c r="X249" s="576"/>
      <c r="Y249" s="365" t="s">
        <v>584</v>
      </c>
      <c r="Z249" s="373"/>
      <c r="AA249" s="374"/>
      <c r="AB249" s="374"/>
      <c r="AC249" s="388"/>
      <c r="AD249" s="187" t="str">
        <f>TEXT(B245,"mmmm")</f>
        <v>septiembre</v>
      </c>
      <c r="AE249" s="365" t="s">
        <v>899</v>
      </c>
      <c r="AF249" s="368" t="b">
        <v>1</v>
      </c>
      <c r="AG249" s="166"/>
      <c r="AH249" s="149" t="b">
        <v>0</v>
      </c>
      <c r="AI249" s="162"/>
      <c r="AJ249" s="376"/>
      <c r="AK249" s="376"/>
      <c r="AL249" s="376"/>
      <c r="AM249" s="376"/>
      <c r="AN249" s="376"/>
      <c r="AO249" s="376"/>
      <c r="AP249" s="376"/>
      <c r="AQ249" s="376"/>
    </row>
    <row r="250" ht="22.5" customHeight="1">
      <c r="A250" s="144" t="s">
        <v>162</v>
      </c>
      <c r="B250" s="663"/>
      <c r="C250" s="664" t="s">
        <v>617</v>
      </c>
      <c r="D250" s="208" t="s">
        <v>1057</v>
      </c>
      <c r="E250" s="148" t="s">
        <v>28</v>
      </c>
      <c r="F250" s="149" t="s">
        <v>1058</v>
      </c>
      <c r="G250" s="149" t="s">
        <v>1059</v>
      </c>
      <c r="H250" s="148" t="s">
        <v>257</v>
      </c>
      <c r="I250" s="150">
        <v>0.3</v>
      </c>
      <c r="J250" s="168">
        <v>2970.0</v>
      </c>
      <c r="K250" s="169">
        <f t="shared" si="1"/>
        <v>6729</v>
      </c>
      <c r="L250" s="170">
        <v>9699.0</v>
      </c>
      <c r="M250" s="239">
        <v>9172.0</v>
      </c>
      <c r="N250" s="155" t="s">
        <v>1060</v>
      </c>
      <c r="O250" s="315">
        <f t="shared" si="44"/>
        <v>527</v>
      </c>
      <c r="P250" s="316">
        <f t="shared" si="42"/>
        <v>0</v>
      </c>
      <c r="Q250" s="321"/>
      <c r="R250" s="159"/>
      <c r="S250" s="346">
        <v>449.0</v>
      </c>
      <c r="T250" s="319"/>
      <c r="U250" s="315"/>
      <c r="V250" s="144" t="s">
        <v>584</v>
      </c>
      <c r="W250" s="148" t="s">
        <v>584</v>
      </c>
      <c r="X250" s="163"/>
      <c r="Y250" s="144" t="s">
        <v>584</v>
      </c>
      <c r="Z250" s="164"/>
      <c r="AA250" s="116"/>
      <c r="AB250" s="116"/>
      <c r="AC250" s="165"/>
      <c r="AD250" s="145" t="str">
        <f>TEXT(B249,"mmmm")</f>
        <v>septiembre</v>
      </c>
      <c r="AE250" s="144" t="s">
        <v>899</v>
      </c>
      <c r="AF250" s="149" t="b">
        <v>1</v>
      </c>
      <c r="AG250" s="166"/>
      <c r="AH250" s="149" t="b">
        <v>0</v>
      </c>
      <c r="AI250" s="162"/>
      <c r="AJ250" s="143"/>
      <c r="AK250" s="143"/>
      <c r="AL250" s="143"/>
      <c r="AM250" s="143"/>
      <c r="AN250" s="143"/>
      <c r="AO250" s="143"/>
      <c r="AP250" s="143"/>
      <c r="AQ250" s="143"/>
    </row>
    <row r="251" ht="22.5" hidden="1" customHeight="1">
      <c r="A251" s="144" t="s">
        <v>259</v>
      </c>
      <c r="B251" s="145">
        <v>45927.0</v>
      </c>
      <c r="C251" s="665" t="s">
        <v>1013</v>
      </c>
      <c r="D251" s="208" t="s">
        <v>1061</v>
      </c>
      <c r="E251" s="148" t="s">
        <v>28</v>
      </c>
      <c r="F251" s="489" t="s">
        <v>1062</v>
      </c>
      <c r="G251" s="149" t="s">
        <v>1063</v>
      </c>
      <c r="H251" s="148" t="s">
        <v>257</v>
      </c>
      <c r="I251" s="150">
        <v>0.2</v>
      </c>
      <c r="J251" s="312">
        <v>1399.0</v>
      </c>
      <c r="K251" s="169">
        <f t="shared" si="1"/>
        <v>5600</v>
      </c>
      <c r="L251" s="170">
        <v>6999.0</v>
      </c>
      <c r="M251" s="239">
        <v>6754.0</v>
      </c>
      <c r="N251" s="155">
        <v>1499.99</v>
      </c>
      <c r="O251" s="315">
        <f t="shared" si="44"/>
        <v>245</v>
      </c>
      <c r="P251" s="316">
        <f t="shared" si="42"/>
        <v>0</v>
      </c>
      <c r="Q251" s="321"/>
      <c r="R251" s="159"/>
      <c r="S251" s="318"/>
      <c r="T251" s="319"/>
      <c r="U251" s="315"/>
      <c r="V251" s="144" t="s">
        <v>584</v>
      </c>
      <c r="W251" s="148" t="s">
        <v>584</v>
      </c>
      <c r="X251" s="163"/>
      <c r="Y251" s="144" t="s">
        <v>584</v>
      </c>
      <c r="Z251" s="164"/>
      <c r="AA251" s="116"/>
      <c r="AB251" s="116"/>
      <c r="AC251" s="149" t="s">
        <v>1064</v>
      </c>
      <c r="AD251" s="145" t="str">
        <f t="shared" ref="AD251:AD256" si="45">TEXT(B251,"mmmm")</f>
        <v>septiembre</v>
      </c>
      <c r="AE251" s="144" t="s">
        <v>899</v>
      </c>
      <c r="AF251" s="149" t="b">
        <v>1</v>
      </c>
      <c r="AG251" s="166"/>
      <c r="AH251" s="149" t="b">
        <v>0</v>
      </c>
      <c r="AI251" s="162"/>
      <c r="AJ251" s="143"/>
      <c r="AK251" s="143"/>
      <c r="AL251" s="143"/>
      <c r="AM251" s="143"/>
      <c r="AN251" s="143"/>
      <c r="AO251" s="143"/>
      <c r="AP251" s="143"/>
      <c r="AQ251" s="143"/>
    </row>
    <row r="252" ht="22.5" hidden="1" customHeight="1">
      <c r="A252" s="434" t="s">
        <v>34</v>
      </c>
      <c r="B252" s="435">
        <v>45930.0</v>
      </c>
      <c r="C252" s="666" t="s">
        <v>1065</v>
      </c>
      <c r="D252" s="437" t="s">
        <v>962</v>
      </c>
      <c r="E252" s="438" t="s">
        <v>28</v>
      </c>
      <c r="F252" s="497" t="s">
        <v>1066</v>
      </c>
      <c r="G252" s="440">
        <v>5.191254025E10</v>
      </c>
      <c r="H252" s="438" t="s">
        <v>257</v>
      </c>
      <c r="I252" s="438" t="s">
        <v>61</v>
      </c>
      <c r="J252" s="168">
        <v>1760.0</v>
      </c>
      <c r="K252" s="441">
        <f t="shared" si="1"/>
        <v>7339</v>
      </c>
      <c r="L252" s="170">
        <v>9099.0</v>
      </c>
      <c r="M252" s="239">
        <v>8783.46</v>
      </c>
      <c r="N252" s="155">
        <v>1999.99</v>
      </c>
      <c r="O252" s="442">
        <f t="shared" si="44"/>
        <v>315.54</v>
      </c>
      <c r="P252" s="316">
        <f t="shared" si="42"/>
        <v>0</v>
      </c>
      <c r="Q252" s="317"/>
      <c r="R252" s="645"/>
      <c r="S252" s="442"/>
      <c r="T252" s="443"/>
      <c r="U252" s="442"/>
      <c r="V252" s="434" t="s">
        <v>584</v>
      </c>
      <c r="W252" s="438" t="s">
        <v>584</v>
      </c>
      <c r="X252" s="445"/>
      <c r="Y252" s="434" t="s">
        <v>584</v>
      </c>
      <c r="Z252" s="446" t="s">
        <v>1067</v>
      </c>
      <c r="AA252" s="447"/>
      <c r="AB252" s="447"/>
      <c r="AC252" s="440" t="s">
        <v>1068</v>
      </c>
      <c r="AD252" s="435" t="str">
        <f t="shared" si="45"/>
        <v>septiembre</v>
      </c>
      <c r="AE252" s="434" t="s">
        <v>1048</v>
      </c>
      <c r="AF252" s="440" t="b">
        <v>1</v>
      </c>
      <c r="AG252" s="166"/>
      <c r="AH252" s="149" t="b">
        <v>0</v>
      </c>
      <c r="AI252" s="162"/>
      <c r="AJ252" s="448"/>
      <c r="AK252" s="448"/>
      <c r="AL252" s="448"/>
      <c r="AM252" s="448"/>
      <c r="AN252" s="448"/>
      <c r="AO252" s="448"/>
      <c r="AP252" s="448"/>
      <c r="AQ252" s="448"/>
    </row>
    <row r="253" ht="22.5" hidden="1" customHeight="1">
      <c r="A253" s="144" t="s">
        <v>34</v>
      </c>
      <c r="B253" s="145">
        <v>45930.0</v>
      </c>
      <c r="C253" s="667" t="s">
        <v>906</v>
      </c>
      <c r="D253" s="366" t="s">
        <v>966</v>
      </c>
      <c r="E253" s="148" t="s">
        <v>28</v>
      </c>
      <c r="F253" s="668" t="s">
        <v>1069</v>
      </c>
      <c r="G253" s="544">
        <v>5.1917234894E10</v>
      </c>
      <c r="H253" s="148" t="s">
        <v>257</v>
      </c>
      <c r="I253" s="669"/>
      <c r="J253" s="168">
        <v>1159.8</v>
      </c>
      <c r="K253" s="399">
        <f t="shared" si="1"/>
        <v>4639.2</v>
      </c>
      <c r="L253" s="170">
        <v>5799.0</v>
      </c>
      <c r="M253" s="239">
        <v>5498.0</v>
      </c>
      <c r="N253" s="670">
        <v>1189.99</v>
      </c>
      <c r="O253" s="315">
        <f t="shared" si="44"/>
        <v>301</v>
      </c>
      <c r="P253" s="316">
        <f t="shared" si="42"/>
        <v>0</v>
      </c>
      <c r="Q253" s="317"/>
      <c r="R253" s="159"/>
      <c r="S253" s="346">
        <v>349.0</v>
      </c>
      <c r="T253" s="319"/>
      <c r="U253" s="315"/>
      <c r="V253" s="144" t="s">
        <v>584</v>
      </c>
      <c r="W253" s="148"/>
      <c r="X253" s="163"/>
      <c r="Y253" s="144" t="s">
        <v>584</v>
      </c>
      <c r="Z253" s="10" t="s">
        <v>1070</v>
      </c>
      <c r="AA253" s="116"/>
      <c r="AB253" s="116"/>
      <c r="AC253" s="165"/>
      <c r="AD253" s="145" t="str">
        <f t="shared" si="45"/>
        <v>septiembre</v>
      </c>
      <c r="AE253" s="144" t="s">
        <v>899</v>
      </c>
      <c r="AF253" s="149" t="b">
        <v>1</v>
      </c>
      <c r="AG253" s="166"/>
      <c r="AH253" s="149" t="b">
        <v>0</v>
      </c>
      <c r="AI253" s="162"/>
      <c r="AJ253" s="143"/>
      <c r="AK253" s="143"/>
      <c r="AL253" s="143"/>
      <c r="AM253" s="143"/>
      <c r="AN253" s="143"/>
      <c r="AO253" s="143"/>
      <c r="AP253" s="143"/>
      <c r="AQ253" s="143"/>
    </row>
    <row r="254" ht="22.5" customHeight="1">
      <c r="A254" s="144" t="s">
        <v>162</v>
      </c>
      <c r="B254" s="145">
        <v>45930.0</v>
      </c>
      <c r="C254" s="353" t="s">
        <v>1071</v>
      </c>
      <c r="D254" s="208" t="s">
        <v>1072</v>
      </c>
      <c r="E254" s="148" t="s">
        <v>28</v>
      </c>
      <c r="F254" s="262" t="s">
        <v>1073</v>
      </c>
      <c r="G254" s="149">
        <v>5.1912778797E10</v>
      </c>
      <c r="H254" s="148" t="s">
        <v>257</v>
      </c>
      <c r="I254" s="150">
        <v>0.5</v>
      </c>
      <c r="J254" s="168">
        <v>7500.0</v>
      </c>
      <c r="K254" s="169">
        <f t="shared" si="1"/>
        <v>8484</v>
      </c>
      <c r="L254" s="170">
        <v>15984.0</v>
      </c>
      <c r="M254" s="239">
        <v>15167.15</v>
      </c>
      <c r="N254" s="155">
        <v>3499.99</v>
      </c>
      <c r="O254" s="315">
        <f t="shared" si="44"/>
        <v>816.85</v>
      </c>
      <c r="P254" s="316">
        <f t="shared" si="42"/>
        <v>0</v>
      </c>
      <c r="Q254" s="321"/>
      <c r="R254" s="159"/>
      <c r="S254" s="346">
        <v>449.0</v>
      </c>
      <c r="T254" s="319"/>
      <c r="U254" s="315"/>
      <c r="V254" s="144" t="s">
        <v>584</v>
      </c>
      <c r="W254" s="148" t="s">
        <v>584</v>
      </c>
      <c r="X254" s="163"/>
      <c r="Y254" s="144" t="s">
        <v>584</v>
      </c>
      <c r="Z254" s="164"/>
      <c r="AA254" s="116"/>
      <c r="AB254" s="116"/>
      <c r="AC254" s="165"/>
      <c r="AD254" s="145" t="str">
        <f t="shared" si="45"/>
        <v>septiembre</v>
      </c>
      <c r="AE254" s="144" t="s">
        <v>899</v>
      </c>
      <c r="AF254" s="149" t="b">
        <v>1</v>
      </c>
      <c r="AG254" s="166"/>
      <c r="AH254" s="149" t="b">
        <v>0</v>
      </c>
      <c r="AI254" s="162"/>
      <c r="AJ254" s="143"/>
      <c r="AK254" s="143"/>
      <c r="AL254" s="143"/>
      <c r="AM254" s="143"/>
      <c r="AN254" s="143"/>
      <c r="AO254" s="143"/>
      <c r="AP254" s="143"/>
      <c r="AQ254" s="143"/>
    </row>
    <row r="255" ht="22.5" customHeight="1">
      <c r="A255" s="144" t="s">
        <v>162</v>
      </c>
      <c r="B255" s="145">
        <v>45930.0</v>
      </c>
      <c r="C255" s="353" t="s">
        <v>1074</v>
      </c>
      <c r="D255" s="208" t="s">
        <v>1072</v>
      </c>
      <c r="E255" s="148" t="s">
        <v>28</v>
      </c>
      <c r="F255" s="410" t="s">
        <v>1075</v>
      </c>
      <c r="G255" s="149">
        <v>5.1912778797E10</v>
      </c>
      <c r="H255" s="148" t="s">
        <v>1076</v>
      </c>
      <c r="I255" s="150">
        <v>0.2</v>
      </c>
      <c r="J255" s="168">
        <v>250.0</v>
      </c>
      <c r="K255" s="169">
        <f t="shared" si="1"/>
        <v>124</v>
      </c>
      <c r="L255" s="170">
        <v>374.0</v>
      </c>
      <c r="M255" s="239">
        <v>353.33</v>
      </c>
      <c r="N255" s="155">
        <v>69.99</v>
      </c>
      <c r="O255" s="315">
        <f t="shared" si="44"/>
        <v>20.67</v>
      </c>
      <c r="P255" s="316">
        <f t="shared" si="42"/>
        <v>0</v>
      </c>
      <c r="Q255" s="321"/>
      <c r="R255" s="159"/>
      <c r="S255" s="318"/>
      <c r="T255" s="319"/>
      <c r="U255" s="315"/>
      <c r="V255" s="162"/>
      <c r="W255" s="148"/>
      <c r="X255" s="163"/>
      <c r="Y255" s="162"/>
      <c r="Z255" s="164"/>
      <c r="AA255" s="116"/>
      <c r="AB255" s="116"/>
      <c r="AC255" s="165"/>
      <c r="AD255" s="145" t="str">
        <f t="shared" si="45"/>
        <v>septiembre</v>
      </c>
      <c r="AE255" s="144" t="s">
        <v>899</v>
      </c>
      <c r="AF255" s="149" t="b">
        <v>1</v>
      </c>
      <c r="AG255" s="166"/>
      <c r="AH255" s="149" t="b">
        <v>0</v>
      </c>
      <c r="AI255" s="162"/>
      <c r="AJ255" s="143"/>
      <c r="AK255" s="143"/>
      <c r="AL255" s="143"/>
      <c r="AM255" s="143"/>
      <c r="AN255" s="143"/>
      <c r="AO255" s="143"/>
      <c r="AP255" s="143"/>
      <c r="AQ255" s="143"/>
    </row>
    <row r="256" ht="22.5" hidden="1" customHeight="1">
      <c r="A256" s="434" t="s">
        <v>34</v>
      </c>
      <c r="B256" s="435">
        <v>45930.0</v>
      </c>
      <c r="C256" s="671" t="s">
        <v>1077</v>
      </c>
      <c r="D256" s="456" t="s">
        <v>1078</v>
      </c>
      <c r="E256" s="438" t="s">
        <v>28</v>
      </c>
      <c r="F256" s="497" t="s">
        <v>1079</v>
      </c>
      <c r="G256" s="440">
        <v>5.1964678083E10</v>
      </c>
      <c r="H256" s="438" t="s">
        <v>257</v>
      </c>
      <c r="I256" s="498">
        <v>0.5</v>
      </c>
      <c r="J256" s="168">
        <v>7600.0</v>
      </c>
      <c r="K256" s="441">
        <f t="shared" si="1"/>
        <v>6899</v>
      </c>
      <c r="L256" s="170">
        <v>14499.0</v>
      </c>
      <c r="M256" s="239">
        <v>13684.67</v>
      </c>
      <c r="N256" s="155">
        <v>3449.99</v>
      </c>
      <c r="O256" s="442">
        <f t="shared" si="44"/>
        <v>814.33</v>
      </c>
      <c r="P256" s="316">
        <f t="shared" si="42"/>
        <v>0</v>
      </c>
      <c r="Q256" s="345">
        <f>O256-T256</f>
        <v>769.33</v>
      </c>
      <c r="R256" s="645"/>
      <c r="S256" s="442"/>
      <c r="T256" s="505">
        <v>45.0</v>
      </c>
      <c r="U256" s="499">
        <v>45.0</v>
      </c>
      <c r="V256" s="434" t="s">
        <v>584</v>
      </c>
      <c r="W256" s="438" t="s">
        <v>584</v>
      </c>
      <c r="X256" s="445"/>
      <c r="Y256" s="434" t="s">
        <v>584</v>
      </c>
      <c r="Z256" s="450"/>
      <c r="AA256" s="447"/>
      <c r="AB256" s="447"/>
      <c r="AC256" s="440" t="s">
        <v>1080</v>
      </c>
      <c r="AD256" s="435" t="str">
        <f t="shared" si="45"/>
        <v>septiembre</v>
      </c>
      <c r="AE256" s="434" t="s">
        <v>1048</v>
      </c>
      <c r="AF256" s="440" t="b">
        <v>1</v>
      </c>
      <c r="AG256" s="166"/>
      <c r="AH256" s="149" t="b">
        <v>0</v>
      </c>
      <c r="AI256" s="162"/>
      <c r="AJ256" s="448"/>
      <c r="AK256" s="448"/>
      <c r="AL256" s="448"/>
      <c r="AM256" s="448"/>
      <c r="AN256" s="448"/>
      <c r="AO256" s="448"/>
      <c r="AP256" s="448"/>
      <c r="AQ256" s="448"/>
    </row>
    <row r="257" ht="22.5" customHeight="1">
      <c r="A257" s="144" t="s">
        <v>162</v>
      </c>
      <c r="B257" s="145">
        <v>45959.0</v>
      </c>
      <c r="C257" s="207" t="s">
        <v>1081</v>
      </c>
      <c r="D257" s="208" t="s">
        <v>1082</v>
      </c>
      <c r="E257" s="148" t="s">
        <v>28</v>
      </c>
      <c r="F257" s="262" t="s">
        <v>1083</v>
      </c>
      <c r="G257" s="149">
        <v>5.1993072556E10</v>
      </c>
      <c r="H257" s="148" t="s">
        <v>257</v>
      </c>
      <c r="I257" s="150">
        <v>0.2</v>
      </c>
      <c r="J257" s="168">
        <v>1430.0</v>
      </c>
      <c r="K257" s="169">
        <f t="shared" si="1"/>
        <v>5716</v>
      </c>
      <c r="L257" s="170">
        <v>7146.0</v>
      </c>
      <c r="M257" s="239">
        <v>6975.79</v>
      </c>
      <c r="N257" s="155">
        <v>1599.99</v>
      </c>
      <c r="O257" s="315">
        <f t="shared" si="44"/>
        <v>170.21</v>
      </c>
      <c r="P257" s="344">
        <f t="shared" ref="P257:P358" si="46">L257-M257-Q257-50*R257-S257-T257-U257</f>
        <v>50.21</v>
      </c>
      <c r="Q257" s="510">
        <v>120.0</v>
      </c>
      <c r="R257" s="672" t="b">
        <v>0</v>
      </c>
      <c r="S257" s="318"/>
      <c r="T257" s="319"/>
      <c r="U257" s="315"/>
      <c r="V257" s="144" t="s">
        <v>584</v>
      </c>
      <c r="W257" s="673" t="s">
        <v>584</v>
      </c>
      <c r="X257" s="674"/>
      <c r="Y257" s="144" t="s">
        <v>584</v>
      </c>
      <c r="Z257" s="164"/>
      <c r="AA257" s="116"/>
      <c r="AB257" s="116"/>
      <c r="AC257" s="149" t="s">
        <v>1084</v>
      </c>
      <c r="AD257" s="675" t="str">
        <f t="shared" ref="AD257:AD384" si="47">IF(B257="","",TEXT(B257,"mmmm")) </f>
        <v>octubre</v>
      </c>
      <c r="AE257" s="144" t="s">
        <v>1085</v>
      </c>
      <c r="AF257" s="149" t="b">
        <v>1</v>
      </c>
      <c r="AG257" s="144" t="s">
        <v>1085</v>
      </c>
      <c r="AH257" s="149" t="b">
        <v>0</v>
      </c>
      <c r="AI257" s="162"/>
      <c r="AJ257" s="143"/>
      <c r="AK257" s="143"/>
      <c r="AL257" s="143"/>
      <c r="AM257" s="143"/>
      <c r="AN257" s="143"/>
      <c r="AO257" s="143"/>
      <c r="AP257" s="143"/>
      <c r="AQ257" s="143"/>
    </row>
    <row r="258" ht="22.5" hidden="1" customHeight="1">
      <c r="A258" s="434" t="s">
        <v>34</v>
      </c>
      <c r="B258" s="435">
        <v>45931.0</v>
      </c>
      <c r="C258" s="440" t="s">
        <v>1013</v>
      </c>
      <c r="D258" s="456" t="s">
        <v>1086</v>
      </c>
      <c r="E258" s="438" t="s">
        <v>28</v>
      </c>
      <c r="F258" s="497" t="s">
        <v>1087</v>
      </c>
      <c r="G258" s="440">
        <v>5.1949191352E10</v>
      </c>
      <c r="H258" s="438" t="s">
        <v>257</v>
      </c>
      <c r="I258" s="498">
        <v>0.2</v>
      </c>
      <c r="J258" s="168">
        <v>1448.3</v>
      </c>
      <c r="K258" s="441">
        <f t="shared" si="1"/>
        <v>5750.7</v>
      </c>
      <c r="L258" s="170">
        <v>7199.0</v>
      </c>
      <c r="M258" s="239">
        <v>6755.53</v>
      </c>
      <c r="N258" s="155">
        <v>1498.0</v>
      </c>
      <c r="O258" s="442">
        <f t="shared" si="44"/>
        <v>443.47</v>
      </c>
      <c r="P258" s="344">
        <f t="shared" si="46"/>
        <v>0</v>
      </c>
      <c r="Q258" s="510">
        <v>443.47</v>
      </c>
      <c r="R258" s="672" t="b">
        <v>0</v>
      </c>
      <c r="S258" s="506"/>
      <c r="T258" s="443"/>
      <c r="U258" s="442"/>
      <c r="V258" s="434" t="s">
        <v>584</v>
      </c>
      <c r="W258" s="438" t="s">
        <v>584</v>
      </c>
      <c r="X258" s="445"/>
      <c r="Y258" s="434" t="s">
        <v>584</v>
      </c>
      <c r="Z258" s="450"/>
      <c r="AA258" s="447"/>
      <c r="AB258" s="447"/>
      <c r="AC258" s="440" t="s">
        <v>1088</v>
      </c>
      <c r="AD258" s="675" t="str">
        <f t="shared" si="47"/>
        <v>octubre</v>
      </c>
      <c r="AE258" s="434" t="s">
        <v>1048</v>
      </c>
      <c r="AF258" s="440" t="b">
        <v>1</v>
      </c>
      <c r="AG258" s="166"/>
      <c r="AH258" s="149" t="b">
        <v>0</v>
      </c>
      <c r="AI258" s="162"/>
      <c r="AJ258" s="448"/>
      <c r="AK258" s="448"/>
      <c r="AL258" s="448"/>
      <c r="AM258" s="448"/>
      <c r="AN258" s="448"/>
      <c r="AO258" s="448"/>
      <c r="AP258" s="448"/>
      <c r="AQ258" s="448"/>
    </row>
    <row r="259" ht="22.5" customHeight="1">
      <c r="A259" s="676" t="s">
        <v>162</v>
      </c>
      <c r="B259" s="677">
        <v>45931.0</v>
      </c>
      <c r="C259" s="678" t="s">
        <v>658</v>
      </c>
      <c r="D259" s="679" t="s">
        <v>1089</v>
      </c>
      <c r="E259" s="680" t="s">
        <v>28</v>
      </c>
      <c r="F259" s="681" t="s">
        <v>1090</v>
      </c>
      <c r="G259" s="678">
        <v>5.1926724714E10</v>
      </c>
      <c r="H259" s="148" t="s">
        <v>257</v>
      </c>
      <c r="I259" s="682">
        <v>0.2</v>
      </c>
      <c r="J259" s="168">
        <v>1109.8</v>
      </c>
      <c r="K259" s="169">
        <f t="shared" si="1"/>
        <v>4888.2</v>
      </c>
      <c r="L259" s="170">
        <v>5998.0</v>
      </c>
      <c r="M259" s="239">
        <v>5350.17</v>
      </c>
      <c r="N259" s="155">
        <v>1189.99</v>
      </c>
      <c r="O259" s="315">
        <f t="shared" si="44"/>
        <v>647.83</v>
      </c>
      <c r="P259" s="344">
        <f t="shared" si="46"/>
        <v>0</v>
      </c>
      <c r="Q259" s="510">
        <v>198.83</v>
      </c>
      <c r="R259" s="672" t="b">
        <v>0</v>
      </c>
      <c r="S259" s="346">
        <v>449.0</v>
      </c>
      <c r="T259" s="683"/>
      <c r="U259" s="315"/>
      <c r="V259" s="676" t="s">
        <v>584</v>
      </c>
      <c r="W259" s="680" t="s">
        <v>584</v>
      </c>
      <c r="X259" s="684"/>
      <c r="Y259" s="676" t="s">
        <v>584</v>
      </c>
      <c r="Z259" s="164"/>
      <c r="AA259" s="116"/>
      <c r="AB259" s="116"/>
      <c r="AC259" s="678" t="s">
        <v>1091</v>
      </c>
      <c r="AD259" s="675" t="str">
        <f t="shared" si="47"/>
        <v>octubre</v>
      </c>
      <c r="AE259" s="676" t="s">
        <v>1048</v>
      </c>
      <c r="AF259" s="678" t="b">
        <v>1</v>
      </c>
      <c r="AG259" s="166"/>
      <c r="AH259" s="149" t="b">
        <v>0</v>
      </c>
      <c r="AI259" s="162"/>
      <c r="AJ259" s="143"/>
      <c r="AK259" s="143"/>
      <c r="AL259" s="143"/>
      <c r="AM259" s="143"/>
      <c r="AN259" s="143"/>
      <c r="AO259" s="143"/>
      <c r="AP259" s="143"/>
      <c r="AQ259" s="143"/>
    </row>
    <row r="260" ht="22.5" customHeight="1">
      <c r="A260" s="144" t="s">
        <v>162</v>
      </c>
      <c r="B260" s="145">
        <v>45933.0</v>
      </c>
      <c r="C260" s="368" t="s">
        <v>1092</v>
      </c>
      <c r="D260" s="366" t="s">
        <v>1093</v>
      </c>
      <c r="E260" s="148" t="s">
        <v>28</v>
      </c>
      <c r="F260" s="262" t="s">
        <v>1094</v>
      </c>
      <c r="G260" s="149">
        <v>5.1972796772E10</v>
      </c>
      <c r="H260" s="148" t="s">
        <v>257</v>
      </c>
      <c r="I260" s="150">
        <v>0.5</v>
      </c>
      <c r="J260" s="168">
        <v>13000.0</v>
      </c>
      <c r="K260" s="169">
        <f t="shared" si="1"/>
        <v>12807</v>
      </c>
      <c r="L260" s="170">
        <v>25807.0</v>
      </c>
      <c r="M260" s="239">
        <v>25329.34</v>
      </c>
      <c r="N260" s="155">
        <v>6199.99</v>
      </c>
      <c r="O260" s="315">
        <f t="shared" si="44"/>
        <v>477.66</v>
      </c>
      <c r="P260" s="344">
        <f t="shared" si="46"/>
        <v>0</v>
      </c>
      <c r="Q260" s="321">
        <f t="shared" ref="Q260:Q262" si="48">O260</f>
        <v>477.66</v>
      </c>
      <c r="R260" s="672" t="b">
        <v>0</v>
      </c>
      <c r="S260" s="318"/>
      <c r="T260" s="319"/>
      <c r="U260" s="315"/>
      <c r="V260" s="144" t="s">
        <v>584</v>
      </c>
      <c r="W260" s="367" t="s">
        <v>584</v>
      </c>
      <c r="X260" s="576"/>
      <c r="Y260" s="144" t="s">
        <v>584</v>
      </c>
      <c r="Z260" s="164"/>
      <c r="AA260" s="116"/>
      <c r="AB260" s="116"/>
      <c r="AC260" s="149" t="s">
        <v>1095</v>
      </c>
      <c r="AD260" s="675" t="str">
        <f t="shared" si="47"/>
        <v>octubre</v>
      </c>
      <c r="AE260" s="144" t="s">
        <v>1048</v>
      </c>
      <c r="AF260" s="149" t="b">
        <v>1</v>
      </c>
      <c r="AG260" s="166"/>
      <c r="AH260" s="149" t="b">
        <v>0</v>
      </c>
      <c r="AI260" s="162"/>
      <c r="AJ260" s="143"/>
      <c r="AK260" s="143"/>
      <c r="AL260" s="143"/>
      <c r="AM260" s="143"/>
      <c r="AN260" s="143"/>
      <c r="AO260" s="143"/>
      <c r="AP260" s="143"/>
      <c r="AQ260" s="143"/>
    </row>
    <row r="261" ht="22.5" customHeight="1">
      <c r="A261" s="144" t="s">
        <v>162</v>
      </c>
      <c r="B261" s="145">
        <v>45934.0</v>
      </c>
      <c r="C261" s="149" t="s">
        <v>879</v>
      </c>
      <c r="D261" s="366" t="s">
        <v>1096</v>
      </c>
      <c r="E261" s="148" t="s">
        <v>28</v>
      </c>
      <c r="F261" s="149" t="s">
        <v>1097</v>
      </c>
      <c r="G261" s="149">
        <v>5.1929149859E10</v>
      </c>
      <c r="H261" s="148" t="s">
        <v>257</v>
      </c>
      <c r="I261" s="150">
        <v>0.2</v>
      </c>
      <c r="J261" s="168">
        <v>1400.0</v>
      </c>
      <c r="K261" s="169">
        <f t="shared" si="1"/>
        <v>5299</v>
      </c>
      <c r="L261" s="170">
        <v>6699.0</v>
      </c>
      <c r="M261" s="239">
        <v>5985.0</v>
      </c>
      <c r="N261" s="155">
        <v>1499.99</v>
      </c>
      <c r="O261" s="315">
        <f t="shared" si="44"/>
        <v>714</v>
      </c>
      <c r="P261" s="344">
        <f t="shared" si="46"/>
        <v>0</v>
      </c>
      <c r="Q261" s="321">
        <f t="shared" si="48"/>
        <v>714</v>
      </c>
      <c r="R261" s="672" t="b">
        <v>0</v>
      </c>
      <c r="S261" s="346"/>
      <c r="T261" s="319"/>
      <c r="U261" s="315"/>
      <c r="V261" s="144" t="s">
        <v>584</v>
      </c>
      <c r="W261" s="367" t="s">
        <v>584</v>
      </c>
      <c r="X261" s="576"/>
      <c r="Y261" s="162"/>
      <c r="Z261" s="164"/>
      <c r="AA261" s="116"/>
      <c r="AB261" s="116"/>
      <c r="AC261" s="165"/>
      <c r="AD261" s="675" t="str">
        <f t="shared" si="47"/>
        <v>octubre</v>
      </c>
      <c r="AE261" s="144" t="s">
        <v>1048</v>
      </c>
      <c r="AF261" s="149" t="b">
        <v>1</v>
      </c>
      <c r="AG261" s="166"/>
      <c r="AH261" s="149" t="b">
        <v>0</v>
      </c>
      <c r="AI261" s="162"/>
      <c r="AJ261" s="143"/>
      <c r="AK261" s="143"/>
      <c r="AL261" s="143"/>
      <c r="AM261" s="143"/>
      <c r="AN261" s="143"/>
      <c r="AO261" s="143"/>
      <c r="AP261" s="143"/>
      <c r="AQ261" s="143"/>
    </row>
    <row r="262" ht="22.5" customHeight="1">
      <c r="A262" s="144" t="s">
        <v>162</v>
      </c>
      <c r="B262" s="145">
        <v>45936.0</v>
      </c>
      <c r="C262" s="149" t="s">
        <v>1098</v>
      </c>
      <c r="D262" s="329" t="s">
        <v>1099</v>
      </c>
      <c r="E262" s="148" t="s">
        <v>28</v>
      </c>
      <c r="F262" s="246" t="s">
        <v>1100</v>
      </c>
      <c r="G262" s="149">
        <v>5.1906781448E10</v>
      </c>
      <c r="H262" s="148" t="s">
        <v>257</v>
      </c>
      <c r="I262" s="150">
        <v>0.2</v>
      </c>
      <c r="J262" s="168">
        <v>1279.0</v>
      </c>
      <c r="K262" s="169">
        <f t="shared" si="1"/>
        <v>5120</v>
      </c>
      <c r="L262" s="170">
        <v>6399.0</v>
      </c>
      <c r="M262" s="239">
        <v>5747.0</v>
      </c>
      <c r="N262" s="155">
        <v>1299.99</v>
      </c>
      <c r="O262" s="315">
        <f t="shared" si="44"/>
        <v>652</v>
      </c>
      <c r="P262" s="344">
        <f t="shared" si="46"/>
        <v>0</v>
      </c>
      <c r="Q262" s="321">
        <f t="shared" si="48"/>
        <v>652</v>
      </c>
      <c r="R262" s="672" t="b">
        <v>0</v>
      </c>
      <c r="S262" s="318"/>
      <c r="T262" s="319"/>
      <c r="U262" s="315"/>
      <c r="V262" s="144" t="s">
        <v>584</v>
      </c>
      <c r="W262" s="367" t="s">
        <v>584</v>
      </c>
      <c r="X262" s="576"/>
      <c r="Y262" s="144" t="s">
        <v>584</v>
      </c>
      <c r="Z262" s="164"/>
      <c r="AA262" s="116"/>
      <c r="AB262" s="116"/>
      <c r="AC262" s="149" t="s">
        <v>1101</v>
      </c>
      <c r="AD262" s="675" t="str">
        <f t="shared" si="47"/>
        <v>octubre</v>
      </c>
      <c r="AE262" s="144" t="s">
        <v>1048</v>
      </c>
      <c r="AF262" s="149" t="b">
        <v>1</v>
      </c>
      <c r="AG262" s="166"/>
      <c r="AH262" s="149" t="b">
        <v>0</v>
      </c>
      <c r="AI262" s="162"/>
      <c r="AJ262" s="143"/>
      <c r="AK262" s="143"/>
      <c r="AL262" s="143"/>
      <c r="AM262" s="143"/>
      <c r="AN262" s="143"/>
      <c r="AO262" s="143"/>
      <c r="AP262" s="143"/>
      <c r="AQ262" s="143"/>
    </row>
    <row r="263" ht="22.5" hidden="1" customHeight="1">
      <c r="A263" s="434" t="s">
        <v>34</v>
      </c>
      <c r="B263" s="435">
        <v>45939.0</v>
      </c>
      <c r="C263" s="215" t="s">
        <v>1102</v>
      </c>
      <c r="D263" s="437" t="s">
        <v>1103</v>
      </c>
      <c r="E263" s="438" t="s">
        <v>28</v>
      </c>
      <c r="F263" s="566" t="s">
        <v>1104</v>
      </c>
      <c r="G263" s="685" t="s">
        <v>1105</v>
      </c>
      <c r="H263" s="438" t="s">
        <v>257</v>
      </c>
      <c r="I263" s="498">
        <v>1.0</v>
      </c>
      <c r="J263" s="168"/>
      <c r="K263" s="577" t="str">
        <f t="shared" si="1"/>
        <v/>
      </c>
      <c r="L263" s="342">
        <v>7348.0</v>
      </c>
      <c r="M263" s="239">
        <v>6096.28</v>
      </c>
      <c r="N263" s="155">
        <v>1399.99</v>
      </c>
      <c r="O263" s="499">
        <f t="shared" si="44"/>
        <v>1251.72</v>
      </c>
      <c r="P263" s="344">
        <f t="shared" si="46"/>
        <v>421.95</v>
      </c>
      <c r="Q263" s="510">
        <v>330.77</v>
      </c>
      <c r="R263" s="672" t="b">
        <v>0</v>
      </c>
      <c r="S263" s="499">
        <v>349.0</v>
      </c>
      <c r="T263" s="505">
        <v>75.0</v>
      </c>
      <c r="U263" s="499">
        <v>75.0</v>
      </c>
      <c r="V263" s="434" t="s">
        <v>584</v>
      </c>
      <c r="W263" s="438" t="s">
        <v>584</v>
      </c>
      <c r="X263" s="445"/>
      <c r="Y263" s="434"/>
      <c r="Z263" s="450"/>
      <c r="AA263" s="447"/>
      <c r="AB263" s="447"/>
      <c r="AC263" s="440" t="s">
        <v>1106</v>
      </c>
      <c r="AD263" s="675" t="str">
        <f t="shared" si="47"/>
        <v>octubre</v>
      </c>
      <c r="AE263" s="434" t="s">
        <v>1048</v>
      </c>
      <c r="AF263" s="440" t="b">
        <v>1</v>
      </c>
      <c r="AG263" s="166"/>
      <c r="AH263" s="149" t="b">
        <v>0</v>
      </c>
      <c r="AI263" s="162"/>
      <c r="AJ263" s="448"/>
      <c r="AK263" s="448"/>
      <c r="AL263" s="448"/>
      <c r="AM263" s="448"/>
      <c r="AN263" s="448"/>
      <c r="AO263" s="448"/>
      <c r="AP263" s="448"/>
      <c r="AQ263" s="448"/>
    </row>
    <row r="264" ht="22.5" hidden="1" customHeight="1">
      <c r="A264" s="593" t="s">
        <v>34</v>
      </c>
      <c r="B264" s="594">
        <v>45940.0</v>
      </c>
      <c r="C264" s="686" t="s">
        <v>1000</v>
      </c>
      <c r="D264" s="596" t="s">
        <v>1107</v>
      </c>
      <c r="E264" s="398" t="s">
        <v>28</v>
      </c>
      <c r="F264" s="604" t="s">
        <v>1108</v>
      </c>
      <c r="G264" s="397">
        <v>5.1921314569E10</v>
      </c>
      <c r="H264" s="398" t="s">
        <v>257</v>
      </c>
      <c r="I264" s="598">
        <v>1.0</v>
      </c>
      <c r="J264" s="352"/>
      <c r="K264" s="687" t="str">
        <f t="shared" si="1"/>
        <v/>
      </c>
      <c r="L264" s="170">
        <v>8999.0</v>
      </c>
      <c r="M264" s="239">
        <v>8398.0</v>
      </c>
      <c r="N264" s="155">
        <v>1699.99</v>
      </c>
      <c r="O264" s="609">
        <f t="shared" si="44"/>
        <v>601</v>
      </c>
      <c r="P264" s="344">
        <f t="shared" si="46"/>
        <v>-349</v>
      </c>
      <c r="Q264" s="510">
        <v>601.0</v>
      </c>
      <c r="R264" s="672" t="b">
        <v>0</v>
      </c>
      <c r="S264" s="609">
        <v>349.0</v>
      </c>
      <c r="T264" s="401"/>
      <c r="U264" s="400"/>
      <c r="V264" s="593" t="s">
        <v>584</v>
      </c>
      <c r="W264" s="398" t="s">
        <v>584</v>
      </c>
      <c r="X264" s="599"/>
      <c r="Y264" s="640"/>
      <c r="Z264" s="402"/>
      <c r="AA264" s="403"/>
      <c r="AB264" s="403"/>
      <c r="AC264" s="629"/>
      <c r="AD264" s="675" t="str">
        <f t="shared" si="47"/>
        <v>octubre</v>
      </c>
      <c r="AE264" s="593" t="s">
        <v>1048</v>
      </c>
      <c r="AF264" s="397" t="b">
        <v>1</v>
      </c>
      <c r="AG264" s="166"/>
      <c r="AH264" s="149" t="b">
        <v>0</v>
      </c>
      <c r="AI264" s="162"/>
      <c r="AJ264" s="405"/>
      <c r="AK264" s="405"/>
      <c r="AL264" s="405"/>
      <c r="AM264" s="405"/>
      <c r="AN264" s="405"/>
      <c r="AO264" s="405"/>
      <c r="AP264" s="405"/>
      <c r="AQ264" s="405"/>
    </row>
    <row r="265" ht="22.5" hidden="1" customHeight="1">
      <c r="A265" s="434" t="s">
        <v>34</v>
      </c>
      <c r="B265" s="435">
        <v>45940.0</v>
      </c>
      <c r="C265" s="688" t="s">
        <v>911</v>
      </c>
      <c r="D265" s="456" t="s">
        <v>1109</v>
      </c>
      <c r="E265" s="438" t="s">
        <v>28</v>
      </c>
      <c r="F265" s="689" t="s">
        <v>1110</v>
      </c>
      <c r="G265" s="440">
        <v>5.1987558924E10</v>
      </c>
      <c r="H265" s="438" t="s">
        <v>257</v>
      </c>
      <c r="I265" s="498">
        <v>0.2</v>
      </c>
      <c r="J265" s="168">
        <v>1200.0</v>
      </c>
      <c r="K265" s="441">
        <f t="shared" si="1"/>
        <v>4799</v>
      </c>
      <c r="L265" s="170">
        <v>5999.0</v>
      </c>
      <c r="M265" s="239">
        <v>5360.0</v>
      </c>
      <c r="N265" s="155">
        <v>1199.99</v>
      </c>
      <c r="O265" s="442">
        <f t="shared" si="44"/>
        <v>639</v>
      </c>
      <c r="P265" s="344">
        <f t="shared" si="46"/>
        <v>639</v>
      </c>
      <c r="Q265" s="321"/>
      <c r="R265" s="672" t="b">
        <v>0</v>
      </c>
      <c r="S265" s="442"/>
      <c r="T265" s="443"/>
      <c r="U265" s="442"/>
      <c r="V265" s="434" t="s">
        <v>584</v>
      </c>
      <c r="W265" s="438" t="s">
        <v>584</v>
      </c>
      <c r="X265" s="445"/>
      <c r="Y265" s="434" t="s">
        <v>584</v>
      </c>
      <c r="Z265" s="450"/>
      <c r="AA265" s="447"/>
      <c r="AB265" s="447"/>
      <c r="AC265" s="440" t="s">
        <v>1111</v>
      </c>
      <c r="AD265" s="675" t="str">
        <f t="shared" si="47"/>
        <v>octubre</v>
      </c>
      <c r="AE265" s="434" t="s">
        <v>1048</v>
      </c>
      <c r="AF265" s="440" t="b">
        <v>1</v>
      </c>
      <c r="AG265" s="166"/>
      <c r="AH265" s="149" t="b">
        <v>0</v>
      </c>
      <c r="AI265" s="162"/>
      <c r="AJ265" s="448"/>
      <c r="AK265" s="448"/>
      <c r="AL265" s="448"/>
      <c r="AM265" s="448"/>
      <c r="AN265" s="448"/>
      <c r="AO265" s="448"/>
      <c r="AP265" s="448"/>
      <c r="AQ265" s="448"/>
    </row>
    <row r="266" ht="22.5" hidden="1" customHeight="1">
      <c r="A266" s="690" t="s">
        <v>34</v>
      </c>
      <c r="B266" s="691">
        <v>45941.0</v>
      </c>
      <c r="C266" s="692" t="s">
        <v>1112</v>
      </c>
      <c r="D266" s="693" t="s">
        <v>1113</v>
      </c>
      <c r="E266" s="694" t="s">
        <v>28</v>
      </c>
      <c r="F266" s="695" t="s">
        <v>1114</v>
      </c>
      <c r="G266" s="696" t="s">
        <v>1115</v>
      </c>
      <c r="H266" s="694" t="s">
        <v>257</v>
      </c>
      <c r="I266" s="697">
        <v>0.2</v>
      </c>
      <c r="J266" s="168">
        <v>1370.25</v>
      </c>
      <c r="K266" s="698">
        <f t="shared" si="1"/>
        <v>5481.02</v>
      </c>
      <c r="L266" s="170">
        <v>6851.27</v>
      </c>
      <c r="M266" s="239">
        <v>6551.27</v>
      </c>
      <c r="N266" s="155">
        <v>1499.99</v>
      </c>
      <c r="O266" s="699">
        <f t="shared" si="44"/>
        <v>300</v>
      </c>
      <c r="P266" s="344">
        <f t="shared" si="46"/>
        <v>300</v>
      </c>
      <c r="Q266" s="321"/>
      <c r="R266" s="672" t="b">
        <v>0</v>
      </c>
      <c r="S266" s="699"/>
      <c r="T266" s="700"/>
      <c r="U266" s="699"/>
      <c r="V266" s="690" t="s">
        <v>584</v>
      </c>
      <c r="W266" s="694" t="s">
        <v>584</v>
      </c>
      <c r="X266" s="701"/>
      <c r="Y266" s="690" t="s">
        <v>584</v>
      </c>
      <c r="Z266" s="702" t="s">
        <v>1116</v>
      </c>
      <c r="AA266" s="703"/>
      <c r="AB266" s="703"/>
      <c r="AC266" s="696" t="s">
        <v>1117</v>
      </c>
      <c r="AD266" s="675" t="str">
        <f t="shared" si="47"/>
        <v>octubre</v>
      </c>
      <c r="AE266" s="690" t="s">
        <v>1048</v>
      </c>
      <c r="AF266" s="696" t="b">
        <v>1</v>
      </c>
      <c r="AG266" s="166"/>
      <c r="AH266" s="149" t="b">
        <v>0</v>
      </c>
      <c r="AI266" s="162"/>
      <c r="AJ266" s="704"/>
      <c r="AK266" s="704"/>
      <c r="AL266" s="704"/>
      <c r="AM266" s="704"/>
      <c r="AN266" s="704"/>
      <c r="AO266" s="704"/>
      <c r="AP266" s="704"/>
      <c r="AQ266" s="704"/>
    </row>
    <row r="267" ht="22.5" customHeight="1">
      <c r="A267" s="144" t="s">
        <v>162</v>
      </c>
      <c r="B267" s="145">
        <v>45936.0</v>
      </c>
      <c r="C267" s="149" t="s">
        <v>767</v>
      </c>
      <c r="D267" s="329" t="s">
        <v>1118</v>
      </c>
      <c r="E267" s="148" t="s">
        <v>28</v>
      </c>
      <c r="F267" s="149" t="s">
        <v>1119</v>
      </c>
      <c r="G267" s="149">
        <v>5.1989370377E10</v>
      </c>
      <c r="H267" s="148" t="s">
        <v>257</v>
      </c>
      <c r="I267" s="150">
        <v>1.0</v>
      </c>
      <c r="J267" s="168">
        <v>8479.0</v>
      </c>
      <c r="K267" s="169">
        <f t="shared" si="1"/>
        <v>0</v>
      </c>
      <c r="L267" s="170">
        <v>8479.0</v>
      </c>
      <c r="M267" s="239">
        <v>7746.0</v>
      </c>
      <c r="N267" s="155">
        <v>1649.99</v>
      </c>
      <c r="O267" s="315">
        <f t="shared" si="44"/>
        <v>733</v>
      </c>
      <c r="P267" s="344">
        <f t="shared" si="46"/>
        <v>-349</v>
      </c>
      <c r="Q267" s="321">
        <f>O267</f>
        <v>733</v>
      </c>
      <c r="R267" s="672" t="b">
        <v>0</v>
      </c>
      <c r="S267" s="346">
        <v>349.0</v>
      </c>
      <c r="T267" s="319"/>
      <c r="U267" s="315"/>
      <c r="V267" s="144" t="s">
        <v>584</v>
      </c>
      <c r="W267" s="367" t="s">
        <v>584</v>
      </c>
      <c r="X267" s="576"/>
      <c r="Y267" s="162"/>
      <c r="Z267" s="164"/>
      <c r="AA267" s="116"/>
      <c r="AB267" s="116"/>
      <c r="AC267" s="165"/>
      <c r="AD267" s="675" t="str">
        <f t="shared" si="47"/>
        <v>octubre</v>
      </c>
      <c r="AE267" s="144" t="s">
        <v>1048</v>
      </c>
      <c r="AF267" s="149" t="b">
        <v>1</v>
      </c>
      <c r="AG267" s="166"/>
      <c r="AH267" s="149" t="b">
        <v>0</v>
      </c>
      <c r="AI267" s="162"/>
      <c r="AJ267" s="143"/>
      <c r="AK267" s="143"/>
      <c r="AL267" s="143"/>
      <c r="AM267" s="143"/>
      <c r="AN267" s="143"/>
      <c r="AO267" s="143"/>
      <c r="AP267" s="143"/>
      <c r="AQ267" s="143"/>
    </row>
    <row r="268" ht="22.5" hidden="1" customHeight="1">
      <c r="A268" s="434" t="s">
        <v>34</v>
      </c>
      <c r="B268" s="435">
        <v>45941.0</v>
      </c>
      <c r="C268" s="705" t="s">
        <v>1120</v>
      </c>
      <c r="D268" s="456" t="s">
        <v>1121</v>
      </c>
      <c r="E268" s="438" t="s">
        <v>28</v>
      </c>
      <c r="F268" s="497" t="s">
        <v>1122</v>
      </c>
      <c r="G268" s="440" t="s">
        <v>1123</v>
      </c>
      <c r="H268" s="438" t="s">
        <v>257</v>
      </c>
      <c r="I268" s="498">
        <v>0.2</v>
      </c>
      <c r="J268" s="706">
        <v>1793.0</v>
      </c>
      <c r="K268" s="441">
        <f t="shared" si="1"/>
        <v>7169.94</v>
      </c>
      <c r="L268" s="170">
        <v>8962.94</v>
      </c>
      <c r="M268" s="239">
        <v>8612.94</v>
      </c>
      <c r="N268" s="155">
        <v>1899.99</v>
      </c>
      <c r="O268" s="442">
        <f t="shared" si="44"/>
        <v>350</v>
      </c>
      <c r="P268" s="344">
        <f t="shared" si="46"/>
        <v>70</v>
      </c>
      <c r="Q268" s="499">
        <v>280.0</v>
      </c>
      <c r="R268" s="672" t="b">
        <v>0</v>
      </c>
      <c r="S268" s="442"/>
      <c r="T268" s="443"/>
      <c r="U268" s="442"/>
      <c r="V268" s="434" t="s">
        <v>584</v>
      </c>
      <c r="W268" s="707" t="s">
        <v>584</v>
      </c>
      <c r="X268" s="708"/>
      <c r="Y268" s="434" t="s">
        <v>584</v>
      </c>
      <c r="Z268" s="450"/>
      <c r="AA268" s="447"/>
      <c r="AB268" s="447"/>
      <c r="AC268" s="440" t="s">
        <v>1124</v>
      </c>
      <c r="AD268" s="709" t="str">
        <f t="shared" si="47"/>
        <v>octubre</v>
      </c>
      <c r="AE268" s="434" t="s">
        <v>1048</v>
      </c>
      <c r="AF268" s="440" t="b">
        <v>1</v>
      </c>
      <c r="AG268" s="166"/>
      <c r="AH268" s="149" t="b">
        <v>0</v>
      </c>
      <c r="AI268" s="162"/>
      <c r="AJ268" s="448"/>
      <c r="AK268" s="448"/>
      <c r="AL268" s="448"/>
      <c r="AM268" s="448"/>
      <c r="AN268" s="448"/>
      <c r="AO268" s="448"/>
      <c r="AP268" s="448"/>
      <c r="AQ268" s="448"/>
    </row>
    <row r="269" ht="22.5" hidden="1" customHeight="1">
      <c r="A269" s="434" t="s">
        <v>34</v>
      </c>
      <c r="B269" s="435">
        <v>45943.0</v>
      </c>
      <c r="C269" s="710" t="s">
        <v>1125</v>
      </c>
      <c r="D269" s="456" t="s">
        <v>1126</v>
      </c>
      <c r="E269" s="438" t="s">
        <v>28</v>
      </c>
      <c r="F269" s="566" t="s">
        <v>1127</v>
      </c>
      <c r="G269" s="440">
        <v>5.1928680944E10</v>
      </c>
      <c r="H269" s="438" t="s">
        <v>257</v>
      </c>
      <c r="I269" s="498">
        <v>0.2</v>
      </c>
      <c r="J269" s="706">
        <v>1639.8</v>
      </c>
      <c r="K269" s="441">
        <f t="shared" si="1"/>
        <v>6559.2</v>
      </c>
      <c r="L269" s="170">
        <v>8199.0</v>
      </c>
      <c r="M269" s="239">
        <v>7693.26</v>
      </c>
      <c r="N269" s="155">
        <v>1799.0</v>
      </c>
      <c r="O269" s="442">
        <f t="shared" ref="O269:O270" si="49">L269-M269-U269</f>
        <v>475.74</v>
      </c>
      <c r="P269" s="344">
        <f t="shared" si="46"/>
        <v>165.74</v>
      </c>
      <c r="Q269" s="499">
        <v>280.0</v>
      </c>
      <c r="R269" s="672" t="b">
        <v>0</v>
      </c>
      <c r="S269" s="442"/>
      <c r="T269" s="505">
        <v>30.0</v>
      </c>
      <c r="U269" s="499">
        <v>30.0</v>
      </c>
      <c r="V269" s="434" t="s">
        <v>584</v>
      </c>
      <c r="W269" s="438" t="s">
        <v>584</v>
      </c>
      <c r="X269" s="445"/>
      <c r="Y269" s="434" t="s">
        <v>584</v>
      </c>
      <c r="Z269" s="450"/>
      <c r="AA269" s="447"/>
      <c r="AB269" s="447"/>
      <c r="AC269" s="440" t="s">
        <v>1128</v>
      </c>
      <c r="AD269" s="709" t="str">
        <f t="shared" si="47"/>
        <v>octubre</v>
      </c>
      <c r="AE269" s="434" t="s">
        <v>1048</v>
      </c>
      <c r="AF269" s="440" t="b">
        <v>1</v>
      </c>
      <c r="AG269" s="166"/>
      <c r="AH269" s="149" t="b">
        <v>0</v>
      </c>
      <c r="AI269" s="162"/>
      <c r="AJ269" s="448"/>
      <c r="AK269" s="448"/>
      <c r="AL269" s="448"/>
      <c r="AM269" s="448"/>
      <c r="AN269" s="448"/>
      <c r="AO269" s="448"/>
      <c r="AP269" s="448"/>
      <c r="AQ269" s="448"/>
    </row>
    <row r="270" ht="22.5" hidden="1" customHeight="1">
      <c r="A270" s="434" t="s">
        <v>34</v>
      </c>
      <c r="B270" s="435">
        <v>45945.0</v>
      </c>
      <c r="C270" s="660" t="s">
        <v>1129</v>
      </c>
      <c r="D270" s="437" t="s">
        <v>1130</v>
      </c>
      <c r="E270" s="438" t="s">
        <v>28</v>
      </c>
      <c r="F270" s="497" t="s">
        <v>1131</v>
      </c>
      <c r="G270" s="440">
        <v>5.1995253128E10</v>
      </c>
      <c r="H270" s="438" t="s">
        <v>257</v>
      </c>
      <c r="I270" s="498">
        <v>0.2</v>
      </c>
      <c r="J270" s="706">
        <v>1780.0</v>
      </c>
      <c r="K270" s="441">
        <f t="shared" si="1"/>
        <v>7120</v>
      </c>
      <c r="L270" s="170">
        <v>8900.0</v>
      </c>
      <c r="M270" s="239">
        <v>8549.91</v>
      </c>
      <c r="N270" s="155">
        <v>1899.99</v>
      </c>
      <c r="O270" s="442">
        <f t="shared" si="49"/>
        <v>350.09</v>
      </c>
      <c r="P270" s="344">
        <f t="shared" si="46"/>
        <v>350.09</v>
      </c>
      <c r="Q270" s="442"/>
      <c r="R270" s="672" t="b">
        <v>0</v>
      </c>
      <c r="S270" s="442"/>
      <c r="T270" s="443"/>
      <c r="U270" s="442"/>
      <c r="V270" s="434" t="s">
        <v>584</v>
      </c>
      <c r="W270" s="438" t="s">
        <v>584</v>
      </c>
      <c r="X270" s="445"/>
      <c r="Y270" s="434" t="s">
        <v>584</v>
      </c>
      <c r="Z270" s="446" t="s">
        <v>1132</v>
      </c>
      <c r="AA270" s="447"/>
      <c r="AB270" s="447"/>
      <c r="AC270" s="575"/>
      <c r="AD270" s="709" t="str">
        <f t="shared" si="47"/>
        <v>octubre</v>
      </c>
      <c r="AE270" s="434" t="s">
        <v>1048</v>
      </c>
      <c r="AF270" s="440" t="b">
        <v>1</v>
      </c>
      <c r="AG270" s="166"/>
      <c r="AH270" s="149" t="b">
        <v>0</v>
      </c>
      <c r="AI270" s="162"/>
      <c r="AJ270" s="448"/>
      <c r="AK270" s="448"/>
      <c r="AL270" s="448"/>
      <c r="AM270" s="448"/>
      <c r="AN270" s="448"/>
      <c r="AO270" s="448"/>
      <c r="AP270" s="448"/>
      <c r="AQ270" s="448"/>
    </row>
    <row r="271" ht="22.5" customHeight="1">
      <c r="A271" s="144" t="s">
        <v>162</v>
      </c>
      <c r="B271" s="145">
        <v>45941.0</v>
      </c>
      <c r="C271" s="149" t="s">
        <v>1098</v>
      </c>
      <c r="D271" s="329" t="s">
        <v>1133</v>
      </c>
      <c r="E271" s="148" t="s">
        <v>28</v>
      </c>
      <c r="F271" s="149" t="s">
        <v>1134</v>
      </c>
      <c r="G271" s="149" t="s">
        <v>1135</v>
      </c>
      <c r="H271" s="148" t="s">
        <v>257</v>
      </c>
      <c r="I271" s="150">
        <v>0.2</v>
      </c>
      <c r="J271" s="168">
        <v>1279.0</v>
      </c>
      <c r="K271" s="169">
        <f t="shared" si="1"/>
        <v>5120</v>
      </c>
      <c r="L271" s="170">
        <v>6399.0</v>
      </c>
      <c r="M271" s="239">
        <v>5747.0</v>
      </c>
      <c r="N271" s="155">
        <v>1299.99</v>
      </c>
      <c r="O271" s="315">
        <f t="shared" ref="O271:O272" si="50">L271-M271</f>
        <v>652</v>
      </c>
      <c r="P271" s="344">
        <f t="shared" si="46"/>
        <v>0</v>
      </c>
      <c r="Q271" s="321">
        <f>O271</f>
        <v>652</v>
      </c>
      <c r="R271" s="672" t="b">
        <v>0</v>
      </c>
      <c r="S271" s="318"/>
      <c r="T271" s="319"/>
      <c r="U271" s="315"/>
      <c r="V271" s="144" t="s">
        <v>584</v>
      </c>
      <c r="W271" s="367" t="s">
        <v>584</v>
      </c>
      <c r="X271" s="576"/>
      <c r="Y271" s="144" t="s">
        <v>584</v>
      </c>
      <c r="Z271" s="164"/>
      <c r="AA271" s="116"/>
      <c r="AB271" s="116"/>
      <c r="AC271" s="149" t="s">
        <v>1136</v>
      </c>
      <c r="AD271" s="675" t="str">
        <f t="shared" si="47"/>
        <v>octubre</v>
      </c>
      <c r="AE271" s="144" t="s">
        <v>1048</v>
      </c>
      <c r="AF271" s="149" t="b">
        <v>1</v>
      </c>
      <c r="AG271" s="166"/>
      <c r="AH271" s="149" t="b">
        <v>0</v>
      </c>
      <c r="AI271" s="162"/>
      <c r="AJ271" s="143"/>
      <c r="AK271" s="143"/>
      <c r="AL271" s="143"/>
      <c r="AM271" s="143"/>
      <c r="AN271" s="143"/>
      <c r="AO271" s="143"/>
      <c r="AP271" s="143"/>
      <c r="AQ271" s="143"/>
    </row>
    <row r="272" ht="22.5" hidden="1" customHeight="1">
      <c r="A272" s="434" t="s">
        <v>34</v>
      </c>
      <c r="B272" s="435">
        <v>45950.0</v>
      </c>
      <c r="C272" s="440" t="s">
        <v>670</v>
      </c>
      <c r="D272" s="437" t="s">
        <v>1137</v>
      </c>
      <c r="E272" s="438" t="s">
        <v>28</v>
      </c>
      <c r="F272" s="566" t="s">
        <v>1138</v>
      </c>
      <c r="G272" s="440"/>
      <c r="H272" s="438" t="s">
        <v>257</v>
      </c>
      <c r="I272" s="438" t="s">
        <v>61</v>
      </c>
      <c r="J272" s="706">
        <v>3000.0</v>
      </c>
      <c r="K272" s="441">
        <f t="shared" si="1"/>
        <v>2613.81</v>
      </c>
      <c r="L272" s="342">
        <v>5613.81</v>
      </c>
      <c r="M272" s="239">
        <v>5613.81</v>
      </c>
      <c r="N272" s="155">
        <v>1349.99</v>
      </c>
      <c r="O272" s="442">
        <f t="shared" si="50"/>
        <v>0</v>
      </c>
      <c r="P272" s="344">
        <f t="shared" si="46"/>
        <v>0</v>
      </c>
      <c r="Q272" s="442"/>
      <c r="R272" s="672" t="b">
        <v>0</v>
      </c>
      <c r="S272" s="442"/>
      <c r="T272" s="443"/>
      <c r="U272" s="442"/>
      <c r="V272" s="434" t="s">
        <v>584</v>
      </c>
      <c r="W272" s="438" t="s">
        <v>584</v>
      </c>
      <c r="X272" s="445"/>
      <c r="Y272" s="434" t="s">
        <v>584</v>
      </c>
      <c r="Z272" s="446" t="s">
        <v>1139</v>
      </c>
      <c r="AA272" s="447"/>
      <c r="AB272" s="447"/>
      <c r="AC272" s="440" t="s">
        <v>1140</v>
      </c>
      <c r="AD272" s="709" t="str">
        <f t="shared" si="47"/>
        <v>octubre</v>
      </c>
      <c r="AE272" s="434" t="s">
        <v>1048</v>
      </c>
      <c r="AF272" s="440" t="b">
        <v>1</v>
      </c>
      <c r="AG272" s="166"/>
      <c r="AH272" s="149" t="b">
        <v>0</v>
      </c>
      <c r="AI272" s="162"/>
      <c r="AJ272" s="448"/>
      <c r="AK272" s="448"/>
      <c r="AL272" s="448"/>
      <c r="AM272" s="448"/>
      <c r="AN272" s="448"/>
      <c r="AO272" s="448"/>
      <c r="AP272" s="448"/>
      <c r="AQ272" s="448"/>
    </row>
    <row r="273" ht="22.5" hidden="1" customHeight="1">
      <c r="A273" s="144" t="s">
        <v>259</v>
      </c>
      <c r="B273" s="145">
        <v>45941.0</v>
      </c>
      <c r="C273" s="149" t="s">
        <v>670</v>
      </c>
      <c r="D273" s="208" t="s">
        <v>1141</v>
      </c>
      <c r="E273" s="148" t="s">
        <v>28</v>
      </c>
      <c r="F273" s="630" t="s">
        <v>1142</v>
      </c>
      <c r="G273" s="149">
        <v>5.1979880223E10</v>
      </c>
      <c r="H273" s="148" t="s">
        <v>257</v>
      </c>
      <c r="I273" s="150">
        <v>0.2</v>
      </c>
      <c r="J273" s="312">
        <v>1399.8</v>
      </c>
      <c r="K273" s="169">
        <f t="shared" si="1"/>
        <v>5599.2</v>
      </c>
      <c r="L273" s="170">
        <v>6999.0</v>
      </c>
      <c r="M273" s="239">
        <v>6044.0</v>
      </c>
      <c r="N273" s="155">
        <v>1399.99</v>
      </c>
      <c r="O273" s="343">
        <v>955.0</v>
      </c>
      <c r="P273" s="344">
        <f t="shared" si="46"/>
        <v>955</v>
      </c>
      <c r="Q273" s="321"/>
      <c r="R273" s="672" t="b">
        <v>0</v>
      </c>
      <c r="S273" s="318"/>
      <c r="T273" s="319"/>
      <c r="U273" s="315"/>
      <c r="V273" s="144" t="s">
        <v>584</v>
      </c>
      <c r="W273" s="367" t="s">
        <v>584</v>
      </c>
      <c r="X273" s="576"/>
      <c r="Y273" s="144"/>
      <c r="Z273" s="164"/>
      <c r="AA273" s="116"/>
      <c r="AB273" s="116"/>
      <c r="AC273" s="165"/>
      <c r="AD273" s="675" t="str">
        <f t="shared" si="47"/>
        <v>octubre</v>
      </c>
      <c r="AE273" s="144" t="s">
        <v>1048</v>
      </c>
      <c r="AF273" s="149" t="b">
        <v>1</v>
      </c>
      <c r="AG273" s="166"/>
      <c r="AH273" s="149" t="b">
        <v>0</v>
      </c>
      <c r="AI273" s="162"/>
      <c r="AJ273" s="143"/>
      <c r="AK273" s="143"/>
      <c r="AL273" s="143"/>
      <c r="AM273" s="143"/>
      <c r="AN273" s="143"/>
      <c r="AO273" s="143"/>
      <c r="AP273" s="143"/>
      <c r="AQ273" s="143"/>
    </row>
    <row r="274" ht="22.5" hidden="1" customHeight="1">
      <c r="A274" s="144" t="s">
        <v>259</v>
      </c>
      <c r="B274" s="145">
        <v>45950.0</v>
      </c>
      <c r="C274" s="615" t="s">
        <v>923</v>
      </c>
      <c r="D274" s="208" t="s">
        <v>1143</v>
      </c>
      <c r="E274" s="148" t="s">
        <v>28</v>
      </c>
      <c r="F274" s="630" t="s">
        <v>1144</v>
      </c>
      <c r="G274" s="149" t="s">
        <v>1145</v>
      </c>
      <c r="H274" s="148" t="s">
        <v>257</v>
      </c>
      <c r="I274" s="150">
        <v>1.0</v>
      </c>
      <c r="J274" s="312"/>
      <c r="K274" s="271" t="str">
        <f t="shared" si="1"/>
        <v/>
      </c>
      <c r="L274" s="170">
        <v>8234.0</v>
      </c>
      <c r="M274" s="239">
        <v>7566.0</v>
      </c>
      <c r="N274" s="155">
        <v>1599.99</v>
      </c>
      <c r="O274" s="315">
        <f t="shared" ref="O274:O298" si="51">L274-M274</f>
        <v>668</v>
      </c>
      <c r="P274" s="344">
        <f t="shared" si="46"/>
        <v>143</v>
      </c>
      <c r="Q274" s="510">
        <v>176.0</v>
      </c>
      <c r="R274" s="672" t="b">
        <v>0</v>
      </c>
      <c r="S274" s="346">
        <v>349.0</v>
      </c>
      <c r="T274" s="319"/>
      <c r="U274" s="315"/>
      <c r="V274" s="144" t="s">
        <v>584</v>
      </c>
      <c r="W274" s="367" t="s">
        <v>584</v>
      </c>
      <c r="X274" s="576"/>
      <c r="Y274" s="162"/>
      <c r="Z274" s="164"/>
      <c r="AA274" s="116"/>
      <c r="AB274" s="116"/>
      <c r="AC274" s="165"/>
      <c r="AD274" s="675" t="str">
        <f t="shared" si="47"/>
        <v>octubre</v>
      </c>
      <c r="AE274" s="144" t="s">
        <v>1048</v>
      </c>
      <c r="AF274" s="149" t="b">
        <v>1</v>
      </c>
      <c r="AG274" s="166"/>
      <c r="AH274" s="149" t="b">
        <v>0</v>
      </c>
      <c r="AI274" s="162"/>
      <c r="AJ274" s="143"/>
      <c r="AK274" s="143"/>
      <c r="AL274" s="143"/>
      <c r="AM274" s="143"/>
      <c r="AN274" s="143"/>
      <c r="AO274" s="143"/>
      <c r="AP274" s="143"/>
      <c r="AQ274" s="143"/>
    </row>
    <row r="275" ht="22.5" hidden="1" customHeight="1">
      <c r="A275" s="144" t="s">
        <v>259</v>
      </c>
      <c r="B275" s="145">
        <v>45948.0</v>
      </c>
      <c r="C275" s="615" t="s">
        <v>923</v>
      </c>
      <c r="D275" s="208" t="s">
        <v>1146</v>
      </c>
      <c r="E275" s="148" t="s">
        <v>28</v>
      </c>
      <c r="F275" s="630" t="s">
        <v>1147</v>
      </c>
      <c r="G275" s="149" t="s">
        <v>1148</v>
      </c>
      <c r="H275" s="148" t="s">
        <v>257</v>
      </c>
      <c r="I275" s="150">
        <v>1.0</v>
      </c>
      <c r="J275" s="312"/>
      <c r="K275" s="271" t="str">
        <f t="shared" si="1"/>
        <v/>
      </c>
      <c r="L275" s="170">
        <v>7999.0</v>
      </c>
      <c r="M275" s="239">
        <v>7566.0</v>
      </c>
      <c r="N275" s="155">
        <v>1599.99</v>
      </c>
      <c r="O275" s="315">
        <f t="shared" si="51"/>
        <v>433</v>
      </c>
      <c r="P275" s="344">
        <f t="shared" si="46"/>
        <v>-1116</v>
      </c>
      <c r="Q275" s="510">
        <v>1200.0</v>
      </c>
      <c r="R275" s="672" t="b">
        <v>0</v>
      </c>
      <c r="S275" s="346">
        <v>349.0</v>
      </c>
      <c r="T275" s="319"/>
      <c r="U275" s="315"/>
      <c r="V275" s="144" t="s">
        <v>584</v>
      </c>
      <c r="W275" s="367" t="s">
        <v>584</v>
      </c>
      <c r="X275" s="576"/>
      <c r="Y275" s="162"/>
      <c r="Z275" s="164"/>
      <c r="AA275" s="116"/>
      <c r="AB275" s="116"/>
      <c r="AC275" s="165"/>
      <c r="AD275" s="675" t="str">
        <f t="shared" si="47"/>
        <v>octubre</v>
      </c>
      <c r="AE275" s="144" t="s">
        <v>1048</v>
      </c>
      <c r="AF275" s="149" t="b">
        <v>1</v>
      </c>
      <c r="AG275" s="166"/>
      <c r="AH275" s="149" t="b">
        <v>0</v>
      </c>
      <c r="AI275" s="162"/>
      <c r="AJ275" s="143"/>
      <c r="AK275" s="143"/>
      <c r="AL275" s="143"/>
      <c r="AM275" s="143"/>
      <c r="AN275" s="143"/>
      <c r="AO275" s="143"/>
      <c r="AP275" s="143"/>
      <c r="AQ275" s="143"/>
    </row>
    <row r="276" ht="22.5" hidden="1" customHeight="1">
      <c r="A276" s="144" t="s">
        <v>259</v>
      </c>
      <c r="B276" s="145">
        <v>45934.0</v>
      </c>
      <c r="C276" s="711" t="s">
        <v>767</v>
      </c>
      <c r="D276" s="208" t="s">
        <v>1149</v>
      </c>
      <c r="E276" s="148" t="s">
        <v>28</v>
      </c>
      <c r="F276" s="259" t="s">
        <v>1150</v>
      </c>
      <c r="G276" s="149" t="s">
        <v>1151</v>
      </c>
      <c r="H276" s="148" t="s">
        <v>257</v>
      </c>
      <c r="I276" s="150">
        <v>1.0</v>
      </c>
      <c r="J276" s="312"/>
      <c r="K276" s="271" t="str">
        <f t="shared" si="1"/>
        <v/>
      </c>
      <c r="L276" s="170">
        <v>8599.0</v>
      </c>
      <c r="M276" s="239">
        <v>7745.0</v>
      </c>
      <c r="N276" s="155">
        <v>1649.99</v>
      </c>
      <c r="O276" s="315">
        <f t="shared" si="51"/>
        <v>854</v>
      </c>
      <c r="P276" s="344">
        <f t="shared" si="46"/>
        <v>-349</v>
      </c>
      <c r="Q276" s="510">
        <v>854.0</v>
      </c>
      <c r="R276" s="672" t="b">
        <v>0</v>
      </c>
      <c r="S276" s="346">
        <v>349.0</v>
      </c>
      <c r="T276" s="319"/>
      <c r="U276" s="315"/>
      <c r="V276" s="144" t="s">
        <v>584</v>
      </c>
      <c r="W276" s="367" t="s">
        <v>584</v>
      </c>
      <c r="X276" s="576"/>
      <c r="Y276" s="162"/>
      <c r="Z276" s="164"/>
      <c r="AA276" s="116"/>
      <c r="AB276" s="116"/>
      <c r="AC276" s="165"/>
      <c r="AD276" s="675" t="str">
        <f t="shared" si="47"/>
        <v>octubre</v>
      </c>
      <c r="AE276" s="144" t="s">
        <v>1048</v>
      </c>
      <c r="AF276" s="149" t="b">
        <v>1</v>
      </c>
      <c r="AG276" s="166"/>
      <c r="AH276" s="149" t="b">
        <v>0</v>
      </c>
      <c r="AI276" s="162"/>
      <c r="AJ276" s="143"/>
      <c r="AK276" s="143"/>
      <c r="AL276" s="143"/>
      <c r="AM276" s="143"/>
      <c r="AN276" s="143"/>
      <c r="AO276" s="143"/>
      <c r="AP276" s="143"/>
      <c r="AQ276" s="143"/>
    </row>
    <row r="277" ht="22.5" hidden="1" customHeight="1">
      <c r="A277" s="144" t="s">
        <v>259</v>
      </c>
      <c r="B277" s="145">
        <v>45952.0</v>
      </c>
      <c r="C277" s="615" t="s">
        <v>1152</v>
      </c>
      <c r="D277" s="208" t="s">
        <v>1153</v>
      </c>
      <c r="E277" s="148" t="s">
        <v>28</v>
      </c>
      <c r="F277" s="630" t="s">
        <v>1154</v>
      </c>
      <c r="G277" s="149">
        <v>5.1934909423E10</v>
      </c>
      <c r="H277" s="148" t="s">
        <v>257</v>
      </c>
      <c r="I277" s="150">
        <v>0.2</v>
      </c>
      <c r="J277" s="312">
        <v>1599.8</v>
      </c>
      <c r="K277" s="169">
        <f t="shared" si="1"/>
        <v>6199.2</v>
      </c>
      <c r="L277" s="170">
        <v>7799.0</v>
      </c>
      <c r="M277" s="239">
        <v>6919.0</v>
      </c>
      <c r="N277" s="155">
        <v>1599.99</v>
      </c>
      <c r="O277" s="315">
        <f t="shared" si="51"/>
        <v>880</v>
      </c>
      <c r="P277" s="344">
        <f t="shared" si="46"/>
        <v>664</v>
      </c>
      <c r="Q277" s="510">
        <v>216.0</v>
      </c>
      <c r="R277" s="672" t="b">
        <v>0</v>
      </c>
      <c r="S277" s="318"/>
      <c r="T277" s="319"/>
      <c r="U277" s="315"/>
      <c r="V277" s="144" t="s">
        <v>584</v>
      </c>
      <c r="W277" s="367" t="s">
        <v>584</v>
      </c>
      <c r="X277" s="576"/>
      <c r="Y277" s="162"/>
      <c r="Z277" s="164"/>
      <c r="AA277" s="116"/>
      <c r="AB277" s="116"/>
      <c r="AC277" s="165"/>
      <c r="AD277" s="675" t="str">
        <f t="shared" si="47"/>
        <v>octubre</v>
      </c>
      <c r="AE277" s="144" t="s">
        <v>1048</v>
      </c>
      <c r="AF277" s="149" t="b">
        <v>1</v>
      </c>
      <c r="AG277" s="166"/>
      <c r="AH277" s="149" t="b">
        <v>0</v>
      </c>
      <c r="AI277" s="162"/>
      <c r="AJ277" s="143"/>
      <c r="AK277" s="143"/>
      <c r="AL277" s="143"/>
      <c r="AM277" s="143"/>
      <c r="AN277" s="143"/>
      <c r="AO277" s="143"/>
      <c r="AP277" s="143"/>
      <c r="AQ277" s="143"/>
    </row>
    <row r="278" ht="22.5" customHeight="1">
      <c r="A278" s="144" t="s">
        <v>162</v>
      </c>
      <c r="B278" s="145">
        <v>45946.0</v>
      </c>
      <c r="C278" s="149" t="s">
        <v>911</v>
      </c>
      <c r="D278" s="712" t="s">
        <v>1155</v>
      </c>
      <c r="E278" s="148" t="s">
        <v>28</v>
      </c>
      <c r="F278" s="149" t="s">
        <v>1156</v>
      </c>
      <c r="G278" s="149">
        <v>5.1983188522E10</v>
      </c>
      <c r="H278" s="148" t="s">
        <v>257</v>
      </c>
      <c r="I278" s="150">
        <v>0.2</v>
      </c>
      <c r="J278" s="168">
        <v>1199.0</v>
      </c>
      <c r="K278" s="169">
        <f t="shared" si="1"/>
        <v>4800</v>
      </c>
      <c r="L278" s="170">
        <v>5999.0</v>
      </c>
      <c r="M278" s="239">
        <v>5360.0</v>
      </c>
      <c r="N278" s="155">
        <v>1199.99</v>
      </c>
      <c r="O278" s="315">
        <f t="shared" si="51"/>
        <v>639</v>
      </c>
      <c r="P278" s="344">
        <f t="shared" si="46"/>
        <v>439.77</v>
      </c>
      <c r="Q278" s="510">
        <v>199.23</v>
      </c>
      <c r="R278" s="672" t="b">
        <v>0</v>
      </c>
      <c r="S278" s="318"/>
      <c r="T278" s="319"/>
      <c r="U278" s="315"/>
      <c r="V278" s="144" t="s">
        <v>584</v>
      </c>
      <c r="W278" s="367" t="s">
        <v>584</v>
      </c>
      <c r="X278" s="576"/>
      <c r="Y278" s="162"/>
      <c r="Z278" s="164"/>
      <c r="AA278" s="116"/>
      <c r="AB278" s="116"/>
      <c r="AC278" s="149" t="s">
        <v>1157</v>
      </c>
      <c r="AD278" s="675" t="str">
        <f t="shared" si="47"/>
        <v>octubre</v>
      </c>
      <c r="AE278" s="144" t="s">
        <v>1048</v>
      </c>
      <c r="AF278" s="149" t="b">
        <v>1</v>
      </c>
      <c r="AG278" s="166"/>
      <c r="AH278" s="149" t="b">
        <v>0</v>
      </c>
      <c r="AI278" s="162"/>
      <c r="AJ278" s="143"/>
      <c r="AK278" s="143"/>
      <c r="AL278" s="143"/>
      <c r="AM278" s="143"/>
      <c r="AN278" s="143"/>
      <c r="AO278" s="143"/>
      <c r="AP278" s="143"/>
      <c r="AQ278" s="143"/>
    </row>
    <row r="279" ht="22.5" hidden="1" customHeight="1">
      <c r="A279" s="593" t="s">
        <v>34</v>
      </c>
      <c r="B279" s="594">
        <v>45953.0</v>
      </c>
      <c r="C279" s="713" t="s">
        <v>677</v>
      </c>
      <c r="D279" s="603" t="s">
        <v>1158</v>
      </c>
      <c r="E279" s="398" t="s">
        <v>28</v>
      </c>
      <c r="F279" s="714" t="s">
        <v>1159</v>
      </c>
      <c r="G279" s="397">
        <v>5.1941798788E10</v>
      </c>
      <c r="H279" s="398" t="s">
        <v>257</v>
      </c>
      <c r="I279" s="598">
        <v>0.2</v>
      </c>
      <c r="J279" s="715">
        <v>1520.0</v>
      </c>
      <c r="K279" s="399">
        <f t="shared" si="1"/>
        <v>6079</v>
      </c>
      <c r="L279" s="170">
        <v>7599.0</v>
      </c>
      <c r="M279" s="239">
        <v>7011.0</v>
      </c>
      <c r="N279" s="155">
        <v>1499.99</v>
      </c>
      <c r="O279" s="400">
        <f t="shared" si="51"/>
        <v>588</v>
      </c>
      <c r="P279" s="344">
        <f t="shared" si="46"/>
        <v>249.54</v>
      </c>
      <c r="Q279" s="609">
        <v>338.46</v>
      </c>
      <c r="R279" s="672" t="b">
        <v>0</v>
      </c>
      <c r="S279" s="400"/>
      <c r="T279" s="401"/>
      <c r="U279" s="400"/>
      <c r="V279" s="593" t="s">
        <v>584</v>
      </c>
      <c r="W279" s="716" t="s">
        <v>584</v>
      </c>
      <c r="X279" s="717"/>
      <c r="Y279" s="640"/>
      <c r="Z279" s="402"/>
      <c r="AA279" s="403"/>
      <c r="AB279" s="403"/>
      <c r="AC279" s="629"/>
      <c r="AD279" s="718" t="str">
        <f t="shared" si="47"/>
        <v>octubre</v>
      </c>
      <c r="AE279" s="593" t="s">
        <v>1048</v>
      </c>
      <c r="AF279" s="397" t="b">
        <v>1</v>
      </c>
      <c r="AG279" s="166"/>
      <c r="AH279" s="149" t="b">
        <v>0</v>
      </c>
      <c r="AI279" s="162"/>
      <c r="AJ279" s="405"/>
      <c r="AK279" s="405"/>
      <c r="AL279" s="405"/>
      <c r="AM279" s="405"/>
      <c r="AN279" s="405"/>
      <c r="AO279" s="405"/>
      <c r="AP279" s="405"/>
      <c r="AQ279" s="405"/>
    </row>
    <row r="280" ht="22.5" hidden="1" customHeight="1">
      <c r="A280" s="434" t="s">
        <v>34</v>
      </c>
      <c r="B280" s="435">
        <v>45953.0</v>
      </c>
      <c r="C280" s="688" t="s">
        <v>1152</v>
      </c>
      <c r="D280" s="456" t="s">
        <v>1160</v>
      </c>
      <c r="E280" s="438" t="s">
        <v>28</v>
      </c>
      <c r="F280" s="689" t="s">
        <v>1161</v>
      </c>
      <c r="G280" s="719">
        <v>5.198228394E10</v>
      </c>
      <c r="H280" s="148" t="s">
        <v>257</v>
      </c>
      <c r="I280" s="498">
        <v>0.2</v>
      </c>
      <c r="J280" s="168">
        <v>1560.0</v>
      </c>
      <c r="K280" s="441">
        <f t="shared" si="1"/>
        <v>6239</v>
      </c>
      <c r="L280" s="170">
        <v>7799.0</v>
      </c>
      <c r="M280" s="239">
        <v>6919.0</v>
      </c>
      <c r="N280" s="155">
        <v>1599.99</v>
      </c>
      <c r="O280" s="442">
        <f t="shared" si="51"/>
        <v>880</v>
      </c>
      <c r="P280" s="344">
        <f t="shared" si="46"/>
        <v>0</v>
      </c>
      <c r="Q280" s="321">
        <f>O280</f>
        <v>880</v>
      </c>
      <c r="R280" s="672" t="b">
        <v>0</v>
      </c>
      <c r="S280" s="499"/>
      <c r="T280" s="443"/>
      <c r="U280" s="442"/>
      <c r="V280" s="434" t="s">
        <v>584</v>
      </c>
      <c r="W280" s="438" t="s">
        <v>584</v>
      </c>
      <c r="X280" s="445"/>
      <c r="Y280" s="444"/>
      <c r="Z280" s="450"/>
      <c r="AA280" s="447"/>
      <c r="AB280" s="447"/>
      <c r="AC280" s="575"/>
      <c r="AD280" s="675" t="str">
        <f t="shared" si="47"/>
        <v>octubre</v>
      </c>
      <c r="AE280" s="434" t="s">
        <v>1048</v>
      </c>
      <c r="AF280" s="440" t="b">
        <v>1</v>
      </c>
      <c r="AG280" s="166"/>
      <c r="AH280" s="149" t="b">
        <v>0</v>
      </c>
      <c r="AI280" s="162"/>
      <c r="AJ280" s="448"/>
      <c r="AK280" s="448"/>
      <c r="AL280" s="448"/>
      <c r="AM280" s="448"/>
      <c r="AN280" s="448"/>
      <c r="AO280" s="448"/>
      <c r="AP280" s="448"/>
      <c r="AQ280" s="448"/>
    </row>
    <row r="281" ht="22.5" customHeight="1">
      <c r="A281" s="144" t="s">
        <v>162</v>
      </c>
      <c r="B281" s="145">
        <v>45951.0</v>
      </c>
      <c r="C281" s="207" t="s">
        <v>1162</v>
      </c>
      <c r="D281" s="329" t="s">
        <v>1163</v>
      </c>
      <c r="E281" s="148" t="s">
        <v>28</v>
      </c>
      <c r="F281" s="720" t="s">
        <v>1164</v>
      </c>
      <c r="G281" s="332">
        <v>5.195278503E10</v>
      </c>
      <c r="H281" s="148" t="s">
        <v>257</v>
      </c>
      <c r="I281" s="150">
        <v>0.3</v>
      </c>
      <c r="J281" s="168">
        <v>2699.0</v>
      </c>
      <c r="K281" s="169">
        <f t="shared" si="1"/>
        <v>6300</v>
      </c>
      <c r="L281" s="170">
        <v>8999.0</v>
      </c>
      <c r="M281" s="239">
        <v>8473.82</v>
      </c>
      <c r="N281" s="155">
        <v>1999.99</v>
      </c>
      <c r="O281" s="315">
        <f t="shared" si="51"/>
        <v>525.18</v>
      </c>
      <c r="P281" s="344">
        <f t="shared" si="46"/>
        <v>250.18</v>
      </c>
      <c r="Q281" s="510">
        <v>275.0</v>
      </c>
      <c r="R281" s="672" t="b">
        <v>0</v>
      </c>
      <c r="S281" s="318"/>
      <c r="T281" s="319"/>
      <c r="U281" s="315"/>
      <c r="V281" s="144" t="s">
        <v>584</v>
      </c>
      <c r="W281" s="367" t="s">
        <v>584</v>
      </c>
      <c r="X281" s="576"/>
      <c r="Y281" s="144" t="s">
        <v>584</v>
      </c>
      <c r="Z281" s="164"/>
      <c r="AA281" s="116"/>
      <c r="AB281" s="116"/>
      <c r="AC281" s="149" t="s">
        <v>1165</v>
      </c>
      <c r="AD281" s="675" t="str">
        <f t="shared" si="47"/>
        <v>octubre</v>
      </c>
      <c r="AE281" s="144" t="s">
        <v>1048</v>
      </c>
      <c r="AF281" s="149" t="b">
        <v>1</v>
      </c>
      <c r="AG281" s="166"/>
      <c r="AH281" s="149" t="b">
        <v>0</v>
      </c>
      <c r="AI281" s="162"/>
      <c r="AJ281" s="143"/>
      <c r="AK281" s="143"/>
      <c r="AL281" s="143"/>
      <c r="AM281" s="143"/>
      <c r="AN281" s="143"/>
      <c r="AO281" s="143"/>
      <c r="AP281" s="143"/>
      <c r="AQ281" s="143"/>
    </row>
    <row r="282" ht="22.5" customHeight="1">
      <c r="A282" s="144" t="s">
        <v>162</v>
      </c>
      <c r="B282" s="145">
        <v>45954.0</v>
      </c>
      <c r="C282" s="721" t="s">
        <v>1166</v>
      </c>
      <c r="D282" s="329" t="s">
        <v>1167</v>
      </c>
      <c r="E282" s="148" t="s">
        <v>28</v>
      </c>
      <c r="F282" s="351" t="s">
        <v>1168</v>
      </c>
      <c r="G282" s="722">
        <v>5.1981629493E10</v>
      </c>
      <c r="H282" s="148" t="s">
        <v>257</v>
      </c>
      <c r="I282" s="150">
        <v>0.3</v>
      </c>
      <c r="J282" s="168">
        <v>2744.0</v>
      </c>
      <c r="K282" s="169">
        <f t="shared" si="1"/>
        <v>6405</v>
      </c>
      <c r="L282" s="170">
        <v>9149.0</v>
      </c>
      <c r="M282" s="239">
        <v>8448.97</v>
      </c>
      <c r="N282" s="155">
        <v>1999.99</v>
      </c>
      <c r="O282" s="315">
        <f t="shared" si="51"/>
        <v>700.03</v>
      </c>
      <c r="P282" s="344">
        <f t="shared" si="46"/>
        <v>520.03</v>
      </c>
      <c r="Q282" s="510">
        <v>180.0</v>
      </c>
      <c r="R282" s="672" t="b">
        <v>0</v>
      </c>
      <c r="S282" s="318"/>
      <c r="T282" s="319"/>
      <c r="U282" s="315"/>
      <c r="V282" s="144" t="s">
        <v>584</v>
      </c>
      <c r="W282" s="367" t="s">
        <v>584</v>
      </c>
      <c r="X282" s="576"/>
      <c r="Y282" s="144" t="s">
        <v>584</v>
      </c>
      <c r="Z282" s="164"/>
      <c r="AA282" s="116"/>
      <c r="AB282" s="116"/>
      <c r="AC282" s="165"/>
      <c r="AD282" s="675" t="str">
        <f t="shared" si="47"/>
        <v>octubre</v>
      </c>
      <c r="AE282" s="144" t="s">
        <v>1048</v>
      </c>
      <c r="AF282" s="149" t="b">
        <v>1</v>
      </c>
      <c r="AG282" s="166"/>
      <c r="AH282" s="149" t="b">
        <v>0</v>
      </c>
      <c r="AI282" s="162"/>
      <c r="AJ282" s="143"/>
      <c r="AK282" s="143"/>
      <c r="AL282" s="143"/>
      <c r="AM282" s="143"/>
      <c r="AN282" s="143"/>
      <c r="AO282" s="143"/>
      <c r="AP282" s="143"/>
      <c r="AQ282" s="143"/>
    </row>
    <row r="283" ht="22.5" hidden="1" customHeight="1">
      <c r="A283" s="593" t="s">
        <v>34</v>
      </c>
      <c r="B283" s="594">
        <v>45958.0</v>
      </c>
      <c r="C283" s="713" t="s">
        <v>794</v>
      </c>
      <c r="D283" s="596" t="s">
        <v>1169</v>
      </c>
      <c r="E283" s="398" t="s">
        <v>28</v>
      </c>
      <c r="F283" s="714" t="s">
        <v>1170</v>
      </c>
      <c r="G283" s="397">
        <v>5.1956467614E10</v>
      </c>
      <c r="H283" s="148" t="s">
        <v>257</v>
      </c>
      <c r="I283" s="598">
        <v>1.0</v>
      </c>
      <c r="J283" s="352"/>
      <c r="K283" s="687" t="str">
        <f t="shared" si="1"/>
        <v/>
      </c>
      <c r="L283" s="170">
        <v>7499.0</v>
      </c>
      <c r="M283" s="239">
        <v>6755.0</v>
      </c>
      <c r="N283" s="155">
        <v>1499.99</v>
      </c>
      <c r="O283" s="609">
        <f t="shared" si="51"/>
        <v>744</v>
      </c>
      <c r="P283" s="344">
        <f t="shared" si="46"/>
        <v>66.54</v>
      </c>
      <c r="Q283" s="510">
        <v>268.46</v>
      </c>
      <c r="R283" s="672" t="b">
        <v>0</v>
      </c>
      <c r="S283" s="609">
        <v>349.0</v>
      </c>
      <c r="T283" s="608">
        <v>30.0</v>
      </c>
      <c r="U283" s="609">
        <v>30.0</v>
      </c>
      <c r="V283" s="593" t="s">
        <v>584</v>
      </c>
      <c r="W283" s="367" t="s">
        <v>584</v>
      </c>
      <c r="X283" s="576"/>
      <c r="Y283" s="640"/>
      <c r="Z283" s="402"/>
      <c r="AA283" s="403"/>
      <c r="AB283" s="403"/>
      <c r="AC283" s="629"/>
      <c r="AD283" s="675" t="str">
        <f t="shared" si="47"/>
        <v>octubre</v>
      </c>
      <c r="AE283" s="593" t="s">
        <v>1048</v>
      </c>
      <c r="AF283" s="397" t="b">
        <v>1</v>
      </c>
      <c r="AG283" s="166"/>
      <c r="AH283" s="149" t="b">
        <v>0</v>
      </c>
      <c r="AI283" s="162"/>
      <c r="AJ283" s="405"/>
      <c r="AK283" s="405"/>
      <c r="AL283" s="405"/>
      <c r="AM283" s="405"/>
      <c r="AN283" s="405"/>
      <c r="AO283" s="405"/>
      <c r="AP283" s="405"/>
      <c r="AQ283" s="405"/>
    </row>
    <row r="284" ht="22.5" hidden="1" customHeight="1">
      <c r="A284" s="434" t="s">
        <v>34</v>
      </c>
      <c r="B284" s="435">
        <v>45959.0</v>
      </c>
      <c r="C284" s="660" t="s">
        <v>1171</v>
      </c>
      <c r="D284" s="456" t="s">
        <v>1172</v>
      </c>
      <c r="E284" s="438" t="s">
        <v>28</v>
      </c>
      <c r="F284" s="566" t="s">
        <v>1173</v>
      </c>
      <c r="G284" s="440">
        <v>5.1916660085E10</v>
      </c>
      <c r="H284" s="438" t="s">
        <v>257</v>
      </c>
      <c r="I284" s="498">
        <v>0.2</v>
      </c>
      <c r="J284" s="706">
        <v>1740.0</v>
      </c>
      <c r="K284" s="441">
        <f t="shared" si="1"/>
        <v>6959</v>
      </c>
      <c r="L284" s="723">
        <v>8699.0</v>
      </c>
      <c r="M284" s="724">
        <v>8504.22</v>
      </c>
      <c r="N284" s="725">
        <v>1999.99</v>
      </c>
      <c r="O284" s="442">
        <f t="shared" si="51"/>
        <v>194.78</v>
      </c>
      <c r="P284" s="344">
        <f t="shared" si="46"/>
        <v>0</v>
      </c>
      <c r="Q284" s="499">
        <v>194.78</v>
      </c>
      <c r="R284" s="672" t="b">
        <v>0</v>
      </c>
      <c r="S284" s="442"/>
      <c r="T284" s="443"/>
      <c r="U284" s="442"/>
      <c r="V284" s="434" t="s">
        <v>584</v>
      </c>
      <c r="W284" s="438" t="s">
        <v>584</v>
      </c>
      <c r="X284" s="445"/>
      <c r="Y284" s="434" t="s">
        <v>584</v>
      </c>
      <c r="Z284" s="450"/>
      <c r="AA284" s="447"/>
      <c r="AB284" s="447"/>
      <c r="AC284" s="575"/>
      <c r="AD284" s="709" t="str">
        <f t="shared" si="47"/>
        <v>octubre</v>
      </c>
      <c r="AE284" s="434" t="s">
        <v>1085</v>
      </c>
      <c r="AF284" s="440" t="b">
        <v>1</v>
      </c>
      <c r="AG284" s="144" t="s">
        <v>1085</v>
      </c>
      <c r="AH284" s="149" t="b">
        <v>0</v>
      </c>
      <c r="AI284" s="162"/>
      <c r="AJ284" s="448"/>
      <c r="AK284" s="448"/>
      <c r="AL284" s="448"/>
      <c r="AM284" s="448"/>
      <c r="AN284" s="448"/>
      <c r="AO284" s="448"/>
      <c r="AP284" s="448"/>
      <c r="AQ284" s="448"/>
    </row>
    <row r="285" ht="22.5" hidden="1" customHeight="1">
      <c r="A285" s="434" t="s">
        <v>34</v>
      </c>
      <c r="B285" s="435">
        <v>45959.0</v>
      </c>
      <c r="C285" s="726" t="s">
        <v>1174</v>
      </c>
      <c r="D285" s="456" t="s">
        <v>1175</v>
      </c>
      <c r="E285" s="438" t="s">
        <v>28</v>
      </c>
      <c r="F285" s="566" t="s">
        <v>1176</v>
      </c>
      <c r="G285" s="575"/>
      <c r="H285" s="438" t="s">
        <v>257</v>
      </c>
      <c r="I285" s="727"/>
      <c r="J285" s="706">
        <v>1300.0</v>
      </c>
      <c r="K285" s="441">
        <f t="shared" si="1"/>
        <v>5199</v>
      </c>
      <c r="L285" s="170">
        <v>6499.0</v>
      </c>
      <c r="M285" s="239">
        <v>6011.8</v>
      </c>
      <c r="N285" s="155">
        <v>1399.99</v>
      </c>
      <c r="O285" s="442">
        <f t="shared" si="51"/>
        <v>487.2</v>
      </c>
      <c r="P285" s="344">
        <f t="shared" si="46"/>
        <v>148.74</v>
      </c>
      <c r="Q285" s="499">
        <v>338.46</v>
      </c>
      <c r="R285" s="672" t="b">
        <v>0</v>
      </c>
      <c r="S285" s="442"/>
      <c r="T285" s="443"/>
      <c r="U285" s="442"/>
      <c r="V285" s="434" t="s">
        <v>584</v>
      </c>
      <c r="W285" s="438" t="s">
        <v>584</v>
      </c>
      <c r="X285" s="445"/>
      <c r="Y285" s="434" t="s">
        <v>584</v>
      </c>
      <c r="Z285" s="446" t="s">
        <v>1177</v>
      </c>
      <c r="AA285" s="447"/>
      <c r="AB285" s="447"/>
      <c r="AC285" s="440" t="s">
        <v>1178</v>
      </c>
      <c r="AD285" s="709" t="str">
        <f t="shared" si="47"/>
        <v>octubre</v>
      </c>
      <c r="AE285" s="434" t="s">
        <v>1085</v>
      </c>
      <c r="AF285" s="440" t="b">
        <v>1</v>
      </c>
      <c r="AG285" s="144" t="s">
        <v>1085</v>
      </c>
      <c r="AH285" s="149" t="b">
        <v>0</v>
      </c>
      <c r="AI285" s="162"/>
      <c r="AJ285" s="448"/>
      <c r="AK285" s="448"/>
      <c r="AL285" s="448"/>
      <c r="AM285" s="448"/>
      <c r="AN285" s="448"/>
      <c r="AO285" s="448"/>
      <c r="AP285" s="448"/>
      <c r="AQ285" s="448"/>
    </row>
    <row r="286" ht="22.5" customHeight="1">
      <c r="A286" s="144" t="s">
        <v>162</v>
      </c>
      <c r="B286" s="145">
        <v>45958.0</v>
      </c>
      <c r="C286" s="353" t="s">
        <v>1179</v>
      </c>
      <c r="D286" s="208" t="s">
        <v>1180</v>
      </c>
      <c r="E286" s="148" t="s">
        <v>28</v>
      </c>
      <c r="F286" s="262" t="s">
        <v>1181</v>
      </c>
      <c r="G286" s="149">
        <v>5.191671176E10</v>
      </c>
      <c r="H286" s="148" t="s">
        <v>257</v>
      </c>
      <c r="I286" s="150">
        <v>0.5</v>
      </c>
      <c r="J286" s="168">
        <v>5875.4</v>
      </c>
      <c r="K286" s="169">
        <f t="shared" si="1"/>
        <v>5823.6</v>
      </c>
      <c r="L286" s="170">
        <v>11699.0</v>
      </c>
      <c r="M286" s="239">
        <v>11603.62</v>
      </c>
      <c r="N286" s="155">
        <v>2699.99</v>
      </c>
      <c r="O286" s="315">
        <f t="shared" si="51"/>
        <v>95.38</v>
      </c>
      <c r="P286" s="344">
        <f t="shared" si="46"/>
        <v>11.53</v>
      </c>
      <c r="Q286" s="510">
        <v>83.85</v>
      </c>
      <c r="R286" s="672" t="b">
        <v>0</v>
      </c>
      <c r="S286" s="318"/>
      <c r="T286" s="319"/>
      <c r="U286" s="315"/>
      <c r="V286" s="144" t="s">
        <v>584</v>
      </c>
      <c r="W286" s="367" t="s">
        <v>584</v>
      </c>
      <c r="X286" s="576"/>
      <c r="Y286" s="144" t="s">
        <v>584</v>
      </c>
      <c r="Z286" s="164"/>
      <c r="AA286" s="116"/>
      <c r="AB286" s="116"/>
      <c r="AC286" s="165"/>
      <c r="AD286" s="675" t="str">
        <f t="shared" si="47"/>
        <v>octubre</v>
      </c>
      <c r="AE286" s="144" t="s">
        <v>1048</v>
      </c>
      <c r="AF286" s="149" t="b">
        <v>1</v>
      </c>
      <c r="AG286" s="166"/>
      <c r="AH286" s="149" t="b">
        <v>0</v>
      </c>
      <c r="AI286" s="162"/>
      <c r="AJ286" s="143"/>
      <c r="AK286" s="143"/>
      <c r="AL286" s="143"/>
      <c r="AM286" s="143"/>
      <c r="AN286" s="143"/>
      <c r="AO286" s="143"/>
      <c r="AP286" s="143"/>
      <c r="AQ286" s="143"/>
    </row>
    <row r="287" ht="22.5" customHeight="1">
      <c r="A287" s="728" t="s">
        <v>162</v>
      </c>
      <c r="B287" s="729">
        <v>45960.0</v>
      </c>
      <c r="C287" s="267" t="s">
        <v>1182</v>
      </c>
      <c r="D287" s="730" t="s">
        <v>1183</v>
      </c>
      <c r="E287" s="731" t="s">
        <v>28</v>
      </c>
      <c r="F287" s="732" t="s">
        <v>1184</v>
      </c>
      <c r="G287" s="733">
        <v>5.19668682E10</v>
      </c>
      <c r="H287" s="731" t="s">
        <v>257</v>
      </c>
      <c r="I287" s="734">
        <v>0.5</v>
      </c>
      <c r="J287" s="735">
        <v>9000.0</v>
      </c>
      <c r="K287" s="736">
        <f t="shared" si="1"/>
        <v>9166</v>
      </c>
      <c r="L287" s="737">
        <v>18166.0</v>
      </c>
      <c r="M287" s="738">
        <v>17483.65</v>
      </c>
      <c r="N287" s="739">
        <v>3799.99</v>
      </c>
      <c r="O287" s="740">
        <f t="shared" si="51"/>
        <v>682.35</v>
      </c>
      <c r="P287" s="741">
        <f t="shared" si="46"/>
        <v>283.35</v>
      </c>
      <c r="Q287" s="741">
        <v>365.0</v>
      </c>
      <c r="R287" s="742" t="b">
        <v>0</v>
      </c>
      <c r="S287" s="740"/>
      <c r="T287" s="743"/>
      <c r="U287" s="741">
        <v>34.0</v>
      </c>
      <c r="V287" s="728" t="s">
        <v>584</v>
      </c>
      <c r="W287" s="731" t="s">
        <v>584</v>
      </c>
      <c r="X287" s="744"/>
      <c r="Y287" s="728" t="s">
        <v>584</v>
      </c>
      <c r="Z287" s="745" t="s">
        <v>1185</v>
      </c>
      <c r="AA287" s="746"/>
      <c r="AB287" s="746"/>
      <c r="AC287" s="733" t="s">
        <v>1186</v>
      </c>
      <c r="AD287" s="747" t="str">
        <f t="shared" si="47"/>
        <v>octubre</v>
      </c>
      <c r="AE287" s="728" t="s">
        <v>1048</v>
      </c>
      <c r="AF287" s="733" t="b">
        <v>1</v>
      </c>
      <c r="AG287" s="728" t="s">
        <v>1187</v>
      </c>
      <c r="AH287" s="733" t="b">
        <v>0</v>
      </c>
      <c r="AI287" s="748"/>
      <c r="AJ287" s="749"/>
      <c r="AK287" s="749"/>
      <c r="AL287" s="749"/>
      <c r="AM287" s="749"/>
      <c r="AN287" s="749"/>
      <c r="AO287" s="749"/>
      <c r="AP287" s="749"/>
      <c r="AQ287" s="749"/>
    </row>
    <row r="288" ht="22.5" customHeight="1">
      <c r="A288" s="144" t="s">
        <v>162</v>
      </c>
      <c r="B288" s="145">
        <v>45961.0</v>
      </c>
      <c r="C288" s="149" t="s">
        <v>670</v>
      </c>
      <c r="D288" s="395" t="s">
        <v>1188</v>
      </c>
      <c r="E288" s="148" t="s">
        <v>28</v>
      </c>
      <c r="F288" s="149" t="s">
        <v>1189</v>
      </c>
      <c r="G288" s="149" t="s">
        <v>1190</v>
      </c>
      <c r="H288" s="148" t="s">
        <v>257</v>
      </c>
      <c r="I288" s="150">
        <v>1.0</v>
      </c>
      <c r="J288" s="168">
        <v>6799.19</v>
      </c>
      <c r="K288" s="169">
        <f t="shared" si="1"/>
        <v>0</v>
      </c>
      <c r="L288" s="170">
        <v>6799.19</v>
      </c>
      <c r="M288" s="239">
        <v>6393.0</v>
      </c>
      <c r="N288" s="155">
        <v>1399.99</v>
      </c>
      <c r="O288" s="315">
        <f t="shared" si="51"/>
        <v>406.19</v>
      </c>
      <c r="P288" s="344">
        <f t="shared" si="46"/>
        <v>-88.96</v>
      </c>
      <c r="Q288" s="510">
        <v>146.15</v>
      </c>
      <c r="R288" s="672" t="b">
        <v>0</v>
      </c>
      <c r="S288" s="346">
        <v>349.0</v>
      </c>
      <c r="T288" s="319"/>
      <c r="U288" s="315"/>
      <c r="V288" s="144" t="s">
        <v>584</v>
      </c>
      <c r="W288" s="367" t="s">
        <v>584</v>
      </c>
      <c r="X288" s="576"/>
      <c r="Y288" s="162"/>
      <c r="Z288" s="164"/>
      <c r="AA288" s="116"/>
      <c r="AB288" s="116"/>
      <c r="AC288" s="165"/>
      <c r="AD288" s="675" t="str">
        <f t="shared" si="47"/>
        <v>octubre</v>
      </c>
      <c r="AE288" s="144" t="s">
        <v>1048</v>
      </c>
      <c r="AF288" s="149" t="b">
        <v>1</v>
      </c>
      <c r="AG288" s="166"/>
      <c r="AH288" s="149" t="b">
        <v>0</v>
      </c>
      <c r="AI288" s="162"/>
      <c r="AJ288" s="143"/>
      <c r="AK288" s="143"/>
      <c r="AL288" s="143"/>
      <c r="AM288" s="143"/>
      <c r="AN288" s="143"/>
      <c r="AO288" s="143"/>
      <c r="AP288" s="143"/>
      <c r="AQ288" s="143"/>
    </row>
    <row r="289" ht="22.5" hidden="1" customHeight="1">
      <c r="A289" s="434" t="s">
        <v>34</v>
      </c>
      <c r="B289" s="435">
        <v>45961.0</v>
      </c>
      <c r="C289" s="440" t="s">
        <v>1191</v>
      </c>
      <c r="D289" s="437" t="s">
        <v>1192</v>
      </c>
      <c r="E289" s="438" t="s">
        <v>28</v>
      </c>
      <c r="F289" s="566" t="s">
        <v>1193</v>
      </c>
      <c r="G289" s="440" t="s">
        <v>1194</v>
      </c>
      <c r="H289" s="438" t="s">
        <v>257</v>
      </c>
      <c r="I289" s="498">
        <v>0.3</v>
      </c>
      <c r="J289" s="706">
        <v>2588.7</v>
      </c>
      <c r="K289" s="441">
        <f t="shared" si="1"/>
        <v>6040.3</v>
      </c>
      <c r="L289" s="750">
        <v>8629.0</v>
      </c>
      <c r="M289" s="724">
        <v>8550.9</v>
      </c>
      <c r="N289" s="725">
        <v>1999.99</v>
      </c>
      <c r="O289" s="442">
        <f t="shared" si="51"/>
        <v>78.1</v>
      </c>
      <c r="P289" s="344">
        <f t="shared" si="46"/>
        <v>48.1</v>
      </c>
      <c r="Q289" s="751">
        <v>30.0</v>
      </c>
      <c r="R289" s="672" t="b">
        <v>0</v>
      </c>
      <c r="S289" s="442"/>
      <c r="T289" s="752">
        <v>0.0</v>
      </c>
      <c r="U289" s="499">
        <v>0.0</v>
      </c>
      <c r="V289" s="434" t="s">
        <v>584</v>
      </c>
      <c r="W289" s="438" t="s">
        <v>584</v>
      </c>
      <c r="X289" s="445"/>
      <c r="Y289" s="434" t="s">
        <v>584</v>
      </c>
      <c r="Z289" s="505" t="s">
        <v>1195</v>
      </c>
      <c r="AA289" s="447"/>
      <c r="AB289" s="447"/>
      <c r="AC289" s="440" t="s">
        <v>1196</v>
      </c>
      <c r="AD289" s="709" t="str">
        <f t="shared" si="47"/>
        <v>octubre</v>
      </c>
      <c r="AE289" s="434" t="s">
        <v>1085</v>
      </c>
      <c r="AF289" s="440" t="b">
        <v>1</v>
      </c>
      <c r="AG289" s="144" t="s">
        <v>1085</v>
      </c>
      <c r="AH289" s="149" t="b">
        <v>0</v>
      </c>
      <c r="AI289" s="162"/>
      <c r="AJ289" s="448"/>
      <c r="AK289" s="448"/>
      <c r="AL289" s="448"/>
      <c r="AM289" s="448"/>
      <c r="AN289" s="448"/>
      <c r="AO289" s="448"/>
      <c r="AP289" s="448"/>
      <c r="AQ289" s="448"/>
    </row>
    <row r="290" ht="22.5" customHeight="1">
      <c r="A290" s="144" t="s">
        <v>162</v>
      </c>
      <c r="B290" s="145">
        <v>45961.0</v>
      </c>
      <c r="C290" s="149" t="s">
        <v>911</v>
      </c>
      <c r="D290" s="208" t="s">
        <v>1197</v>
      </c>
      <c r="E290" s="148" t="s">
        <v>28</v>
      </c>
      <c r="F290" s="149" t="s">
        <v>1198</v>
      </c>
      <c r="G290" s="149">
        <v>5.1994564172E10</v>
      </c>
      <c r="H290" s="148" t="s">
        <v>257</v>
      </c>
      <c r="I290" s="150">
        <v>1.0</v>
      </c>
      <c r="J290" s="168">
        <v>5709.0</v>
      </c>
      <c r="K290" s="169">
        <f t="shared" si="1"/>
        <v>0</v>
      </c>
      <c r="L290" s="170">
        <v>5709.0</v>
      </c>
      <c r="M290" s="239">
        <v>5709.0</v>
      </c>
      <c r="N290" s="155">
        <v>1199.0</v>
      </c>
      <c r="O290" s="315">
        <f t="shared" si="51"/>
        <v>0</v>
      </c>
      <c r="P290" s="344">
        <f t="shared" si="46"/>
        <v>-349</v>
      </c>
      <c r="Q290" s="510">
        <v>0.0</v>
      </c>
      <c r="R290" s="672" t="b">
        <v>0</v>
      </c>
      <c r="S290" s="346">
        <v>349.0</v>
      </c>
      <c r="T290" s="319"/>
      <c r="U290" s="315"/>
      <c r="V290" s="144" t="s">
        <v>584</v>
      </c>
      <c r="W290" s="367" t="s">
        <v>584</v>
      </c>
      <c r="X290" s="576"/>
      <c r="Y290" s="162"/>
      <c r="Z290" s="164"/>
      <c r="AA290" s="116"/>
      <c r="AB290" s="116"/>
      <c r="AC290" s="165"/>
      <c r="AD290" s="675" t="str">
        <f t="shared" si="47"/>
        <v>octubre</v>
      </c>
      <c r="AE290" s="144" t="s">
        <v>1048</v>
      </c>
      <c r="AF290" s="149" t="b">
        <v>1</v>
      </c>
      <c r="AG290" s="166"/>
      <c r="AH290" s="149" t="b">
        <v>0</v>
      </c>
      <c r="AI290" s="162"/>
      <c r="AJ290" s="143"/>
      <c r="AK290" s="143"/>
      <c r="AL290" s="143"/>
      <c r="AM290" s="143"/>
      <c r="AN290" s="143"/>
      <c r="AO290" s="143"/>
      <c r="AP290" s="143"/>
      <c r="AQ290" s="143"/>
    </row>
    <row r="291" ht="22.5" hidden="1" customHeight="1">
      <c r="A291" s="434" t="s">
        <v>34</v>
      </c>
      <c r="B291" s="435">
        <v>45961.0</v>
      </c>
      <c r="C291" s="660" t="s">
        <v>1129</v>
      </c>
      <c r="D291" s="456" t="s">
        <v>1199</v>
      </c>
      <c r="E291" s="438" t="s">
        <v>28</v>
      </c>
      <c r="F291" s="497" t="s">
        <v>1200</v>
      </c>
      <c r="G291" s="440" t="s">
        <v>1201</v>
      </c>
      <c r="H291" s="438" t="s">
        <v>257</v>
      </c>
      <c r="I291" s="498">
        <v>0.2</v>
      </c>
      <c r="J291" s="706">
        <v>1900.0</v>
      </c>
      <c r="K291" s="441">
        <f t="shared" si="1"/>
        <v>7599</v>
      </c>
      <c r="L291" s="170">
        <v>9499.0</v>
      </c>
      <c r="M291" s="239">
        <v>8187.83</v>
      </c>
      <c r="N291" s="155">
        <v>1899.0</v>
      </c>
      <c r="O291" s="442">
        <f t="shared" si="51"/>
        <v>1311.17</v>
      </c>
      <c r="P291" s="344">
        <f t="shared" si="46"/>
        <v>876.17</v>
      </c>
      <c r="Q291" s="499">
        <v>285.0</v>
      </c>
      <c r="R291" s="672" t="b">
        <v>0</v>
      </c>
      <c r="S291" s="442"/>
      <c r="T291" s="505">
        <v>75.0</v>
      </c>
      <c r="U291" s="499">
        <v>75.0</v>
      </c>
      <c r="V291" s="434" t="s">
        <v>584</v>
      </c>
      <c r="W291" s="438" t="s">
        <v>584</v>
      </c>
      <c r="X291" s="445"/>
      <c r="Y291" s="434" t="s">
        <v>584</v>
      </c>
      <c r="Z291" s="450"/>
      <c r="AA291" s="447"/>
      <c r="AB291" s="447"/>
      <c r="AC291" s="440" t="s">
        <v>1202</v>
      </c>
      <c r="AD291" s="709" t="str">
        <f t="shared" si="47"/>
        <v>octubre</v>
      </c>
      <c r="AE291" s="434" t="s">
        <v>1085</v>
      </c>
      <c r="AF291" s="440" t="b">
        <v>1</v>
      </c>
      <c r="AG291" s="144" t="s">
        <v>1085</v>
      </c>
      <c r="AH291" s="149" t="b">
        <v>0</v>
      </c>
      <c r="AI291" s="162"/>
      <c r="AJ291" s="448"/>
      <c r="AK291" s="448"/>
      <c r="AL291" s="448"/>
      <c r="AM291" s="448"/>
      <c r="AN291" s="448"/>
      <c r="AO291" s="448"/>
      <c r="AP291" s="448"/>
      <c r="AQ291" s="448"/>
    </row>
    <row r="292" ht="22.5" hidden="1" customHeight="1">
      <c r="A292" s="144" t="s">
        <v>259</v>
      </c>
      <c r="B292" s="145">
        <v>45941.0</v>
      </c>
      <c r="C292" s="245" t="s">
        <v>674</v>
      </c>
      <c r="D292" s="208" t="s">
        <v>1203</v>
      </c>
      <c r="E292" s="148" t="s">
        <v>28</v>
      </c>
      <c r="F292" s="591" t="s">
        <v>1204</v>
      </c>
      <c r="G292" s="149" t="s">
        <v>1205</v>
      </c>
      <c r="H292" s="148" t="s">
        <v>257</v>
      </c>
      <c r="I292" s="148" t="s">
        <v>61</v>
      </c>
      <c r="J292" s="312">
        <v>300.0</v>
      </c>
      <c r="K292" s="169">
        <f t="shared" si="1"/>
        <v>7699</v>
      </c>
      <c r="L292" s="170">
        <v>7999.0</v>
      </c>
      <c r="M292" s="239">
        <v>7899.0</v>
      </c>
      <c r="N292" s="155">
        <v>1499.0</v>
      </c>
      <c r="O292" s="315">
        <f t="shared" si="51"/>
        <v>100</v>
      </c>
      <c r="P292" s="344">
        <f t="shared" si="46"/>
        <v>0</v>
      </c>
      <c r="Q292" s="510">
        <v>100.0</v>
      </c>
      <c r="R292" s="672" t="b">
        <v>0</v>
      </c>
      <c r="S292" s="318"/>
      <c r="T292" s="319"/>
      <c r="U292" s="315"/>
      <c r="V292" s="144" t="s">
        <v>584</v>
      </c>
      <c r="W292" s="367" t="s">
        <v>584</v>
      </c>
      <c r="X292" s="576"/>
      <c r="Y292" s="162"/>
      <c r="Z292" s="164"/>
      <c r="AA292" s="116"/>
      <c r="AB292" s="116"/>
      <c r="AC292" s="165"/>
      <c r="AD292" s="675" t="str">
        <f t="shared" si="47"/>
        <v>octubre</v>
      </c>
      <c r="AE292" s="144" t="s">
        <v>1048</v>
      </c>
      <c r="AF292" s="149" t="b">
        <v>1</v>
      </c>
      <c r="AG292" s="166"/>
      <c r="AH292" s="149" t="b">
        <v>0</v>
      </c>
      <c r="AI292" s="162"/>
      <c r="AJ292" s="143"/>
      <c r="AK292" s="143"/>
      <c r="AL292" s="143"/>
      <c r="AM292" s="143"/>
      <c r="AN292" s="143"/>
      <c r="AO292" s="143"/>
      <c r="AP292" s="143"/>
      <c r="AQ292" s="143"/>
    </row>
    <row r="293" ht="22.5" hidden="1" customHeight="1">
      <c r="A293" s="406" t="s">
        <v>259</v>
      </c>
      <c r="B293" s="218">
        <v>45960.0</v>
      </c>
      <c r="C293" s="753" t="s">
        <v>1206</v>
      </c>
      <c r="D293" s="366" t="s">
        <v>1207</v>
      </c>
      <c r="E293" s="337" t="s">
        <v>28</v>
      </c>
      <c r="F293" s="451" t="s">
        <v>1208</v>
      </c>
      <c r="G293" s="338" t="s">
        <v>1209</v>
      </c>
      <c r="H293" s="337" t="s">
        <v>257</v>
      </c>
      <c r="I293" s="754">
        <v>0.2</v>
      </c>
      <c r="J293" s="312">
        <v>1099.8</v>
      </c>
      <c r="K293" s="755">
        <f t="shared" si="1"/>
        <v>4399.2</v>
      </c>
      <c r="L293" s="756">
        <v>5499.0</v>
      </c>
      <c r="M293" s="757">
        <v>5365.0</v>
      </c>
      <c r="N293" s="758"/>
      <c r="O293" s="413">
        <f t="shared" si="51"/>
        <v>134</v>
      </c>
      <c r="P293" s="344">
        <f t="shared" si="46"/>
        <v>104</v>
      </c>
      <c r="Q293" s="759">
        <v>30.0</v>
      </c>
      <c r="R293" s="672" t="b">
        <v>0</v>
      </c>
      <c r="S293" s="413"/>
      <c r="T293" s="415"/>
      <c r="U293" s="413"/>
      <c r="V293" s="406" t="s">
        <v>584</v>
      </c>
      <c r="W293" s="760" t="s">
        <v>584</v>
      </c>
      <c r="X293" s="761"/>
      <c r="Y293" s="406" t="s">
        <v>584</v>
      </c>
      <c r="Z293" s="418"/>
      <c r="AA293" s="419"/>
      <c r="AB293" s="419"/>
      <c r="AC293" s="411"/>
      <c r="AD293" s="762" t="str">
        <f t="shared" si="47"/>
        <v>octubre</v>
      </c>
      <c r="AE293" s="406" t="s">
        <v>1085</v>
      </c>
      <c r="AF293" s="338" t="b">
        <v>1</v>
      </c>
      <c r="AG293" s="166"/>
      <c r="AH293" s="149" t="b">
        <v>0</v>
      </c>
      <c r="AI293" s="162"/>
      <c r="AJ293" s="421"/>
      <c r="AK293" s="421"/>
      <c r="AL293" s="421"/>
      <c r="AM293" s="421"/>
      <c r="AN293" s="421"/>
      <c r="AO293" s="421"/>
      <c r="AP293" s="421"/>
      <c r="AQ293" s="421"/>
    </row>
    <row r="294" ht="22.5" hidden="1" customHeight="1">
      <c r="A294" s="144" t="s">
        <v>259</v>
      </c>
      <c r="B294" s="145">
        <v>45960.0</v>
      </c>
      <c r="C294" s="667" t="s">
        <v>1206</v>
      </c>
      <c r="D294" s="366" t="s">
        <v>1210</v>
      </c>
      <c r="E294" s="148" t="s">
        <v>28</v>
      </c>
      <c r="F294" s="520" t="s">
        <v>1211</v>
      </c>
      <c r="G294" s="763" t="s">
        <v>1212</v>
      </c>
      <c r="H294" s="148" t="s">
        <v>257</v>
      </c>
      <c r="I294" s="150">
        <v>0.2</v>
      </c>
      <c r="J294" s="312">
        <v>1099.8</v>
      </c>
      <c r="K294" s="169">
        <f t="shared" si="1"/>
        <v>4399.2</v>
      </c>
      <c r="L294" s="170">
        <v>5499.0</v>
      </c>
      <c r="M294" s="239">
        <v>5365.0</v>
      </c>
      <c r="N294" s="277"/>
      <c r="O294" s="315">
        <f t="shared" si="51"/>
        <v>134</v>
      </c>
      <c r="P294" s="344">
        <f t="shared" si="46"/>
        <v>44</v>
      </c>
      <c r="Q294" s="510">
        <v>90.0</v>
      </c>
      <c r="R294" s="672" t="b">
        <v>0</v>
      </c>
      <c r="S294" s="346"/>
      <c r="T294" s="319"/>
      <c r="U294" s="315"/>
      <c r="V294" s="144" t="s">
        <v>584</v>
      </c>
      <c r="W294" s="148" t="s">
        <v>584</v>
      </c>
      <c r="X294" s="163"/>
      <c r="Y294" s="162"/>
      <c r="Z294" s="164"/>
      <c r="AA294" s="116"/>
      <c r="AB294" s="116"/>
      <c r="AC294" s="165"/>
      <c r="AD294" s="675" t="str">
        <f t="shared" si="47"/>
        <v>octubre</v>
      </c>
      <c r="AE294" s="144" t="s">
        <v>1085</v>
      </c>
      <c r="AF294" s="149" t="b">
        <v>1</v>
      </c>
      <c r="AG294" s="166"/>
      <c r="AH294" s="149" t="b">
        <v>0</v>
      </c>
      <c r="AI294" s="162"/>
      <c r="AJ294" s="143"/>
      <c r="AK294" s="143"/>
      <c r="AL294" s="143"/>
      <c r="AM294" s="143"/>
      <c r="AN294" s="143"/>
      <c r="AO294" s="143"/>
      <c r="AP294" s="143"/>
      <c r="AQ294" s="143"/>
    </row>
    <row r="295" ht="22.5" hidden="1" customHeight="1">
      <c r="A295" s="434" t="s">
        <v>34</v>
      </c>
      <c r="B295" s="435">
        <v>45965.0</v>
      </c>
      <c r="C295" s="660" t="s">
        <v>497</v>
      </c>
      <c r="D295" s="456" t="s">
        <v>1213</v>
      </c>
      <c r="E295" s="438" t="s">
        <v>28</v>
      </c>
      <c r="F295" s="764" t="s">
        <v>1214</v>
      </c>
      <c r="G295" s="440">
        <v>5.1932044064E10</v>
      </c>
      <c r="H295" s="438" t="s">
        <v>257</v>
      </c>
      <c r="I295" s="727"/>
      <c r="J295" s="706">
        <v>5999.0</v>
      </c>
      <c r="K295" s="441">
        <f t="shared" si="1"/>
        <v>6000</v>
      </c>
      <c r="L295" s="170">
        <v>11999.0</v>
      </c>
      <c r="M295" s="239">
        <v>11140.73</v>
      </c>
      <c r="N295" s="155">
        <v>2599.99</v>
      </c>
      <c r="O295" s="315">
        <f t="shared" si="51"/>
        <v>858.27</v>
      </c>
      <c r="P295" s="344">
        <f t="shared" si="46"/>
        <v>573.27</v>
      </c>
      <c r="Q295" s="510">
        <v>285.0</v>
      </c>
      <c r="R295" s="672" t="b">
        <v>0</v>
      </c>
      <c r="S295" s="346"/>
      <c r="T295" s="443"/>
      <c r="U295" s="442"/>
      <c r="V295" s="434" t="s">
        <v>584</v>
      </c>
      <c r="W295" s="438" t="s">
        <v>584</v>
      </c>
      <c r="X295" s="445"/>
      <c r="Y295" s="434"/>
      <c r="Z295" s="450"/>
      <c r="AA295" s="447"/>
      <c r="AB295" s="447"/>
      <c r="AC295" s="575"/>
      <c r="AD295" s="709" t="str">
        <f t="shared" si="47"/>
        <v>noviembre</v>
      </c>
      <c r="AE295" s="434" t="s">
        <v>1085</v>
      </c>
      <c r="AF295" s="440" t="b">
        <v>1</v>
      </c>
      <c r="AG295" s="144" t="s">
        <v>1085</v>
      </c>
      <c r="AH295" s="149" t="b">
        <v>0</v>
      </c>
      <c r="AI295" s="162"/>
      <c r="AJ295" s="448"/>
      <c r="AK295" s="448"/>
      <c r="AL295" s="448"/>
      <c r="AM295" s="448"/>
      <c r="AN295" s="448"/>
      <c r="AO295" s="448"/>
      <c r="AP295" s="448"/>
      <c r="AQ295" s="448"/>
    </row>
    <row r="296" ht="22.5" hidden="1" customHeight="1">
      <c r="A296" s="144" t="s">
        <v>259</v>
      </c>
      <c r="B296" s="145">
        <v>45966.0</v>
      </c>
      <c r="C296" s="353" t="s">
        <v>1215</v>
      </c>
      <c r="D296" s="366" t="s">
        <v>1216</v>
      </c>
      <c r="E296" s="148" t="s">
        <v>28</v>
      </c>
      <c r="F296" s="765" t="s">
        <v>1217</v>
      </c>
      <c r="G296" s="149">
        <v>5.1944589752E10</v>
      </c>
      <c r="H296" s="148" t="s">
        <v>257</v>
      </c>
      <c r="I296" s="148" t="s">
        <v>61</v>
      </c>
      <c r="J296" s="312">
        <v>2000.0</v>
      </c>
      <c r="K296" s="169">
        <f t="shared" si="1"/>
        <v>6799</v>
      </c>
      <c r="L296" s="170">
        <v>8799.0</v>
      </c>
      <c r="M296" s="239">
        <v>8097.0</v>
      </c>
      <c r="N296" s="155">
        <v>1799.0</v>
      </c>
      <c r="O296" s="315">
        <f t="shared" si="51"/>
        <v>702</v>
      </c>
      <c r="P296" s="344">
        <f t="shared" si="46"/>
        <v>672</v>
      </c>
      <c r="Q296" s="510">
        <v>30.0</v>
      </c>
      <c r="R296" s="672" t="b">
        <v>0</v>
      </c>
      <c r="S296" s="318"/>
      <c r="T296" s="319"/>
      <c r="U296" s="315"/>
      <c r="V296" s="144" t="s">
        <v>584</v>
      </c>
      <c r="W296" s="148" t="s">
        <v>584</v>
      </c>
      <c r="X296" s="163"/>
      <c r="Y296" s="144" t="s">
        <v>584</v>
      </c>
      <c r="Z296" s="164"/>
      <c r="AA296" s="116"/>
      <c r="AB296" s="116"/>
      <c r="AC296" s="165"/>
      <c r="AD296" s="675" t="str">
        <f t="shared" si="47"/>
        <v>noviembre</v>
      </c>
      <c r="AE296" s="144" t="s">
        <v>1085</v>
      </c>
      <c r="AF296" s="149" t="b">
        <v>1</v>
      </c>
      <c r="AG296" s="166"/>
      <c r="AH296" s="149" t="b">
        <v>0</v>
      </c>
      <c r="AI296" s="162"/>
      <c r="AJ296" s="143"/>
      <c r="AK296" s="143"/>
      <c r="AL296" s="143"/>
      <c r="AM296" s="143"/>
      <c r="AN296" s="143"/>
      <c r="AO296" s="143"/>
      <c r="AP296" s="143"/>
      <c r="AQ296" s="143"/>
    </row>
    <row r="297" ht="22.5" hidden="1" customHeight="1">
      <c r="A297" s="144" t="s">
        <v>259</v>
      </c>
      <c r="B297" s="145">
        <v>45966.0</v>
      </c>
      <c r="C297" s="353" t="s">
        <v>1215</v>
      </c>
      <c r="D297" s="329" t="s">
        <v>1218</v>
      </c>
      <c r="E297" s="148" t="s">
        <v>28</v>
      </c>
      <c r="F297" s="765" t="s">
        <v>1219</v>
      </c>
      <c r="G297" s="149" t="s">
        <v>1220</v>
      </c>
      <c r="H297" s="148" t="s">
        <v>257</v>
      </c>
      <c r="I297" s="150">
        <v>0.2</v>
      </c>
      <c r="J297" s="312">
        <v>1759.8</v>
      </c>
      <c r="K297" s="169">
        <f t="shared" si="1"/>
        <v>7039.2</v>
      </c>
      <c r="L297" s="170">
        <v>8799.0</v>
      </c>
      <c r="M297" s="239">
        <v>8097.0</v>
      </c>
      <c r="N297" s="155">
        <v>1799.0</v>
      </c>
      <c r="O297" s="315">
        <f t="shared" si="51"/>
        <v>702</v>
      </c>
      <c r="P297" s="344">
        <f t="shared" si="46"/>
        <v>342</v>
      </c>
      <c r="Q297" s="510">
        <v>310.0</v>
      </c>
      <c r="R297" s="672" t="b">
        <v>1</v>
      </c>
      <c r="S297" s="346"/>
      <c r="T297" s="319"/>
      <c r="U297" s="315"/>
      <c r="V297" s="144" t="s">
        <v>584</v>
      </c>
      <c r="W297" s="148" t="s">
        <v>584</v>
      </c>
      <c r="X297" s="163"/>
      <c r="Y297" s="144" t="s">
        <v>584</v>
      </c>
      <c r="Z297" s="164"/>
      <c r="AA297" s="116"/>
      <c r="AB297" s="116"/>
      <c r="AC297" s="165"/>
      <c r="AD297" s="675" t="str">
        <f t="shared" si="47"/>
        <v>noviembre</v>
      </c>
      <c r="AE297" s="144" t="s">
        <v>1085</v>
      </c>
      <c r="AF297" s="149" t="b">
        <v>1</v>
      </c>
      <c r="AG297" s="166"/>
      <c r="AH297" s="149" t="b">
        <v>0</v>
      </c>
      <c r="AI297" s="162"/>
      <c r="AJ297" s="143"/>
      <c r="AK297" s="143"/>
      <c r="AL297" s="143"/>
      <c r="AM297" s="143"/>
      <c r="AN297" s="143"/>
      <c r="AO297" s="143"/>
      <c r="AP297" s="143"/>
      <c r="AQ297" s="143"/>
    </row>
    <row r="298" ht="22.5" customHeight="1">
      <c r="A298" s="144" t="s">
        <v>162</v>
      </c>
      <c r="B298" s="145">
        <v>45968.0</v>
      </c>
      <c r="C298" s="353" t="s">
        <v>1221</v>
      </c>
      <c r="D298" s="329" t="s">
        <v>1222</v>
      </c>
      <c r="E298" s="148" t="s">
        <v>28</v>
      </c>
      <c r="F298" s="766" t="s">
        <v>1223</v>
      </c>
      <c r="G298" s="149">
        <v>5.1984403938E10</v>
      </c>
      <c r="H298" s="148" t="s">
        <v>257</v>
      </c>
      <c r="I298" s="150">
        <v>0.3</v>
      </c>
      <c r="J298" s="168">
        <v>2639.0</v>
      </c>
      <c r="K298" s="169">
        <f t="shared" si="1"/>
        <v>6060</v>
      </c>
      <c r="L298" s="170">
        <v>8699.0</v>
      </c>
      <c r="M298" s="239">
        <v>7973.68</v>
      </c>
      <c r="N298" s="155">
        <v>1799.99</v>
      </c>
      <c r="O298" s="315">
        <f t="shared" si="51"/>
        <v>725.32</v>
      </c>
      <c r="P298" s="344">
        <f t="shared" si="46"/>
        <v>450.32</v>
      </c>
      <c r="Q298" s="510">
        <v>275.0</v>
      </c>
      <c r="R298" s="672" t="b">
        <v>0</v>
      </c>
      <c r="S298" s="318"/>
      <c r="T298" s="319"/>
      <c r="U298" s="315"/>
      <c r="V298" s="144" t="s">
        <v>584</v>
      </c>
      <c r="W298" s="148" t="s">
        <v>584</v>
      </c>
      <c r="X298" s="163"/>
      <c r="Y298" s="144" t="s">
        <v>584</v>
      </c>
      <c r="Z298" s="164"/>
      <c r="AA298" s="116"/>
      <c r="AB298" s="116"/>
      <c r="AC298" s="165"/>
      <c r="AD298" s="675" t="str">
        <f t="shared" si="47"/>
        <v>noviembre</v>
      </c>
      <c r="AE298" s="144" t="s">
        <v>1085</v>
      </c>
      <c r="AF298" s="149" t="b">
        <v>1</v>
      </c>
      <c r="AG298" s="144" t="s">
        <v>1085</v>
      </c>
      <c r="AH298" s="149" t="b">
        <v>0</v>
      </c>
      <c r="AI298" s="162"/>
      <c r="AJ298" s="143"/>
      <c r="AK298" s="143"/>
      <c r="AL298" s="143"/>
      <c r="AM298" s="143"/>
      <c r="AN298" s="143"/>
      <c r="AO298" s="143"/>
      <c r="AP298" s="143"/>
      <c r="AQ298" s="143"/>
    </row>
    <row r="299" ht="22.5" hidden="1" customHeight="1">
      <c r="A299" s="434" t="s">
        <v>34</v>
      </c>
      <c r="B299" s="435">
        <v>45969.0</v>
      </c>
      <c r="C299" s="458" t="s">
        <v>1224</v>
      </c>
      <c r="D299" s="456" t="s">
        <v>1225</v>
      </c>
      <c r="E299" s="438" t="s">
        <v>28</v>
      </c>
      <c r="F299" s="767" t="s">
        <v>1226</v>
      </c>
      <c r="G299" s="440" t="s">
        <v>1227</v>
      </c>
      <c r="H299" s="438" t="s">
        <v>257</v>
      </c>
      <c r="I299" s="727"/>
      <c r="J299" s="706">
        <v>978.0</v>
      </c>
      <c r="K299" s="441">
        <f t="shared" si="1"/>
        <v>4871</v>
      </c>
      <c r="L299" s="170">
        <v>5849.0</v>
      </c>
      <c r="M299" s="239">
        <f>L299-O299</f>
        <v>5700</v>
      </c>
      <c r="N299" s="155">
        <v>1299.99</v>
      </c>
      <c r="O299" s="315">
        <v>149.0</v>
      </c>
      <c r="P299" s="344">
        <f t="shared" si="46"/>
        <v>149</v>
      </c>
      <c r="Q299" s="510"/>
      <c r="R299" s="672" t="b">
        <v>0</v>
      </c>
      <c r="S299" s="442"/>
      <c r="T299" s="443"/>
      <c r="U299" s="442"/>
      <c r="V299" s="434" t="s">
        <v>584</v>
      </c>
      <c r="W299" s="768" t="s">
        <v>584</v>
      </c>
      <c r="X299" s="769"/>
      <c r="Y299" s="434" t="s">
        <v>584</v>
      </c>
      <c r="Z299" s="450"/>
      <c r="AA299" s="447"/>
      <c r="AB299" s="447"/>
      <c r="AC299" s="440" t="s">
        <v>1228</v>
      </c>
      <c r="AD299" s="709" t="str">
        <f t="shared" si="47"/>
        <v>noviembre</v>
      </c>
      <c r="AE299" s="434" t="s">
        <v>1085</v>
      </c>
      <c r="AF299" s="440" t="b">
        <v>1</v>
      </c>
      <c r="AG299" s="144" t="s">
        <v>1085</v>
      </c>
      <c r="AH299" s="149" t="b">
        <v>0</v>
      </c>
      <c r="AI299" s="162"/>
      <c r="AJ299" s="448"/>
      <c r="AK299" s="448"/>
      <c r="AL299" s="448"/>
      <c r="AM299" s="448"/>
      <c r="AN299" s="448"/>
      <c r="AO299" s="448"/>
      <c r="AP299" s="448"/>
      <c r="AQ299" s="448"/>
    </row>
    <row r="300" ht="22.5" customHeight="1">
      <c r="A300" s="144" t="s">
        <v>162</v>
      </c>
      <c r="B300" s="145">
        <v>45973.0</v>
      </c>
      <c r="C300" s="353" t="s">
        <v>1229</v>
      </c>
      <c r="D300" s="329" t="s">
        <v>1230</v>
      </c>
      <c r="E300" s="148" t="s">
        <v>28</v>
      </c>
      <c r="F300" s="766" t="s">
        <v>1231</v>
      </c>
      <c r="G300" s="149">
        <v>5.1949867348E10</v>
      </c>
      <c r="H300" s="148" t="s">
        <v>257</v>
      </c>
      <c r="I300" s="150">
        <v>0.5</v>
      </c>
      <c r="J300" s="168">
        <v>5300.0</v>
      </c>
      <c r="K300" s="169">
        <f t="shared" si="1"/>
        <v>6672</v>
      </c>
      <c r="L300" s="170">
        <v>11972.0</v>
      </c>
      <c r="M300" s="239">
        <v>11866.09</v>
      </c>
      <c r="N300" s="155">
        <v>2799.99</v>
      </c>
      <c r="O300" s="315">
        <f t="shared" ref="O300:O446" si="52">L300-M300</f>
        <v>105.91</v>
      </c>
      <c r="P300" s="344">
        <f t="shared" si="46"/>
        <v>5.91</v>
      </c>
      <c r="Q300" s="510">
        <v>100.0</v>
      </c>
      <c r="R300" s="672" t="b">
        <v>0</v>
      </c>
      <c r="S300" s="318"/>
      <c r="T300" s="319"/>
      <c r="U300" s="315"/>
      <c r="V300" s="144" t="s">
        <v>584</v>
      </c>
      <c r="W300" s="148" t="s">
        <v>584</v>
      </c>
      <c r="X300" s="163"/>
      <c r="Y300" s="144" t="s">
        <v>584</v>
      </c>
      <c r="Z300" s="164"/>
      <c r="AA300" s="116"/>
      <c r="AB300" s="116"/>
      <c r="AC300" s="165"/>
      <c r="AD300" s="675" t="str">
        <f t="shared" si="47"/>
        <v>noviembre</v>
      </c>
      <c r="AE300" s="144" t="s">
        <v>1085</v>
      </c>
      <c r="AF300" s="149" t="b">
        <v>1</v>
      </c>
      <c r="AG300" s="144" t="s">
        <v>1085</v>
      </c>
      <c r="AH300" s="149" t="b">
        <v>0</v>
      </c>
      <c r="AI300" s="162"/>
      <c r="AJ300" s="143"/>
      <c r="AK300" s="143"/>
      <c r="AL300" s="143"/>
      <c r="AM300" s="143"/>
      <c r="AN300" s="143"/>
      <c r="AO300" s="143"/>
      <c r="AP300" s="143"/>
      <c r="AQ300" s="143"/>
    </row>
    <row r="301" ht="22.5" hidden="1" customHeight="1">
      <c r="A301" s="144" t="s">
        <v>211</v>
      </c>
      <c r="B301" s="145">
        <v>45973.0</v>
      </c>
      <c r="C301" s="149" t="s">
        <v>794</v>
      </c>
      <c r="D301" s="208" t="s">
        <v>1232</v>
      </c>
      <c r="E301" s="148" t="s">
        <v>28</v>
      </c>
      <c r="F301" s="208" t="s">
        <v>1233</v>
      </c>
      <c r="G301" s="165"/>
      <c r="H301" s="148" t="s">
        <v>257</v>
      </c>
      <c r="I301" s="150">
        <v>1.0</v>
      </c>
      <c r="J301" s="168">
        <v>7499.0</v>
      </c>
      <c r="K301" s="169">
        <f t="shared" si="1"/>
        <v>0</v>
      </c>
      <c r="L301" s="170">
        <v>7499.0</v>
      </c>
      <c r="M301" s="239">
        <v>7104.0</v>
      </c>
      <c r="N301" s="155">
        <v>1499.99</v>
      </c>
      <c r="O301" s="315">
        <f t="shared" si="52"/>
        <v>395</v>
      </c>
      <c r="P301" s="344">
        <f t="shared" si="46"/>
        <v>46</v>
      </c>
      <c r="Q301" s="510"/>
      <c r="R301" s="672" t="b">
        <v>0</v>
      </c>
      <c r="S301" s="346">
        <v>349.0</v>
      </c>
      <c r="T301" s="347"/>
      <c r="U301" s="315"/>
      <c r="V301" s="144" t="s">
        <v>584</v>
      </c>
      <c r="W301" s="148" t="s">
        <v>584</v>
      </c>
      <c r="X301" s="163"/>
      <c r="Y301" s="162"/>
      <c r="Z301" s="164"/>
      <c r="AA301" s="116"/>
      <c r="AB301" s="116"/>
      <c r="AC301" s="165"/>
      <c r="AD301" s="675" t="str">
        <f t="shared" si="47"/>
        <v>noviembre</v>
      </c>
      <c r="AE301" s="144" t="s">
        <v>1085</v>
      </c>
      <c r="AF301" s="149" t="b">
        <v>1</v>
      </c>
      <c r="AG301" s="166"/>
      <c r="AH301" s="149" t="b">
        <v>0</v>
      </c>
      <c r="AI301" s="162"/>
      <c r="AJ301" s="143"/>
      <c r="AK301" s="143"/>
      <c r="AL301" s="143"/>
      <c r="AM301" s="143"/>
      <c r="AN301" s="143"/>
      <c r="AO301" s="143"/>
      <c r="AP301" s="143"/>
      <c r="AQ301" s="143"/>
    </row>
    <row r="302" ht="22.5" customHeight="1">
      <c r="A302" s="144" t="s">
        <v>162</v>
      </c>
      <c r="B302" s="145">
        <v>45973.0</v>
      </c>
      <c r="C302" s="149" t="s">
        <v>1234</v>
      </c>
      <c r="D302" s="329" t="s">
        <v>1235</v>
      </c>
      <c r="E302" s="148" t="s">
        <v>28</v>
      </c>
      <c r="F302" s="208" t="s">
        <v>1236</v>
      </c>
      <c r="G302" s="149">
        <v>5.19144082E10</v>
      </c>
      <c r="H302" s="148" t="s">
        <v>257</v>
      </c>
      <c r="I302" s="150">
        <v>0.2</v>
      </c>
      <c r="J302" s="168">
        <v>1200.0</v>
      </c>
      <c r="K302" s="169">
        <f t="shared" si="1"/>
        <v>5899</v>
      </c>
      <c r="L302" s="170">
        <v>7099.0</v>
      </c>
      <c r="M302" s="239">
        <v>6731.0</v>
      </c>
      <c r="N302" s="155">
        <v>1498.99</v>
      </c>
      <c r="O302" s="315">
        <f t="shared" si="52"/>
        <v>368</v>
      </c>
      <c r="P302" s="344">
        <f t="shared" si="46"/>
        <v>19</v>
      </c>
      <c r="Q302" s="510"/>
      <c r="R302" s="672" t="b">
        <v>0</v>
      </c>
      <c r="S302" s="346">
        <v>349.0</v>
      </c>
      <c r="T302" s="319"/>
      <c r="U302" s="315"/>
      <c r="V302" s="144" t="s">
        <v>584</v>
      </c>
      <c r="W302" s="148" t="s">
        <v>584</v>
      </c>
      <c r="X302" s="163"/>
      <c r="Y302" s="162"/>
      <c r="Z302" s="164"/>
      <c r="AA302" s="116"/>
      <c r="AB302" s="116"/>
      <c r="AC302" s="165"/>
      <c r="AD302" s="675" t="str">
        <f t="shared" si="47"/>
        <v>noviembre</v>
      </c>
      <c r="AE302" s="144" t="s">
        <v>1085</v>
      </c>
      <c r="AF302" s="149" t="b">
        <v>1</v>
      </c>
      <c r="AG302" s="144" t="s">
        <v>1085</v>
      </c>
      <c r="AH302" s="149" t="b">
        <v>0</v>
      </c>
      <c r="AI302" s="162"/>
      <c r="AJ302" s="143"/>
      <c r="AK302" s="143"/>
      <c r="AL302" s="143"/>
      <c r="AM302" s="143"/>
      <c r="AN302" s="143"/>
      <c r="AO302" s="143"/>
      <c r="AP302" s="143"/>
      <c r="AQ302" s="143"/>
    </row>
    <row r="303" ht="22.5" hidden="1" customHeight="1">
      <c r="A303" s="434" t="s">
        <v>34</v>
      </c>
      <c r="B303" s="435">
        <v>45974.0</v>
      </c>
      <c r="C303" s="770" t="s">
        <v>918</v>
      </c>
      <c r="D303" s="456" t="s">
        <v>1237</v>
      </c>
      <c r="E303" s="438" t="s">
        <v>28</v>
      </c>
      <c r="F303" s="767" t="s">
        <v>1238</v>
      </c>
      <c r="G303" s="440">
        <v>5.1952805188E10</v>
      </c>
      <c r="H303" s="438" t="s">
        <v>257</v>
      </c>
      <c r="I303" s="498">
        <v>0.2</v>
      </c>
      <c r="J303" s="706">
        <v>1100.0</v>
      </c>
      <c r="K303" s="441">
        <f t="shared" si="1"/>
        <v>4689</v>
      </c>
      <c r="L303" s="170">
        <v>5789.0</v>
      </c>
      <c r="M303" s="239">
        <v>5433.0</v>
      </c>
      <c r="N303" s="155">
        <v>1249.99</v>
      </c>
      <c r="O303" s="315">
        <f t="shared" si="52"/>
        <v>356</v>
      </c>
      <c r="P303" s="344">
        <f t="shared" si="46"/>
        <v>6</v>
      </c>
      <c r="Q303" s="510">
        <v>350.0</v>
      </c>
      <c r="R303" s="672" t="b">
        <v>0</v>
      </c>
      <c r="S303" s="442"/>
      <c r="T303" s="443"/>
      <c r="U303" s="442"/>
      <c r="V303" s="434" t="s">
        <v>584</v>
      </c>
      <c r="W303" s="438" t="s">
        <v>584</v>
      </c>
      <c r="X303" s="445"/>
      <c r="Y303" s="444"/>
      <c r="Z303" s="450"/>
      <c r="AA303" s="447"/>
      <c r="AB303" s="447"/>
      <c r="AC303" s="575"/>
      <c r="AD303" s="709" t="str">
        <f t="shared" si="47"/>
        <v>noviembre</v>
      </c>
      <c r="AE303" s="434" t="s">
        <v>1085</v>
      </c>
      <c r="AF303" s="440" t="b">
        <v>1</v>
      </c>
      <c r="AG303" s="144" t="s">
        <v>1085</v>
      </c>
      <c r="AH303" s="149" t="b">
        <v>0</v>
      </c>
      <c r="AI303" s="162"/>
      <c r="AJ303" s="448"/>
      <c r="AK303" s="448"/>
      <c r="AL303" s="448"/>
      <c r="AM303" s="448"/>
      <c r="AN303" s="448"/>
      <c r="AO303" s="448"/>
      <c r="AP303" s="448"/>
      <c r="AQ303" s="448"/>
    </row>
    <row r="304" ht="22.5" customHeight="1">
      <c r="A304" s="144" t="s">
        <v>162</v>
      </c>
      <c r="B304" s="145">
        <v>45974.0</v>
      </c>
      <c r="C304" s="149" t="s">
        <v>918</v>
      </c>
      <c r="D304" s="208" t="s">
        <v>1239</v>
      </c>
      <c r="E304" s="148" t="s">
        <v>28</v>
      </c>
      <c r="F304" s="208" t="s">
        <v>1240</v>
      </c>
      <c r="G304" s="149">
        <v>9.67306675E8</v>
      </c>
      <c r="H304" s="148" t="s">
        <v>257</v>
      </c>
      <c r="I304" s="150">
        <v>1.0</v>
      </c>
      <c r="J304" s="168">
        <v>5499.0</v>
      </c>
      <c r="K304" s="169">
        <f t="shared" si="1"/>
        <v>0</v>
      </c>
      <c r="L304" s="170">
        <v>5499.0</v>
      </c>
      <c r="M304" s="239">
        <v>5433.0</v>
      </c>
      <c r="N304" s="155">
        <v>1249.99</v>
      </c>
      <c r="O304" s="315">
        <f t="shared" si="52"/>
        <v>66</v>
      </c>
      <c r="P304" s="344">
        <f t="shared" si="46"/>
        <v>66</v>
      </c>
      <c r="Q304" s="510"/>
      <c r="R304" s="672" t="b">
        <v>0</v>
      </c>
      <c r="S304" s="318"/>
      <c r="T304" s="319"/>
      <c r="U304" s="315"/>
      <c r="V304" s="144" t="s">
        <v>584</v>
      </c>
      <c r="W304" s="148" t="s">
        <v>584</v>
      </c>
      <c r="X304" s="163"/>
      <c r="Y304" s="162"/>
      <c r="Z304" s="164"/>
      <c r="AA304" s="116"/>
      <c r="AB304" s="116"/>
      <c r="AC304" s="165"/>
      <c r="AD304" s="675" t="str">
        <f t="shared" si="47"/>
        <v>noviembre</v>
      </c>
      <c r="AE304" s="144" t="s">
        <v>1085</v>
      </c>
      <c r="AF304" s="149" t="b">
        <v>1</v>
      </c>
      <c r="AG304" s="144" t="s">
        <v>1085</v>
      </c>
      <c r="AH304" s="149" t="b">
        <v>0</v>
      </c>
      <c r="AI304" s="162"/>
      <c r="AJ304" s="143"/>
      <c r="AK304" s="143"/>
      <c r="AL304" s="143"/>
      <c r="AM304" s="143"/>
      <c r="AN304" s="143"/>
      <c r="AO304" s="143"/>
      <c r="AP304" s="143"/>
      <c r="AQ304" s="143"/>
    </row>
    <row r="305" ht="22.5" customHeight="1">
      <c r="A305" s="144" t="s">
        <v>162</v>
      </c>
      <c r="B305" s="145">
        <v>45974.0</v>
      </c>
      <c r="C305" s="380" t="s">
        <v>1241</v>
      </c>
      <c r="D305" s="712" t="s">
        <v>1242</v>
      </c>
      <c r="E305" s="148" t="s">
        <v>28</v>
      </c>
      <c r="F305" s="765" t="s">
        <v>1243</v>
      </c>
      <c r="G305" s="149">
        <v>9.41998462E8</v>
      </c>
      <c r="H305" s="148" t="s">
        <v>257</v>
      </c>
      <c r="I305" s="150">
        <v>0.2</v>
      </c>
      <c r="J305" s="168">
        <v>902.0</v>
      </c>
      <c r="K305" s="169">
        <f t="shared" si="1"/>
        <v>3947</v>
      </c>
      <c r="L305" s="170">
        <v>4849.0</v>
      </c>
      <c r="M305" s="239">
        <v>4512.27</v>
      </c>
      <c r="N305" s="155">
        <v>999.99</v>
      </c>
      <c r="O305" s="315">
        <f t="shared" si="52"/>
        <v>336.73</v>
      </c>
      <c r="P305" s="344">
        <f t="shared" si="46"/>
        <v>166.73</v>
      </c>
      <c r="Q305" s="510">
        <v>120.0</v>
      </c>
      <c r="R305" s="672" t="b">
        <v>1</v>
      </c>
      <c r="S305" s="346"/>
      <c r="T305" s="319"/>
      <c r="U305" s="315"/>
      <c r="V305" s="144" t="s">
        <v>584</v>
      </c>
      <c r="W305" s="148" t="s">
        <v>584</v>
      </c>
      <c r="X305" s="163"/>
      <c r="Y305" s="144" t="s">
        <v>584</v>
      </c>
      <c r="Z305" s="164"/>
      <c r="AA305" s="116"/>
      <c r="AB305" s="116"/>
      <c r="AC305" s="165"/>
      <c r="AD305" s="675" t="str">
        <f t="shared" si="47"/>
        <v>noviembre</v>
      </c>
      <c r="AE305" s="144" t="s">
        <v>1085</v>
      </c>
      <c r="AF305" s="149" t="b">
        <v>1</v>
      </c>
      <c r="AG305" s="144" t="s">
        <v>1085</v>
      </c>
      <c r="AH305" s="149" t="b">
        <v>0</v>
      </c>
      <c r="AI305" s="162"/>
      <c r="AJ305" s="143"/>
      <c r="AK305" s="143"/>
      <c r="AL305" s="143"/>
      <c r="AM305" s="143"/>
      <c r="AN305" s="143"/>
      <c r="AO305" s="143"/>
      <c r="AP305" s="143"/>
      <c r="AQ305" s="143"/>
    </row>
    <row r="306" ht="22.5" hidden="1" customHeight="1">
      <c r="A306" s="434" t="s">
        <v>34</v>
      </c>
      <c r="B306" s="435">
        <v>45974.0</v>
      </c>
      <c r="C306" s="770" t="s">
        <v>1244</v>
      </c>
      <c r="D306" s="456" t="s">
        <v>1245</v>
      </c>
      <c r="E306" s="438" t="s">
        <v>28</v>
      </c>
      <c r="F306" s="689" t="s">
        <v>1246</v>
      </c>
      <c r="G306" s="440" t="s">
        <v>1247</v>
      </c>
      <c r="H306" s="438" t="s">
        <v>257</v>
      </c>
      <c r="I306" s="498">
        <v>0.2</v>
      </c>
      <c r="J306" s="706">
        <v>300.0</v>
      </c>
      <c r="K306" s="441">
        <f t="shared" si="1"/>
        <v>6699</v>
      </c>
      <c r="L306" s="170">
        <v>6999.0</v>
      </c>
      <c r="M306" s="239">
        <v>5809.0</v>
      </c>
      <c r="N306" s="155">
        <v>1349.99</v>
      </c>
      <c r="O306" s="315">
        <f t="shared" si="52"/>
        <v>1190</v>
      </c>
      <c r="P306" s="344">
        <f t="shared" si="46"/>
        <v>496</v>
      </c>
      <c r="Q306" s="510">
        <v>285.0</v>
      </c>
      <c r="R306" s="771" t="b">
        <v>0</v>
      </c>
      <c r="S306" s="499">
        <v>349.0</v>
      </c>
      <c r="T306" s="505">
        <v>30.0</v>
      </c>
      <c r="U306" s="499">
        <v>30.0</v>
      </c>
      <c r="V306" s="434" t="s">
        <v>584</v>
      </c>
      <c r="W306" s="438" t="s">
        <v>584</v>
      </c>
      <c r="X306" s="445"/>
      <c r="Y306" s="444"/>
      <c r="Z306" s="446" t="s">
        <v>1248</v>
      </c>
      <c r="AA306" s="447"/>
      <c r="AB306" s="447"/>
      <c r="AC306" s="575"/>
      <c r="AD306" s="709" t="str">
        <f t="shared" si="47"/>
        <v>noviembre</v>
      </c>
      <c r="AE306" s="434" t="s">
        <v>1085</v>
      </c>
      <c r="AF306" s="440" t="b">
        <v>1</v>
      </c>
      <c r="AG306" s="144" t="s">
        <v>1085</v>
      </c>
      <c r="AH306" s="149" t="b">
        <v>0</v>
      </c>
      <c r="AI306" s="162"/>
      <c r="AJ306" s="448"/>
      <c r="AK306" s="448"/>
      <c r="AL306" s="448"/>
      <c r="AM306" s="448"/>
      <c r="AN306" s="448"/>
      <c r="AO306" s="448"/>
      <c r="AP306" s="448"/>
      <c r="AQ306" s="448"/>
    </row>
    <row r="307" ht="22.5" hidden="1" customHeight="1">
      <c r="A307" s="434" t="s">
        <v>34</v>
      </c>
      <c r="B307" s="435">
        <v>45975.0</v>
      </c>
      <c r="C307" s="770" t="s">
        <v>1249</v>
      </c>
      <c r="D307" s="437" t="s">
        <v>1250</v>
      </c>
      <c r="E307" s="438" t="s">
        <v>28</v>
      </c>
      <c r="F307" s="767" t="s">
        <v>1251</v>
      </c>
      <c r="G307" s="440">
        <v>9.0256058E8</v>
      </c>
      <c r="H307" s="438" t="s">
        <v>257</v>
      </c>
      <c r="I307" s="498">
        <v>0.2</v>
      </c>
      <c r="J307" s="706">
        <v>1087.35</v>
      </c>
      <c r="K307" s="441">
        <f t="shared" si="1"/>
        <v>4349.4</v>
      </c>
      <c r="L307" s="170">
        <v>5436.75</v>
      </c>
      <c r="M307" s="239">
        <v>5321.01</v>
      </c>
      <c r="N307" s="155">
        <v>1199.99</v>
      </c>
      <c r="O307" s="315">
        <f t="shared" si="52"/>
        <v>115.74</v>
      </c>
      <c r="P307" s="344">
        <f t="shared" si="46"/>
        <v>15.74</v>
      </c>
      <c r="Q307" s="510">
        <v>100.0</v>
      </c>
      <c r="R307" s="771" t="b">
        <v>0</v>
      </c>
      <c r="S307" s="442"/>
      <c r="T307" s="443"/>
      <c r="U307" s="442"/>
      <c r="V307" s="434" t="s">
        <v>584</v>
      </c>
      <c r="W307" s="438" t="s">
        <v>584</v>
      </c>
      <c r="X307" s="445"/>
      <c r="Y307" s="434" t="s">
        <v>584</v>
      </c>
      <c r="Z307" s="450"/>
      <c r="AA307" s="447"/>
      <c r="AB307" s="447"/>
      <c r="AC307" s="575"/>
      <c r="AD307" s="709" t="str">
        <f t="shared" si="47"/>
        <v>noviembre</v>
      </c>
      <c r="AE307" s="434" t="s">
        <v>1085</v>
      </c>
      <c r="AF307" s="440" t="b">
        <v>1</v>
      </c>
      <c r="AG307" s="144" t="s">
        <v>1085</v>
      </c>
      <c r="AH307" s="149" t="b">
        <v>0</v>
      </c>
      <c r="AI307" s="162"/>
      <c r="AJ307" s="448"/>
      <c r="AK307" s="448"/>
      <c r="AL307" s="448"/>
      <c r="AM307" s="448"/>
      <c r="AN307" s="448"/>
      <c r="AO307" s="448"/>
      <c r="AP307" s="448"/>
      <c r="AQ307" s="448"/>
    </row>
    <row r="308" ht="22.5" hidden="1" customHeight="1">
      <c r="A308" s="144" t="s">
        <v>259</v>
      </c>
      <c r="B308" s="772">
        <v>45976.0</v>
      </c>
      <c r="C308" s="773" t="s">
        <v>1252</v>
      </c>
      <c r="D308" s="366" t="s">
        <v>1253</v>
      </c>
      <c r="E308" s="148" t="s">
        <v>28</v>
      </c>
      <c r="F308" s="765" t="s">
        <v>1254</v>
      </c>
      <c r="G308" s="149" t="s">
        <v>1255</v>
      </c>
      <c r="H308" s="148" t="s">
        <v>257</v>
      </c>
      <c r="I308" s="148" t="s">
        <v>61</v>
      </c>
      <c r="J308" s="312">
        <v>3249.0</v>
      </c>
      <c r="K308" s="169">
        <f t="shared" si="1"/>
        <v>5000</v>
      </c>
      <c r="L308" s="170">
        <v>8249.0</v>
      </c>
      <c r="M308" s="239">
        <v>8058.0</v>
      </c>
      <c r="N308" s="155">
        <v>1899.99</v>
      </c>
      <c r="O308" s="315">
        <f t="shared" si="52"/>
        <v>191</v>
      </c>
      <c r="P308" s="344">
        <f t="shared" si="46"/>
        <v>71</v>
      </c>
      <c r="Q308" s="510">
        <v>120.0</v>
      </c>
      <c r="R308" s="672" t="b">
        <v>0</v>
      </c>
      <c r="S308" s="318"/>
      <c r="T308" s="319"/>
      <c r="U308" s="315"/>
      <c r="V308" s="144" t="s">
        <v>584</v>
      </c>
      <c r="W308" s="148" t="s">
        <v>584</v>
      </c>
      <c r="X308" s="163"/>
      <c r="Y308" s="144" t="s">
        <v>584</v>
      </c>
      <c r="Z308" s="10" t="s">
        <v>1256</v>
      </c>
      <c r="AA308" s="116"/>
      <c r="AB308" s="116"/>
      <c r="AC308" s="165"/>
      <c r="AD308" s="675" t="str">
        <f t="shared" si="47"/>
        <v>noviembre</v>
      </c>
      <c r="AE308" s="144" t="s">
        <v>1085</v>
      </c>
      <c r="AF308" s="149" t="b">
        <v>1</v>
      </c>
      <c r="AG308" s="144" t="s">
        <v>1187</v>
      </c>
      <c r="AH308" s="149" t="b">
        <v>0</v>
      </c>
      <c r="AI308" s="162"/>
      <c r="AJ308" s="143"/>
      <c r="AK308" s="143"/>
      <c r="AL308" s="143"/>
      <c r="AM308" s="143"/>
      <c r="AN308" s="143"/>
      <c r="AO308" s="143"/>
      <c r="AP308" s="143"/>
      <c r="AQ308" s="143"/>
    </row>
    <row r="309" ht="22.5" hidden="1" customHeight="1">
      <c r="A309" s="144" t="s">
        <v>259</v>
      </c>
      <c r="B309" s="772">
        <v>45976.0</v>
      </c>
      <c r="C309" s="773" t="s">
        <v>1252</v>
      </c>
      <c r="D309" s="366" t="s">
        <v>1253</v>
      </c>
      <c r="E309" s="148" t="s">
        <v>28</v>
      </c>
      <c r="F309" s="765" t="s">
        <v>1257</v>
      </c>
      <c r="G309" s="149" t="s">
        <v>1255</v>
      </c>
      <c r="H309" s="148" t="s">
        <v>257</v>
      </c>
      <c r="I309" s="148" t="s">
        <v>61</v>
      </c>
      <c r="J309" s="312">
        <v>3249.0</v>
      </c>
      <c r="K309" s="169">
        <f t="shared" si="1"/>
        <v>5000</v>
      </c>
      <c r="L309" s="170">
        <v>8249.0</v>
      </c>
      <c r="M309" s="239">
        <v>8058.0</v>
      </c>
      <c r="N309" s="155">
        <v>1899.99</v>
      </c>
      <c r="O309" s="315">
        <f t="shared" si="52"/>
        <v>191</v>
      </c>
      <c r="P309" s="344">
        <f t="shared" si="46"/>
        <v>71</v>
      </c>
      <c r="Q309" s="510">
        <v>120.0</v>
      </c>
      <c r="R309" s="672" t="b">
        <v>0</v>
      </c>
      <c r="S309" s="318"/>
      <c r="T309" s="319"/>
      <c r="U309" s="315"/>
      <c r="V309" s="144" t="s">
        <v>584</v>
      </c>
      <c r="W309" s="148" t="s">
        <v>584</v>
      </c>
      <c r="X309" s="163"/>
      <c r="Y309" s="162"/>
      <c r="Z309" s="10" t="s">
        <v>1256</v>
      </c>
      <c r="AA309" s="116"/>
      <c r="AB309" s="116"/>
      <c r="AC309" s="165"/>
      <c r="AD309" s="675" t="str">
        <f t="shared" si="47"/>
        <v>noviembre</v>
      </c>
      <c r="AE309" s="144" t="s">
        <v>1085</v>
      </c>
      <c r="AF309" s="149" t="b">
        <v>1</v>
      </c>
      <c r="AG309" s="144" t="s">
        <v>1187</v>
      </c>
      <c r="AH309" s="149" t="b">
        <v>0</v>
      </c>
      <c r="AI309" s="162"/>
      <c r="AJ309" s="143"/>
      <c r="AK309" s="143"/>
      <c r="AL309" s="143"/>
      <c r="AM309" s="143"/>
      <c r="AN309" s="143"/>
      <c r="AO309" s="143"/>
      <c r="AP309" s="143"/>
      <c r="AQ309" s="143"/>
    </row>
    <row r="310" ht="22.5" hidden="1" customHeight="1">
      <c r="A310" s="144" t="s">
        <v>259</v>
      </c>
      <c r="B310" s="772">
        <v>45976.0</v>
      </c>
      <c r="C310" s="773" t="s">
        <v>1258</v>
      </c>
      <c r="D310" s="366" t="s">
        <v>1259</v>
      </c>
      <c r="E310" s="148" t="s">
        <v>28</v>
      </c>
      <c r="F310" s="765" t="s">
        <v>1260</v>
      </c>
      <c r="G310" s="149" t="s">
        <v>1261</v>
      </c>
      <c r="H310" s="148" t="s">
        <v>257</v>
      </c>
      <c r="I310" s="150">
        <v>0.2</v>
      </c>
      <c r="J310" s="312">
        <v>1539.8</v>
      </c>
      <c r="K310" s="169">
        <f t="shared" si="1"/>
        <v>6159.2</v>
      </c>
      <c r="L310" s="170">
        <v>7699.0</v>
      </c>
      <c r="M310" s="239">
        <v>7378.0</v>
      </c>
      <c r="N310" s="155">
        <v>1749.99</v>
      </c>
      <c r="O310" s="315">
        <f t="shared" si="52"/>
        <v>321</v>
      </c>
      <c r="P310" s="344">
        <f t="shared" si="46"/>
        <v>86</v>
      </c>
      <c r="Q310" s="510">
        <v>200.0</v>
      </c>
      <c r="R310" s="672" t="b">
        <v>0</v>
      </c>
      <c r="S310" s="318"/>
      <c r="T310" s="319"/>
      <c r="U310" s="343">
        <v>35.0</v>
      </c>
      <c r="V310" s="144" t="s">
        <v>584</v>
      </c>
      <c r="W310" s="774" t="s">
        <v>584</v>
      </c>
      <c r="X310" s="649"/>
      <c r="Y310" s="144" t="s">
        <v>584</v>
      </c>
      <c r="Z310" s="164"/>
      <c r="AA310" s="116"/>
      <c r="AB310" s="116"/>
      <c r="AC310" s="165"/>
      <c r="AD310" s="675" t="str">
        <f t="shared" si="47"/>
        <v>noviembre</v>
      </c>
      <c r="AE310" s="144" t="s">
        <v>1085</v>
      </c>
      <c r="AF310" s="149" t="b">
        <v>1</v>
      </c>
      <c r="AG310" s="144" t="s">
        <v>1187</v>
      </c>
      <c r="AH310" s="149" t="b">
        <v>0</v>
      </c>
      <c r="AI310" s="162"/>
      <c r="AJ310" s="143"/>
      <c r="AK310" s="143"/>
      <c r="AL310" s="143"/>
      <c r="AM310" s="143"/>
      <c r="AN310" s="143"/>
      <c r="AO310" s="143"/>
      <c r="AP310" s="143"/>
      <c r="AQ310" s="143"/>
    </row>
    <row r="311" ht="22.5" hidden="1" customHeight="1">
      <c r="A311" s="144" t="s">
        <v>259</v>
      </c>
      <c r="B311" s="772">
        <v>45976.0</v>
      </c>
      <c r="C311" s="773" t="s">
        <v>1262</v>
      </c>
      <c r="D311" s="366" t="s">
        <v>1259</v>
      </c>
      <c r="E311" s="148" t="s">
        <v>28</v>
      </c>
      <c r="F311" s="765" t="s">
        <v>1263</v>
      </c>
      <c r="G311" s="149" t="s">
        <v>1261</v>
      </c>
      <c r="H311" s="148" t="s">
        <v>257</v>
      </c>
      <c r="I311" s="150">
        <v>0.2</v>
      </c>
      <c r="J311" s="312">
        <v>1399.8</v>
      </c>
      <c r="K311" s="169">
        <f t="shared" si="1"/>
        <v>5599.2</v>
      </c>
      <c r="L311" s="170">
        <v>6999.0</v>
      </c>
      <c r="M311" s="239">
        <v>6472.0</v>
      </c>
      <c r="N311" s="155">
        <v>1499.99</v>
      </c>
      <c r="O311" s="315">
        <f t="shared" si="52"/>
        <v>527</v>
      </c>
      <c r="P311" s="344">
        <f t="shared" si="46"/>
        <v>292</v>
      </c>
      <c r="Q311" s="510">
        <v>200.0</v>
      </c>
      <c r="R311" s="672" t="b">
        <v>0</v>
      </c>
      <c r="S311" s="318"/>
      <c r="T311" s="319"/>
      <c r="U311" s="343">
        <v>35.0</v>
      </c>
      <c r="V311" s="144" t="s">
        <v>584</v>
      </c>
      <c r="W311" s="148" t="s">
        <v>584</v>
      </c>
      <c r="X311" s="163"/>
      <c r="Y311" s="144" t="s">
        <v>584</v>
      </c>
      <c r="Z311" s="164"/>
      <c r="AA311" s="116"/>
      <c r="AB311" s="116"/>
      <c r="AC311" s="165"/>
      <c r="AD311" s="675" t="str">
        <f t="shared" si="47"/>
        <v>noviembre</v>
      </c>
      <c r="AE311" s="144" t="s">
        <v>1085</v>
      </c>
      <c r="AF311" s="149" t="b">
        <v>1</v>
      </c>
      <c r="AG311" s="144" t="s">
        <v>1187</v>
      </c>
      <c r="AH311" s="149" t="b">
        <v>0</v>
      </c>
      <c r="AI311" s="162"/>
      <c r="AJ311" s="143"/>
      <c r="AK311" s="143"/>
      <c r="AL311" s="143"/>
      <c r="AM311" s="143"/>
      <c r="AN311" s="143"/>
      <c r="AO311" s="143"/>
      <c r="AP311" s="143"/>
      <c r="AQ311" s="143"/>
    </row>
    <row r="312" ht="22.5" customHeight="1">
      <c r="A312" s="144" t="s">
        <v>162</v>
      </c>
      <c r="B312" s="145">
        <v>45978.0</v>
      </c>
      <c r="C312" s="149" t="s">
        <v>923</v>
      </c>
      <c r="D312" s="208" t="s">
        <v>1264</v>
      </c>
      <c r="E312" s="148" t="s">
        <v>28</v>
      </c>
      <c r="F312" s="208" t="s">
        <v>1265</v>
      </c>
      <c r="G312" s="775">
        <v>5.1942701071E10</v>
      </c>
      <c r="H312" s="148" t="s">
        <v>257</v>
      </c>
      <c r="I312" s="150">
        <v>1.0</v>
      </c>
      <c r="J312" s="168">
        <v>7566.0</v>
      </c>
      <c r="K312" s="169">
        <f t="shared" si="1"/>
        <v>0</v>
      </c>
      <c r="L312" s="170">
        <v>7566.0</v>
      </c>
      <c r="M312" s="239">
        <v>7217.0</v>
      </c>
      <c r="N312" s="155">
        <v>1599.99</v>
      </c>
      <c r="O312" s="315">
        <f t="shared" si="52"/>
        <v>349</v>
      </c>
      <c r="P312" s="344">
        <f t="shared" si="46"/>
        <v>0</v>
      </c>
      <c r="Q312" s="510"/>
      <c r="R312" s="672" t="b">
        <v>0</v>
      </c>
      <c r="S312" s="346">
        <v>349.0</v>
      </c>
      <c r="T312" s="319"/>
      <c r="U312" s="315"/>
      <c r="V312" s="144" t="s">
        <v>584</v>
      </c>
      <c r="W312" s="148" t="s">
        <v>584</v>
      </c>
      <c r="X312" s="163"/>
      <c r="Y312" s="162"/>
      <c r="Z312" s="164"/>
      <c r="AA312" s="116"/>
      <c r="AB312" s="116"/>
      <c r="AC312" s="165"/>
      <c r="AD312" s="675" t="str">
        <f t="shared" si="47"/>
        <v>noviembre</v>
      </c>
      <c r="AE312" s="144" t="s">
        <v>1085</v>
      </c>
      <c r="AF312" s="149" t="b">
        <v>1</v>
      </c>
      <c r="AG312" s="144" t="s">
        <v>1085</v>
      </c>
      <c r="AH312" s="149" t="b">
        <v>0</v>
      </c>
      <c r="AI312" s="162"/>
      <c r="AJ312" s="143"/>
      <c r="AK312" s="143"/>
      <c r="AL312" s="143"/>
      <c r="AM312" s="143"/>
      <c r="AN312" s="143"/>
      <c r="AO312" s="143"/>
      <c r="AP312" s="143"/>
      <c r="AQ312" s="143"/>
    </row>
    <row r="313" ht="22.5" customHeight="1">
      <c r="A313" s="144" t="s">
        <v>162</v>
      </c>
      <c r="B313" s="145">
        <v>45978.0</v>
      </c>
      <c r="C313" s="149" t="s">
        <v>794</v>
      </c>
      <c r="D313" s="208" t="s">
        <v>1266</v>
      </c>
      <c r="E313" s="148" t="s">
        <v>28</v>
      </c>
      <c r="F313" s="208" t="s">
        <v>1267</v>
      </c>
      <c r="G313" s="776" t="s">
        <v>1268</v>
      </c>
      <c r="H313" s="148" t="s">
        <v>257</v>
      </c>
      <c r="I313" s="150">
        <v>1.0</v>
      </c>
      <c r="J313" s="168">
        <v>6999.0</v>
      </c>
      <c r="K313" s="169">
        <f t="shared" si="1"/>
        <v>0</v>
      </c>
      <c r="L313" s="170">
        <v>6999.0</v>
      </c>
      <c r="M313" s="239">
        <v>6137.0</v>
      </c>
      <c r="N313" s="155">
        <v>1399.0</v>
      </c>
      <c r="O313" s="315">
        <f t="shared" si="52"/>
        <v>862</v>
      </c>
      <c r="P313" s="344">
        <f t="shared" si="46"/>
        <v>233</v>
      </c>
      <c r="Q313" s="510">
        <v>180.0</v>
      </c>
      <c r="R313" s="672" t="b">
        <v>0</v>
      </c>
      <c r="S313" s="346">
        <v>349.0</v>
      </c>
      <c r="T313" s="343">
        <v>100.0</v>
      </c>
      <c r="U313" s="343"/>
      <c r="V313" s="144" t="s">
        <v>584</v>
      </c>
      <c r="W313" s="148" t="s">
        <v>584</v>
      </c>
      <c r="X313" s="163"/>
      <c r="Y313" s="162"/>
      <c r="Z313" s="164"/>
      <c r="AA313" s="116"/>
      <c r="AB313" s="116"/>
      <c r="AC313" s="165"/>
      <c r="AD313" s="675" t="str">
        <f t="shared" si="47"/>
        <v>noviembre</v>
      </c>
      <c r="AE313" s="144" t="s">
        <v>1085</v>
      </c>
      <c r="AF313" s="149" t="b">
        <v>1</v>
      </c>
      <c r="AG313" s="144" t="s">
        <v>1085</v>
      </c>
      <c r="AH313" s="149" t="b">
        <v>0</v>
      </c>
      <c r="AI313" s="162"/>
      <c r="AJ313" s="143"/>
      <c r="AK313" s="143"/>
      <c r="AL313" s="143"/>
      <c r="AM313" s="143"/>
      <c r="AN313" s="143"/>
      <c r="AO313" s="143"/>
      <c r="AP313" s="143"/>
      <c r="AQ313" s="143"/>
    </row>
    <row r="314" ht="22.5" customHeight="1">
      <c r="A314" s="144" t="s">
        <v>162</v>
      </c>
      <c r="B314" s="145">
        <v>45978.0</v>
      </c>
      <c r="C314" s="149" t="s">
        <v>918</v>
      </c>
      <c r="D314" s="208" t="s">
        <v>1269</v>
      </c>
      <c r="E314" s="148" t="s">
        <v>28</v>
      </c>
      <c r="F314" s="208" t="s">
        <v>1270</v>
      </c>
      <c r="G314" s="149" t="s">
        <v>1271</v>
      </c>
      <c r="H314" s="148" t="s">
        <v>257</v>
      </c>
      <c r="I314" s="150">
        <v>1.0</v>
      </c>
      <c r="J314" s="168">
        <v>6000.0</v>
      </c>
      <c r="K314" s="169">
        <f t="shared" si="1"/>
        <v>0</v>
      </c>
      <c r="L314" s="170">
        <v>6000.0</v>
      </c>
      <c r="M314" s="239">
        <v>5433.0</v>
      </c>
      <c r="N314" s="155">
        <v>1249.99</v>
      </c>
      <c r="O314" s="315">
        <f t="shared" si="52"/>
        <v>567</v>
      </c>
      <c r="P314" s="344">
        <f t="shared" si="46"/>
        <v>38</v>
      </c>
      <c r="Q314" s="510">
        <v>180.0</v>
      </c>
      <c r="R314" s="672" t="b">
        <v>0</v>
      </c>
      <c r="S314" s="346">
        <v>349.0</v>
      </c>
      <c r="T314" s="319"/>
      <c r="U314" s="315"/>
      <c r="V314" s="144" t="s">
        <v>584</v>
      </c>
      <c r="W314" s="148" t="s">
        <v>584</v>
      </c>
      <c r="X314" s="163"/>
      <c r="Y314" s="162"/>
      <c r="Z314" s="164"/>
      <c r="AA314" s="116"/>
      <c r="AB314" s="116"/>
      <c r="AC314" s="165"/>
      <c r="AD314" s="675" t="str">
        <f t="shared" si="47"/>
        <v>noviembre</v>
      </c>
      <c r="AE314" s="144" t="s">
        <v>1085</v>
      </c>
      <c r="AF314" s="149" t="b">
        <v>1</v>
      </c>
      <c r="AG314" s="144" t="s">
        <v>1085</v>
      </c>
      <c r="AH314" s="149" t="b">
        <v>0</v>
      </c>
      <c r="AI314" s="162"/>
      <c r="AJ314" s="143"/>
      <c r="AK314" s="143"/>
      <c r="AL314" s="143"/>
      <c r="AM314" s="143"/>
      <c r="AN314" s="143"/>
      <c r="AO314" s="143"/>
      <c r="AP314" s="143"/>
      <c r="AQ314" s="143"/>
    </row>
    <row r="315" ht="22.5" hidden="1" customHeight="1">
      <c r="A315" s="144" t="s">
        <v>34</v>
      </c>
      <c r="B315" s="145">
        <v>45979.0</v>
      </c>
      <c r="C315" s="777" t="s">
        <v>1272</v>
      </c>
      <c r="D315" s="778" t="s">
        <v>1273</v>
      </c>
      <c r="E315" s="148" t="s">
        <v>28</v>
      </c>
      <c r="F315" s="765" t="s">
        <v>1274</v>
      </c>
      <c r="G315" s="149">
        <v>5.1972416896E10</v>
      </c>
      <c r="H315" s="148" t="s">
        <v>257</v>
      </c>
      <c r="I315" s="150">
        <v>0.2</v>
      </c>
      <c r="J315" s="168">
        <v>1599.8</v>
      </c>
      <c r="K315" s="169">
        <f t="shared" si="1"/>
        <v>6399.2</v>
      </c>
      <c r="L315" s="170">
        <v>7999.0</v>
      </c>
      <c r="M315" s="239">
        <v>7540.75</v>
      </c>
      <c r="N315" s="155">
        <v>1799.99</v>
      </c>
      <c r="O315" s="315">
        <f t="shared" si="52"/>
        <v>458.25</v>
      </c>
      <c r="P315" s="344">
        <f t="shared" si="46"/>
        <v>268.25</v>
      </c>
      <c r="Q315" s="510">
        <v>190.0</v>
      </c>
      <c r="R315" s="672" t="b">
        <v>0</v>
      </c>
      <c r="S315" s="318"/>
      <c r="T315" s="319"/>
      <c r="U315" s="315"/>
      <c r="V315" s="144" t="s">
        <v>584</v>
      </c>
      <c r="W315" s="148" t="s">
        <v>584</v>
      </c>
      <c r="X315" s="163"/>
      <c r="Y315" s="144" t="s">
        <v>584</v>
      </c>
      <c r="Z315" s="164"/>
      <c r="AA315" s="116"/>
      <c r="AB315" s="116"/>
      <c r="AC315" s="149" t="s">
        <v>1275</v>
      </c>
      <c r="AD315" s="675" t="str">
        <f t="shared" si="47"/>
        <v>noviembre</v>
      </c>
      <c r="AE315" s="144" t="s">
        <v>1085</v>
      </c>
      <c r="AF315" s="149" t="b">
        <v>1</v>
      </c>
      <c r="AG315" s="144" t="s">
        <v>1085</v>
      </c>
      <c r="AH315" s="149" t="b">
        <v>0</v>
      </c>
      <c r="AI315" s="162"/>
      <c r="AJ315" s="143"/>
      <c r="AK315" s="143"/>
      <c r="AL315" s="143"/>
      <c r="AM315" s="143"/>
      <c r="AN315" s="143"/>
      <c r="AO315" s="143"/>
      <c r="AP315" s="143"/>
      <c r="AQ315" s="143"/>
    </row>
    <row r="316" ht="22.5" hidden="1" customHeight="1">
      <c r="A316" s="144" t="s">
        <v>259</v>
      </c>
      <c r="B316" s="145">
        <v>45979.0</v>
      </c>
      <c r="C316" s="647" t="s">
        <v>1276</v>
      </c>
      <c r="D316" s="366" t="s">
        <v>1277</v>
      </c>
      <c r="E316" s="148" t="s">
        <v>28</v>
      </c>
      <c r="F316" s="779" t="s">
        <v>1278</v>
      </c>
      <c r="G316" s="149" t="s">
        <v>1279</v>
      </c>
      <c r="H316" s="148" t="s">
        <v>257</v>
      </c>
      <c r="I316" s="148" t="s">
        <v>61</v>
      </c>
      <c r="J316" s="312">
        <v>300.0</v>
      </c>
      <c r="K316" s="169">
        <f t="shared" si="1"/>
        <v>6699</v>
      </c>
      <c r="L316" s="170">
        <v>6999.0</v>
      </c>
      <c r="M316" s="239">
        <v>5811.0</v>
      </c>
      <c r="N316" s="155">
        <v>1359.99</v>
      </c>
      <c r="O316" s="315">
        <f t="shared" si="52"/>
        <v>1188</v>
      </c>
      <c r="P316" s="344">
        <f t="shared" si="46"/>
        <v>1008</v>
      </c>
      <c r="Q316" s="510">
        <v>180.0</v>
      </c>
      <c r="R316" s="672" t="b">
        <v>0</v>
      </c>
      <c r="S316" s="318"/>
      <c r="T316" s="319"/>
      <c r="U316" s="315"/>
      <c r="V316" s="144" t="s">
        <v>584</v>
      </c>
      <c r="W316" s="148" t="s">
        <v>584</v>
      </c>
      <c r="X316" s="163"/>
      <c r="Y316" s="144" t="s">
        <v>584</v>
      </c>
      <c r="Z316" s="10"/>
      <c r="AA316" s="116"/>
      <c r="AB316" s="116"/>
      <c r="AC316" s="165"/>
      <c r="AD316" s="675" t="str">
        <f t="shared" si="47"/>
        <v>noviembre</v>
      </c>
      <c r="AE316" s="144" t="s">
        <v>1085</v>
      </c>
      <c r="AF316" s="149" t="b">
        <v>1</v>
      </c>
      <c r="AG316" s="166"/>
      <c r="AH316" s="149" t="b">
        <v>0</v>
      </c>
      <c r="AI316" s="162"/>
      <c r="AJ316" s="143"/>
      <c r="AK316" s="143"/>
      <c r="AL316" s="143"/>
      <c r="AM316" s="143"/>
      <c r="AN316" s="143"/>
      <c r="AO316" s="143"/>
      <c r="AP316" s="143"/>
      <c r="AQ316" s="143"/>
    </row>
    <row r="317" ht="22.5" customHeight="1">
      <c r="A317" s="144" t="s">
        <v>162</v>
      </c>
      <c r="B317" s="145">
        <v>45979.0</v>
      </c>
      <c r="C317" s="149" t="s">
        <v>767</v>
      </c>
      <c r="D317" s="208" t="s">
        <v>1280</v>
      </c>
      <c r="E317" s="148" t="s">
        <v>28</v>
      </c>
      <c r="F317" s="208" t="s">
        <v>1281</v>
      </c>
      <c r="G317" s="149" t="s">
        <v>1282</v>
      </c>
      <c r="H317" s="148" t="s">
        <v>257</v>
      </c>
      <c r="I317" s="148" t="s">
        <v>61</v>
      </c>
      <c r="J317" s="168">
        <v>300.0</v>
      </c>
      <c r="K317" s="169">
        <f t="shared" si="1"/>
        <v>7099</v>
      </c>
      <c r="L317" s="170">
        <v>7399.0</v>
      </c>
      <c r="M317" s="239">
        <v>6828.0</v>
      </c>
      <c r="N317" s="155">
        <v>1574.99</v>
      </c>
      <c r="O317" s="315">
        <f t="shared" si="52"/>
        <v>571</v>
      </c>
      <c r="P317" s="344">
        <f t="shared" si="46"/>
        <v>22</v>
      </c>
      <c r="Q317" s="510">
        <v>100.0</v>
      </c>
      <c r="R317" s="672" t="b">
        <v>0</v>
      </c>
      <c r="S317" s="346">
        <v>449.0</v>
      </c>
      <c r="T317" s="319"/>
      <c r="U317" s="315"/>
      <c r="V317" s="144" t="s">
        <v>584</v>
      </c>
      <c r="W317" s="148" t="s">
        <v>584</v>
      </c>
      <c r="X317" s="163"/>
      <c r="Y317" s="162"/>
      <c r="Z317" s="164"/>
      <c r="AA317" s="116"/>
      <c r="AB317" s="116"/>
      <c r="AC317" s="165"/>
      <c r="AD317" s="675" t="str">
        <f t="shared" si="47"/>
        <v>noviembre</v>
      </c>
      <c r="AE317" s="144" t="s">
        <v>1085</v>
      </c>
      <c r="AF317" s="149" t="b">
        <v>1</v>
      </c>
      <c r="AG317" s="144" t="s">
        <v>1085</v>
      </c>
      <c r="AH317" s="149" t="b">
        <v>0</v>
      </c>
      <c r="AI317" s="162"/>
      <c r="AJ317" s="143"/>
      <c r="AK317" s="143"/>
      <c r="AL317" s="143"/>
      <c r="AM317" s="143"/>
      <c r="AN317" s="143"/>
      <c r="AO317" s="143"/>
      <c r="AP317" s="143"/>
      <c r="AQ317" s="143"/>
    </row>
    <row r="318" ht="22.5" customHeight="1">
      <c r="A318" s="144" t="s">
        <v>162</v>
      </c>
      <c r="B318" s="145">
        <v>45979.0</v>
      </c>
      <c r="C318" s="188" t="s">
        <v>1283</v>
      </c>
      <c r="D318" s="329" t="s">
        <v>1284</v>
      </c>
      <c r="E318" s="148" t="s">
        <v>28</v>
      </c>
      <c r="F318" s="766" t="s">
        <v>1285</v>
      </c>
      <c r="G318" s="149">
        <v>5.1971209816E10</v>
      </c>
      <c r="H318" s="148" t="s">
        <v>257</v>
      </c>
      <c r="I318" s="150">
        <v>1.0</v>
      </c>
      <c r="J318" s="168">
        <v>2500.0</v>
      </c>
      <c r="K318" s="169">
        <f t="shared" si="1"/>
        <v>6049</v>
      </c>
      <c r="L318" s="170">
        <v>8549.0</v>
      </c>
      <c r="M318" s="239">
        <v>8167.37</v>
      </c>
      <c r="N318" s="155">
        <v>1899.99</v>
      </c>
      <c r="O318" s="315">
        <f t="shared" si="52"/>
        <v>381.63</v>
      </c>
      <c r="P318" s="344">
        <f t="shared" si="46"/>
        <v>261.63</v>
      </c>
      <c r="Q318" s="510">
        <v>120.0</v>
      </c>
      <c r="R318" s="672" t="b">
        <v>0</v>
      </c>
      <c r="S318" s="346"/>
      <c r="T318" s="319"/>
      <c r="U318" s="315"/>
      <c r="V318" s="144" t="s">
        <v>584</v>
      </c>
      <c r="W318" s="148" t="s">
        <v>584</v>
      </c>
      <c r="X318" s="163"/>
      <c r="Y318" s="144" t="s">
        <v>584</v>
      </c>
      <c r="Z318" s="164"/>
      <c r="AA318" s="116"/>
      <c r="AB318" s="116"/>
      <c r="AC318" s="149" t="s">
        <v>1286</v>
      </c>
      <c r="AD318" s="675" t="str">
        <f t="shared" si="47"/>
        <v>noviembre</v>
      </c>
      <c r="AE318" s="144" t="s">
        <v>1085</v>
      </c>
      <c r="AF318" s="149" t="b">
        <v>1</v>
      </c>
      <c r="AG318" s="144" t="s">
        <v>1085</v>
      </c>
      <c r="AH318" s="149" t="b">
        <v>0</v>
      </c>
      <c r="AI318" s="162"/>
      <c r="AJ318" s="143"/>
      <c r="AK318" s="143"/>
      <c r="AL318" s="143"/>
      <c r="AM318" s="143"/>
      <c r="AN318" s="143"/>
      <c r="AO318" s="143"/>
      <c r="AP318" s="143"/>
      <c r="AQ318" s="143"/>
    </row>
    <row r="319" ht="22.5" customHeight="1">
      <c r="A319" s="144" t="s">
        <v>162</v>
      </c>
      <c r="B319" s="145">
        <v>45980.0</v>
      </c>
      <c r="C319" s="149" t="s">
        <v>1287</v>
      </c>
      <c r="D319" s="208" t="s">
        <v>1288</v>
      </c>
      <c r="E319" s="148" t="s">
        <v>28</v>
      </c>
      <c r="F319" s="208" t="s">
        <v>1289</v>
      </c>
      <c r="G319" s="149" t="s">
        <v>1290</v>
      </c>
      <c r="H319" s="148" t="s">
        <v>257</v>
      </c>
      <c r="I319" s="150">
        <v>0.2</v>
      </c>
      <c r="J319" s="168">
        <v>1093.0</v>
      </c>
      <c r="K319" s="169">
        <f t="shared" si="1"/>
        <v>4372</v>
      </c>
      <c r="L319" s="170">
        <v>5465.0</v>
      </c>
      <c r="M319" s="239">
        <v>5365.0</v>
      </c>
      <c r="N319" s="155">
        <v>1199.0</v>
      </c>
      <c r="O319" s="315">
        <f t="shared" si="52"/>
        <v>100</v>
      </c>
      <c r="P319" s="344">
        <f t="shared" si="46"/>
        <v>30</v>
      </c>
      <c r="Q319" s="510">
        <v>70.0</v>
      </c>
      <c r="R319" s="672" t="b">
        <v>0</v>
      </c>
      <c r="S319" s="318"/>
      <c r="T319" s="319"/>
      <c r="U319" s="315"/>
      <c r="V319" s="144" t="s">
        <v>584</v>
      </c>
      <c r="W319" s="148" t="s">
        <v>584</v>
      </c>
      <c r="X319" s="163"/>
      <c r="Y319" s="162"/>
      <c r="Z319" s="164"/>
      <c r="AA319" s="116"/>
      <c r="AB319" s="116"/>
      <c r="AC319" s="165"/>
      <c r="AD319" s="675" t="str">
        <f t="shared" si="47"/>
        <v>noviembre</v>
      </c>
      <c r="AE319" s="144" t="s">
        <v>1085</v>
      </c>
      <c r="AF319" s="149" t="b">
        <v>1</v>
      </c>
      <c r="AG319" s="144" t="s">
        <v>1085</v>
      </c>
      <c r="AH319" s="149" t="b">
        <v>0</v>
      </c>
      <c r="AI319" s="162"/>
      <c r="AJ319" s="143"/>
      <c r="AK319" s="143"/>
      <c r="AL319" s="143"/>
      <c r="AM319" s="143"/>
      <c r="AN319" s="143"/>
      <c r="AO319" s="143"/>
      <c r="AP319" s="143"/>
      <c r="AQ319" s="143"/>
    </row>
    <row r="320" ht="22.5" hidden="1" customHeight="1">
      <c r="A320" s="144" t="s">
        <v>34</v>
      </c>
      <c r="B320" s="145">
        <v>45981.0</v>
      </c>
      <c r="C320" s="777" t="s">
        <v>1272</v>
      </c>
      <c r="D320" s="208" t="s">
        <v>1291</v>
      </c>
      <c r="E320" s="148" t="s">
        <v>28</v>
      </c>
      <c r="F320" s="765" t="s">
        <v>1292</v>
      </c>
      <c r="G320" s="149">
        <v>9.17861193E8</v>
      </c>
      <c r="H320" s="148" t="s">
        <v>257</v>
      </c>
      <c r="I320" s="150">
        <v>0.2</v>
      </c>
      <c r="J320" s="168">
        <v>1599.8</v>
      </c>
      <c r="K320" s="169">
        <f t="shared" si="1"/>
        <v>6399.2</v>
      </c>
      <c r="L320" s="170">
        <v>7999.0</v>
      </c>
      <c r="M320" s="239">
        <v>7563.06</v>
      </c>
      <c r="N320" s="155">
        <v>1799.99</v>
      </c>
      <c r="O320" s="315">
        <f t="shared" si="52"/>
        <v>435.94</v>
      </c>
      <c r="P320" s="344">
        <f t="shared" si="46"/>
        <v>150.94</v>
      </c>
      <c r="Q320" s="510">
        <v>285.0</v>
      </c>
      <c r="R320" s="672" t="b">
        <v>0</v>
      </c>
      <c r="S320" s="318"/>
      <c r="T320" s="319"/>
      <c r="U320" s="315"/>
      <c r="V320" s="144" t="s">
        <v>584</v>
      </c>
      <c r="W320" s="148" t="s">
        <v>584</v>
      </c>
      <c r="X320" s="163"/>
      <c r="Y320" s="144" t="s">
        <v>584</v>
      </c>
      <c r="Z320" s="164"/>
      <c r="AA320" s="116"/>
      <c r="AB320" s="116"/>
      <c r="AC320" s="165"/>
      <c r="AD320" s="675" t="str">
        <f t="shared" si="47"/>
        <v>noviembre</v>
      </c>
      <c r="AE320" s="144" t="s">
        <v>1085</v>
      </c>
      <c r="AF320" s="149" t="b">
        <v>1</v>
      </c>
      <c r="AG320" s="144" t="s">
        <v>1085</v>
      </c>
      <c r="AH320" s="149" t="b">
        <v>0</v>
      </c>
      <c r="AI320" s="162"/>
      <c r="AJ320" s="143"/>
      <c r="AK320" s="143"/>
      <c r="AL320" s="143"/>
      <c r="AM320" s="143"/>
      <c r="AN320" s="143"/>
      <c r="AO320" s="143"/>
      <c r="AP320" s="143"/>
      <c r="AQ320" s="143"/>
    </row>
    <row r="321" ht="22.5" hidden="1" customHeight="1">
      <c r="A321" s="144" t="s">
        <v>259</v>
      </c>
      <c r="B321" s="772">
        <v>45981.0</v>
      </c>
      <c r="C321" s="780" t="s">
        <v>1293</v>
      </c>
      <c r="D321" s="366" t="s">
        <v>1294</v>
      </c>
      <c r="E321" s="148" t="s">
        <v>28</v>
      </c>
      <c r="F321" s="766" t="s">
        <v>1295</v>
      </c>
      <c r="G321" s="149" t="s">
        <v>1296</v>
      </c>
      <c r="H321" s="148" t="s">
        <v>257</v>
      </c>
      <c r="I321" s="150">
        <v>0.2</v>
      </c>
      <c r="J321" s="312">
        <v>1660.0</v>
      </c>
      <c r="K321" s="169">
        <f t="shared" si="1"/>
        <v>6640</v>
      </c>
      <c r="L321" s="170">
        <v>8300.0</v>
      </c>
      <c r="M321" s="239">
        <v>8058.0</v>
      </c>
      <c r="N321" s="155">
        <v>1899.0</v>
      </c>
      <c r="O321" s="315">
        <f t="shared" si="52"/>
        <v>242</v>
      </c>
      <c r="P321" s="344">
        <f t="shared" si="46"/>
        <v>42</v>
      </c>
      <c r="Q321" s="510">
        <v>190.0</v>
      </c>
      <c r="R321" s="672" t="b">
        <v>0</v>
      </c>
      <c r="S321" s="318"/>
      <c r="T321" s="319"/>
      <c r="U321" s="343">
        <v>10.0</v>
      </c>
      <c r="V321" s="144" t="s">
        <v>584</v>
      </c>
      <c r="W321" s="148" t="s">
        <v>584</v>
      </c>
      <c r="X321" s="163"/>
      <c r="Y321" s="144" t="s">
        <v>584</v>
      </c>
      <c r="Z321" s="164"/>
      <c r="AA321" s="116"/>
      <c r="AB321" s="116"/>
      <c r="AC321" s="165"/>
      <c r="AD321" s="675" t="str">
        <f t="shared" si="47"/>
        <v>noviembre</v>
      </c>
      <c r="AE321" s="144" t="s">
        <v>1085</v>
      </c>
      <c r="AF321" s="149" t="b">
        <v>1</v>
      </c>
      <c r="AG321" s="144" t="s">
        <v>1187</v>
      </c>
      <c r="AH321" s="149" t="b">
        <v>0</v>
      </c>
      <c r="AI321" s="162"/>
      <c r="AJ321" s="143"/>
      <c r="AK321" s="143"/>
      <c r="AL321" s="143"/>
      <c r="AM321" s="143"/>
      <c r="AN321" s="143"/>
      <c r="AO321" s="143"/>
      <c r="AP321" s="143"/>
      <c r="AQ321" s="143"/>
    </row>
    <row r="322" ht="22.5" hidden="1" customHeight="1">
      <c r="A322" s="144" t="s">
        <v>259</v>
      </c>
      <c r="B322" s="772">
        <v>45981.0</v>
      </c>
      <c r="C322" s="188" t="s">
        <v>1293</v>
      </c>
      <c r="D322" s="366" t="s">
        <v>1294</v>
      </c>
      <c r="E322" s="148" t="s">
        <v>28</v>
      </c>
      <c r="F322" s="766" t="s">
        <v>1297</v>
      </c>
      <c r="G322" s="149" t="s">
        <v>1296</v>
      </c>
      <c r="H322" s="148" t="s">
        <v>257</v>
      </c>
      <c r="I322" s="150">
        <v>0.2</v>
      </c>
      <c r="J322" s="312">
        <v>1660.0</v>
      </c>
      <c r="K322" s="169">
        <f t="shared" si="1"/>
        <v>6640</v>
      </c>
      <c r="L322" s="170">
        <v>8300.0</v>
      </c>
      <c r="M322" s="239">
        <v>8058.0</v>
      </c>
      <c r="N322" s="155">
        <v>1899.0</v>
      </c>
      <c r="O322" s="315">
        <f t="shared" si="52"/>
        <v>242</v>
      </c>
      <c r="P322" s="344">
        <f t="shared" si="46"/>
        <v>42</v>
      </c>
      <c r="Q322" s="510">
        <v>190.0</v>
      </c>
      <c r="R322" s="672" t="b">
        <v>0</v>
      </c>
      <c r="S322" s="318"/>
      <c r="T322" s="319"/>
      <c r="U322" s="343">
        <v>10.0</v>
      </c>
      <c r="V322" s="144" t="s">
        <v>584</v>
      </c>
      <c r="W322" s="148" t="s">
        <v>584</v>
      </c>
      <c r="X322" s="163"/>
      <c r="Y322" s="144"/>
      <c r="Z322" s="164"/>
      <c r="AA322" s="116"/>
      <c r="AB322" s="116"/>
      <c r="AC322" s="165"/>
      <c r="AD322" s="675" t="str">
        <f t="shared" si="47"/>
        <v>noviembre</v>
      </c>
      <c r="AE322" s="144" t="s">
        <v>1085</v>
      </c>
      <c r="AF322" s="149" t="b">
        <v>1</v>
      </c>
      <c r="AG322" s="144" t="s">
        <v>1187</v>
      </c>
      <c r="AH322" s="149" t="b">
        <v>0</v>
      </c>
      <c r="AI322" s="162"/>
      <c r="AJ322" s="143"/>
      <c r="AK322" s="143"/>
      <c r="AL322" s="143"/>
      <c r="AM322" s="143"/>
      <c r="AN322" s="143"/>
      <c r="AO322" s="143"/>
      <c r="AP322" s="143"/>
      <c r="AQ322" s="143"/>
    </row>
    <row r="323" ht="22.5" hidden="1" customHeight="1">
      <c r="A323" s="144" t="s">
        <v>259</v>
      </c>
      <c r="B323" s="772">
        <v>45981.0</v>
      </c>
      <c r="C323" s="781" t="s">
        <v>1298</v>
      </c>
      <c r="D323" s="366" t="s">
        <v>1299</v>
      </c>
      <c r="E323" s="148" t="s">
        <v>28</v>
      </c>
      <c r="F323" s="765" t="s">
        <v>1300</v>
      </c>
      <c r="G323" s="149" t="s">
        <v>1301</v>
      </c>
      <c r="H323" s="148" t="s">
        <v>257</v>
      </c>
      <c r="I323" s="150">
        <v>0.2</v>
      </c>
      <c r="J323" s="312">
        <v>1760.0</v>
      </c>
      <c r="K323" s="169">
        <f t="shared" si="1"/>
        <v>7039</v>
      </c>
      <c r="L323" s="170">
        <v>8799.0</v>
      </c>
      <c r="M323" s="239">
        <v>8073.0</v>
      </c>
      <c r="N323" s="155">
        <v>1799.99</v>
      </c>
      <c r="O323" s="315">
        <f t="shared" si="52"/>
        <v>726</v>
      </c>
      <c r="P323" s="344">
        <f t="shared" si="46"/>
        <v>546</v>
      </c>
      <c r="Q323" s="759">
        <v>170.0</v>
      </c>
      <c r="R323" s="672" t="b">
        <v>0</v>
      </c>
      <c r="S323" s="318"/>
      <c r="T323" s="319"/>
      <c r="U323" s="343">
        <v>10.0</v>
      </c>
      <c r="V323" s="144" t="s">
        <v>584</v>
      </c>
      <c r="W323" s="774" t="s">
        <v>584</v>
      </c>
      <c r="X323" s="649"/>
      <c r="Y323" s="144" t="s">
        <v>584</v>
      </c>
      <c r="Z323" s="164"/>
      <c r="AA323" s="116"/>
      <c r="AB323" s="116"/>
      <c r="AC323" s="165"/>
      <c r="AD323" s="675" t="str">
        <f t="shared" si="47"/>
        <v>noviembre</v>
      </c>
      <c r="AE323" s="144" t="s">
        <v>1085</v>
      </c>
      <c r="AF323" s="149" t="b">
        <v>1</v>
      </c>
      <c r="AG323" s="144" t="s">
        <v>1187</v>
      </c>
      <c r="AH323" s="149" t="b">
        <v>0</v>
      </c>
      <c r="AI323" s="162"/>
      <c r="AJ323" s="143"/>
      <c r="AK323" s="143"/>
      <c r="AL323" s="143"/>
      <c r="AM323" s="143"/>
      <c r="AN323" s="143"/>
      <c r="AO323" s="143"/>
      <c r="AP323" s="143"/>
      <c r="AQ323" s="143"/>
    </row>
    <row r="324" ht="22.5" hidden="1" customHeight="1">
      <c r="A324" s="560" t="s">
        <v>34</v>
      </c>
      <c r="B324" s="551">
        <v>45981.0</v>
      </c>
      <c r="C324" s="552" t="s">
        <v>1302</v>
      </c>
      <c r="D324" s="571" t="s">
        <v>1303</v>
      </c>
      <c r="E324" s="554" t="s">
        <v>28</v>
      </c>
      <c r="F324" s="782" t="s">
        <v>1304</v>
      </c>
      <c r="G324" s="248" t="s">
        <v>1305</v>
      </c>
      <c r="H324" s="554" t="s">
        <v>257</v>
      </c>
      <c r="I324" s="556">
        <v>0.2</v>
      </c>
      <c r="J324" s="783">
        <v>1360.0</v>
      </c>
      <c r="K324" s="557">
        <f t="shared" si="1"/>
        <v>5439</v>
      </c>
      <c r="L324" s="170">
        <v>6799.0</v>
      </c>
      <c r="M324" s="784">
        <v>6438.59</v>
      </c>
      <c r="N324" s="155">
        <v>1489.99</v>
      </c>
      <c r="O324" s="558">
        <f t="shared" si="52"/>
        <v>360.41</v>
      </c>
      <c r="P324" s="573">
        <f t="shared" si="46"/>
        <v>190.41</v>
      </c>
      <c r="Q324" s="573">
        <v>170.0</v>
      </c>
      <c r="R324" s="785" t="b">
        <v>0</v>
      </c>
      <c r="S324" s="558"/>
      <c r="T324" s="559"/>
      <c r="U324" s="558"/>
      <c r="V324" s="560" t="s">
        <v>584</v>
      </c>
      <c r="W324" s="554" t="s">
        <v>584</v>
      </c>
      <c r="X324" s="584"/>
      <c r="Y324" s="560" t="s">
        <v>584</v>
      </c>
      <c r="Z324" s="341"/>
      <c r="AA324" s="561"/>
      <c r="AB324" s="561"/>
      <c r="AC324" s="562"/>
      <c r="AD324" s="786" t="str">
        <f t="shared" si="47"/>
        <v>noviembre</v>
      </c>
      <c r="AE324" s="560" t="s">
        <v>1085</v>
      </c>
      <c r="AF324" s="248" t="b">
        <v>1</v>
      </c>
      <c r="AG324" s="144" t="s">
        <v>1187</v>
      </c>
      <c r="AH324" s="149" t="b">
        <v>0</v>
      </c>
      <c r="AI324" s="162"/>
      <c r="AJ324" s="143"/>
      <c r="AK324" s="143"/>
      <c r="AL324" s="143"/>
      <c r="AM324" s="143"/>
      <c r="AN324" s="143"/>
      <c r="AO324" s="143"/>
      <c r="AP324" s="143"/>
      <c r="AQ324" s="143"/>
    </row>
    <row r="325" ht="22.5" hidden="1" customHeight="1">
      <c r="A325" s="144" t="s">
        <v>259</v>
      </c>
      <c r="B325" s="772">
        <v>45982.0</v>
      </c>
      <c r="C325" s="309" t="s">
        <v>1306</v>
      </c>
      <c r="D325" s="366" t="s">
        <v>1307</v>
      </c>
      <c r="E325" s="148" t="s">
        <v>28</v>
      </c>
      <c r="F325" s="765" t="s">
        <v>1308</v>
      </c>
      <c r="G325" s="149">
        <v>5.1999980023E10</v>
      </c>
      <c r="H325" s="148" t="s">
        <v>257</v>
      </c>
      <c r="I325" s="150">
        <v>0.2</v>
      </c>
      <c r="J325" s="312">
        <v>999.0</v>
      </c>
      <c r="K325" s="169">
        <f t="shared" si="1"/>
        <v>4100</v>
      </c>
      <c r="L325" s="170">
        <v>5099.0</v>
      </c>
      <c r="M325" s="239">
        <v>4812.0</v>
      </c>
      <c r="N325" s="155">
        <v>1079.0</v>
      </c>
      <c r="O325" s="315">
        <f t="shared" si="52"/>
        <v>287</v>
      </c>
      <c r="P325" s="344">
        <f t="shared" si="46"/>
        <v>177</v>
      </c>
      <c r="Q325" s="510">
        <v>100.0</v>
      </c>
      <c r="R325" s="672" t="b">
        <v>0</v>
      </c>
      <c r="S325" s="318"/>
      <c r="T325" s="319"/>
      <c r="U325" s="343">
        <v>10.0</v>
      </c>
      <c r="V325" s="144" t="s">
        <v>584</v>
      </c>
      <c r="W325" s="148" t="s">
        <v>584</v>
      </c>
      <c r="X325" s="163"/>
      <c r="Y325" s="144" t="s">
        <v>584</v>
      </c>
      <c r="Z325" s="164"/>
      <c r="AA325" s="116"/>
      <c r="AB325" s="116"/>
      <c r="AC325" s="165"/>
      <c r="AD325" s="675" t="str">
        <f t="shared" si="47"/>
        <v>noviembre</v>
      </c>
      <c r="AE325" s="144" t="s">
        <v>1085</v>
      </c>
      <c r="AF325" s="149" t="b">
        <v>1</v>
      </c>
      <c r="AG325" s="144" t="s">
        <v>1187</v>
      </c>
      <c r="AH325" s="149" t="b">
        <v>0</v>
      </c>
      <c r="AI325" s="162"/>
      <c r="AJ325" s="143"/>
      <c r="AK325" s="143"/>
      <c r="AL325" s="143"/>
      <c r="AM325" s="143"/>
      <c r="AN325" s="143"/>
      <c r="AO325" s="143"/>
      <c r="AP325" s="143"/>
      <c r="AQ325" s="143"/>
    </row>
    <row r="326" ht="34.5" hidden="1" customHeight="1">
      <c r="A326" s="144" t="s">
        <v>34</v>
      </c>
      <c r="B326" s="145">
        <v>45982.0</v>
      </c>
      <c r="C326" s="149" t="s">
        <v>1309</v>
      </c>
      <c r="D326" s="778" t="s">
        <v>1310</v>
      </c>
      <c r="E326" s="148" t="s">
        <v>28</v>
      </c>
      <c r="F326" s="765" t="s">
        <v>1311</v>
      </c>
      <c r="G326" s="149">
        <v>5.1929178606E10</v>
      </c>
      <c r="H326" s="148" t="s">
        <v>257</v>
      </c>
      <c r="I326" s="150">
        <v>0.3</v>
      </c>
      <c r="J326" s="168">
        <v>3100.0</v>
      </c>
      <c r="K326" s="169">
        <f t="shared" si="1"/>
        <v>7236.17</v>
      </c>
      <c r="L326" s="170">
        <v>10336.17</v>
      </c>
      <c r="M326" s="239">
        <v>9936.17</v>
      </c>
      <c r="N326" s="155">
        <v>2349.0</v>
      </c>
      <c r="O326" s="315">
        <f t="shared" si="52"/>
        <v>400</v>
      </c>
      <c r="P326" s="344">
        <f t="shared" si="46"/>
        <v>55</v>
      </c>
      <c r="Q326" s="510">
        <v>285.0</v>
      </c>
      <c r="R326" s="672" t="b">
        <v>1</v>
      </c>
      <c r="S326" s="318"/>
      <c r="T326" s="347">
        <v>10.0</v>
      </c>
      <c r="U326" s="343"/>
      <c r="V326" s="144" t="s">
        <v>584</v>
      </c>
      <c r="W326" s="148" t="s">
        <v>584</v>
      </c>
      <c r="X326" s="163"/>
      <c r="Y326" s="144" t="s">
        <v>584</v>
      </c>
      <c r="Z326" s="164"/>
      <c r="AA326" s="116"/>
      <c r="AB326" s="116"/>
      <c r="AC326" s="165"/>
      <c r="AD326" s="675" t="str">
        <f t="shared" si="47"/>
        <v>noviembre</v>
      </c>
      <c r="AE326" s="144" t="s">
        <v>1085</v>
      </c>
      <c r="AF326" s="149" t="b">
        <v>1</v>
      </c>
      <c r="AG326" s="144" t="s">
        <v>1187</v>
      </c>
      <c r="AH326" s="149" t="b">
        <v>0</v>
      </c>
      <c r="AI326" s="162"/>
      <c r="AJ326" s="143"/>
      <c r="AK326" s="143"/>
      <c r="AL326" s="143"/>
      <c r="AM326" s="143"/>
      <c r="AN326" s="143"/>
      <c r="AO326" s="143"/>
      <c r="AP326" s="143"/>
      <c r="AQ326" s="143"/>
    </row>
    <row r="327" ht="22.5" customHeight="1">
      <c r="A327" s="144" t="s">
        <v>162</v>
      </c>
      <c r="B327" s="145">
        <v>45982.0</v>
      </c>
      <c r="C327" s="721" t="s">
        <v>658</v>
      </c>
      <c r="D327" s="208" t="s">
        <v>1312</v>
      </c>
      <c r="E327" s="148" t="s">
        <v>28</v>
      </c>
      <c r="F327" s="766" t="s">
        <v>1313</v>
      </c>
      <c r="G327" s="149" t="s">
        <v>1314</v>
      </c>
      <c r="H327" s="148" t="s">
        <v>257</v>
      </c>
      <c r="I327" s="150">
        <v>0.2</v>
      </c>
      <c r="J327" s="168">
        <v>1099.8</v>
      </c>
      <c r="K327" s="169">
        <f t="shared" si="1"/>
        <v>4399.2</v>
      </c>
      <c r="L327" s="170">
        <v>5499.0</v>
      </c>
      <c r="M327" s="239">
        <v>5084.67</v>
      </c>
      <c r="N327" s="155">
        <v>1149.99</v>
      </c>
      <c r="O327" s="315">
        <f t="shared" si="52"/>
        <v>414.33</v>
      </c>
      <c r="P327" s="741">
        <f t="shared" si="46"/>
        <v>214.33</v>
      </c>
      <c r="Q327" s="510">
        <v>190.0</v>
      </c>
      <c r="R327" s="672" t="b">
        <v>0</v>
      </c>
      <c r="S327" s="318"/>
      <c r="T327" s="347"/>
      <c r="U327" s="343">
        <v>10.0</v>
      </c>
      <c r="V327" s="144" t="s">
        <v>584</v>
      </c>
      <c r="W327" s="148" t="s">
        <v>584</v>
      </c>
      <c r="X327" s="163"/>
      <c r="Y327" s="144" t="s">
        <v>584</v>
      </c>
      <c r="Z327" s="164"/>
      <c r="AA327" s="116"/>
      <c r="AB327" s="116"/>
      <c r="AC327" s="165"/>
      <c r="AD327" s="675" t="str">
        <f t="shared" si="47"/>
        <v>noviembre</v>
      </c>
      <c r="AE327" s="144" t="s">
        <v>1085</v>
      </c>
      <c r="AF327" s="149" t="b">
        <v>1</v>
      </c>
      <c r="AG327" s="144" t="s">
        <v>1187</v>
      </c>
      <c r="AH327" s="149" t="b">
        <v>0</v>
      </c>
      <c r="AI327" s="162"/>
      <c r="AJ327" s="143"/>
      <c r="AK327" s="143"/>
      <c r="AL327" s="143"/>
      <c r="AM327" s="143"/>
      <c r="AN327" s="143"/>
      <c r="AO327" s="143"/>
      <c r="AP327" s="143"/>
      <c r="AQ327" s="143"/>
    </row>
    <row r="328" ht="22.5" customHeight="1">
      <c r="A328" s="144" t="s">
        <v>162</v>
      </c>
      <c r="B328" s="145">
        <v>45982.0</v>
      </c>
      <c r="C328" s="188" t="s">
        <v>1315</v>
      </c>
      <c r="D328" s="208" t="s">
        <v>1316</v>
      </c>
      <c r="E328" s="148" t="s">
        <v>28</v>
      </c>
      <c r="F328" s="766" t="s">
        <v>1317</v>
      </c>
      <c r="G328" s="149" t="s">
        <v>1318</v>
      </c>
      <c r="H328" s="148" t="s">
        <v>257</v>
      </c>
      <c r="I328" s="150">
        <v>0.3</v>
      </c>
      <c r="J328" s="168">
        <v>3164.0</v>
      </c>
      <c r="K328" s="169">
        <f t="shared" si="1"/>
        <v>7634</v>
      </c>
      <c r="L328" s="170">
        <v>10798.0</v>
      </c>
      <c r="M328" s="239">
        <v>9974.03</v>
      </c>
      <c r="N328" s="155">
        <v>2349.0</v>
      </c>
      <c r="O328" s="315">
        <f t="shared" si="52"/>
        <v>823.97</v>
      </c>
      <c r="P328" s="741">
        <f t="shared" si="46"/>
        <v>219.97</v>
      </c>
      <c r="Q328" s="510">
        <v>90.0</v>
      </c>
      <c r="R328" s="672" t="b">
        <v>0</v>
      </c>
      <c r="S328" s="346">
        <v>449.0</v>
      </c>
      <c r="T328" s="347">
        <v>55.0</v>
      </c>
      <c r="U328" s="343">
        <v>10.0</v>
      </c>
      <c r="V328" s="144" t="s">
        <v>584</v>
      </c>
      <c r="W328" s="148" t="s">
        <v>584</v>
      </c>
      <c r="X328" s="163"/>
      <c r="Y328" s="144" t="s">
        <v>584</v>
      </c>
      <c r="Z328" s="164"/>
      <c r="AA328" s="116"/>
      <c r="AB328" s="116"/>
      <c r="AC328" s="165"/>
      <c r="AD328" s="675" t="str">
        <f t="shared" si="47"/>
        <v>noviembre</v>
      </c>
      <c r="AE328" s="144" t="s">
        <v>1085</v>
      </c>
      <c r="AF328" s="149" t="b">
        <v>1</v>
      </c>
      <c r="AG328" s="144" t="s">
        <v>1187</v>
      </c>
      <c r="AH328" s="149" t="b">
        <v>0</v>
      </c>
      <c r="AI328" s="162"/>
      <c r="AJ328" s="143"/>
      <c r="AK328" s="143"/>
      <c r="AL328" s="143"/>
      <c r="AM328" s="143"/>
      <c r="AN328" s="143"/>
      <c r="AO328" s="143"/>
      <c r="AP328" s="143"/>
      <c r="AQ328" s="143"/>
    </row>
    <row r="329" ht="22.5" hidden="1" customHeight="1">
      <c r="A329" s="144" t="s">
        <v>34</v>
      </c>
      <c r="B329" s="145">
        <v>45983.0</v>
      </c>
      <c r="C329" s="259" t="s">
        <v>903</v>
      </c>
      <c r="D329" s="208" t="s">
        <v>1319</v>
      </c>
      <c r="E329" s="148" t="s">
        <v>28</v>
      </c>
      <c r="F329" s="787" t="s">
        <v>1320</v>
      </c>
      <c r="G329" s="149">
        <v>5.1970072169E10</v>
      </c>
      <c r="H329" s="148" t="s">
        <v>257</v>
      </c>
      <c r="I329" s="150">
        <v>0.2</v>
      </c>
      <c r="J329" s="168">
        <v>1319.8</v>
      </c>
      <c r="K329" s="169">
        <f t="shared" si="1"/>
        <v>5728.2</v>
      </c>
      <c r="L329" s="170">
        <v>7048.0</v>
      </c>
      <c r="M329" s="239">
        <v>5880.0</v>
      </c>
      <c r="N329" s="155">
        <v>1199.99</v>
      </c>
      <c r="O329" s="315">
        <f t="shared" si="52"/>
        <v>1168</v>
      </c>
      <c r="P329" s="344">
        <f t="shared" si="46"/>
        <v>424</v>
      </c>
      <c r="Q329" s="510">
        <v>285.0</v>
      </c>
      <c r="R329" s="672" t="b">
        <v>0</v>
      </c>
      <c r="S329" s="346">
        <v>449.0</v>
      </c>
      <c r="T329" s="347"/>
      <c r="U329" s="347">
        <v>10.0</v>
      </c>
      <c r="V329" s="144" t="s">
        <v>584</v>
      </c>
      <c r="W329" s="148" t="s">
        <v>584</v>
      </c>
      <c r="X329" s="163"/>
      <c r="Y329" s="144" t="s">
        <v>584</v>
      </c>
      <c r="Z329" s="164"/>
      <c r="AA329" s="116"/>
      <c r="AB329" s="116"/>
      <c r="AC329" s="165"/>
      <c r="AD329" s="675" t="str">
        <f t="shared" si="47"/>
        <v>noviembre</v>
      </c>
      <c r="AE329" s="144" t="s">
        <v>1085</v>
      </c>
      <c r="AF329" s="149" t="b">
        <v>1</v>
      </c>
      <c r="AG329" s="144" t="s">
        <v>1187</v>
      </c>
      <c r="AH329" s="149" t="b">
        <v>0</v>
      </c>
      <c r="AI329" s="162"/>
      <c r="AJ329" s="143"/>
      <c r="AK329" s="143"/>
      <c r="AL329" s="143"/>
      <c r="AM329" s="143"/>
      <c r="AN329" s="143"/>
      <c r="AO329" s="143"/>
      <c r="AP329" s="143"/>
      <c r="AQ329" s="143"/>
    </row>
    <row r="330" ht="22.5" hidden="1" customHeight="1">
      <c r="A330" s="144" t="s">
        <v>34</v>
      </c>
      <c r="B330" s="145">
        <v>45983.0</v>
      </c>
      <c r="C330" s="777" t="s">
        <v>1241</v>
      </c>
      <c r="D330" s="208" t="s">
        <v>1321</v>
      </c>
      <c r="E330" s="148" t="s">
        <v>28</v>
      </c>
      <c r="F330" s="765" t="s">
        <v>1322</v>
      </c>
      <c r="G330" s="149" t="s">
        <v>1323</v>
      </c>
      <c r="H330" s="148" t="s">
        <v>257</v>
      </c>
      <c r="I330" s="150">
        <v>0.2</v>
      </c>
      <c r="J330" s="168">
        <v>960.0</v>
      </c>
      <c r="K330" s="169">
        <f t="shared" si="1"/>
        <v>3839</v>
      </c>
      <c r="L330" s="170">
        <v>4799.0</v>
      </c>
      <c r="M330" s="239">
        <v>4598.16</v>
      </c>
      <c r="N330" s="155">
        <v>1019.99</v>
      </c>
      <c r="O330" s="315">
        <f t="shared" si="52"/>
        <v>200.84</v>
      </c>
      <c r="P330" s="344">
        <f t="shared" si="46"/>
        <v>40.84</v>
      </c>
      <c r="Q330" s="510">
        <v>100.0</v>
      </c>
      <c r="R330" s="672" t="b">
        <v>1</v>
      </c>
      <c r="S330" s="318"/>
      <c r="T330" s="319"/>
      <c r="U330" s="343">
        <v>10.0</v>
      </c>
      <c r="V330" s="144" t="s">
        <v>584</v>
      </c>
      <c r="W330" s="148" t="s">
        <v>584</v>
      </c>
      <c r="X330" s="163"/>
      <c r="Y330" s="144" t="s">
        <v>584</v>
      </c>
      <c r="Z330" s="164"/>
      <c r="AA330" s="116"/>
      <c r="AB330" s="116"/>
      <c r="AC330" s="165"/>
      <c r="AD330" s="675" t="str">
        <f t="shared" si="47"/>
        <v>noviembre</v>
      </c>
      <c r="AE330" s="144" t="s">
        <v>1085</v>
      </c>
      <c r="AF330" s="149" t="b">
        <v>1</v>
      </c>
      <c r="AG330" s="144" t="s">
        <v>1187</v>
      </c>
      <c r="AH330" s="149" t="b">
        <v>0</v>
      </c>
      <c r="AI330" s="162"/>
      <c r="AJ330" s="143"/>
      <c r="AK330" s="143"/>
      <c r="AL330" s="143"/>
      <c r="AM330" s="143"/>
      <c r="AN330" s="143"/>
      <c r="AO330" s="143"/>
      <c r="AP330" s="143"/>
      <c r="AQ330" s="143"/>
    </row>
    <row r="331" ht="22.5" hidden="1" customHeight="1">
      <c r="A331" s="434" t="s">
        <v>34</v>
      </c>
      <c r="B331" s="435">
        <v>45983.0</v>
      </c>
      <c r="C331" s="497" t="s">
        <v>1324</v>
      </c>
      <c r="D331" s="437" t="s">
        <v>1325</v>
      </c>
      <c r="E331" s="438" t="s">
        <v>28</v>
      </c>
      <c r="F331" s="767" t="s">
        <v>1326</v>
      </c>
      <c r="G331" s="440">
        <v>5.1926836776E10</v>
      </c>
      <c r="H331" s="438" t="s">
        <v>257</v>
      </c>
      <c r="I331" s="438" t="s">
        <v>61</v>
      </c>
      <c r="J331" s="706">
        <v>3000.0</v>
      </c>
      <c r="K331" s="441">
        <f t="shared" si="1"/>
        <v>1999</v>
      </c>
      <c r="L331" s="170">
        <v>4999.0</v>
      </c>
      <c r="M331" s="239">
        <v>4450.0</v>
      </c>
      <c r="N331" s="155">
        <v>979.99</v>
      </c>
      <c r="O331" s="315">
        <f t="shared" si="52"/>
        <v>549</v>
      </c>
      <c r="P331" s="344">
        <f t="shared" si="46"/>
        <v>359</v>
      </c>
      <c r="Q331" s="321">
        <v>190.0</v>
      </c>
      <c r="R331" s="672" t="b">
        <v>0</v>
      </c>
      <c r="S331" s="442"/>
      <c r="T331" s="443"/>
      <c r="U331" s="442"/>
      <c r="V331" s="434" t="s">
        <v>584</v>
      </c>
      <c r="W331" s="438" t="s">
        <v>584</v>
      </c>
      <c r="X331" s="445"/>
      <c r="Y331" s="444"/>
      <c r="Z331" s="450"/>
      <c r="AA331" s="447"/>
      <c r="AB331" s="447"/>
      <c r="AC331" s="575"/>
      <c r="AD331" s="709" t="str">
        <f t="shared" si="47"/>
        <v>noviembre</v>
      </c>
      <c r="AE331" s="434" t="s">
        <v>1085</v>
      </c>
      <c r="AF331" s="440" t="b">
        <v>1</v>
      </c>
      <c r="AG331" s="144" t="s">
        <v>1085</v>
      </c>
      <c r="AH331" s="149" t="b">
        <v>0</v>
      </c>
      <c r="AI331" s="162"/>
      <c r="AJ331" s="448"/>
      <c r="AK331" s="448"/>
      <c r="AL331" s="448"/>
      <c r="AM331" s="448"/>
      <c r="AN331" s="448"/>
      <c r="AO331" s="448"/>
      <c r="AP331" s="448"/>
      <c r="AQ331" s="448"/>
    </row>
    <row r="332" ht="22.5" customHeight="1">
      <c r="A332" s="144" t="s">
        <v>162</v>
      </c>
      <c r="B332" s="145">
        <v>45983.0</v>
      </c>
      <c r="C332" s="207" t="s">
        <v>1327</v>
      </c>
      <c r="D332" s="208" t="s">
        <v>1328</v>
      </c>
      <c r="E332" s="148" t="s">
        <v>28</v>
      </c>
      <c r="F332" s="765" t="s">
        <v>1329</v>
      </c>
      <c r="G332" s="149" t="s">
        <v>1330</v>
      </c>
      <c r="H332" s="148" t="s">
        <v>257</v>
      </c>
      <c r="I332" s="150">
        <v>0.2</v>
      </c>
      <c r="J332" s="168">
        <v>1430.0</v>
      </c>
      <c r="K332" s="169">
        <f t="shared" si="1"/>
        <v>5816.25</v>
      </c>
      <c r="L332" s="170">
        <v>7246.25</v>
      </c>
      <c r="M332" s="239">
        <v>6931.0</v>
      </c>
      <c r="N332" s="155">
        <v>1599.99</v>
      </c>
      <c r="O332" s="315">
        <f t="shared" si="52"/>
        <v>315.25</v>
      </c>
      <c r="P332" s="344">
        <f t="shared" si="46"/>
        <v>20.25</v>
      </c>
      <c r="Q332" s="510">
        <v>285.0</v>
      </c>
      <c r="R332" s="672" t="b">
        <v>0</v>
      </c>
      <c r="S332" s="318"/>
      <c r="T332" s="319"/>
      <c r="U332" s="343">
        <v>10.0</v>
      </c>
      <c r="V332" s="144" t="s">
        <v>584</v>
      </c>
      <c r="W332" s="148" t="s">
        <v>584</v>
      </c>
      <c r="X332" s="163"/>
      <c r="Y332" s="144" t="s">
        <v>584</v>
      </c>
      <c r="Z332" s="164"/>
      <c r="AA332" s="116"/>
      <c r="AB332" s="116"/>
      <c r="AC332" s="165"/>
      <c r="AD332" s="675" t="str">
        <f t="shared" si="47"/>
        <v>noviembre</v>
      </c>
      <c r="AE332" s="144" t="s">
        <v>1187</v>
      </c>
      <c r="AF332" s="149" t="b">
        <v>1</v>
      </c>
      <c r="AG332" s="144" t="s">
        <v>1187</v>
      </c>
      <c r="AH332" s="149" t="b">
        <v>0</v>
      </c>
      <c r="AI332" s="162"/>
      <c r="AJ332" s="143"/>
      <c r="AK332" s="143"/>
      <c r="AL332" s="143"/>
      <c r="AM332" s="143"/>
      <c r="AN332" s="143"/>
      <c r="AO332" s="143"/>
      <c r="AP332" s="143"/>
      <c r="AQ332" s="143"/>
    </row>
    <row r="333" ht="22.5" customHeight="1">
      <c r="A333" s="144" t="s">
        <v>162</v>
      </c>
      <c r="B333" s="145">
        <v>45983.0</v>
      </c>
      <c r="C333" s="149" t="s">
        <v>1276</v>
      </c>
      <c r="D333" s="329" t="s">
        <v>1331</v>
      </c>
      <c r="E333" s="148" t="s">
        <v>28</v>
      </c>
      <c r="F333" s="208" t="s">
        <v>1332</v>
      </c>
      <c r="G333" s="149">
        <v>5.1938978498E10</v>
      </c>
      <c r="H333" s="148" t="s">
        <v>257</v>
      </c>
      <c r="I333" s="150">
        <v>0.2</v>
      </c>
      <c r="J333" s="168">
        <v>1200.0</v>
      </c>
      <c r="K333" s="169">
        <f t="shared" si="1"/>
        <v>4799</v>
      </c>
      <c r="L333" s="170">
        <v>5999.0</v>
      </c>
      <c r="M333" s="239">
        <v>5811.0</v>
      </c>
      <c r="N333" s="155">
        <v>1359.99</v>
      </c>
      <c r="O333" s="315">
        <f t="shared" si="52"/>
        <v>188</v>
      </c>
      <c r="P333" s="344">
        <f t="shared" si="46"/>
        <v>68</v>
      </c>
      <c r="Q333" s="321">
        <v>120.0</v>
      </c>
      <c r="R333" s="672" t="b">
        <v>0</v>
      </c>
      <c r="S333" s="318"/>
      <c r="T333" s="319"/>
      <c r="U333" s="315"/>
      <c r="V333" s="144" t="s">
        <v>584</v>
      </c>
      <c r="W333" s="148" t="s">
        <v>584</v>
      </c>
      <c r="X333" s="163"/>
      <c r="Y333" s="144" t="s">
        <v>584</v>
      </c>
      <c r="Z333" s="164"/>
      <c r="AA333" s="116"/>
      <c r="AB333" s="116"/>
      <c r="AC333" s="165"/>
      <c r="AD333" s="675" t="str">
        <f t="shared" si="47"/>
        <v>noviembre</v>
      </c>
      <c r="AE333" s="144" t="s">
        <v>1085</v>
      </c>
      <c r="AF333" s="149" t="b">
        <v>1</v>
      </c>
      <c r="AG333" s="144" t="s">
        <v>1085</v>
      </c>
      <c r="AH333" s="149" t="b">
        <v>0</v>
      </c>
      <c r="AI333" s="162"/>
      <c r="AJ333" s="143"/>
      <c r="AK333" s="143"/>
      <c r="AL333" s="143"/>
      <c r="AM333" s="143"/>
      <c r="AN333" s="143"/>
      <c r="AO333" s="143"/>
      <c r="AP333" s="143"/>
      <c r="AQ333" s="143"/>
    </row>
    <row r="334" ht="22.5" hidden="1" customHeight="1">
      <c r="A334" s="144" t="s">
        <v>259</v>
      </c>
      <c r="B334" s="772">
        <v>45983.0</v>
      </c>
      <c r="C334" s="207" t="s">
        <v>1333</v>
      </c>
      <c r="D334" s="366" t="s">
        <v>1334</v>
      </c>
      <c r="E334" s="148" t="s">
        <v>28</v>
      </c>
      <c r="F334" s="766" t="s">
        <v>1335</v>
      </c>
      <c r="G334" s="149">
        <v>5.1918303986E10</v>
      </c>
      <c r="H334" s="148" t="s">
        <v>257</v>
      </c>
      <c r="I334" s="148" t="s">
        <v>61</v>
      </c>
      <c r="J334" s="312">
        <v>1180.0</v>
      </c>
      <c r="K334" s="169">
        <f t="shared" si="1"/>
        <v>4719</v>
      </c>
      <c r="L334" s="170">
        <v>5899.0</v>
      </c>
      <c r="M334" s="239">
        <v>5610.0</v>
      </c>
      <c r="N334" s="155">
        <v>1299.99</v>
      </c>
      <c r="O334" s="315">
        <f t="shared" si="52"/>
        <v>289</v>
      </c>
      <c r="P334" s="344">
        <f t="shared" si="46"/>
        <v>189</v>
      </c>
      <c r="Q334" s="510">
        <v>100.0</v>
      </c>
      <c r="R334" s="672" t="b">
        <v>0</v>
      </c>
      <c r="S334" s="318"/>
      <c r="T334" s="319"/>
      <c r="U334" s="315"/>
      <c r="V334" s="144" t="s">
        <v>584</v>
      </c>
      <c r="W334" s="148" t="s">
        <v>584</v>
      </c>
      <c r="X334" s="163"/>
      <c r="Y334" s="144" t="s">
        <v>584</v>
      </c>
      <c r="Z334" s="164"/>
      <c r="AA334" s="116"/>
      <c r="AB334" s="116"/>
      <c r="AC334" s="165"/>
      <c r="AD334" s="675" t="str">
        <f t="shared" si="47"/>
        <v>noviembre</v>
      </c>
      <c r="AE334" s="144" t="s">
        <v>1085</v>
      </c>
      <c r="AF334" s="149" t="b">
        <v>1</v>
      </c>
      <c r="AG334" s="144" t="s">
        <v>1187</v>
      </c>
      <c r="AH334" s="149" t="b">
        <v>0</v>
      </c>
      <c r="AI334" s="162"/>
      <c r="AJ334" s="143"/>
      <c r="AK334" s="143"/>
      <c r="AL334" s="143"/>
      <c r="AM334" s="143"/>
      <c r="AN334" s="143"/>
      <c r="AO334" s="143"/>
      <c r="AP334" s="143"/>
      <c r="AQ334" s="143"/>
    </row>
    <row r="335" ht="22.5" hidden="1" customHeight="1">
      <c r="A335" s="144" t="s">
        <v>259</v>
      </c>
      <c r="B335" s="772">
        <v>45983.0</v>
      </c>
      <c r="C335" s="353" t="s">
        <v>1336</v>
      </c>
      <c r="D335" s="329" t="s">
        <v>1337</v>
      </c>
      <c r="E335" s="148" t="s">
        <v>28</v>
      </c>
      <c r="F335" s="765" t="s">
        <v>1338</v>
      </c>
      <c r="G335" s="149">
        <v>5.1988365312E10</v>
      </c>
      <c r="H335" s="148" t="s">
        <v>257</v>
      </c>
      <c r="I335" s="150">
        <v>0.2</v>
      </c>
      <c r="J335" s="312">
        <v>1719.0</v>
      </c>
      <c r="K335" s="169">
        <f t="shared" si="1"/>
        <v>6880</v>
      </c>
      <c r="L335" s="170">
        <v>8599.0</v>
      </c>
      <c r="M335" s="239">
        <v>7970.0</v>
      </c>
      <c r="N335" s="155">
        <v>1799.99</v>
      </c>
      <c r="O335" s="315">
        <f t="shared" si="52"/>
        <v>629</v>
      </c>
      <c r="P335" s="344">
        <f t="shared" si="46"/>
        <v>499</v>
      </c>
      <c r="Q335" s="510">
        <v>120.0</v>
      </c>
      <c r="R335" s="672" t="b">
        <v>0</v>
      </c>
      <c r="S335" s="318"/>
      <c r="T335" s="319"/>
      <c r="U335" s="343">
        <v>10.0</v>
      </c>
      <c r="V335" s="144" t="s">
        <v>584</v>
      </c>
      <c r="W335" s="148" t="s">
        <v>584</v>
      </c>
      <c r="X335" s="163"/>
      <c r="Y335" s="144" t="s">
        <v>584</v>
      </c>
      <c r="Z335" s="164"/>
      <c r="AA335" s="116"/>
      <c r="AB335" s="116"/>
      <c r="AC335" s="165"/>
      <c r="AD335" s="675" t="str">
        <f t="shared" si="47"/>
        <v>noviembre</v>
      </c>
      <c r="AE335" s="144" t="s">
        <v>1085</v>
      </c>
      <c r="AF335" s="149" t="b">
        <v>1</v>
      </c>
      <c r="AG335" s="144" t="s">
        <v>1187</v>
      </c>
      <c r="AH335" s="149" t="b">
        <v>0</v>
      </c>
      <c r="AI335" s="162"/>
      <c r="AJ335" s="143"/>
      <c r="AK335" s="143"/>
      <c r="AL335" s="143"/>
      <c r="AM335" s="143"/>
      <c r="AN335" s="143"/>
      <c r="AO335" s="143"/>
      <c r="AP335" s="143"/>
      <c r="AQ335" s="143"/>
    </row>
    <row r="336" ht="22.5" hidden="1" customHeight="1">
      <c r="A336" s="434" t="s">
        <v>34</v>
      </c>
      <c r="B336" s="435">
        <v>45983.0</v>
      </c>
      <c r="C336" s="440" t="s">
        <v>1276</v>
      </c>
      <c r="D336" s="456" t="s">
        <v>1339</v>
      </c>
      <c r="E336" s="438" t="s">
        <v>28</v>
      </c>
      <c r="F336" s="788" t="s">
        <v>1340</v>
      </c>
      <c r="G336" s="440" t="s">
        <v>1341</v>
      </c>
      <c r="H336" s="438" t="s">
        <v>257</v>
      </c>
      <c r="I336" s="727"/>
      <c r="J336" s="706">
        <v>1200.0</v>
      </c>
      <c r="K336" s="441">
        <f t="shared" si="1"/>
        <v>4799</v>
      </c>
      <c r="L336" s="170">
        <v>5999.0</v>
      </c>
      <c r="M336" s="239">
        <v>5811.0</v>
      </c>
      <c r="N336" s="155">
        <v>1359.99</v>
      </c>
      <c r="O336" s="315">
        <f t="shared" si="52"/>
        <v>188</v>
      </c>
      <c r="P336" s="344">
        <f t="shared" si="46"/>
        <v>88</v>
      </c>
      <c r="Q336" s="321">
        <v>100.0</v>
      </c>
      <c r="R336" s="672" t="b">
        <v>0</v>
      </c>
      <c r="S336" s="442"/>
      <c r="T336" s="443"/>
      <c r="U336" s="442"/>
      <c r="V336" s="434" t="s">
        <v>584</v>
      </c>
      <c r="W336" s="438" t="s">
        <v>584</v>
      </c>
      <c r="X336" s="445"/>
      <c r="Y336" s="434" t="s">
        <v>584</v>
      </c>
      <c r="Z336" s="450"/>
      <c r="AA336" s="447"/>
      <c r="AB336" s="447"/>
      <c r="AC336" s="575"/>
      <c r="AD336" s="709" t="str">
        <f t="shared" si="47"/>
        <v>noviembre</v>
      </c>
      <c r="AE336" s="434" t="s">
        <v>1085</v>
      </c>
      <c r="AF336" s="440" t="b">
        <v>1</v>
      </c>
      <c r="AG336" s="144" t="s">
        <v>1085</v>
      </c>
      <c r="AH336" s="149" t="b">
        <v>0</v>
      </c>
      <c r="AI336" s="162"/>
      <c r="AJ336" s="448"/>
      <c r="AK336" s="448"/>
      <c r="AL336" s="448"/>
      <c r="AM336" s="448"/>
      <c r="AN336" s="448"/>
      <c r="AO336" s="448"/>
      <c r="AP336" s="448"/>
      <c r="AQ336" s="448"/>
    </row>
    <row r="337" ht="22.5" hidden="1" customHeight="1">
      <c r="A337" s="144" t="s">
        <v>34</v>
      </c>
      <c r="B337" s="145">
        <v>45983.0</v>
      </c>
      <c r="C337" s="149" t="s">
        <v>1276</v>
      </c>
      <c r="D337" s="208" t="s">
        <v>1342</v>
      </c>
      <c r="E337" s="148" t="s">
        <v>28</v>
      </c>
      <c r="F337" s="766" t="s">
        <v>1343</v>
      </c>
      <c r="G337" s="149" t="s">
        <v>1344</v>
      </c>
      <c r="H337" s="148" t="s">
        <v>257</v>
      </c>
      <c r="I337" s="669"/>
      <c r="J337" s="168">
        <v>1200.0</v>
      </c>
      <c r="K337" s="169">
        <f t="shared" si="1"/>
        <v>4799</v>
      </c>
      <c r="L337" s="170">
        <v>5999.0</v>
      </c>
      <c r="M337" s="239">
        <v>5704.49</v>
      </c>
      <c r="N337" s="155">
        <v>1324.99</v>
      </c>
      <c r="O337" s="315">
        <f t="shared" si="52"/>
        <v>294.51</v>
      </c>
      <c r="P337" s="344">
        <f t="shared" si="46"/>
        <v>134.51</v>
      </c>
      <c r="Q337" s="510">
        <v>100.0</v>
      </c>
      <c r="R337" s="672" t="b">
        <v>1</v>
      </c>
      <c r="S337" s="318"/>
      <c r="T337" s="347"/>
      <c r="U337" s="347">
        <v>10.0</v>
      </c>
      <c r="V337" s="144" t="s">
        <v>584</v>
      </c>
      <c r="W337" s="148" t="s">
        <v>584</v>
      </c>
      <c r="X337" s="163"/>
      <c r="Y337" s="144" t="s">
        <v>584</v>
      </c>
      <c r="Z337" s="164"/>
      <c r="AA337" s="116"/>
      <c r="AB337" s="116"/>
      <c r="AC337" s="165"/>
      <c r="AD337" s="675" t="str">
        <f t="shared" si="47"/>
        <v>noviembre</v>
      </c>
      <c r="AE337" s="144" t="s">
        <v>1187</v>
      </c>
      <c r="AF337" s="149" t="b">
        <v>1</v>
      </c>
      <c r="AG337" s="144" t="s">
        <v>1187</v>
      </c>
      <c r="AH337" s="149" t="b">
        <v>0</v>
      </c>
      <c r="AI337" s="162"/>
      <c r="AJ337" s="143"/>
      <c r="AK337" s="143"/>
      <c r="AL337" s="143"/>
      <c r="AM337" s="143"/>
      <c r="AN337" s="143"/>
      <c r="AO337" s="143"/>
      <c r="AP337" s="143"/>
      <c r="AQ337" s="143"/>
    </row>
    <row r="338" ht="22.5" hidden="1" customHeight="1">
      <c r="A338" s="144" t="s">
        <v>34</v>
      </c>
      <c r="B338" s="145">
        <v>45983.0</v>
      </c>
      <c r="C338" s="149" t="s">
        <v>1345</v>
      </c>
      <c r="D338" s="208" t="s">
        <v>1346</v>
      </c>
      <c r="E338" s="148" t="s">
        <v>28</v>
      </c>
      <c r="F338" s="766" t="s">
        <v>1347</v>
      </c>
      <c r="G338" s="149" t="s">
        <v>1348</v>
      </c>
      <c r="H338" s="148" t="s">
        <v>257</v>
      </c>
      <c r="I338" s="669"/>
      <c r="J338" s="168">
        <v>960.0</v>
      </c>
      <c r="K338" s="169">
        <f t="shared" si="1"/>
        <v>3839</v>
      </c>
      <c r="L338" s="170">
        <v>4799.0</v>
      </c>
      <c r="M338" s="239">
        <v>4525.62</v>
      </c>
      <c r="N338" s="155">
        <v>999.99</v>
      </c>
      <c r="O338" s="315">
        <f t="shared" si="52"/>
        <v>273.38</v>
      </c>
      <c r="P338" s="344">
        <f t="shared" si="46"/>
        <v>113.38</v>
      </c>
      <c r="Q338" s="510">
        <v>100.0</v>
      </c>
      <c r="R338" s="672" t="b">
        <v>1</v>
      </c>
      <c r="S338" s="318"/>
      <c r="T338" s="347"/>
      <c r="U338" s="347">
        <v>10.0</v>
      </c>
      <c r="V338" s="144" t="s">
        <v>584</v>
      </c>
      <c r="W338" s="148" t="s">
        <v>584</v>
      </c>
      <c r="X338" s="163"/>
      <c r="Y338" s="144" t="s">
        <v>584</v>
      </c>
      <c r="Z338" s="164"/>
      <c r="AA338" s="116"/>
      <c r="AB338" s="116"/>
      <c r="AC338" s="165"/>
      <c r="AD338" s="675" t="str">
        <f t="shared" si="47"/>
        <v>noviembre</v>
      </c>
      <c r="AE338" s="144" t="s">
        <v>1187</v>
      </c>
      <c r="AF338" s="149" t="b">
        <v>1</v>
      </c>
      <c r="AG338" s="144" t="s">
        <v>1187</v>
      </c>
      <c r="AH338" s="149" t="b">
        <v>0</v>
      </c>
      <c r="AI338" s="162"/>
      <c r="AJ338" s="143"/>
      <c r="AK338" s="143"/>
      <c r="AL338" s="143"/>
      <c r="AM338" s="143"/>
      <c r="AN338" s="143"/>
      <c r="AO338" s="143"/>
      <c r="AP338" s="143"/>
      <c r="AQ338" s="143"/>
    </row>
    <row r="339" ht="22.5" customHeight="1">
      <c r="A339" s="144" t="s">
        <v>162</v>
      </c>
      <c r="B339" s="145">
        <v>45985.0</v>
      </c>
      <c r="C339" s="353" t="s">
        <v>1349</v>
      </c>
      <c r="D339" s="208" t="s">
        <v>1350</v>
      </c>
      <c r="E339" s="148" t="s">
        <v>28</v>
      </c>
      <c r="F339" s="766" t="s">
        <v>1351</v>
      </c>
      <c r="G339" s="149" t="s">
        <v>1352</v>
      </c>
      <c r="H339" s="148" t="s">
        <v>257</v>
      </c>
      <c r="I339" s="150">
        <v>0.2</v>
      </c>
      <c r="J339" s="168">
        <v>839.0</v>
      </c>
      <c r="K339" s="169">
        <f t="shared" si="1"/>
        <v>3360</v>
      </c>
      <c r="L339" s="170">
        <v>4199.0</v>
      </c>
      <c r="M339" s="239">
        <v>4126.1</v>
      </c>
      <c r="N339" s="155">
        <v>799.99</v>
      </c>
      <c r="O339" s="315">
        <f t="shared" si="52"/>
        <v>72.9</v>
      </c>
      <c r="P339" s="741">
        <f t="shared" si="46"/>
        <v>2.9</v>
      </c>
      <c r="Q339" s="510">
        <v>70.0</v>
      </c>
      <c r="R339" s="672" t="b">
        <v>0</v>
      </c>
      <c r="S339" s="318"/>
      <c r="T339" s="319"/>
      <c r="U339" s="315"/>
      <c r="V339" s="144" t="s">
        <v>584</v>
      </c>
      <c r="W339" s="148" t="s">
        <v>584</v>
      </c>
      <c r="X339" s="163"/>
      <c r="Y339" s="144" t="s">
        <v>584</v>
      </c>
      <c r="Z339" s="164"/>
      <c r="AA339" s="116"/>
      <c r="AB339" s="116"/>
      <c r="AC339" s="165"/>
      <c r="AD339" s="675" t="str">
        <f t="shared" si="47"/>
        <v>noviembre</v>
      </c>
      <c r="AE339" s="144" t="s">
        <v>1085</v>
      </c>
      <c r="AF339" s="149" t="b">
        <v>1</v>
      </c>
      <c r="AG339" s="144" t="s">
        <v>1187</v>
      </c>
      <c r="AH339" s="149" t="b">
        <v>0</v>
      </c>
      <c r="AI339" s="162"/>
      <c r="AJ339" s="143"/>
      <c r="AK339" s="143"/>
      <c r="AL339" s="143"/>
      <c r="AM339" s="143"/>
      <c r="AN339" s="143"/>
      <c r="AO339" s="143"/>
      <c r="AP339" s="143"/>
      <c r="AQ339" s="143"/>
    </row>
    <row r="340" ht="22.5" hidden="1" customHeight="1">
      <c r="A340" s="144" t="s">
        <v>259</v>
      </c>
      <c r="B340" s="772">
        <v>45985.0</v>
      </c>
      <c r="C340" s="149" t="s">
        <v>1353</v>
      </c>
      <c r="D340" s="366" t="s">
        <v>1354</v>
      </c>
      <c r="E340" s="148" t="s">
        <v>28</v>
      </c>
      <c r="F340" s="766" t="s">
        <v>1355</v>
      </c>
      <c r="G340" s="149" t="s">
        <v>1356</v>
      </c>
      <c r="H340" s="148" t="s">
        <v>257</v>
      </c>
      <c r="I340" s="150">
        <v>0.2</v>
      </c>
      <c r="J340" s="312">
        <v>1260.0</v>
      </c>
      <c r="K340" s="169">
        <f t="shared" si="1"/>
        <v>5039</v>
      </c>
      <c r="L340" s="170">
        <v>6299.0</v>
      </c>
      <c r="M340" s="239">
        <v>5263.0</v>
      </c>
      <c r="N340" s="155">
        <v>1199.0</v>
      </c>
      <c r="O340" s="315">
        <f t="shared" si="52"/>
        <v>1036</v>
      </c>
      <c r="P340" s="344">
        <f t="shared" si="46"/>
        <v>856</v>
      </c>
      <c r="Q340" s="510">
        <v>170.0</v>
      </c>
      <c r="R340" s="672" t="b">
        <v>0</v>
      </c>
      <c r="S340" s="318"/>
      <c r="T340" s="315"/>
      <c r="U340" s="573">
        <v>10.0</v>
      </c>
      <c r="V340" s="144" t="s">
        <v>584</v>
      </c>
      <c r="W340" s="148" t="s">
        <v>584</v>
      </c>
      <c r="X340" s="163"/>
      <c r="Y340" s="144" t="s">
        <v>584</v>
      </c>
      <c r="Z340" s="164"/>
      <c r="AA340" s="116"/>
      <c r="AB340" s="116"/>
      <c r="AC340" s="165"/>
      <c r="AD340" s="675" t="str">
        <f t="shared" si="47"/>
        <v>noviembre</v>
      </c>
      <c r="AE340" s="144" t="s">
        <v>1187</v>
      </c>
      <c r="AF340" s="149" t="b">
        <v>1</v>
      </c>
      <c r="AG340" s="144" t="s">
        <v>1187</v>
      </c>
      <c r="AH340" s="149" t="b">
        <v>0</v>
      </c>
      <c r="AI340" s="162"/>
      <c r="AJ340" s="143"/>
      <c r="AK340" s="143"/>
      <c r="AL340" s="143"/>
      <c r="AM340" s="143"/>
      <c r="AN340" s="143"/>
      <c r="AO340" s="143"/>
      <c r="AP340" s="143"/>
      <c r="AQ340" s="143"/>
    </row>
    <row r="341" ht="22.5" customHeight="1">
      <c r="A341" s="144" t="s">
        <v>162</v>
      </c>
      <c r="B341" s="145">
        <v>45986.0</v>
      </c>
      <c r="C341" s="149" t="s">
        <v>617</v>
      </c>
      <c r="D341" s="208" t="s">
        <v>1357</v>
      </c>
      <c r="E341" s="148" t="s">
        <v>28</v>
      </c>
      <c r="F341" s="766" t="s">
        <v>1358</v>
      </c>
      <c r="G341" s="149" t="s">
        <v>1359</v>
      </c>
      <c r="H341" s="148" t="s">
        <v>257</v>
      </c>
      <c r="I341" s="150">
        <v>0.2</v>
      </c>
      <c r="J341" s="168">
        <v>5900.0</v>
      </c>
      <c r="K341" s="169">
        <f t="shared" si="1"/>
        <v>2898</v>
      </c>
      <c r="L341" s="170">
        <v>8798.0</v>
      </c>
      <c r="M341" s="239">
        <v>8130.24</v>
      </c>
      <c r="N341" s="155">
        <v>1879.99</v>
      </c>
      <c r="O341" s="315">
        <f t="shared" si="52"/>
        <v>667.76</v>
      </c>
      <c r="P341" s="741">
        <f t="shared" si="46"/>
        <v>178.76</v>
      </c>
      <c r="Q341" s="510">
        <v>190.0</v>
      </c>
      <c r="R341" s="672" t="b">
        <v>0</v>
      </c>
      <c r="S341" s="346">
        <v>299.0</v>
      </c>
      <c r="T341" s="319"/>
      <c r="U341" s="315"/>
      <c r="V341" s="144" t="s">
        <v>584</v>
      </c>
      <c r="W341" s="148" t="s">
        <v>584</v>
      </c>
      <c r="X341" s="163"/>
      <c r="Y341" s="144" t="s">
        <v>584</v>
      </c>
      <c r="Z341" s="164"/>
      <c r="AA341" s="116"/>
      <c r="AB341" s="116"/>
      <c r="AC341" s="165"/>
      <c r="AD341" s="675" t="str">
        <f t="shared" si="47"/>
        <v>noviembre</v>
      </c>
      <c r="AE341" s="144" t="s">
        <v>1085</v>
      </c>
      <c r="AF341" s="149" t="b">
        <v>1</v>
      </c>
      <c r="AG341" s="144" t="s">
        <v>1187</v>
      </c>
      <c r="AH341" s="149" t="b">
        <v>0</v>
      </c>
      <c r="AI341" s="162"/>
      <c r="AJ341" s="143"/>
      <c r="AK341" s="143"/>
      <c r="AL341" s="143"/>
      <c r="AM341" s="143"/>
      <c r="AN341" s="143"/>
      <c r="AO341" s="143"/>
      <c r="AP341" s="143"/>
      <c r="AQ341" s="143"/>
    </row>
    <row r="342" ht="22.5" hidden="1" customHeight="1">
      <c r="A342" s="365" t="s">
        <v>34</v>
      </c>
      <c r="B342" s="187">
        <v>45986.0</v>
      </c>
      <c r="C342" s="368" t="s">
        <v>1360</v>
      </c>
      <c r="D342" s="329" t="s">
        <v>1361</v>
      </c>
      <c r="E342" s="367" t="s">
        <v>28</v>
      </c>
      <c r="F342" s="789" t="s">
        <v>1362</v>
      </c>
      <c r="G342" s="368">
        <v>5.194353933E10</v>
      </c>
      <c r="H342" s="367" t="s">
        <v>257</v>
      </c>
      <c r="I342" s="369">
        <v>0.2</v>
      </c>
      <c r="J342" s="790">
        <v>1259.0</v>
      </c>
      <c r="K342" s="370">
        <f t="shared" si="1"/>
        <v>5040</v>
      </c>
      <c r="L342" s="170">
        <v>6299.0</v>
      </c>
      <c r="M342" s="239">
        <v>5795.17</v>
      </c>
      <c r="N342" s="155">
        <v>1349.99</v>
      </c>
      <c r="O342" s="371">
        <f t="shared" si="52"/>
        <v>503.83</v>
      </c>
      <c r="P342" s="344">
        <f t="shared" si="46"/>
        <v>253.83</v>
      </c>
      <c r="Q342" s="510">
        <v>190.0</v>
      </c>
      <c r="R342" s="672" t="b">
        <v>1</v>
      </c>
      <c r="S342" s="371"/>
      <c r="T342" s="511"/>
      <c r="U342" s="511">
        <v>10.0</v>
      </c>
      <c r="V342" s="365" t="s">
        <v>584</v>
      </c>
      <c r="W342" s="148" t="s">
        <v>584</v>
      </c>
      <c r="X342" s="163"/>
      <c r="Y342" s="365" t="s">
        <v>584</v>
      </c>
      <c r="Z342" s="373"/>
      <c r="AA342" s="374"/>
      <c r="AB342" s="374"/>
      <c r="AC342" s="388"/>
      <c r="AD342" s="791" t="str">
        <f t="shared" si="47"/>
        <v>noviembre</v>
      </c>
      <c r="AE342" s="365" t="s">
        <v>1187</v>
      </c>
      <c r="AF342" s="368" t="b">
        <v>1</v>
      </c>
      <c r="AG342" s="144" t="s">
        <v>1187</v>
      </c>
      <c r="AH342" s="149" t="b">
        <v>0</v>
      </c>
      <c r="AI342" s="162"/>
      <c r="AJ342" s="376"/>
      <c r="AK342" s="376"/>
      <c r="AL342" s="376"/>
      <c r="AM342" s="376"/>
      <c r="AN342" s="376"/>
      <c r="AO342" s="376"/>
      <c r="AP342" s="376"/>
      <c r="AQ342" s="376"/>
    </row>
    <row r="343" ht="22.5" customHeight="1">
      <c r="A343" s="144" t="s">
        <v>162</v>
      </c>
      <c r="B343" s="145">
        <v>45986.0</v>
      </c>
      <c r="C343" s="149" t="s">
        <v>903</v>
      </c>
      <c r="D343" s="329" t="s">
        <v>1363</v>
      </c>
      <c r="E343" s="148" t="s">
        <v>28</v>
      </c>
      <c r="F343" s="208" t="s">
        <v>1364</v>
      </c>
      <c r="G343" s="149">
        <v>5.1943995661E10</v>
      </c>
      <c r="H343" s="148" t="s">
        <v>257</v>
      </c>
      <c r="I343" s="150">
        <v>0.2</v>
      </c>
      <c r="J343" s="168">
        <v>1259.0</v>
      </c>
      <c r="K343" s="169">
        <f t="shared" si="1"/>
        <v>5040</v>
      </c>
      <c r="L343" s="170">
        <v>6299.0</v>
      </c>
      <c r="M343" s="239">
        <v>5880.0</v>
      </c>
      <c r="N343" s="155">
        <v>1199.99</v>
      </c>
      <c r="O343" s="315">
        <f t="shared" si="52"/>
        <v>419</v>
      </c>
      <c r="P343" s="344">
        <f t="shared" si="46"/>
        <v>219</v>
      </c>
      <c r="Q343" s="510">
        <v>190.0</v>
      </c>
      <c r="R343" s="672" t="b">
        <v>0</v>
      </c>
      <c r="S343" s="318"/>
      <c r="T343" s="319"/>
      <c r="U343" s="343">
        <v>10.0</v>
      </c>
      <c r="V343" s="144" t="s">
        <v>584</v>
      </c>
      <c r="W343" s="148" t="s">
        <v>584</v>
      </c>
      <c r="X343" s="163"/>
      <c r="Y343" s="144" t="s">
        <v>584</v>
      </c>
      <c r="Z343" s="164"/>
      <c r="AA343" s="116"/>
      <c r="AB343" s="116"/>
      <c r="AC343" s="165"/>
      <c r="AD343" s="675" t="str">
        <f t="shared" si="47"/>
        <v>noviembre</v>
      </c>
      <c r="AE343" s="144" t="s">
        <v>1085</v>
      </c>
      <c r="AF343" s="149" t="b">
        <v>1</v>
      </c>
      <c r="AG343" s="144" t="s">
        <v>1187</v>
      </c>
      <c r="AH343" s="149" t="b">
        <v>0</v>
      </c>
      <c r="AI343" s="162"/>
      <c r="AJ343" s="143"/>
      <c r="AK343" s="143"/>
      <c r="AL343" s="143"/>
      <c r="AM343" s="143"/>
      <c r="AN343" s="143"/>
      <c r="AO343" s="143"/>
      <c r="AP343" s="143"/>
      <c r="AQ343" s="143"/>
    </row>
    <row r="344" ht="22.5" customHeight="1">
      <c r="A344" s="144" t="s">
        <v>162</v>
      </c>
      <c r="B344" s="145">
        <v>45986.0</v>
      </c>
      <c r="C344" s="149" t="s">
        <v>593</v>
      </c>
      <c r="D344" s="208" t="s">
        <v>1365</v>
      </c>
      <c r="E344" s="148" t="s">
        <v>28</v>
      </c>
      <c r="F344" s="208" t="s">
        <v>1366</v>
      </c>
      <c r="G344" s="149">
        <v>5.1976618511E10</v>
      </c>
      <c r="H344" s="148" t="s">
        <v>257</v>
      </c>
      <c r="I344" s="150">
        <v>0.2</v>
      </c>
      <c r="J344" s="168">
        <v>1000.0</v>
      </c>
      <c r="K344" s="169">
        <f t="shared" si="1"/>
        <v>4000</v>
      </c>
      <c r="L344" s="170">
        <v>5000.0</v>
      </c>
      <c r="M344" s="239">
        <v>4952.0</v>
      </c>
      <c r="N344" s="155">
        <v>1049.99</v>
      </c>
      <c r="O344" s="315">
        <f t="shared" si="52"/>
        <v>48</v>
      </c>
      <c r="P344" s="741">
        <f t="shared" si="46"/>
        <v>8</v>
      </c>
      <c r="Q344" s="510">
        <v>30.0</v>
      </c>
      <c r="R344" s="672" t="b">
        <v>0</v>
      </c>
      <c r="S344" s="318"/>
      <c r="T344" s="319"/>
      <c r="U344" s="343">
        <v>10.0</v>
      </c>
      <c r="V344" s="144" t="s">
        <v>584</v>
      </c>
      <c r="W344" s="148" t="s">
        <v>584</v>
      </c>
      <c r="X344" s="163"/>
      <c r="Y344" s="162"/>
      <c r="Z344" s="164"/>
      <c r="AA344" s="116"/>
      <c r="AB344" s="116"/>
      <c r="AC344" s="165"/>
      <c r="AD344" s="675" t="str">
        <f t="shared" si="47"/>
        <v>noviembre</v>
      </c>
      <c r="AE344" s="144" t="s">
        <v>1085</v>
      </c>
      <c r="AF344" s="149" t="b">
        <v>1</v>
      </c>
      <c r="AG344" s="144" t="s">
        <v>1187</v>
      </c>
      <c r="AH344" s="149" t="b">
        <v>0</v>
      </c>
      <c r="AI344" s="162"/>
      <c r="AJ344" s="143"/>
      <c r="AK344" s="143"/>
      <c r="AL344" s="143"/>
      <c r="AM344" s="143"/>
      <c r="AN344" s="143"/>
      <c r="AO344" s="143"/>
      <c r="AP344" s="143"/>
      <c r="AQ344" s="143"/>
    </row>
    <row r="345" ht="22.5" hidden="1" customHeight="1">
      <c r="A345" s="144" t="s">
        <v>34</v>
      </c>
      <c r="B345" s="145">
        <v>45986.0</v>
      </c>
      <c r="C345" s="777" t="s">
        <v>1367</v>
      </c>
      <c r="D345" s="208" t="s">
        <v>1368</v>
      </c>
      <c r="E345" s="148" t="s">
        <v>28</v>
      </c>
      <c r="F345" s="766" t="s">
        <v>1369</v>
      </c>
      <c r="G345" s="149">
        <v>5.1965713833E10</v>
      </c>
      <c r="H345" s="148" t="s">
        <v>257</v>
      </c>
      <c r="I345" s="150">
        <v>0.2</v>
      </c>
      <c r="J345" s="168">
        <v>1519.8</v>
      </c>
      <c r="K345" s="169">
        <f t="shared" si="1"/>
        <v>6079.2</v>
      </c>
      <c r="L345" s="170">
        <v>7599.0</v>
      </c>
      <c r="M345" s="239">
        <v>7200.33</v>
      </c>
      <c r="N345" s="155">
        <v>1699.99</v>
      </c>
      <c r="O345" s="315">
        <f t="shared" si="52"/>
        <v>398.67</v>
      </c>
      <c r="P345" s="344">
        <f t="shared" si="46"/>
        <v>168.67</v>
      </c>
      <c r="Q345" s="510">
        <v>170.0</v>
      </c>
      <c r="R345" s="672" t="b">
        <v>1</v>
      </c>
      <c r="S345" s="318"/>
      <c r="T345" s="319"/>
      <c r="U345" s="343">
        <v>10.0</v>
      </c>
      <c r="V345" s="144" t="s">
        <v>584</v>
      </c>
      <c r="W345" s="148" t="s">
        <v>584</v>
      </c>
      <c r="X345" s="163"/>
      <c r="Y345" s="144" t="s">
        <v>584</v>
      </c>
      <c r="Z345" s="164"/>
      <c r="AA345" s="116"/>
      <c r="AB345" s="116"/>
      <c r="AC345" s="165"/>
      <c r="AD345" s="675" t="str">
        <f t="shared" si="47"/>
        <v>noviembre</v>
      </c>
      <c r="AE345" s="144" t="s">
        <v>1187</v>
      </c>
      <c r="AF345" s="149" t="b">
        <v>1</v>
      </c>
      <c r="AG345" s="144" t="s">
        <v>1187</v>
      </c>
      <c r="AH345" s="149" t="b">
        <v>0</v>
      </c>
      <c r="AI345" s="162"/>
      <c r="AJ345" s="143"/>
      <c r="AK345" s="143"/>
      <c r="AL345" s="143"/>
      <c r="AM345" s="143"/>
      <c r="AN345" s="143"/>
      <c r="AO345" s="143"/>
      <c r="AP345" s="143"/>
      <c r="AQ345" s="143"/>
    </row>
    <row r="346" ht="22.5" hidden="1" customHeight="1">
      <c r="A346" s="144" t="s">
        <v>259</v>
      </c>
      <c r="B346" s="772">
        <v>45986.0</v>
      </c>
      <c r="C346" s="353" t="s">
        <v>1370</v>
      </c>
      <c r="D346" s="366" t="s">
        <v>1371</v>
      </c>
      <c r="E346" s="148" t="s">
        <v>28</v>
      </c>
      <c r="F346" s="262" t="s">
        <v>1372</v>
      </c>
      <c r="G346" s="149">
        <v>5.1979607981E10</v>
      </c>
      <c r="H346" s="148" t="s">
        <v>257</v>
      </c>
      <c r="I346" s="150">
        <v>0.3</v>
      </c>
      <c r="J346" s="312">
        <v>4140.0</v>
      </c>
      <c r="K346" s="169">
        <f t="shared" si="1"/>
        <v>9660</v>
      </c>
      <c r="L346" s="170">
        <v>13800.0</v>
      </c>
      <c r="M346" s="239">
        <v>13631.0</v>
      </c>
      <c r="N346" s="155">
        <v>3199.99</v>
      </c>
      <c r="O346" s="315">
        <f t="shared" si="52"/>
        <v>169</v>
      </c>
      <c r="P346" s="344">
        <f t="shared" si="46"/>
        <v>169</v>
      </c>
      <c r="Q346" s="321"/>
      <c r="R346" s="672" t="b">
        <v>0</v>
      </c>
      <c r="S346" s="318"/>
      <c r="T346" s="319"/>
      <c r="U346" s="315"/>
      <c r="V346" s="144" t="s">
        <v>584</v>
      </c>
      <c r="W346" s="148" t="s">
        <v>584</v>
      </c>
      <c r="X346" s="163"/>
      <c r="Y346" s="144" t="s">
        <v>584</v>
      </c>
      <c r="Z346" s="164"/>
      <c r="AA346" s="116"/>
      <c r="AB346" s="116"/>
      <c r="AC346" s="165"/>
      <c r="AD346" s="675" t="str">
        <f t="shared" si="47"/>
        <v>noviembre</v>
      </c>
      <c r="AE346" s="144" t="s">
        <v>1085</v>
      </c>
      <c r="AF346" s="149" t="b">
        <v>1</v>
      </c>
      <c r="AG346" s="144" t="s">
        <v>1187</v>
      </c>
      <c r="AH346" s="149" t="b">
        <v>0</v>
      </c>
      <c r="AI346" s="162"/>
      <c r="AJ346" s="143"/>
      <c r="AK346" s="143"/>
      <c r="AL346" s="143"/>
      <c r="AM346" s="143"/>
      <c r="AN346" s="143"/>
      <c r="AO346" s="143"/>
      <c r="AP346" s="143"/>
      <c r="AQ346" s="143"/>
    </row>
    <row r="347" ht="22.5" hidden="1" customHeight="1">
      <c r="A347" s="144" t="s">
        <v>259</v>
      </c>
      <c r="B347" s="145">
        <v>45987.0</v>
      </c>
      <c r="C347" s="792" t="s">
        <v>1098</v>
      </c>
      <c r="D347" s="366" t="s">
        <v>1373</v>
      </c>
      <c r="E347" s="148" t="s">
        <v>28</v>
      </c>
      <c r="F347" s="540" t="s">
        <v>1374</v>
      </c>
      <c r="G347" s="149" t="s">
        <v>1375</v>
      </c>
      <c r="H347" s="148" t="s">
        <v>257</v>
      </c>
      <c r="I347" s="148" t="s">
        <v>61</v>
      </c>
      <c r="J347" s="312">
        <v>500.0</v>
      </c>
      <c r="K347" s="169">
        <f t="shared" si="1"/>
        <v>5699</v>
      </c>
      <c r="L347" s="170">
        <v>6199.0</v>
      </c>
      <c r="M347" s="239">
        <v>5748.0</v>
      </c>
      <c r="N347" s="155">
        <v>1299.99</v>
      </c>
      <c r="O347" s="315">
        <f t="shared" si="52"/>
        <v>451</v>
      </c>
      <c r="P347" s="344">
        <f t="shared" si="46"/>
        <v>451</v>
      </c>
      <c r="Q347" s="321"/>
      <c r="R347" s="672" t="b">
        <v>0</v>
      </c>
      <c r="S347" s="318"/>
      <c r="T347" s="319"/>
      <c r="U347" s="315"/>
      <c r="V347" s="144" t="s">
        <v>584</v>
      </c>
      <c r="W347" s="148" t="s">
        <v>584</v>
      </c>
      <c r="X347" s="163"/>
      <c r="Y347" s="162"/>
      <c r="Z347" s="164"/>
      <c r="AA347" s="116"/>
      <c r="AB347" s="116"/>
      <c r="AC347" s="165"/>
      <c r="AD347" s="675" t="str">
        <f t="shared" si="47"/>
        <v>noviembre</v>
      </c>
      <c r="AE347" s="144" t="s">
        <v>1085</v>
      </c>
      <c r="AF347" s="149" t="b">
        <v>1</v>
      </c>
      <c r="AG347" s="166"/>
      <c r="AH347" s="149" t="b">
        <v>0</v>
      </c>
      <c r="AI347" s="162"/>
      <c r="AJ347" s="143"/>
      <c r="AK347" s="143"/>
      <c r="AL347" s="143"/>
      <c r="AM347" s="143"/>
      <c r="AN347" s="143"/>
      <c r="AO347" s="143"/>
      <c r="AP347" s="143"/>
      <c r="AQ347" s="143"/>
    </row>
    <row r="348" ht="22.5" hidden="1" customHeight="1">
      <c r="A348" s="144" t="s">
        <v>259</v>
      </c>
      <c r="B348" s="145">
        <v>45987.0</v>
      </c>
      <c r="C348" s="773" t="s">
        <v>1244</v>
      </c>
      <c r="D348" s="366" t="s">
        <v>1376</v>
      </c>
      <c r="E348" s="148" t="s">
        <v>28</v>
      </c>
      <c r="F348" s="489" t="s">
        <v>1377</v>
      </c>
      <c r="G348" s="149" t="s">
        <v>1378</v>
      </c>
      <c r="H348" s="148" t="s">
        <v>257</v>
      </c>
      <c r="I348" s="150">
        <v>1.0</v>
      </c>
      <c r="J348" s="312"/>
      <c r="K348" s="169">
        <v>6899.0</v>
      </c>
      <c r="L348" s="170">
        <v>6899.0</v>
      </c>
      <c r="M348" s="239">
        <v>5809.0</v>
      </c>
      <c r="N348" s="155">
        <v>1349.99</v>
      </c>
      <c r="O348" s="315">
        <f t="shared" si="52"/>
        <v>1090</v>
      </c>
      <c r="P348" s="344">
        <f t="shared" si="46"/>
        <v>455</v>
      </c>
      <c r="Q348" s="510">
        <v>285.0</v>
      </c>
      <c r="R348" s="672" t="b">
        <v>0</v>
      </c>
      <c r="S348" s="318">
        <v>350.0</v>
      </c>
      <c r="T348" s="319"/>
      <c r="U348" s="315"/>
      <c r="V348" s="144" t="s">
        <v>584</v>
      </c>
      <c r="W348" s="148" t="s">
        <v>584</v>
      </c>
      <c r="X348" s="163"/>
      <c r="Y348" s="162"/>
      <c r="Z348" s="164"/>
      <c r="AA348" s="116"/>
      <c r="AB348" s="116"/>
      <c r="AC348" s="165"/>
      <c r="AD348" s="675" t="str">
        <f t="shared" si="47"/>
        <v>noviembre</v>
      </c>
      <c r="AE348" s="144" t="s">
        <v>1085</v>
      </c>
      <c r="AF348" s="149" t="b">
        <v>1</v>
      </c>
      <c r="AG348" s="166"/>
      <c r="AH348" s="149" t="b">
        <v>0</v>
      </c>
      <c r="AI348" s="162"/>
      <c r="AJ348" s="143"/>
      <c r="AK348" s="143"/>
      <c r="AL348" s="143"/>
      <c r="AM348" s="143"/>
      <c r="AN348" s="143"/>
      <c r="AO348" s="143"/>
      <c r="AP348" s="143"/>
      <c r="AQ348" s="143"/>
    </row>
    <row r="349" ht="22.5" hidden="1" customHeight="1">
      <c r="A349" s="144" t="s">
        <v>259</v>
      </c>
      <c r="B349" s="145">
        <v>45987.0</v>
      </c>
      <c r="C349" s="773" t="s">
        <v>918</v>
      </c>
      <c r="D349" s="366" t="s">
        <v>1379</v>
      </c>
      <c r="E349" s="148" t="s">
        <v>28</v>
      </c>
      <c r="F349" s="630" t="s">
        <v>1380</v>
      </c>
      <c r="G349" s="149" t="s">
        <v>1381</v>
      </c>
      <c r="H349" s="148" t="s">
        <v>257</v>
      </c>
      <c r="I349" s="150">
        <v>1.0</v>
      </c>
      <c r="J349" s="312"/>
      <c r="K349" s="152">
        <v>5499.0</v>
      </c>
      <c r="L349" s="170">
        <v>5499.0</v>
      </c>
      <c r="M349" s="239">
        <v>5433.0</v>
      </c>
      <c r="N349" s="155">
        <v>1249.99</v>
      </c>
      <c r="O349" s="315">
        <f t="shared" si="52"/>
        <v>66</v>
      </c>
      <c r="P349" s="344">
        <f t="shared" si="46"/>
        <v>0</v>
      </c>
      <c r="Q349" s="510">
        <v>66.0</v>
      </c>
      <c r="R349" s="672" t="b">
        <v>0</v>
      </c>
      <c r="S349" s="318"/>
      <c r="T349" s="319"/>
      <c r="U349" s="315"/>
      <c r="V349" s="144" t="s">
        <v>584</v>
      </c>
      <c r="W349" s="148" t="s">
        <v>584</v>
      </c>
      <c r="X349" s="163"/>
      <c r="Y349" s="162"/>
      <c r="Z349" s="164"/>
      <c r="AA349" s="116"/>
      <c r="AB349" s="116"/>
      <c r="AC349" s="165"/>
      <c r="AD349" s="675" t="str">
        <f t="shared" si="47"/>
        <v>noviembre</v>
      </c>
      <c r="AE349" s="144" t="s">
        <v>1085</v>
      </c>
      <c r="AF349" s="149" t="b">
        <v>1</v>
      </c>
      <c r="AG349" s="166"/>
      <c r="AH349" s="149" t="b">
        <v>0</v>
      </c>
      <c r="AI349" s="162"/>
      <c r="AJ349" s="143"/>
      <c r="AK349" s="143"/>
      <c r="AL349" s="143"/>
      <c r="AM349" s="143"/>
      <c r="AN349" s="143"/>
      <c r="AO349" s="143"/>
      <c r="AP349" s="143"/>
      <c r="AQ349" s="143"/>
    </row>
    <row r="350" ht="22.5" customHeight="1">
      <c r="A350" s="144" t="s">
        <v>162</v>
      </c>
      <c r="B350" s="145">
        <v>45987.0</v>
      </c>
      <c r="C350" s="149" t="s">
        <v>906</v>
      </c>
      <c r="D350" s="643" t="s">
        <v>1382</v>
      </c>
      <c r="E350" s="148" t="s">
        <v>28</v>
      </c>
      <c r="F350" s="149" t="s">
        <v>1383</v>
      </c>
      <c r="G350" s="149" t="s">
        <v>1384</v>
      </c>
      <c r="H350" s="148" t="s">
        <v>257</v>
      </c>
      <c r="I350" s="150">
        <v>1.0</v>
      </c>
      <c r="J350" s="168">
        <v>5605.0</v>
      </c>
      <c r="K350" s="169">
        <f t="shared" ref="K350:K372" si="53">IF(J350="","",L350-J350)</f>
        <v>0</v>
      </c>
      <c r="L350" s="170">
        <v>5605.0</v>
      </c>
      <c r="M350" s="239">
        <v>5148.0</v>
      </c>
      <c r="N350" s="155">
        <v>1164.99</v>
      </c>
      <c r="O350" s="315">
        <f t="shared" si="52"/>
        <v>457</v>
      </c>
      <c r="P350" s="344">
        <f t="shared" si="46"/>
        <v>0</v>
      </c>
      <c r="Q350" s="510">
        <v>457.0</v>
      </c>
      <c r="R350" s="672" t="b">
        <v>0</v>
      </c>
      <c r="S350" s="318"/>
      <c r="T350" s="319"/>
      <c r="U350" s="315"/>
      <c r="V350" s="144" t="s">
        <v>584</v>
      </c>
      <c r="W350" s="148" t="s">
        <v>584</v>
      </c>
      <c r="X350" s="163"/>
      <c r="Y350" s="162"/>
      <c r="Z350" s="10" t="s">
        <v>1385</v>
      </c>
      <c r="AA350" s="116"/>
      <c r="AB350" s="116"/>
      <c r="AC350" s="165"/>
      <c r="AD350" s="675" t="str">
        <f t="shared" si="47"/>
        <v>noviembre</v>
      </c>
      <c r="AE350" s="144" t="s">
        <v>1085</v>
      </c>
      <c r="AF350" s="149" t="b">
        <v>1</v>
      </c>
      <c r="AG350" s="144" t="s">
        <v>1085</v>
      </c>
      <c r="AH350" s="149" t="b">
        <v>0</v>
      </c>
      <c r="AI350" s="162"/>
      <c r="AJ350" s="143"/>
      <c r="AK350" s="143"/>
      <c r="AL350" s="143"/>
      <c r="AM350" s="143"/>
      <c r="AN350" s="143"/>
      <c r="AO350" s="143"/>
      <c r="AP350" s="143"/>
      <c r="AQ350" s="143"/>
    </row>
    <row r="351" ht="22.5" hidden="1" customHeight="1">
      <c r="A351" s="793" t="s">
        <v>34</v>
      </c>
      <c r="B351" s="794">
        <v>45988.0</v>
      </c>
      <c r="C351" s="795" t="s">
        <v>497</v>
      </c>
      <c r="D351" s="796" t="s">
        <v>1386</v>
      </c>
      <c r="E351" s="797" t="s">
        <v>28</v>
      </c>
      <c r="F351" s="798" t="s">
        <v>1387</v>
      </c>
      <c r="G351" s="799" t="s">
        <v>1388</v>
      </c>
      <c r="H351" s="797" t="s">
        <v>257</v>
      </c>
      <c r="I351" s="800">
        <v>0.3</v>
      </c>
      <c r="J351" s="801">
        <v>3500.0</v>
      </c>
      <c r="K351" s="802">
        <f t="shared" si="53"/>
        <v>7865.2</v>
      </c>
      <c r="L351" s="803">
        <v>11365.2</v>
      </c>
      <c r="M351" s="804">
        <v>10763.09</v>
      </c>
      <c r="N351" s="805">
        <v>2499.99</v>
      </c>
      <c r="O351" s="806">
        <f t="shared" si="52"/>
        <v>602.11</v>
      </c>
      <c r="P351" s="344">
        <f t="shared" si="46"/>
        <v>257.11</v>
      </c>
      <c r="Q351" s="807">
        <v>285.0</v>
      </c>
      <c r="R351" s="808" t="b">
        <v>1</v>
      </c>
      <c r="S351" s="807"/>
      <c r="T351" s="809"/>
      <c r="U351" s="809">
        <v>10.0</v>
      </c>
      <c r="V351" s="793" t="s">
        <v>584</v>
      </c>
      <c r="W351" s="797" t="s">
        <v>584</v>
      </c>
      <c r="X351" s="810"/>
      <c r="Y351" s="793" t="s">
        <v>584</v>
      </c>
      <c r="Z351" s="811" t="s">
        <v>1389</v>
      </c>
      <c r="AA351" s="812"/>
      <c r="AB351" s="812"/>
      <c r="AC351" s="813"/>
      <c r="AD351" s="814" t="str">
        <f t="shared" si="47"/>
        <v>noviembre</v>
      </c>
      <c r="AE351" s="793" t="s">
        <v>1085</v>
      </c>
      <c r="AF351" s="799" t="b">
        <v>1</v>
      </c>
      <c r="AG351" s="144" t="s">
        <v>1187</v>
      </c>
      <c r="AH351" s="149" t="b">
        <v>0</v>
      </c>
      <c r="AI351" s="162"/>
      <c r="AJ351" s="815"/>
      <c r="AK351" s="815"/>
      <c r="AL351" s="815"/>
      <c r="AM351" s="815"/>
      <c r="AN351" s="815"/>
      <c r="AO351" s="815"/>
      <c r="AP351" s="815"/>
      <c r="AQ351" s="815"/>
    </row>
    <row r="352" ht="22.5" hidden="1" customHeight="1">
      <c r="A352" s="144" t="s">
        <v>34</v>
      </c>
      <c r="B352" s="145">
        <v>45988.0</v>
      </c>
      <c r="C352" s="816" t="s">
        <v>1206</v>
      </c>
      <c r="D352" s="208" t="s">
        <v>1390</v>
      </c>
      <c r="E352" s="148" t="s">
        <v>28</v>
      </c>
      <c r="F352" s="262" t="s">
        <v>1391</v>
      </c>
      <c r="G352" s="149">
        <v>5.1951434704E10</v>
      </c>
      <c r="H352" s="148" t="s">
        <v>257</v>
      </c>
      <c r="I352" s="150">
        <v>0.2</v>
      </c>
      <c r="J352" s="168">
        <v>1099.8</v>
      </c>
      <c r="K352" s="169">
        <f t="shared" si="53"/>
        <v>4399.2</v>
      </c>
      <c r="L352" s="170">
        <v>5499.0</v>
      </c>
      <c r="M352" s="239">
        <v>5138.79</v>
      </c>
      <c r="N352" s="155">
        <v>1149.99</v>
      </c>
      <c r="O352" s="315">
        <f t="shared" si="52"/>
        <v>360.21</v>
      </c>
      <c r="P352" s="344">
        <f t="shared" si="46"/>
        <v>60.21</v>
      </c>
      <c r="Q352" s="510">
        <v>220.0</v>
      </c>
      <c r="R352" s="672" t="b">
        <v>1</v>
      </c>
      <c r="S352" s="318"/>
      <c r="T352" s="347"/>
      <c r="U352" s="343">
        <v>30.0</v>
      </c>
      <c r="V352" s="144" t="s">
        <v>584</v>
      </c>
      <c r="W352" s="148"/>
      <c r="X352" s="163"/>
      <c r="Y352" s="144" t="s">
        <v>584</v>
      </c>
      <c r="Z352" s="164"/>
      <c r="AA352" s="116"/>
      <c r="AB352" s="116"/>
      <c r="AC352" s="165"/>
      <c r="AD352" s="675" t="str">
        <f t="shared" si="47"/>
        <v>noviembre</v>
      </c>
      <c r="AE352" s="144" t="s">
        <v>1187</v>
      </c>
      <c r="AF352" s="149" t="b">
        <v>1</v>
      </c>
      <c r="AG352" s="144" t="s">
        <v>1392</v>
      </c>
      <c r="AH352" s="149" t="b">
        <v>0</v>
      </c>
      <c r="AI352" s="162"/>
      <c r="AJ352" s="143"/>
      <c r="AK352" s="143"/>
      <c r="AL352" s="143"/>
      <c r="AM352" s="143"/>
      <c r="AN352" s="143"/>
      <c r="AO352" s="143"/>
      <c r="AP352" s="143"/>
      <c r="AQ352" s="143"/>
    </row>
    <row r="353" ht="22.5" hidden="1" customHeight="1">
      <c r="A353" s="144" t="s">
        <v>34</v>
      </c>
      <c r="B353" s="145">
        <v>45988.0</v>
      </c>
      <c r="C353" s="591" t="s">
        <v>1152</v>
      </c>
      <c r="D353" s="208" t="s">
        <v>1393</v>
      </c>
      <c r="E353" s="148" t="s">
        <v>28</v>
      </c>
      <c r="F353" s="540" t="s">
        <v>1394</v>
      </c>
      <c r="G353" s="149">
        <v>5.1979704708E10</v>
      </c>
      <c r="H353" s="148" t="s">
        <v>257</v>
      </c>
      <c r="I353" s="150">
        <v>0.2</v>
      </c>
      <c r="J353" s="168">
        <v>1319.8</v>
      </c>
      <c r="K353" s="169">
        <f t="shared" si="53"/>
        <v>5279.2</v>
      </c>
      <c r="L353" s="170">
        <v>6599.0</v>
      </c>
      <c r="M353" s="239">
        <v>6274.94</v>
      </c>
      <c r="N353" s="155">
        <v>1449.99</v>
      </c>
      <c r="O353" s="315">
        <f t="shared" si="52"/>
        <v>324.06</v>
      </c>
      <c r="P353" s="344">
        <f t="shared" si="46"/>
        <v>224.06</v>
      </c>
      <c r="Q353" s="510">
        <v>100.0</v>
      </c>
      <c r="R353" s="672" t="b">
        <v>0</v>
      </c>
      <c r="S353" s="318"/>
      <c r="T353" s="319"/>
      <c r="U353" s="315"/>
      <c r="V353" s="144" t="s">
        <v>584</v>
      </c>
      <c r="W353" s="148" t="s">
        <v>584</v>
      </c>
      <c r="X353" s="163"/>
      <c r="Y353" s="144" t="s">
        <v>584</v>
      </c>
      <c r="Z353" s="164"/>
      <c r="AA353" s="116"/>
      <c r="AB353" s="116"/>
      <c r="AC353" s="165"/>
      <c r="AD353" s="675" t="str">
        <f t="shared" si="47"/>
        <v>noviembre</v>
      </c>
      <c r="AE353" s="144" t="s">
        <v>1085</v>
      </c>
      <c r="AF353" s="149" t="b">
        <v>1</v>
      </c>
      <c r="AG353" s="144" t="s">
        <v>1187</v>
      </c>
      <c r="AH353" s="149" t="b">
        <v>0</v>
      </c>
      <c r="AI353" s="162"/>
      <c r="AJ353" s="143"/>
      <c r="AK353" s="143"/>
      <c r="AL353" s="143"/>
      <c r="AM353" s="143"/>
      <c r="AN353" s="143"/>
      <c r="AO353" s="143"/>
      <c r="AP353" s="143"/>
      <c r="AQ353" s="143"/>
    </row>
    <row r="354" ht="22.5" hidden="1" customHeight="1">
      <c r="A354" s="144" t="s">
        <v>259</v>
      </c>
      <c r="B354" s="772">
        <v>45988.0</v>
      </c>
      <c r="C354" s="149" t="s">
        <v>975</v>
      </c>
      <c r="D354" s="366" t="s">
        <v>1395</v>
      </c>
      <c r="E354" s="148" t="s">
        <v>28</v>
      </c>
      <c r="F354" s="149" t="s">
        <v>1396</v>
      </c>
      <c r="G354" s="149">
        <v>5.1920106173E10</v>
      </c>
      <c r="H354" s="148" t="s">
        <v>257</v>
      </c>
      <c r="I354" s="150">
        <v>0.2</v>
      </c>
      <c r="J354" s="168">
        <v>1199.0</v>
      </c>
      <c r="K354" s="169">
        <f t="shared" si="53"/>
        <v>4800</v>
      </c>
      <c r="L354" s="170">
        <v>5999.0</v>
      </c>
      <c r="M354" s="239">
        <v>5722.0</v>
      </c>
      <c r="N354" s="155">
        <v>1299.99</v>
      </c>
      <c r="O354" s="315">
        <f t="shared" si="52"/>
        <v>277</v>
      </c>
      <c r="P354" s="344">
        <f t="shared" si="46"/>
        <v>237</v>
      </c>
      <c r="Q354" s="510">
        <v>30.0</v>
      </c>
      <c r="R354" s="672" t="b">
        <v>0</v>
      </c>
      <c r="S354" s="318"/>
      <c r="T354" s="315"/>
      <c r="U354" s="573">
        <v>10.0</v>
      </c>
      <c r="V354" s="144" t="s">
        <v>584</v>
      </c>
      <c r="W354" s="148" t="s">
        <v>584</v>
      </c>
      <c r="X354" s="163"/>
      <c r="Y354" s="144" t="s">
        <v>584</v>
      </c>
      <c r="Z354" s="164"/>
      <c r="AA354" s="116"/>
      <c r="AB354" s="116"/>
      <c r="AC354" s="165"/>
      <c r="AD354" s="675" t="str">
        <f t="shared" si="47"/>
        <v>noviembre</v>
      </c>
      <c r="AE354" s="144" t="s">
        <v>1187</v>
      </c>
      <c r="AF354" s="149" t="b">
        <v>1</v>
      </c>
      <c r="AG354" s="144" t="s">
        <v>1187</v>
      </c>
      <c r="AH354" s="149" t="b">
        <v>0</v>
      </c>
      <c r="AI354" s="162"/>
      <c r="AJ354" s="143"/>
      <c r="AK354" s="143"/>
      <c r="AL354" s="143"/>
      <c r="AM354" s="143"/>
      <c r="AN354" s="143"/>
      <c r="AO354" s="143"/>
      <c r="AP354" s="143"/>
      <c r="AQ354" s="143"/>
    </row>
    <row r="355" ht="22.5" customHeight="1">
      <c r="A355" s="144" t="s">
        <v>162</v>
      </c>
      <c r="B355" s="145">
        <v>45988.0</v>
      </c>
      <c r="C355" s="817" t="s">
        <v>1397</v>
      </c>
      <c r="D355" s="329" t="s">
        <v>1398</v>
      </c>
      <c r="E355" s="148" t="s">
        <v>28</v>
      </c>
      <c r="F355" s="262" t="s">
        <v>1399</v>
      </c>
      <c r="G355" s="149">
        <v>5.1954657608E10</v>
      </c>
      <c r="H355" s="148" t="s">
        <v>257</v>
      </c>
      <c r="I355" s="150">
        <v>0.2</v>
      </c>
      <c r="J355" s="168">
        <v>2000.0</v>
      </c>
      <c r="K355" s="169">
        <f t="shared" si="53"/>
        <v>5899</v>
      </c>
      <c r="L355" s="170">
        <v>7899.0</v>
      </c>
      <c r="M355" s="239">
        <v>7497.02</v>
      </c>
      <c r="N355" s="155">
        <v>1599.99</v>
      </c>
      <c r="O355" s="315">
        <f t="shared" si="52"/>
        <v>401.98</v>
      </c>
      <c r="P355" s="344">
        <f t="shared" si="46"/>
        <v>201.98</v>
      </c>
      <c r="Q355" s="510">
        <v>190.0</v>
      </c>
      <c r="R355" s="672" t="b">
        <v>0</v>
      </c>
      <c r="S355" s="318"/>
      <c r="T355" s="319"/>
      <c r="U355" s="343">
        <v>10.0</v>
      </c>
      <c r="V355" s="144" t="s">
        <v>584</v>
      </c>
      <c r="W355" s="148" t="s">
        <v>584</v>
      </c>
      <c r="X355" s="163"/>
      <c r="Y355" s="144" t="s">
        <v>584</v>
      </c>
      <c r="Z355" s="164"/>
      <c r="AA355" s="116"/>
      <c r="AB355" s="116"/>
      <c r="AC355" s="165"/>
      <c r="AD355" s="675" t="str">
        <f t="shared" si="47"/>
        <v>noviembre</v>
      </c>
      <c r="AE355" s="144" t="s">
        <v>1187</v>
      </c>
      <c r="AF355" s="149" t="b">
        <v>1</v>
      </c>
      <c r="AG355" s="144" t="s">
        <v>1187</v>
      </c>
      <c r="AH355" s="149" t="b">
        <v>0</v>
      </c>
      <c r="AI355" s="162"/>
      <c r="AJ355" s="143"/>
      <c r="AK355" s="143"/>
      <c r="AL355" s="143"/>
      <c r="AM355" s="143"/>
      <c r="AN355" s="143"/>
      <c r="AO355" s="143"/>
      <c r="AP355" s="143"/>
      <c r="AQ355" s="143"/>
    </row>
    <row r="356" ht="22.5" hidden="1" customHeight="1">
      <c r="A356" s="144" t="s">
        <v>259</v>
      </c>
      <c r="B356" s="772">
        <v>45988.0</v>
      </c>
      <c r="C356" s="149" t="s">
        <v>1152</v>
      </c>
      <c r="D356" s="329" t="s">
        <v>1400</v>
      </c>
      <c r="E356" s="148" t="s">
        <v>28</v>
      </c>
      <c r="F356" s="818" t="s">
        <v>1401</v>
      </c>
      <c r="G356" s="149">
        <v>5.1980177744E10</v>
      </c>
      <c r="H356" s="148" t="s">
        <v>257</v>
      </c>
      <c r="I356" s="150">
        <v>0.2</v>
      </c>
      <c r="J356" s="168">
        <v>1399.0</v>
      </c>
      <c r="K356" s="169">
        <f t="shared" si="53"/>
        <v>5600</v>
      </c>
      <c r="L356" s="170">
        <v>6999.0</v>
      </c>
      <c r="M356" s="239">
        <v>6834.0</v>
      </c>
      <c r="N356" s="155">
        <v>1599.99</v>
      </c>
      <c r="O356" s="315">
        <f t="shared" si="52"/>
        <v>165</v>
      </c>
      <c r="P356" s="344">
        <f t="shared" si="46"/>
        <v>0</v>
      </c>
      <c r="Q356" s="510">
        <v>120.0</v>
      </c>
      <c r="R356" s="672" t="b">
        <v>0</v>
      </c>
      <c r="S356" s="318"/>
      <c r="T356" s="343">
        <v>35.0</v>
      </c>
      <c r="U356" s="343">
        <v>10.0</v>
      </c>
      <c r="V356" s="144" t="s">
        <v>584</v>
      </c>
      <c r="W356" s="148" t="s">
        <v>584</v>
      </c>
      <c r="X356" s="163"/>
      <c r="Y356" s="144" t="s">
        <v>584</v>
      </c>
      <c r="Z356" s="164"/>
      <c r="AA356" s="116"/>
      <c r="AB356" s="116"/>
      <c r="AC356" s="165"/>
      <c r="AD356" s="675" t="str">
        <f t="shared" si="47"/>
        <v>noviembre</v>
      </c>
      <c r="AE356" s="144" t="s">
        <v>1187</v>
      </c>
      <c r="AF356" s="149" t="b">
        <v>1</v>
      </c>
      <c r="AG356" s="144" t="s">
        <v>1187</v>
      </c>
      <c r="AH356" s="149" t="b">
        <v>0</v>
      </c>
      <c r="AI356" s="162"/>
      <c r="AJ356" s="143"/>
      <c r="AK356" s="143"/>
      <c r="AL356" s="143"/>
      <c r="AM356" s="143"/>
      <c r="AN356" s="143"/>
      <c r="AO356" s="143"/>
      <c r="AP356" s="143"/>
      <c r="AQ356" s="143"/>
    </row>
    <row r="357" ht="22.5" hidden="1" customHeight="1">
      <c r="A357" s="144" t="s">
        <v>34</v>
      </c>
      <c r="B357" s="145">
        <v>45988.0</v>
      </c>
      <c r="C357" s="149" t="s">
        <v>975</v>
      </c>
      <c r="D357" s="208" t="s">
        <v>1402</v>
      </c>
      <c r="E357" s="148" t="s">
        <v>28</v>
      </c>
      <c r="F357" s="540" t="s">
        <v>1403</v>
      </c>
      <c r="G357" s="819">
        <v>9.51338142E8</v>
      </c>
      <c r="H357" s="148" t="s">
        <v>257</v>
      </c>
      <c r="I357" s="150">
        <v>0.2</v>
      </c>
      <c r="J357" s="168">
        <v>1200.0</v>
      </c>
      <c r="K357" s="169">
        <f t="shared" si="53"/>
        <v>4799</v>
      </c>
      <c r="L357" s="170">
        <v>5999.0</v>
      </c>
      <c r="M357" s="820">
        <v>5722.0</v>
      </c>
      <c r="N357" s="155">
        <v>1324.99</v>
      </c>
      <c r="O357" s="315">
        <f t="shared" si="52"/>
        <v>277</v>
      </c>
      <c r="P357" s="344">
        <f t="shared" si="46"/>
        <v>47</v>
      </c>
      <c r="Q357" s="510">
        <v>170.0</v>
      </c>
      <c r="R357" s="672" t="b">
        <v>1</v>
      </c>
      <c r="S357" s="318"/>
      <c r="T357" s="319"/>
      <c r="U357" s="343">
        <v>10.0</v>
      </c>
      <c r="V357" s="144" t="s">
        <v>584</v>
      </c>
      <c r="W357" s="148" t="s">
        <v>584</v>
      </c>
      <c r="X357" s="163"/>
      <c r="Y357" s="144" t="s">
        <v>584</v>
      </c>
      <c r="Z357" s="164"/>
      <c r="AA357" s="116"/>
      <c r="AB357" s="116"/>
      <c r="AC357" s="165"/>
      <c r="AD357" s="675" t="str">
        <f t="shared" si="47"/>
        <v>noviembre</v>
      </c>
      <c r="AE357" s="144" t="s">
        <v>1187</v>
      </c>
      <c r="AF357" s="149" t="b">
        <v>1</v>
      </c>
      <c r="AG357" s="144" t="s">
        <v>1187</v>
      </c>
      <c r="AH357" s="149" t="b">
        <v>0</v>
      </c>
      <c r="AI357" s="162"/>
      <c r="AJ357" s="143"/>
      <c r="AK357" s="143"/>
      <c r="AL357" s="143"/>
      <c r="AM357" s="143"/>
      <c r="AN357" s="143"/>
      <c r="AO357" s="143"/>
      <c r="AP357" s="143"/>
      <c r="AQ357" s="143"/>
    </row>
    <row r="358" ht="22.5" hidden="1" customHeight="1">
      <c r="A358" s="144" t="s">
        <v>259</v>
      </c>
      <c r="B358" s="772">
        <v>45988.0</v>
      </c>
      <c r="C358" s="309" t="s">
        <v>1125</v>
      </c>
      <c r="D358" s="635" t="s">
        <v>1404</v>
      </c>
      <c r="E358" s="148" t="s">
        <v>28</v>
      </c>
      <c r="F358" s="262" t="s">
        <v>1405</v>
      </c>
      <c r="G358" s="149">
        <v>5.1916924491E10</v>
      </c>
      <c r="H358" s="148" t="s">
        <v>257</v>
      </c>
      <c r="I358" s="150">
        <v>0.2</v>
      </c>
      <c r="J358" s="168">
        <v>1400.0</v>
      </c>
      <c r="K358" s="169">
        <f t="shared" si="53"/>
        <v>5599</v>
      </c>
      <c r="L358" s="170">
        <v>6999.0</v>
      </c>
      <c r="M358" s="239">
        <v>6868.0</v>
      </c>
      <c r="N358" s="155">
        <v>1613.99</v>
      </c>
      <c r="O358" s="315">
        <f t="shared" si="52"/>
        <v>131</v>
      </c>
      <c r="P358" s="344">
        <f t="shared" si="46"/>
        <v>21</v>
      </c>
      <c r="Q358" s="510">
        <v>100.0</v>
      </c>
      <c r="R358" s="672" t="b">
        <v>0</v>
      </c>
      <c r="S358" s="318"/>
      <c r="T358" s="319"/>
      <c r="U358" s="343">
        <v>10.0</v>
      </c>
      <c r="V358" s="144" t="s">
        <v>584</v>
      </c>
      <c r="W358" s="148" t="s">
        <v>584</v>
      </c>
      <c r="X358" s="163"/>
      <c r="Y358" s="144" t="s">
        <v>584</v>
      </c>
      <c r="Z358" s="164"/>
      <c r="AA358" s="116"/>
      <c r="AB358" s="116"/>
      <c r="AC358" s="165"/>
      <c r="AD358" s="675" t="str">
        <f t="shared" si="47"/>
        <v>noviembre</v>
      </c>
      <c r="AE358" s="144" t="s">
        <v>1085</v>
      </c>
      <c r="AF358" s="149" t="b">
        <v>1</v>
      </c>
      <c r="AG358" s="144" t="s">
        <v>1187</v>
      </c>
      <c r="AH358" s="149" t="b">
        <v>0</v>
      </c>
      <c r="AI358" s="162"/>
      <c r="AJ358" s="143"/>
      <c r="AK358" s="143"/>
      <c r="AL358" s="143"/>
      <c r="AM358" s="143"/>
      <c r="AN358" s="143"/>
      <c r="AO358" s="143"/>
      <c r="AP358" s="143"/>
      <c r="AQ358" s="143"/>
    </row>
    <row r="359" ht="22.5" customHeight="1">
      <c r="A359" s="144" t="s">
        <v>162</v>
      </c>
      <c r="B359" s="145">
        <v>45988.0</v>
      </c>
      <c r="C359" s="149" t="s">
        <v>975</v>
      </c>
      <c r="D359" s="329" t="s">
        <v>1406</v>
      </c>
      <c r="E359" s="148" t="s">
        <v>28</v>
      </c>
      <c r="F359" s="149" t="s">
        <v>1407</v>
      </c>
      <c r="G359" s="149">
        <v>5.1921661937E10</v>
      </c>
      <c r="H359" s="148" t="s">
        <v>257</v>
      </c>
      <c r="I359" s="150">
        <v>0.3</v>
      </c>
      <c r="J359" s="168">
        <v>4200.0</v>
      </c>
      <c r="K359" s="169">
        <f t="shared" si="53"/>
        <v>1522</v>
      </c>
      <c r="L359" s="170">
        <v>5722.0</v>
      </c>
      <c r="M359" s="239">
        <v>5722.0</v>
      </c>
      <c r="N359" s="155">
        <v>1299.99</v>
      </c>
      <c r="O359" s="413">
        <f t="shared" si="52"/>
        <v>0</v>
      </c>
      <c r="P359" s="759">
        <v>190.0</v>
      </c>
      <c r="Q359" s="321">
        <v>190.0</v>
      </c>
      <c r="R359" s="672" t="b">
        <v>0</v>
      </c>
      <c r="S359" s="318"/>
      <c r="T359" s="821"/>
      <c r="U359" s="315"/>
      <c r="V359" s="144" t="s">
        <v>584</v>
      </c>
      <c r="W359" s="148" t="s">
        <v>584</v>
      </c>
      <c r="X359" s="163"/>
      <c r="Y359" s="162"/>
      <c r="Z359" s="164"/>
      <c r="AA359" s="116"/>
      <c r="AB359" s="116"/>
      <c r="AC359" s="165"/>
      <c r="AD359" s="675" t="str">
        <f t="shared" si="47"/>
        <v>noviembre</v>
      </c>
      <c r="AE359" s="144" t="s">
        <v>1187</v>
      </c>
      <c r="AF359" s="149" t="b">
        <v>1</v>
      </c>
      <c r="AG359" s="144" t="s">
        <v>1187</v>
      </c>
      <c r="AH359" s="149" t="b">
        <v>0</v>
      </c>
      <c r="AI359" s="162"/>
      <c r="AJ359" s="143"/>
      <c r="AK359" s="143"/>
      <c r="AL359" s="143"/>
      <c r="AM359" s="143"/>
      <c r="AN359" s="143"/>
      <c r="AO359" s="143"/>
      <c r="AP359" s="143"/>
      <c r="AQ359" s="143"/>
    </row>
    <row r="360" ht="22.5" hidden="1" customHeight="1">
      <c r="A360" s="144" t="s">
        <v>259</v>
      </c>
      <c r="B360" s="772">
        <v>45988.0</v>
      </c>
      <c r="C360" s="149" t="s">
        <v>1408</v>
      </c>
      <c r="D360" s="329" t="s">
        <v>1409</v>
      </c>
      <c r="E360" s="148" t="s">
        <v>28</v>
      </c>
      <c r="F360" s="246" t="s">
        <v>1410</v>
      </c>
      <c r="G360" s="149">
        <v>5.1910675527E10</v>
      </c>
      <c r="H360" s="148" t="s">
        <v>257</v>
      </c>
      <c r="I360" s="150">
        <v>0.5</v>
      </c>
      <c r="J360" s="168">
        <v>6767.0</v>
      </c>
      <c r="K360" s="169">
        <f t="shared" si="53"/>
        <v>6767</v>
      </c>
      <c r="L360" s="170">
        <v>13534.0</v>
      </c>
      <c r="M360" s="239">
        <v>13134.0</v>
      </c>
      <c r="N360" s="155">
        <v>3196.99</v>
      </c>
      <c r="O360" s="315">
        <f t="shared" si="52"/>
        <v>400</v>
      </c>
      <c r="P360" s="344">
        <f t="shared" ref="P360:P376" si="54">L360-M360-Q360-50*R360-S360-T360-U360</f>
        <v>290</v>
      </c>
      <c r="Q360" s="510">
        <v>100.0</v>
      </c>
      <c r="R360" s="672" t="b">
        <v>0</v>
      </c>
      <c r="S360" s="318"/>
      <c r="T360" s="319"/>
      <c r="U360" s="343">
        <v>10.0</v>
      </c>
      <c r="V360" s="144" t="s">
        <v>584</v>
      </c>
      <c r="W360" s="148" t="s">
        <v>584</v>
      </c>
      <c r="X360" s="163"/>
      <c r="Y360" s="144" t="s">
        <v>584</v>
      </c>
      <c r="Z360" s="164"/>
      <c r="AA360" s="116"/>
      <c r="AB360" s="116"/>
      <c r="AC360" s="165"/>
      <c r="AD360" s="675" t="str">
        <f t="shared" si="47"/>
        <v>noviembre</v>
      </c>
      <c r="AE360" s="144" t="s">
        <v>1085</v>
      </c>
      <c r="AF360" s="149" t="b">
        <v>1</v>
      </c>
      <c r="AG360" s="144" t="s">
        <v>1187</v>
      </c>
      <c r="AH360" s="149" t="b">
        <v>0</v>
      </c>
      <c r="AI360" s="162"/>
      <c r="AJ360" s="143"/>
      <c r="AK360" s="143"/>
      <c r="AL360" s="143"/>
      <c r="AM360" s="143"/>
      <c r="AN360" s="143"/>
      <c r="AO360" s="143"/>
      <c r="AP360" s="143"/>
      <c r="AQ360" s="143"/>
    </row>
    <row r="361" ht="22.5" customHeight="1">
      <c r="A361" s="144" t="s">
        <v>162</v>
      </c>
      <c r="B361" s="145">
        <v>45988.0</v>
      </c>
      <c r="C361" s="149" t="s">
        <v>975</v>
      </c>
      <c r="D361" s="329" t="s">
        <v>1411</v>
      </c>
      <c r="E361" s="148" t="s">
        <v>399</v>
      </c>
      <c r="F361" s="149"/>
      <c r="G361" s="149">
        <v>5.1950666378E10</v>
      </c>
      <c r="H361" s="148" t="s">
        <v>257</v>
      </c>
      <c r="I361" s="669"/>
      <c r="J361" s="168">
        <v>100.0</v>
      </c>
      <c r="K361" s="169">
        <f t="shared" si="53"/>
        <v>5899</v>
      </c>
      <c r="L361" s="170">
        <v>5999.0</v>
      </c>
      <c r="M361" s="239">
        <v>5722.0</v>
      </c>
      <c r="N361" s="155">
        <v>1299.99</v>
      </c>
      <c r="O361" s="315">
        <f t="shared" si="52"/>
        <v>277</v>
      </c>
      <c r="P361" s="344">
        <f t="shared" si="54"/>
        <v>277</v>
      </c>
      <c r="Q361" s="321"/>
      <c r="R361" s="672" t="b">
        <v>0</v>
      </c>
      <c r="S361" s="318"/>
      <c r="T361" s="319"/>
      <c r="U361" s="315"/>
      <c r="V361" s="162"/>
      <c r="W361" s="148"/>
      <c r="X361" s="163"/>
      <c r="Y361" s="162"/>
      <c r="Z361" s="164"/>
      <c r="AA361" s="116"/>
      <c r="AB361" s="116"/>
      <c r="AC361" s="165"/>
      <c r="AD361" s="675" t="str">
        <f t="shared" si="47"/>
        <v>noviembre</v>
      </c>
      <c r="AE361" s="162"/>
      <c r="AF361" s="149" t="b">
        <v>0</v>
      </c>
      <c r="AG361" s="166"/>
      <c r="AH361" s="149" t="b">
        <v>0</v>
      </c>
      <c r="AI361" s="162"/>
      <c r="AJ361" s="143"/>
      <c r="AK361" s="143"/>
      <c r="AL361" s="143"/>
      <c r="AM361" s="143"/>
      <c r="AN361" s="143"/>
      <c r="AO361" s="143"/>
      <c r="AP361" s="143"/>
      <c r="AQ361" s="143"/>
    </row>
    <row r="362" ht="22.5" hidden="1" customHeight="1">
      <c r="A362" s="144" t="s">
        <v>34</v>
      </c>
      <c r="B362" s="145">
        <v>45988.0</v>
      </c>
      <c r="C362" s="259" t="s">
        <v>903</v>
      </c>
      <c r="D362" s="208" t="s">
        <v>1412</v>
      </c>
      <c r="E362" s="148" t="s">
        <v>28</v>
      </c>
      <c r="F362" s="489" t="s">
        <v>1413</v>
      </c>
      <c r="G362" s="149">
        <v>5.1944938784E10</v>
      </c>
      <c r="H362" s="148" t="s">
        <v>257</v>
      </c>
      <c r="I362" s="150">
        <v>0.2</v>
      </c>
      <c r="J362" s="168">
        <v>1200.0</v>
      </c>
      <c r="K362" s="169">
        <f t="shared" si="53"/>
        <v>4800</v>
      </c>
      <c r="L362" s="170">
        <v>6000.0</v>
      </c>
      <c r="M362" s="239">
        <v>5880.0</v>
      </c>
      <c r="N362" s="155">
        <v>1199.99</v>
      </c>
      <c r="O362" s="315">
        <f t="shared" si="52"/>
        <v>120</v>
      </c>
      <c r="P362" s="344">
        <f t="shared" si="54"/>
        <v>40</v>
      </c>
      <c r="Q362" s="510">
        <v>30.0</v>
      </c>
      <c r="R362" s="672" t="b">
        <v>1</v>
      </c>
      <c r="S362" s="346"/>
      <c r="T362" s="319"/>
      <c r="U362" s="315"/>
      <c r="V362" s="144" t="s">
        <v>584</v>
      </c>
      <c r="W362" s="148" t="s">
        <v>584</v>
      </c>
      <c r="X362" s="163"/>
      <c r="Y362" s="144" t="s">
        <v>584</v>
      </c>
      <c r="Z362" s="164"/>
      <c r="AA362" s="116"/>
      <c r="AB362" s="116"/>
      <c r="AC362" s="165"/>
      <c r="AD362" s="675" t="str">
        <f t="shared" si="47"/>
        <v>noviembre</v>
      </c>
      <c r="AE362" s="144" t="s">
        <v>1085</v>
      </c>
      <c r="AF362" s="149" t="b">
        <v>1</v>
      </c>
      <c r="AG362" s="144" t="s">
        <v>1187</v>
      </c>
      <c r="AH362" s="149" t="b">
        <v>0</v>
      </c>
      <c r="AI362" s="162"/>
      <c r="AJ362" s="143"/>
      <c r="AK362" s="143"/>
      <c r="AL362" s="143"/>
      <c r="AM362" s="143"/>
      <c r="AN362" s="143"/>
      <c r="AO362" s="143"/>
      <c r="AP362" s="143"/>
      <c r="AQ362" s="143"/>
    </row>
    <row r="363" ht="22.5" customHeight="1">
      <c r="A363" s="144" t="s">
        <v>162</v>
      </c>
      <c r="B363" s="145">
        <v>45989.0</v>
      </c>
      <c r="C363" s="149" t="s">
        <v>1414</v>
      </c>
      <c r="D363" s="208" t="s">
        <v>1415</v>
      </c>
      <c r="E363" s="148" t="s">
        <v>28</v>
      </c>
      <c r="F363" s="262" t="s">
        <v>1416</v>
      </c>
      <c r="G363" s="149">
        <v>5.1996786567E10</v>
      </c>
      <c r="H363" s="148" t="s">
        <v>257</v>
      </c>
      <c r="I363" s="150">
        <v>0.3</v>
      </c>
      <c r="J363" s="168">
        <v>2969.0</v>
      </c>
      <c r="K363" s="169">
        <f t="shared" si="53"/>
        <v>7179</v>
      </c>
      <c r="L363" s="170">
        <v>10148.0</v>
      </c>
      <c r="M363" s="239">
        <v>8788.39</v>
      </c>
      <c r="N363" s="155">
        <v>1999.99</v>
      </c>
      <c r="O363" s="315">
        <f t="shared" si="52"/>
        <v>1359.61</v>
      </c>
      <c r="P363" s="344">
        <f t="shared" si="54"/>
        <v>565.61</v>
      </c>
      <c r="Q363" s="510">
        <v>335.0</v>
      </c>
      <c r="R363" s="672" t="b">
        <v>0</v>
      </c>
      <c r="S363" s="346">
        <v>449.0</v>
      </c>
      <c r="T363" s="319"/>
      <c r="U363" s="343">
        <v>10.0</v>
      </c>
      <c r="V363" s="144" t="s">
        <v>584</v>
      </c>
      <c r="W363" s="148" t="s">
        <v>584</v>
      </c>
      <c r="X363" s="163"/>
      <c r="Y363" s="144" t="s">
        <v>584</v>
      </c>
      <c r="Z363" s="10" t="s">
        <v>1417</v>
      </c>
      <c r="AA363" s="116"/>
      <c r="AB363" s="116"/>
      <c r="AC363" s="165"/>
      <c r="AD363" s="675" t="str">
        <f t="shared" si="47"/>
        <v>noviembre</v>
      </c>
      <c r="AE363" s="144" t="s">
        <v>1187</v>
      </c>
      <c r="AF363" s="149" t="b">
        <v>1</v>
      </c>
      <c r="AG363" s="144" t="s">
        <v>1187</v>
      </c>
      <c r="AH363" s="149" t="b">
        <v>0</v>
      </c>
      <c r="AI363" s="162"/>
      <c r="AJ363" s="143"/>
      <c r="AK363" s="143"/>
      <c r="AL363" s="143"/>
      <c r="AM363" s="143"/>
      <c r="AN363" s="143"/>
      <c r="AO363" s="143"/>
      <c r="AP363" s="143"/>
      <c r="AQ363" s="143"/>
    </row>
    <row r="364" ht="22.5" customHeight="1">
      <c r="A364" s="144" t="s">
        <v>162</v>
      </c>
      <c r="B364" s="145">
        <v>45989.0</v>
      </c>
      <c r="C364" s="188" t="s">
        <v>1418</v>
      </c>
      <c r="D364" s="329" t="s">
        <v>1419</v>
      </c>
      <c r="E364" s="148" t="s">
        <v>28</v>
      </c>
      <c r="F364" s="246" t="s">
        <v>1420</v>
      </c>
      <c r="G364" s="149">
        <v>5.1967716761E10</v>
      </c>
      <c r="H364" s="148" t="s">
        <v>257</v>
      </c>
      <c r="I364" s="150">
        <v>0.3</v>
      </c>
      <c r="J364" s="168">
        <v>3000.0</v>
      </c>
      <c r="K364" s="169">
        <f t="shared" si="53"/>
        <v>6999</v>
      </c>
      <c r="L364" s="170">
        <v>9999.0</v>
      </c>
      <c r="M364" s="239">
        <v>9391.35</v>
      </c>
      <c r="N364" s="155">
        <v>2249.99</v>
      </c>
      <c r="O364" s="315">
        <f t="shared" si="52"/>
        <v>607.65</v>
      </c>
      <c r="P364" s="344">
        <f t="shared" si="54"/>
        <v>407.65</v>
      </c>
      <c r="Q364" s="510">
        <v>190.0</v>
      </c>
      <c r="R364" s="672" t="b">
        <v>0</v>
      </c>
      <c r="S364" s="318"/>
      <c r="T364" s="347"/>
      <c r="U364" s="343">
        <v>10.0</v>
      </c>
      <c r="V364" s="144" t="s">
        <v>584</v>
      </c>
      <c r="W364" s="148" t="s">
        <v>584</v>
      </c>
      <c r="X364" s="163"/>
      <c r="Y364" s="144" t="s">
        <v>584</v>
      </c>
      <c r="Z364" s="164"/>
      <c r="AA364" s="116"/>
      <c r="AB364" s="116"/>
      <c r="AC364" s="165"/>
      <c r="AD364" s="675" t="str">
        <f t="shared" si="47"/>
        <v>noviembre</v>
      </c>
      <c r="AE364" s="144" t="s">
        <v>1187</v>
      </c>
      <c r="AF364" s="149" t="b">
        <v>1</v>
      </c>
      <c r="AG364" s="144" t="s">
        <v>1187</v>
      </c>
      <c r="AH364" s="149" t="b">
        <v>0</v>
      </c>
      <c r="AI364" s="162"/>
      <c r="AJ364" s="143"/>
      <c r="AK364" s="143"/>
      <c r="AL364" s="143"/>
      <c r="AM364" s="143"/>
      <c r="AN364" s="143"/>
      <c r="AO364" s="143"/>
      <c r="AP364" s="143"/>
      <c r="AQ364" s="143"/>
    </row>
    <row r="365" ht="22.5" customHeight="1">
      <c r="A365" s="144" t="s">
        <v>162</v>
      </c>
      <c r="B365" s="145">
        <v>45990.0</v>
      </c>
      <c r="C365" s="149" t="s">
        <v>1152</v>
      </c>
      <c r="D365" s="822" t="s">
        <v>1421</v>
      </c>
      <c r="E365" s="148" t="s">
        <v>28</v>
      </c>
      <c r="F365" s="149" t="s">
        <v>1422</v>
      </c>
      <c r="G365" s="149">
        <v>5.1996004949E10</v>
      </c>
      <c r="H365" s="148" t="s">
        <v>257</v>
      </c>
      <c r="I365" s="150">
        <v>1.0</v>
      </c>
      <c r="J365" s="168">
        <v>6999.0</v>
      </c>
      <c r="K365" s="169">
        <f t="shared" si="53"/>
        <v>0</v>
      </c>
      <c r="L365" s="170">
        <v>6999.0</v>
      </c>
      <c r="M365" s="239">
        <v>6834.0</v>
      </c>
      <c r="N365" s="155">
        <v>1599.99</v>
      </c>
      <c r="O365" s="315">
        <f t="shared" si="52"/>
        <v>165</v>
      </c>
      <c r="P365" s="344">
        <f t="shared" si="54"/>
        <v>5</v>
      </c>
      <c r="Q365" s="510">
        <v>160.0</v>
      </c>
      <c r="R365" s="672" t="b">
        <v>0</v>
      </c>
      <c r="S365" s="318"/>
      <c r="T365" s="319"/>
      <c r="U365" s="315"/>
      <c r="V365" s="144" t="s">
        <v>584</v>
      </c>
      <c r="W365" s="148" t="s">
        <v>584</v>
      </c>
      <c r="X365" s="163"/>
      <c r="Y365" s="162"/>
      <c r="Z365" s="164"/>
      <c r="AA365" s="116"/>
      <c r="AB365" s="116"/>
      <c r="AC365" s="165"/>
      <c r="AD365" s="675" t="str">
        <f t="shared" si="47"/>
        <v>noviembre</v>
      </c>
      <c r="AE365" s="144" t="s">
        <v>1085</v>
      </c>
      <c r="AF365" s="149" t="b">
        <v>1</v>
      </c>
      <c r="AG365" s="144" t="s">
        <v>1085</v>
      </c>
      <c r="AH365" s="149" t="b">
        <v>0</v>
      </c>
      <c r="AI365" s="162"/>
      <c r="AJ365" s="143"/>
      <c r="AK365" s="143"/>
      <c r="AL365" s="143"/>
      <c r="AM365" s="143"/>
      <c r="AN365" s="143"/>
      <c r="AO365" s="143"/>
      <c r="AP365" s="143"/>
      <c r="AQ365" s="143"/>
    </row>
    <row r="366" ht="22.5" customHeight="1">
      <c r="A366" s="144" t="s">
        <v>162</v>
      </c>
      <c r="B366" s="145">
        <v>45990.0</v>
      </c>
      <c r="C366" s="149" t="s">
        <v>903</v>
      </c>
      <c r="D366" s="823" t="s">
        <v>1423</v>
      </c>
      <c r="E366" s="148" t="s">
        <v>28</v>
      </c>
      <c r="F366" s="149" t="s">
        <v>1424</v>
      </c>
      <c r="G366" s="149" t="s">
        <v>1425</v>
      </c>
      <c r="H366" s="148" t="s">
        <v>257</v>
      </c>
      <c r="I366" s="150">
        <v>1.0</v>
      </c>
      <c r="J366" s="168">
        <v>5999.0</v>
      </c>
      <c r="K366" s="169">
        <f t="shared" si="53"/>
        <v>0</v>
      </c>
      <c r="L366" s="170">
        <f>5999</f>
        <v>5999</v>
      </c>
      <c r="M366" s="239">
        <v>5880.0</v>
      </c>
      <c r="N366" s="155">
        <v>1199.99</v>
      </c>
      <c r="O366" s="315">
        <f t="shared" si="52"/>
        <v>119</v>
      </c>
      <c r="P366" s="741">
        <f t="shared" si="54"/>
        <v>19</v>
      </c>
      <c r="Q366" s="510">
        <v>100.0</v>
      </c>
      <c r="R366" s="672" t="b">
        <v>0</v>
      </c>
      <c r="S366" s="318"/>
      <c r="T366" s="319"/>
      <c r="U366" s="315"/>
      <c r="V366" s="144" t="s">
        <v>584</v>
      </c>
      <c r="W366" s="148" t="s">
        <v>584</v>
      </c>
      <c r="X366" s="163"/>
      <c r="Y366" s="162"/>
      <c r="Z366" s="164"/>
      <c r="AA366" s="116"/>
      <c r="AB366" s="116"/>
      <c r="AC366" s="165"/>
      <c r="AD366" s="675" t="str">
        <f t="shared" si="47"/>
        <v>noviembre</v>
      </c>
      <c r="AE366" s="144" t="s">
        <v>1085</v>
      </c>
      <c r="AF366" s="149" t="b">
        <v>1</v>
      </c>
      <c r="AG366" s="144" t="s">
        <v>1187</v>
      </c>
      <c r="AH366" s="149" t="b">
        <v>0</v>
      </c>
      <c r="AI366" s="162"/>
      <c r="AJ366" s="143"/>
      <c r="AK366" s="143"/>
      <c r="AL366" s="143"/>
      <c r="AM366" s="143"/>
      <c r="AN366" s="143"/>
      <c r="AO366" s="143"/>
      <c r="AP366" s="143"/>
      <c r="AQ366" s="143"/>
    </row>
    <row r="367" ht="22.5" hidden="1" customHeight="1">
      <c r="A367" s="144" t="s">
        <v>34</v>
      </c>
      <c r="B367" s="145">
        <v>45990.0</v>
      </c>
      <c r="C367" s="259" t="s">
        <v>903</v>
      </c>
      <c r="D367" s="366" t="s">
        <v>1426</v>
      </c>
      <c r="E367" s="148" t="s">
        <v>28</v>
      </c>
      <c r="F367" s="824" t="s">
        <v>1427</v>
      </c>
      <c r="G367" s="149" t="s">
        <v>1428</v>
      </c>
      <c r="H367" s="148" t="s">
        <v>257</v>
      </c>
      <c r="I367" s="150">
        <v>0.3</v>
      </c>
      <c r="J367" s="168">
        <v>1900.0</v>
      </c>
      <c r="K367" s="169">
        <f t="shared" si="53"/>
        <v>4399</v>
      </c>
      <c r="L367" s="170">
        <v>6299.0</v>
      </c>
      <c r="M367" s="239">
        <v>5880.0</v>
      </c>
      <c r="N367" s="155">
        <v>1199.99</v>
      </c>
      <c r="O367" s="315">
        <f t="shared" si="52"/>
        <v>419</v>
      </c>
      <c r="P367" s="344">
        <f t="shared" si="54"/>
        <v>134</v>
      </c>
      <c r="Q367" s="510">
        <v>285.0</v>
      </c>
      <c r="R367" s="672" t="b">
        <v>0</v>
      </c>
      <c r="S367" s="318"/>
      <c r="T367" s="319"/>
      <c r="U367" s="315"/>
      <c r="V367" s="144" t="s">
        <v>584</v>
      </c>
      <c r="W367" s="148" t="s">
        <v>584</v>
      </c>
      <c r="X367" s="163"/>
      <c r="Y367" s="162"/>
      <c r="Z367" s="164"/>
      <c r="AA367" s="116"/>
      <c r="AB367" s="116"/>
      <c r="AC367" s="165"/>
      <c r="AD367" s="675" t="str">
        <f t="shared" si="47"/>
        <v>noviembre</v>
      </c>
      <c r="AE367" s="144" t="s">
        <v>1085</v>
      </c>
      <c r="AF367" s="149" t="b">
        <v>1</v>
      </c>
      <c r="AG367" s="144" t="s">
        <v>1085</v>
      </c>
      <c r="AH367" s="149" t="b">
        <v>0</v>
      </c>
      <c r="AI367" s="162"/>
      <c r="AJ367" s="143"/>
      <c r="AK367" s="143"/>
      <c r="AL367" s="143"/>
      <c r="AM367" s="143"/>
      <c r="AN367" s="143"/>
      <c r="AO367" s="143"/>
      <c r="AP367" s="143"/>
      <c r="AQ367" s="143"/>
    </row>
    <row r="368" ht="22.5" customHeight="1">
      <c r="A368" s="144" t="s">
        <v>162</v>
      </c>
      <c r="B368" s="145">
        <v>45990.0</v>
      </c>
      <c r="C368" s="149" t="s">
        <v>1429</v>
      </c>
      <c r="D368" s="329" t="s">
        <v>1430</v>
      </c>
      <c r="E368" s="148" t="s">
        <v>28</v>
      </c>
      <c r="F368" s="149" t="s">
        <v>1431</v>
      </c>
      <c r="G368" s="149">
        <v>5.1961720403E10</v>
      </c>
      <c r="H368" s="148" t="s">
        <v>257</v>
      </c>
      <c r="I368" s="150">
        <v>0.2</v>
      </c>
      <c r="J368" s="168">
        <v>1199.0</v>
      </c>
      <c r="K368" s="169">
        <f t="shared" si="53"/>
        <v>4964</v>
      </c>
      <c r="L368" s="170">
        <v>6163.0</v>
      </c>
      <c r="M368" s="239">
        <v>6163.0</v>
      </c>
      <c r="N368" s="155">
        <v>1424.95</v>
      </c>
      <c r="O368" s="315">
        <f t="shared" si="52"/>
        <v>0</v>
      </c>
      <c r="P368" s="344">
        <f t="shared" si="54"/>
        <v>0</v>
      </c>
      <c r="Q368" s="321"/>
      <c r="R368" s="672" t="b">
        <v>0</v>
      </c>
      <c r="S368" s="318"/>
      <c r="T368" s="319"/>
      <c r="U368" s="315"/>
      <c r="V368" s="144" t="s">
        <v>584</v>
      </c>
      <c r="W368" s="148" t="s">
        <v>584</v>
      </c>
      <c r="X368" s="163"/>
      <c r="Y368" s="144" t="s">
        <v>584</v>
      </c>
      <c r="Z368" s="164"/>
      <c r="AA368" s="116"/>
      <c r="AB368" s="116"/>
      <c r="AC368" s="165"/>
      <c r="AD368" s="675" t="str">
        <f t="shared" si="47"/>
        <v>noviembre</v>
      </c>
      <c r="AE368" s="144" t="s">
        <v>1187</v>
      </c>
      <c r="AF368" s="149" t="b">
        <v>1</v>
      </c>
      <c r="AG368" s="144" t="s">
        <v>1187</v>
      </c>
      <c r="AH368" s="149" t="b">
        <v>0</v>
      </c>
      <c r="AI368" s="162"/>
      <c r="AJ368" s="143"/>
      <c r="AK368" s="143"/>
      <c r="AL368" s="143"/>
      <c r="AM368" s="143"/>
      <c r="AN368" s="143"/>
      <c r="AO368" s="143"/>
      <c r="AP368" s="143"/>
      <c r="AQ368" s="143"/>
    </row>
    <row r="369" ht="22.5" customHeight="1">
      <c r="A369" s="144" t="s">
        <v>162</v>
      </c>
      <c r="B369" s="145">
        <v>45990.0</v>
      </c>
      <c r="C369" s="149" t="s">
        <v>903</v>
      </c>
      <c r="D369" s="208" t="s">
        <v>1432</v>
      </c>
      <c r="E369" s="148" t="s">
        <v>28</v>
      </c>
      <c r="F369" s="149" t="s">
        <v>1433</v>
      </c>
      <c r="G369" s="149">
        <v>5.1971502418E10</v>
      </c>
      <c r="H369" s="148" t="s">
        <v>257</v>
      </c>
      <c r="I369" s="150">
        <v>1.0</v>
      </c>
      <c r="J369" s="168">
        <v>6200.0</v>
      </c>
      <c r="K369" s="169">
        <f t="shared" si="53"/>
        <v>0</v>
      </c>
      <c r="L369" s="170">
        <v>6200.0</v>
      </c>
      <c r="M369" s="239">
        <v>5880.0</v>
      </c>
      <c r="N369" s="155">
        <v>1199.0</v>
      </c>
      <c r="O369" s="315">
        <f t="shared" si="52"/>
        <v>320</v>
      </c>
      <c r="P369" s="344">
        <f t="shared" si="54"/>
        <v>150</v>
      </c>
      <c r="Q369" s="510">
        <v>170.0</v>
      </c>
      <c r="R369" s="672" t="b">
        <v>0</v>
      </c>
      <c r="S369" s="318"/>
      <c r="T369" s="319"/>
      <c r="U369" s="315"/>
      <c r="V369" s="144" t="s">
        <v>584</v>
      </c>
      <c r="W369" s="148" t="s">
        <v>584</v>
      </c>
      <c r="X369" s="163"/>
      <c r="Y369" s="144" t="s">
        <v>584</v>
      </c>
      <c r="Z369" s="164"/>
      <c r="AA369" s="116"/>
      <c r="AB369" s="116"/>
      <c r="AC369" s="165"/>
      <c r="AD369" s="675" t="str">
        <f t="shared" si="47"/>
        <v>noviembre</v>
      </c>
      <c r="AE369" s="144" t="s">
        <v>1085</v>
      </c>
      <c r="AF369" s="149" t="b">
        <v>1</v>
      </c>
      <c r="AG369" s="144" t="s">
        <v>1085</v>
      </c>
      <c r="AH369" s="149" t="b">
        <v>0</v>
      </c>
      <c r="AI369" s="162"/>
      <c r="AJ369" s="143"/>
      <c r="AK369" s="143"/>
      <c r="AL369" s="143"/>
      <c r="AM369" s="143"/>
      <c r="AN369" s="143"/>
      <c r="AO369" s="143"/>
      <c r="AP369" s="143"/>
      <c r="AQ369" s="143"/>
    </row>
    <row r="370" ht="22.5" hidden="1" customHeight="1">
      <c r="A370" s="144" t="s">
        <v>34</v>
      </c>
      <c r="B370" s="145">
        <v>45990.0</v>
      </c>
      <c r="C370" s="591" t="s">
        <v>1152</v>
      </c>
      <c r="D370" s="208" t="s">
        <v>1434</v>
      </c>
      <c r="E370" s="148" t="s">
        <v>28</v>
      </c>
      <c r="F370" s="825" t="s">
        <v>1435</v>
      </c>
      <c r="G370" s="149" t="s">
        <v>1436</v>
      </c>
      <c r="H370" s="148" t="s">
        <v>257</v>
      </c>
      <c r="I370" s="150">
        <v>0.2</v>
      </c>
      <c r="J370" s="168">
        <v>1320.0</v>
      </c>
      <c r="K370" s="169">
        <f t="shared" si="53"/>
        <v>5279</v>
      </c>
      <c r="L370" s="170">
        <v>6599.0</v>
      </c>
      <c r="M370" s="239">
        <v>6253.0</v>
      </c>
      <c r="N370" s="155">
        <v>1449.99</v>
      </c>
      <c r="O370" s="315">
        <f t="shared" si="52"/>
        <v>346</v>
      </c>
      <c r="P370" s="344">
        <f t="shared" si="54"/>
        <v>96</v>
      </c>
      <c r="Q370" s="510">
        <v>190.0</v>
      </c>
      <c r="R370" s="672" t="b">
        <v>1</v>
      </c>
      <c r="S370" s="318"/>
      <c r="T370" s="319"/>
      <c r="U370" s="343">
        <v>10.0</v>
      </c>
      <c r="V370" s="144" t="s">
        <v>584</v>
      </c>
      <c r="W370" s="148" t="s">
        <v>584</v>
      </c>
      <c r="X370" s="163"/>
      <c r="Y370" s="144" t="s">
        <v>584</v>
      </c>
      <c r="Z370" s="164"/>
      <c r="AA370" s="116"/>
      <c r="AB370" s="116"/>
      <c r="AC370" s="165"/>
      <c r="AD370" s="675" t="str">
        <f t="shared" si="47"/>
        <v>noviembre</v>
      </c>
      <c r="AE370" s="144" t="s">
        <v>1187</v>
      </c>
      <c r="AF370" s="149" t="b">
        <v>1</v>
      </c>
      <c r="AG370" s="144" t="s">
        <v>1187</v>
      </c>
      <c r="AH370" s="149" t="b">
        <v>0</v>
      </c>
      <c r="AI370" s="162"/>
      <c r="AJ370" s="143"/>
      <c r="AK370" s="143"/>
      <c r="AL370" s="143"/>
      <c r="AM370" s="143"/>
      <c r="AN370" s="143"/>
      <c r="AO370" s="143"/>
      <c r="AP370" s="143"/>
      <c r="AQ370" s="143"/>
    </row>
    <row r="371" ht="22.5" hidden="1" customHeight="1">
      <c r="A371" s="144" t="s">
        <v>259</v>
      </c>
      <c r="B371" s="772">
        <v>45990.0</v>
      </c>
      <c r="C371" s="780" t="s">
        <v>1437</v>
      </c>
      <c r="D371" s="366" t="s">
        <v>892</v>
      </c>
      <c r="E371" s="148" t="s">
        <v>28</v>
      </c>
      <c r="F371" s="246" t="s">
        <v>1438</v>
      </c>
      <c r="G371" s="149">
        <v>5.1950736562E10</v>
      </c>
      <c r="H371" s="148" t="s">
        <v>257</v>
      </c>
      <c r="I371" s="150">
        <v>0.2</v>
      </c>
      <c r="J371" s="168">
        <v>1079.0</v>
      </c>
      <c r="K371" s="169">
        <f t="shared" si="53"/>
        <v>4320</v>
      </c>
      <c r="L371" s="170">
        <v>5399.0</v>
      </c>
      <c r="M371" s="239">
        <v>4939.0</v>
      </c>
      <c r="N371" s="155">
        <v>1099.0</v>
      </c>
      <c r="O371" s="315">
        <f t="shared" si="52"/>
        <v>460</v>
      </c>
      <c r="P371" s="344">
        <f t="shared" si="54"/>
        <v>330</v>
      </c>
      <c r="Q371" s="510">
        <v>120.0</v>
      </c>
      <c r="R371" s="672" t="b">
        <v>0</v>
      </c>
      <c r="S371" s="318"/>
      <c r="T371" s="315"/>
      <c r="U371" s="573">
        <v>10.0</v>
      </c>
      <c r="V371" s="144" t="s">
        <v>584</v>
      </c>
      <c r="W371" s="148" t="s">
        <v>584</v>
      </c>
      <c r="X371" s="163"/>
      <c r="Y371" s="144" t="s">
        <v>584</v>
      </c>
      <c r="Z371" s="164"/>
      <c r="AA371" s="116"/>
      <c r="AB371" s="116"/>
      <c r="AC371" s="165"/>
      <c r="AD371" s="675" t="str">
        <f t="shared" si="47"/>
        <v>noviembre</v>
      </c>
      <c r="AE371" s="144" t="s">
        <v>1187</v>
      </c>
      <c r="AF371" s="149" t="b">
        <v>1</v>
      </c>
      <c r="AG371" s="144" t="s">
        <v>1187</v>
      </c>
      <c r="AH371" s="149" t="b">
        <v>0</v>
      </c>
      <c r="AI371" s="162"/>
      <c r="AJ371" s="143"/>
      <c r="AK371" s="143"/>
      <c r="AL371" s="143"/>
      <c r="AM371" s="143"/>
      <c r="AN371" s="143"/>
      <c r="AO371" s="143"/>
      <c r="AP371" s="143"/>
      <c r="AQ371" s="143"/>
    </row>
    <row r="372" ht="22.5" hidden="1" customHeight="1">
      <c r="A372" s="144" t="s">
        <v>259</v>
      </c>
      <c r="B372" s="772">
        <v>45990.0</v>
      </c>
      <c r="C372" s="149" t="s">
        <v>1439</v>
      </c>
      <c r="D372" s="366" t="s">
        <v>1440</v>
      </c>
      <c r="E372" s="148" t="s">
        <v>28</v>
      </c>
      <c r="F372" s="262" t="s">
        <v>1441</v>
      </c>
      <c r="G372" s="149">
        <v>5.1970891706E10</v>
      </c>
      <c r="H372" s="148" t="s">
        <v>257</v>
      </c>
      <c r="I372" s="150">
        <v>0.2</v>
      </c>
      <c r="J372" s="168">
        <v>999.0</v>
      </c>
      <c r="K372" s="169">
        <f t="shared" si="53"/>
        <v>4000</v>
      </c>
      <c r="L372" s="170">
        <v>4999.0</v>
      </c>
      <c r="M372" s="239">
        <v>4676.0</v>
      </c>
      <c r="N372" s="155">
        <v>1049.99</v>
      </c>
      <c r="O372" s="315">
        <f t="shared" si="52"/>
        <v>323</v>
      </c>
      <c r="P372" s="344">
        <f t="shared" si="54"/>
        <v>193</v>
      </c>
      <c r="Q372" s="510">
        <v>120.0</v>
      </c>
      <c r="R372" s="672" t="b">
        <v>0</v>
      </c>
      <c r="S372" s="318"/>
      <c r="T372" s="315"/>
      <c r="U372" s="573">
        <v>10.0</v>
      </c>
      <c r="V372" s="144" t="s">
        <v>584</v>
      </c>
      <c r="W372" s="148" t="s">
        <v>584</v>
      </c>
      <c r="X372" s="163"/>
      <c r="Y372" s="144" t="s">
        <v>584</v>
      </c>
      <c r="Z372" s="164"/>
      <c r="AA372" s="116"/>
      <c r="AB372" s="116"/>
      <c r="AC372" s="165"/>
      <c r="AD372" s="675" t="str">
        <f t="shared" si="47"/>
        <v>noviembre</v>
      </c>
      <c r="AE372" s="144" t="s">
        <v>1187</v>
      </c>
      <c r="AF372" s="149" t="b">
        <v>1</v>
      </c>
      <c r="AG372" s="144" t="s">
        <v>1187</v>
      </c>
      <c r="AH372" s="149" t="b">
        <v>0</v>
      </c>
      <c r="AI372" s="162"/>
      <c r="AJ372" s="143"/>
      <c r="AK372" s="143"/>
      <c r="AL372" s="143"/>
      <c r="AM372" s="143"/>
      <c r="AN372" s="143"/>
      <c r="AO372" s="143"/>
      <c r="AP372" s="143"/>
      <c r="AQ372" s="143"/>
    </row>
    <row r="373" ht="22.5" hidden="1" customHeight="1">
      <c r="A373" s="144" t="s">
        <v>259</v>
      </c>
      <c r="B373" s="145">
        <v>45990.0</v>
      </c>
      <c r="C373" s="610" t="s">
        <v>1000</v>
      </c>
      <c r="D373" s="366" t="s">
        <v>1442</v>
      </c>
      <c r="E373" s="148" t="s">
        <v>28</v>
      </c>
      <c r="F373" s="591" t="s">
        <v>1443</v>
      </c>
      <c r="G373" s="149">
        <v>5.1918833597E10</v>
      </c>
      <c r="H373" s="148" t="s">
        <v>257</v>
      </c>
      <c r="I373" s="150">
        <v>1.0</v>
      </c>
      <c r="J373" s="168"/>
      <c r="K373" s="152">
        <v>8299.0</v>
      </c>
      <c r="L373" s="170">
        <v>8299.0</v>
      </c>
      <c r="M373" s="239">
        <v>8049.0</v>
      </c>
      <c r="N373" s="155">
        <v>1699.99</v>
      </c>
      <c r="O373" s="315">
        <f t="shared" si="52"/>
        <v>250</v>
      </c>
      <c r="P373" s="344">
        <f t="shared" si="54"/>
        <v>150</v>
      </c>
      <c r="Q373" s="510">
        <v>100.0</v>
      </c>
      <c r="R373" s="672" t="b">
        <v>0</v>
      </c>
      <c r="S373" s="318"/>
      <c r="T373" s="319"/>
      <c r="U373" s="315"/>
      <c r="V373" s="144" t="s">
        <v>584</v>
      </c>
      <c r="W373" s="148" t="s">
        <v>584</v>
      </c>
      <c r="X373" s="163"/>
      <c r="Y373" s="162"/>
      <c r="Z373" s="164"/>
      <c r="AA373" s="116"/>
      <c r="AB373" s="116"/>
      <c r="AC373" s="165"/>
      <c r="AD373" s="675" t="str">
        <f t="shared" si="47"/>
        <v>noviembre</v>
      </c>
      <c r="AE373" s="144" t="s">
        <v>1085</v>
      </c>
      <c r="AF373" s="149" t="b">
        <v>1</v>
      </c>
      <c r="AG373" s="166"/>
      <c r="AH373" s="149" t="b">
        <v>0</v>
      </c>
      <c r="AI373" s="162"/>
      <c r="AJ373" s="143"/>
      <c r="AK373" s="143"/>
      <c r="AL373" s="143"/>
      <c r="AM373" s="143"/>
      <c r="AN373" s="143"/>
      <c r="AO373" s="143"/>
      <c r="AP373" s="143"/>
      <c r="AQ373" s="143"/>
    </row>
    <row r="374" ht="22.5" hidden="1" customHeight="1">
      <c r="A374" s="144" t="s">
        <v>259</v>
      </c>
      <c r="B374" s="145">
        <v>45990.0</v>
      </c>
      <c r="C374" s="631" t="s">
        <v>794</v>
      </c>
      <c r="D374" s="366" t="s">
        <v>1444</v>
      </c>
      <c r="E374" s="148" t="s">
        <v>28</v>
      </c>
      <c r="F374" s="630" t="s">
        <v>1445</v>
      </c>
      <c r="G374" s="149">
        <v>5.1901898446E10</v>
      </c>
      <c r="H374" s="148" t="s">
        <v>257</v>
      </c>
      <c r="I374" s="148" t="s">
        <v>61</v>
      </c>
      <c r="J374" s="168">
        <v>500.0</v>
      </c>
      <c r="K374" s="169">
        <f t="shared" ref="K374:K375" si="55">IF(J374="","",L374-J374)</f>
        <v>5699</v>
      </c>
      <c r="L374" s="170">
        <v>6199.0</v>
      </c>
      <c r="M374" s="239">
        <v>6136.0</v>
      </c>
      <c r="N374" s="155">
        <v>1399.99</v>
      </c>
      <c r="O374" s="315">
        <f t="shared" si="52"/>
        <v>63</v>
      </c>
      <c r="P374" s="344">
        <f t="shared" si="54"/>
        <v>33</v>
      </c>
      <c r="Q374" s="510">
        <v>30.0</v>
      </c>
      <c r="R374" s="672" t="b">
        <v>0</v>
      </c>
      <c r="S374" s="318"/>
      <c r="T374" s="319"/>
      <c r="U374" s="315"/>
      <c r="V374" s="144" t="s">
        <v>584</v>
      </c>
      <c r="W374" s="148" t="s">
        <v>584</v>
      </c>
      <c r="X374" s="163"/>
      <c r="Y374" s="162"/>
      <c r="Z374" s="164"/>
      <c r="AA374" s="116"/>
      <c r="AB374" s="116"/>
      <c r="AC374" s="165"/>
      <c r="AD374" s="675" t="str">
        <f t="shared" si="47"/>
        <v>noviembre</v>
      </c>
      <c r="AE374" s="144" t="s">
        <v>1085</v>
      </c>
      <c r="AF374" s="149" t="b">
        <v>1</v>
      </c>
      <c r="AG374" s="166"/>
      <c r="AH374" s="149" t="b">
        <v>0</v>
      </c>
      <c r="AI374" s="162"/>
      <c r="AJ374" s="143"/>
      <c r="AK374" s="143"/>
      <c r="AL374" s="143"/>
      <c r="AM374" s="143"/>
      <c r="AN374" s="143"/>
      <c r="AO374" s="143"/>
      <c r="AP374" s="143"/>
      <c r="AQ374" s="143"/>
    </row>
    <row r="375" ht="22.5" hidden="1" customHeight="1">
      <c r="A375" s="144" t="s">
        <v>259</v>
      </c>
      <c r="B375" s="772">
        <v>45990.0</v>
      </c>
      <c r="C375" s="826" t="s">
        <v>1446</v>
      </c>
      <c r="D375" s="366" t="s">
        <v>1447</v>
      </c>
      <c r="E375" s="148" t="s">
        <v>28</v>
      </c>
      <c r="F375" s="489" t="s">
        <v>1448</v>
      </c>
      <c r="G375" s="149">
        <v>5.1956090191E10</v>
      </c>
      <c r="H375" s="148" t="s">
        <v>257</v>
      </c>
      <c r="I375" s="150">
        <v>0.2</v>
      </c>
      <c r="J375" s="168">
        <v>1180.0</v>
      </c>
      <c r="K375" s="169">
        <f t="shared" si="55"/>
        <v>4719</v>
      </c>
      <c r="L375" s="170">
        <v>5899.0</v>
      </c>
      <c r="M375" s="239">
        <v>5627.0</v>
      </c>
      <c r="N375" s="155">
        <v>1299.99</v>
      </c>
      <c r="O375" s="315">
        <f t="shared" si="52"/>
        <v>272</v>
      </c>
      <c r="P375" s="344">
        <f t="shared" si="54"/>
        <v>142</v>
      </c>
      <c r="Q375" s="510">
        <v>120.0</v>
      </c>
      <c r="R375" s="672" t="b">
        <v>0</v>
      </c>
      <c r="S375" s="318"/>
      <c r="T375" s="319"/>
      <c r="U375" s="343">
        <v>10.0</v>
      </c>
      <c r="V375" s="144" t="s">
        <v>584</v>
      </c>
      <c r="W375" s="148" t="s">
        <v>584</v>
      </c>
      <c r="X375" s="163"/>
      <c r="Y375" s="162"/>
      <c r="Z375" s="164"/>
      <c r="AA375" s="116"/>
      <c r="AB375" s="116"/>
      <c r="AC375" s="165"/>
      <c r="AD375" s="675" t="str">
        <f t="shared" si="47"/>
        <v>noviembre</v>
      </c>
      <c r="AE375" s="144" t="s">
        <v>1085</v>
      </c>
      <c r="AF375" s="149" t="b">
        <v>1</v>
      </c>
      <c r="AG375" s="144" t="s">
        <v>1187</v>
      </c>
      <c r="AH375" s="149" t="b">
        <v>0</v>
      </c>
      <c r="AI375" s="162"/>
      <c r="AJ375" s="143"/>
      <c r="AK375" s="143"/>
      <c r="AL375" s="143"/>
      <c r="AM375" s="143"/>
      <c r="AN375" s="143"/>
      <c r="AO375" s="143"/>
      <c r="AP375" s="143"/>
      <c r="AQ375" s="143"/>
    </row>
    <row r="376" ht="22.5" hidden="1" customHeight="1">
      <c r="A376" s="144" t="s">
        <v>259</v>
      </c>
      <c r="B376" s="145">
        <v>45990.0</v>
      </c>
      <c r="C376" s="591" t="s">
        <v>1152</v>
      </c>
      <c r="D376" s="366" t="s">
        <v>1449</v>
      </c>
      <c r="E376" s="148" t="s">
        <v>28</v>
      </c>
      <c r="F376" s="825" t="s">
        <v>1450</v>
      </c>
      <c r="G376" s="149">
        <v>5.1986729915E10</v>
      </c>
      <c r="H376" s="148" t="s">
        <v>257</v>
      </c>
      <c r="I376" s="150">
        <v>1.0</v>
      </c>
      <c r="J376" s="168"/>
      <c r="K376" s="152">
        <v>6999.0</v>
      </c>
      <c r="L376" s="170">
        <v>6999.0</v>
      </c>
      <c r="M376" s="239">
        <v>6834.0</v>
      </c>
      <c r="N376" s="155">
        <v>1599.99</v>
      </c>
      <c r="O376" s="315">
        <f t="shared" si="52"/>
        <v>165</v>
      </c>
      <c r="P376" s="344">
        <f t="shared" si="54"/>
        <v>135</v>
      </c>
      <c r="Q376" s="510">
        <v>30.0</v>
      </c>
      <c r="R376" s="672" t="b">
        <v>0</v>
      </c>
      <c r="S376" s="318"/>
      <c r="T376" s="319"/>
      <c r="U376" s="315"/>
      <c r="V376" s="144" t="s">
        <v>584</v>
      </c>
      <c r="W376" s="148" t="s">
        <v>584</v>
      </c>
      <c r="X376" s="163"/>
      <c r="Y376" s="162"/>
      <c r="Z376" s="164"/>
      <c r="AA376" s="116"/>
      <c r="AB376" s="116"/>
      <c r="AC376" s="165"/>
      <c r="AD376" s="675" t="str">
        <f t="shared" si="47"/>
        <v>noviembre</v>
      </c>
      <c r="AE376" s="144" t="s">
        <v>1085</v>
      </c>
      <c r="AF376" s="149" t="b">
        <v>1</v>
      </c>
      <c r="AG376" s="166"/>
      <c r="AH376" s="149" t="b">
        <v>0</v>
      </c>
      <c r="AI376" s="162"/>
      <c r="AJ376" s="143"/>
      <c r="AK376" s="143"/>
      <c r="AL376" s="143"/>
      <c r="AM376" s="143"/>
      <c r="AN376" s="143"/>
      <c r="AO376" s="143"/>
      <c r="AP376" s="143"/>
      <c r="AQ376" s="143"/>
    </row>
    <row r="377" ht="22.5" hidden="1" customHeight="1">
      <c r="A377" s="144" t="s">
        <v>259</v>
      </c>
      <c r="B377" s="145">
        <v>45990.0</v>
      </c>
      <c r="C377" s="647" t="s">
        <v>1152</v>
      </c>
      <c r="D377" s="366" t="s">
        <v>1451</v>
      </c>
      <c r="E377" s="148" t="s">
        <v>28</v>
      </c>
      <c r="F377" s="825" t="s">
        <v>1452</v>
      </c>
      <c r="G377" s="149">
        <v>5.1998012097E10</v>
      </c>
      <c r="H377" s="148" t="s">
        <v>257</v>
      </c>
      <c r="I377" s="150">
        <v>1.0</v>
      </c>
      <c r="J377" s="168"/>
      <c r="K377" s="152">
        <v>6999.0</v>
      </c>
      <c r="L377" s="170">
        <v>6999.0</v>
      </c>
      <c r="M377" s="239">
        <v>6834.0</v>
      </c>
      <c r="N377" s="155">
        <v>1599.99</v>
      </c>
      <c r="O377" s="315">
        <f t="shared" si="52"/>
        <v>165</v>
      </c>
      <c r="P377" s="344">
        <f>L377-M377-Q377-50*R377-T377-U377</f>
        <v>135</v>
      </c>
      <c r="Q377" s="510">
        <v>30.0</v>
      </c>
      <c r="R377" s="672" t="b">
        <v>0</v>
      </c>
      <c r="S377" s="346">
        <v>449.0</v>
      </c>
      <c r="T377" s="319"/>
      <c r="U377" s="315"/>
      <c r="V377" s="144" t="s">
        <v>584</v>
      </c>
      <c r="W377" s="148" t="s">
        <v>584</v>
      </c>
      <c r="X377" s="163"/>
      <c r="Y377" s="162"/>
      <c r="Z377" s="164"/>
      <c r="AA377" s="116"/>
      <c r="AB377" s="116"/>
      <c r="AC377" s="165"/>
      <c r="AD377" s="675" t="str">
        <f t="shared" si="47"/>
        <v>noviembre</v>
      </c>
      <c r="AE377" s="144" t="s">
        <v>1085</v>
      </c>
      <c r="AF377" s="149" t="b">
        <v>1</v>
      </c>
      <c r="AG377" s="166"/>
      <c r="AH377" s="149" t="b">
        <v>0</v>
      </c>
      <c r="AI377" s="162"/>
      <c r="AJ377" s="143"/>
      <c r="AK377" s="143"/>
      <c r="AL377" s="143"/>
      <c r="AM377" s="143"/>
      <c r="AN377" s="143"/>
      <c r="AO377" s="143"/>
      <c r="AP377" s="143"/>
      <c r="AQ377" s="143"/>
    </row>
    <row r="378" ht="22.5" hidden="1" customHeight="1">
      <c r="A378" s="827" t="s">
        <v>259</v>
      </c>
      <c r="B378" s="772">
        <v>45990.0</v>
      </c>
      <c r="C378" s="647" t="s">
        <v>918</v>
      </c>
      <c r="D378" s="329" t="s">
        <v>1453</v>
      </c>
      <c r="E378" s="148" t="s">
        <v>28</v>
      </c>
      <c r="F378" s="540" t="s">
        <v>1454</v>
      </c>
      <c r="G378" s="149">
        <v>5.1977367831E10</v>
      </c>
      <c r="H378" s="148" t="s">
        <v>257</v>
      </c>
      <c r="I378" s="150">
        <v>0.2</v>
      </c>
      <c r="J378" s="168">
        <v>1060.0</v>
      </c>
      <c r="K378" s="169">
        <f t="shared" ref="K378:K461" si="56">IF(J378="","",L378-J378)</f>
        <v>4239</v>
      </c>
      <c r="L378" s="170">
        <v>5299.0</v>
      </c>
      <c r="M378" s="239">
        <v>4690.0</v>
      </c>
      <c r="N378" s="155">
        <v>1049.99</v>
      </c>
      <c r="O378" s="315">
        <f t="shared" si="52"/>
        <v>609</v>
      </c>
      <c r="P378" s="344">
        <f t="shared" ref="P378:P395" si="57">L378-M378-Q378-50*R378-S378-T378-U378</f>
        <v>609</v>
      </c>
      <c r="Q378" s="510"/>
      <c r="R378" s="672" t="b">
        <v>0</v>
      </c>
      <c r="S378" s="346"/>
      <c r="T378" s="315"/>
      <c r="U378" s="315"/>
      <c r="V378" s="144" t="s">
        <v>584</v>
      </c>
      <c r="W378" s="148" t="s">
        <v>584</v>
      </c>
      <c r="X378" s="163"/>
      <c r="Y378" s="162"/>
      <c r="Z378" s="164"/>
      <c r="AA378" s="116"/>
      <c r="AB378" s="116"/>
      <c r="AC378" s="165"/>
      <c r="AD378" s="675" t="str">
        <f t="shared" si="47"/>
        <v>noviembre</v>
      </c>
      <c r="AE378" s="144" t="s">
        <v>1187</v>
      </c>
      <c r="AF378" s="149" t="b">
        <v>1</v>
      </c>
      <c r="AG378" s="144" t="s">
        <v>1187</v>
      </c>
      <c r="AH378" s="149" t="b">
        <v>0</v>
      </c>
      <c r="AI378" s="162"/>
      <c r="AJ378" s="143"/>
      <c r="AK378" s="143"/>
      <c r="AL378" s="143"/>
      <c r="AM378" s="143"/>
      <c r="AN378" s="143"/>
      <c r="AO378" s="143"/>
      <c r="AP378" s="143"/>
      <c r="AQ378" s="143"/>
    </row>
    <row r="379" ht="22.5" customHeight="1">
      <c r="A379" s="144" t="s">
        <v>162</v>
      </c>
      <c r="B379" s="145">
        <v>45990.0</v>
      </c>
      <c r="C379" s="149" t="s">
        <v>879</v>
      </c>
      <c r="D379" s="208" t="s">
        <v>1455</v>
      </c>
      <c r="E379" s="148" t="s">
        <v>28</v>
      </c>
      <c r="F379" s="149" t="s">
        <v>1456</v>
      </c>
      <c r="G379" s="149" t="s">
        <v>1457</v>
      </c>
      <c r="H379" s="148" t="s">
        <v>257</v>
      </c>
      <c r="I379" s="150">
        <v>0.2</v>
      </c>
      <c r="J379" s="168">
        <v>1000.0</v>
      </c>
      <c r="K379" s="169">
        <f t="shared" si="56"/>
        <v>4971</v>
      </c>
      <c r="L379" s="170">
        <v>5971.0</v>
      </c>
      <c r="M379" s="239">
        <v>5880.0</v>
      </c>
      <c r="N379" s="155">
        <v>1199.0</v>
      </c>
      <c r="O379" s="315">
        <f t="shared" si="52"/>
        <v>91</v>
      </c>
      <c r="P379" s="344">
        <f t="shared" si="57"/>
        <v>91</v>
      </c>
      <c r="Q379" s="321"/>
      <c r="R379" s="672" t="b">
        <v>0</v>
      </c>
      <c r="S379" s="318"/>
      <c r="T379" s="319"/>
      <c r="U379" s="315"/>
      <c r="V379" s="144" t="s">
        <v>584</v>
      </c>
      <c r="W379" s="148" t="s">
        <v>584</v>
      </c>
      <c r="X379" s="163"/>
      <c r="Y379" s="162"/>
      <c r="Z379" s="164"/>
      <c r="AA379" s="116"/>
      <c r="AB379" s="116"/>
      <c r="AC379" s="165"/>
      <c r="AD379" s="675" t="str">
        <f t="shared" si="47"/>
        <v>noviembre</v>
      </c>
      <c r="AE379" s="144" t="s">
        <v>1187</v>
      </c>
      <c r="AF379" s="149" t="b">
        <v>1</v>
      </c>
      <c r="AG379" s="144" t="s">
        <v>1187</v>
      </c>
      <c r="AH379" s="149" t="b">
        <v>0</v>
      </c>
      <c r="AI379" s="162"/>
      <c r="AJ379" s="143"/>
      <c r="AK379" s="143"/>
      <c r="AL379" s="143"/>
      <c r="AM379" s="143"/>
      <c r="AN379" s="143"/>
      <c r="AO379" s="143"/>
      <c r="AP379" s="143"/>
      <c r="AQ379" s="143"/>
    </row>
    <row r="380" ht="22.5" customHeight="1">
      <c r="A380" s="144" t="s">
        <v>162</v>
      </c>
      <c r="B380" s="145">
        <v>45990.0</v>
      </c>
      <c r="C380" s="149" t="s">
        <v>1458</v>
      </c>
      <c r="D380" s="828" t="s">
        <v>1459</v>
      </c>
      <c r="E380" s="148" t="s">
        <v>28</v>
      </c>
      <c r="F380" s="829" t="s">
        <v>1460</v>
      </c>
      <c r="G380" s="149" t="s">
        <v>1461</v>
      </c>
      <c r="H380" s="148" t="s">
        <v>257</v>
      </c>
      <c r="I380" s="150">
        <v>0.3</v>
      </c>
      <c r="J380" s="168">
        <v>2900.0</v>
      </c>
      <c r="K380" s="755">
        <f t="shared" si="56"/>
        <v>7006.78</v>
      </c>
      <c r="L380" s="170">
        <v>9906.78</v>
      </c>
      <c r="M380" s="239">
        <v>9906.78</v>
      </c>
      <c r="N380" s="155">
        <v>2299.99</v>
      </c>
      <c r="O380" s="315">
        <f t="shared" si="52"/>
        <v>0</v>
      </c>
      <c r="P380" s="344">
        <f t="shared" si="57"/>
        <v>0</v>
      </c>
      <c r="Q380" s="321"/>
      <c r="R380" s="672" t="b">
        <v>0</v>
      </c>
      <c r="S380" s="318"/>
      <c r="T380" s="319"/>
      <c r="U380" s="315"/>
      <c r="V380" s="144" t="s">
        <v>584</v>
      </c>
      <c r="W380" s="148"/>
      <c r="X380" s="163"/>
      <c r="Y380" s="144" t="s">
        <v>584</v>
      </c>
      <c r="Z380" s="164"/>
      <c r="AA380" s="116"/>
      <c r="AB380" s="116"/>
      <c r="AC380" s="165"/>
      <c r="AD380" s="675" t="str">
        <f t="shared" si="47"/>
        <v>noviembre</v>
      </c>
      <c r="AE380" s="144" t="s">
        <v>1187</v>
      </c>
      <c r="AF380" s="149" t="b">
        <v>1</v>
      </c>
      <c r="AG380" s="162"/>
      <c r="AH380" s="149" t="b">
        <v>0</v>
      </c>
      <c r="AI380" s="162"/>
      <c r="AJ380" s="143"/>
      <c r="AK380" s="143"/>
      <c r="AL380" s="143"/>
      <c r="AM380" s="143"/>
      <c r="AN380" s="143"/>
      <c r="AO380" s="143"/>
      <c r="AP380" s="143"/>
      <c r="AQ380" s="143"/>
    </row>
    <row r="381" ht="22.5" hidden="1" customHeight="1">
      <c r="A381" s="144" t="s">
        <v>34</v>
      </c>
      <c r="B381" s="145">
        <v>45990.0</v>
      </c>
      <c r="C381" s="149" t="s">
        <v>1462</v>
      </c>
      <c r="D381" s="208" t="s">
        <v>1463</v>
      </c>
      <c r="E381" s="148" t="s">
        <v>28</v>
      </c>
      <c r="F381" s="540" t="s">
        <v>1464</v>
      </c>
      <c r="G381" s="149">
        <v>5.194640703E10</v>
      </c>
      <c r="H381" s="148" t="s">
        <v>257</v>
      </c>
      <c r="I381" s="150">
        <v>0.2</v>
      </c>
      <c r="J381" s="168">
        <v>1260.0</v>
      </c>
      <c r="K381" s="169">
        <f t="shared" si="56"/>
        <v>5639</v>
      </c>
      <c r="L381" s="170">
        <v>6899.0</v>
      </c>
      <c r="M381" s="239">
        <v>6436.67</v>
      </c>
      <c r="N381" s="155">
        <v>1499.99</v>
      </c>
      <c r="O381" s="315">
        <f t="shared" si="52"/>
        <v>462.33</v>
      </c>
      <c r="P381" s="344">
        <f t="shared" si="57"/>
        <v>117.33</v>
      </c>
      <c r="Q381" s="510">
        <v>285.0</v>
      </c>
      <c r="R381" s="672" t="b">
        <v>1</v>
      </c>
      <c r="S381" s="318"/>
      <c r="T381" s="347"/>
      <c r="U381" s="343">
        <v>10.0</v>
      </c>
      <c r="V381" s="144" t="s">
        <v>584</v>
      </c>
      <c r="W381" s="148" t="s">
        <v>584</v>
      </c>
      <c r="X381" s="163"/>
      <c r="Y381" s="144" t="s">
        <v>584</v>
      </c>
      <c r="Z381" s="164"/>
      <c r="AA381" s="116"/>
      <c r="AB381" s="116"/>
      <c r="AC381" s="165"/>
      <c r="AD381" s="675" t="str">
        <f t="shared" si="47"/>
        <v>noviembre</v>
      </c>
      <c r="AE381" s="144" t="s">
        <v>1187</v>
      </c>
      <c r="AF381" s="149" t="b">
        <v>1</v>
      </c>
      <c r="AG381" s="144" t="s">
        <v>1187</v>
      </c>
      <c r="AH381" s="149" t="b">
        <v>0</v>
      </c>
      <c r="AI381" s="162"/>
      <c r="AJ381" s="143"/>
      <c r="AK381" s="143"/>
      <c r="AL381" s="143"/>
      <c r="AM381" s="143"/>
      <c r="AN381" s="143"/>
      <c r="AO381" s="143"/>
      <c r="AP381" s="143"/>
      <c r="AQ381" s="143"/>
    </row>
    <row r="382" ht="22.5" customHeight="1">
      <c r="A382" s="144" t="s">
        <v>162</v>
      </c>
      <c r="B382" s="145">
        <v>45990.0</v>
      </c>
      <c r="C382" s="149" t="s">
        <v>1465</v>
      </c>
      <c r="D382" s="329" t="s">
        <v>1466</v>
      </c>
      <c r="E382" s="148" t="s">
        <v>28</v>
      </c>
      <c r="F382" s="252" t="s">
        <v>1467</v>
      </c>
      <c r="G382" s="149" t="s">
        <v>1468</v>
      </c>
      <c r="H382" s="148" t="s">
        <v>257</v>
      </c>
      <c r="I382" s="148" t="s">
        <v>61</v>
      </c>
      <c r="J382" s="168">
        <v>300.0</v>
      </c>
      <c r="K382" s="169">
        <f t="shared" si="56"/>
        <v>6099</v>
      </c>
      <c r="L382" s="170">
        <v>6399.0</v>
      </c>
      <c r="M382" s="239">
        <v>6272.0</v>
      </c>
      <c r="N382" s="155">
        <v>1449.99</v>
      </c>
      <c r="O382" s="315">
        <f t="shared" si="52"/>
        <v>127</v>
      </c>
      <c r="P382" s="344">
        <f t="shared" si="57"/>
        <v>7</v>
      </c>
      <c r="Q382" s="510">
        <v>120.0</v>
      </c>
      <c r="R382" s="672" t="b">
        <v>0</v>
      </c>
      <c r="S382" s="318"/>
      <c r="T382" s="319"/>
      <c r="U382" s="315"/>
      <c r="V382" s="144" t="s">
        <v>584</v>
      </c>
      <c r="W382" s="148" t="s">
        <v>584</v>
      </c>
      <c r="X382" s="163"/>
      <c r="Y382" s="162"/>
      <c r="Z382" s="164"/>
      <c r="AA382" s="116"/>
      <c r="AB382" s="116"/>
      <c r="AC382" s="165"/>
      <c r="AD382" s="675" t="str">
        <f t="shared" si="47"/>
        <v>noviembre</v>
      </c>
      <c r="AE382" s="144" t="s">
        <v>1085</v>
      </c>
      <c r="AF382" s="149" t="b">
        <v>1</v>
      </c>
      <c r="AG382" s="144" t="s">
        <v>1085</v>
      </c>
      <c r="AH382" s="149" t="b">
        <v>0</v>
      </c>
      <c r="AI382" s="162"/>
      <c r="AJ382" s="143"/>
      <c r="AK382" s="143"/>
      <c r="AL382" s="143"/>
      <c r="AM382" s="143"/>
      <c r="AN382" s="143"/>
      <c r="AO382" s="143"/>
      <c r="AP382" s="143"/>
      <c r="AQ382" s="143"/>
    </row>
    <row r="383" ht="22.5" hidden="1" customHeight="1">
      <c r="A383" s="144" t="s">
        <v>34</v>
      </c>
      <c r="B383" s="145">
        <v>45990.0</v>
      </c>
      <c r="C383" s="830" t="s">
        <v>1469</v>
      </c>
      <c r="D383" s="208" t="s">
        <v>1470</v>
      </c>
      <c r="E383" s="148" t="s">
        <v>28</v>
      </c>
      <c r="F383" s="262" t="s">
        <v>1471</v>
      </c>
      <c r="G383" s="149">
        <v>5.1971849975E10</v>
      </c>
      <c r="H383" s="148" t="s">
        <v>257</v>
      </c>
      <c r="I383" s="150">
        <v>0.2</v>
      </c>
      <c r="J383" s="168">
        <v>1860.0</v>
      </c>
      <c r="K383" s="169">
        <f t="shared" si="56"/>
        <v>7439</v>
      </c>
      <c r="L383" s="170">
        <v>9299.0</v>
      </c>
      <c r="M383" s="239">
        <v>8988.81</v>
      </c>
      <c r="N383" s="155">
        <v>1999.99</v>
      </c>
      <c r="O383" s="315">
        <f t="shared" si="52"/>
        <v>310.19</v>
      </c>
      <c r="P383" s="344">
        <f t="shared" si="57"/>
        <v>60.19</v>
      </c>
      <c r="Q383" s="510">
        <v>190.0</v>
      </c>
      <c r="R383" s="672" t="b">
        <v>1</v>
      </c>
      <c r="S383" s="318"/>
      <c r="T383" s="319"/>
      <c r="U383" s="343">
        <v>10.0</v>
      </c>
      <c r="V383" s="144" t="s">
        <v>584</v>
      </c>
      <c r="W383" s="148" t="s">
        <v>584</v>
      </c>
      <c r="X383" s="163"/>
      <c r="Y383" s="144" t="s">
        <v>584</v>
      </c>
      <c r="Z383" s="164"/>
      <c r="AA383" s="116"/>
      <c r="AB383" s="116"/>
      <c r="AC383" s="165"/>
      <c r="AD383" s="675" t="str">
        <f t="shared" si="47"/>
        <v>noviembre</v>
      </c>
      <c r="AE383" s="144" t="s">
        <v>1187</v>
      </c>
      <c r="AF383" s="149" t="b">
        <v>1</v>
      </c>
      <c r="AG383" s="144" t="s">
        <v>1187</v>
      </c>
      <c r="AH383" s="149" t="b">
        <v>0</v>
      </c>
      <c r="AI383" s="162"/>
      <c r="AJ383" s="143"/>
      <c r="AK383" s="143"/>
      <c r="AL383" s="143"/>
      <c r="AM383" s="143"/>
      <c r="AN383" s="143"/>
      <c r="AO383" s="143"/>
      <c r="AP383" s="143"/>
      <c r="AQ383" s="143"/>
    </row>
    <row r="384" ht="22.5" hidden="1" customHeight="1">
      <c r="A384" s="831" t="s">
        <v>259</v>
      </c>
      <c r="B384" s="832">
        <v>45990.0</v>
      </c>
      <c r="C384" s="246" t="s">
        <v>1465</v>
      </c>
      <c r="D384" s="643" t="s">
        <v>1472</v>
      </c>
      <c r="E384" s="148" t="s">
        <v>28</v>
      </c>
      <c r="F384" s="833" t="s">
        <v>1473</v>
      </c>
      <c r="G384" s="149">
        <v>5.1963447571E10</v>
      </c>
      <c r="H384" s="148" t="s">
        <v>257</v>
      </c>
      <c r="I384" s="834">
        <v>0.2</v>
      </c>
      <c r="J384" s="168">
        <v>1300.0</v>
      </c>
      <c r="K384" s="835">
        <f t="shared" si="56"/>
        <v>5199</v>
      </c>
      <c r="L384" s="170">
        <v>6499.0</v>
      </c>
      <c r="M384" s="239">
        <v>6272.0</v>
      </c>
      <c r="N384" s="155">
        <v>1449.99</v>
      </c>
      <c r="O384" s="315">
        <f t="shared" si="52"/>
        <v>227</v>
      </c>
      <c r="P384" s="344">
        <f t="shared" si="57"/>
        <v>117</v>
      </c>
      <c r="Q384" s="510">
        <v>100.0</v>
      </c>
      <c r="R384" s="672" t="b">
        <v>0</v>
      </c>
      <c r="S384" s="346"/>
      <c r="T384" s="836"/>
      <c r="U384" s="343">
        <v>10.0</v>
      </c>
      <c r="V384" s="831" t="s">
        <v>584</v>
      </c>
      <c r="W384" s="148" t="s">
        <v>584</v>
      </c>
      <c r="X384" s="331"/>
      <c r="Y384" s="837"/>
      <c r="Z384" s="838"/>
      <c r="AA384" s="122"/>
      <c r="AB384" s="122"/>
      <c r="AC384" s="839"/>
      <c r="AD384" s="840" t="str">
        <f t="shared" si="47"/>
        <v>noviembre</v>
      </c>
      <c r="AE384" s="831" t="s">
        <v>1085</v>
      </c>
      <c r="AF384" s="332" t="b">
        <v>1</v>
      </c>
      <c r="AG384" s="144" t="s">
        <v>1187</v>
      </c>
      <c r="AH384" s="149" t="b">
        <v>0</v>
      </c>
      <c r="AI384" s="162"/>
      <c r="AJ384" s="143"/>
      <c r="AK384" s="143"/>
      <c r="AL384" s="143"/>
      <c r="AM384" s="143"/>
      <c r="AN384" s="143"/>
      <c r="AO384" s="143"/>
      <c r="AP384" s="143"/>
      <c r="AQ384" s="143"/>
    </row>
    <row r="385" ht="22.5" customHeight="1">
      <c r="A385" s="676" t="s">
        <v>162</v>
      </c>
      <c r="B385" s="677">
        <v>45992.0</v>
      </c>
      <c r="C385" s="841" t="s">
        <v>1474</v>
      </c>
      <c r="D385" s="842" t="s">
        <v>1475</v>
      </c>
      <c r="E385" s="680" t="s">
        <v>28</v>
      </c>
      <c r="F385" s="678" t="s">
        <v>1476</v>
      </c>
      <c r="G385" s="678">
        <v>5.1980869886E10</v>
      </c>
      <c r="H385" s="680" t="s">
        <v>257</v>
      </c>
      <c r="I385" s="682">
        <v>0.3</v>
      </c>
      <c r="J385" s="843">
        <v>2509.0</v>
      </c>
      <c r="K385" s="844">
        <f t="shared" si="56"/>
        <v>5857</v>
      </c>
      <c r="L385" s="170">
        <v>8366.0</v>
      </c>
      <c r="M385" s="239">
        <v>7585.61</v>
      </c>
      <c r="N385" s="155">
        <v>1699.99</v>
      </c>
      <c r="O385" s="315">
        <f t="shared" si="52"/>
        <v>780.39</v>
      </c>
      <c r="P385" s="344">
        <f t="shared" si="57"/>
        <v>580.39</v>
      </c>
      <c r="Q385" s="510">
        <v>190.0</v>
      </c>
      <c r="R385" s="672" t="b">
        <v>0</v>
      </c>
      <c r="S385" s="845"/>
      <c r="T385" s="846"/>
      <c r="U385" s="847">
        <v>10.0</v>
      </c>
      <c r="V385" s="676" t="s">
        <v>584</v>
      </c>
      <c r="W385" s="148" t="s">
        <v>584</v>
      </c>
      <c r="X385" s="163"/>
      <c r="Y385" s="676" t="s">
        <v>584</v>
      </c>
      <c r="Z385" s="848"/>
      <c r="AA385" s="849"/>
      <c r="AB385" s="849"/>
      <c r="AC385" s="850"/>
      <c r="AD385" s="851" t="str">
        <f t="shared" ref="AD385:AD460" si="58">UPPER(IF(B385="","",TEXT(B385,"mmmm")))</f>
        <v>DICIEMBRE</v>
      </c>
      <c r="AE385" s="676" t="s">
        <v>1187</v>
      </c>
      <c r="AF385" s="678" t="b">
        <v>1</v>
      </c>
      <c r="AG385" s="144" t="s">
        <v>1187</v>
      </c>
      <c r="AH385" s="149" t="b">
        <v>0</v>
      </c>
      <c r="AI385" s="162"/>
      <c r="AJ385" s="852"/>
      <c r="AK385" s="852"/>
      <c r="AL385" s="852"/>
      <c r="AM385" s="852"/>
      <c r="AN385" s="852"/>
      <c r="AO385" s="852"/>
      <c r="AP385" s="852"/>
      <c r="AQ385" s="852"/>
    </row>
    <row r="386" ht="22.5" customHeight="1">
      <c r="A386" s="144" t="s">
        <v>162</v>
      </c>
      <c r="B386" s="145">
        <v>45994.0</v>
      </c>
      <c r="C386" s="721" t="s">
        <v>1166</v>
      </c>
      <c r="D386" s="208" t="s">
        <v>1477</v>
      </c>
      <c r="E386" s="148" t="s">
        <v>28</v>
      </c>
      <c r="F386" s="262" t="s">
        <v>1478</v>
      </c>
      <c r="G386" s="149" t="s">
        <v>1479</v>
      </c>
      <c r="H386" s="148" t="s">
        <v>257</v>
      </c>
      <c r="I386" s="150">
        <v>0.3</v>
      </c>
      <c r="J386" s="168">
        <v>2564.0</v>
      </c>
      <c r="K386" s="169">
        <f t="shared" si="56"/>
        <v>5985</v>
      </c>
      <c r="L386" s="170">
        <v>8549.0</v>
      </c>
      <c r="M386" s="239">
        <v>8037.61</v>
      </c>
      <c r="N386" s="155">
        <v>1899.99</v>
      </c>
      <c r="O386" s="315">
        <f t="shared" si="52"/>
        <v>511.39</v>
      </c>
      <c r="P386" s="344">
        <f t="shared" si="57"/>
        <v>311.39</v>
      </c>
      <c r="Q386" s="510">
        <v>190.0</v>
      </c>
      <c r="R386" s="672" t="b">
        <v>0</v>
      </c>
      <c r="S386" s="318"/>
      <c r="T386" s="319"/>
      <c r="U386" s="343">
        <v>10.0</v>
      </c>
      <c r="V386" s="144" t="s">
        <v>584</v>
      </c>
      <c r="W386" s="148" t="s">
        <v>584</v>
      </c>
      <c r="X386" s="163"/>
      <c r="Y386" s="144" t="s">
        <v>584</v>
      </c>
      <c r="Z386" s="164"/>
      <c r="AA386" s="116"/>
      <c r="AB386" s="116"/>
      <c r="AC386" s="165"/>
      <c r="AD386" s="675" t="str">
        <f t="shared" si="58"/>
        <v>DICIEMBRE</v>
      </c>
      <c r="AE386" s="144" t="s">
        <v>1187</v>
      </c>
      <c r="AF386" s="149" t="b">
        <v>1</v>
      </c>
      <c r="AG386" s="144" t="s">
        <v>1187</v>
      </c>
      <c r="AH386" s="149" t="b">
        <v>0</v>
      </c>
      <c r="AI386" s="162"/>
      <c r="AJ386" s="143"/>
      <c r="AK386" s="143"/>
      <c r="AL386" s="143"/>
      <c r="AM386" s="143"/>
      <c r="AN386" s="143"/>
      <c r="AO386" s="143"/>
      <c r="AP386" s="143"/>
      <c r="AQ386" s="143"/>
    </row>
    <row r="387" ht="22.5" hidden="1" customHeight="1">
      <c r="A387" s="144" t="s">
        <v>34</v>
      </c>
      <c r="B387" s="145">
        <v>45994.0</v>
      </c>
      <c r="C387" s="853" t="s">
        <v>639</v>
      </c>
      <c r="D387" s="208" t="s">
        <v>1480</v>
      </c>
      <c r="E387" s="148" t="s">
        <v>28</v>
      </c>
      <c r="F387" s="854" t="s">
        <v>1481</v>
      </c>
      <c r="G387" s="149">
        <v>5.1964917667E10</v>
      </c>
      <c r="H387" s="148" t="s">
        <v>257</v>
      </c>
      <c r="I387" s="148" t="s">
        <v>61</v>
      </c>
      <c r="J387" s="168">
        <v>300.0</v>
      </c>
      <c r="K387" s="169">
        <f t="shared" si="56"/>
        <v>8699</v>
      </c>
      <c r="L387" s="170">
        <v>8999.0</v>
      </c>
      <c r="M387" s="239">
        <v>8422.0</v>
      </c>
      <c r="N387" s="277"/>
      <c r="O387" s="315">
        <f t="shared" si="52"/>
        <v>577</v>
      </c>
      <c r="P387" s="344">
        <f t="shared" si="57"/>
        <v>38</v>
      </c>
      <c r="Q387" s="510">
        <v>190.0</v>
      </c>
      <c r="R387" s="672" t="b">
        <v>0</v>
      </c>
      <c r="S387" s="346">
        <v>349.0</v>
      </c>
      <c r="T387" s="319"/>
      <c r="U387" s="315"/>
      <c r="V387" s="144" t="s">
        <v>584</v>
      </c>
      <c r="W387" s="148" t="s">
        <v>584</v>
      </c>
      <c r="X387" s="163"/>
      <c r="Y387" s="144"/>
      <c r="Z387" s="164"/>
      <c r="AA387" s="116"/>
      <c r="AB387" s="116"/>
      <c r="AC387" s="165"/>
      <c r="AD387" s="675" t="str">
        <f t="shared" si="58"/>
        <v>DICIEMBRE</v>
      </c>
      <c r="AE387" s="144" t="s">
        <v>1187</v>
      </c>
      <c r="AF387" s="149" t="b">
        <v>1</v>
      </c>
      <c r="AG387" s="144" t="s">
        <v>1187</v>
      </c>
      <c r="AH387" s="149" t="b">
        <v>0</v>
      </c>
      <c r="AI387" s="162"/>
      <c r="AJ387" s="143"/>
      <c r="AK387" s="143"/>
      <c r="AL387" s="143"/>
      <c r="AM387" s="143"/>
      <c r="AN387" s="143"/>
      <c r="AO387" s="143"/>
      <c r="AP387" s="143"/>
      <c r="AQ387" s="143"/>
    </row>
    <row r="388" ht="22.5" hidden="1" customHeight="1">
      <c r="A388" s="144" t="s">
        <v>259</v>
      </c>
      <c r="B388" s="772">
        <v>45994.0</v>
      </c>
      <c r="C388" s="647" t="s">
        <v>1482</v>
      </c>
      <c r="D388" s="208" t="s">
        <v>1483</v>
      </c>
      <c r="E388" s="148" t="s">
        <v>28</v>
      </c>
      <c r="F388" s="540" t="s">
        <v>1484</v>
      </c>
      <c r="G388" s="149">
        <v>5.1963145692E10</v>
      </c>
      <c r="H388" s="148" t="s">
        <v>257</v>
      </c>
      <c r="I388" s="150">
        <v>0.2</v>
      </c>
      <c r="J388" s="168">
        <v>1140.0</v>
      </c>
      <c r="K388" s="169">
        <f t="shared" si="56"/>
        <v>4559</v>
      </c>
      <c r="L388" s="170">
        <v>5699.0</v>
      </c>
      <c r="M388" s="239">
        <v>5217.0</v>
      </c>
      <c r="N388" s="155">
        <v>1199.99</v>
      </c>
      <c r="O388" s="315">
        <f t="shared" si="52"/>
        <v>482</v>
      </c>
      <c r="P388" s="344">
        <f t="shared" si="57"/>
        <v>352</v>
      </c>
      <c r="Q388" s="510">
        <v>120.0</v>
      </c>
      <c r="R388" s="672" t="b">
        <v>0</v>
      </c>
      <c r="S388" s="318"/>
      <c r="T388" s="315"/>
      <c r="U388" s="343">
        <v>10.0</v>
      </c>
      <c r="V388" s="144" t="s">
        <v>584</v>
      </c>
      <c r="W388" s="855" t="s">
        <v>584</v>
      </c>
      <c r="X388" s="856"/>
      <c r="Y388" s="162"/>
      <c r="Z388" s="164"/>
      <c r="AA388" s="116"/>
      <c r="AB388" s="116"/>
      <c r="AC388" s="165"/>
      <c r="AD388" s="675" t="str">
        <f t="shared" si="58"/>
        <v>DICIEMBRE</v>
      </c>
      <c r="AE388" s="144" t="s">
        <v>1187</v>
      </c>
      <c r="AF388" s="149" t="b">
        <v>1</v>
      </c>
      <c r="AG388" s="144" t="s">
        <v>1187</v>
      </c>
      <c r="AH388" s="149" t="b">
        <v>0</v>
      </c>
      <c r="AI388" s="162"/>
      <c r="AJ388" s="143"/>
      <c r="AK388" s="143"/>
      <c r="AL388" s="143"/>
      <c r="AM388" s="143"/>
      <c r="AN388" s="143"/>
      <c r="AO388" s="143"/>
      <c r="AP388" s="143"/>
      <c r="AQ388" s="143"/>
    </row>
    <row r="389" ht="22.5" hidden="1" customHeight="1">
      <c r="A389" s="144" t="s">
        <v>259</v>
      </c>
      <c r="B389" s="772">
        <v>45994.0</v>
      </c>
      <c r="C389" s="610" t="s">
        <v>1485</v>
      </c>
      <c r="D389" s="208" t="s">
        <v>1486</v>
      </c>
      <c r="E389" s="148" t="s">
        <v>28</v>
      </c>
      <c r="F389" s="113" t="s">
        <v>1487</v>
      </c>
      <c r="G389" s="149">
        <v>5.194209278E10</v>
      </c>
      <c r="H389" s="148" t="s">
        <v>257</v>
      </c>
      <c r="I389" s="150">
        <v>1.0</v>
      </c>
      <c r="J389" s="168">
        <v>5699.0</v>
      </c>
      <c r="K389" s="169">
        <f t="shared" si="56"/>
        <v>0</v>
      </c>
      <c r="L389" s="170">
        <v>5699.0</v>
      </c>
      <c r="M389" s="239">
        <v>5459.0</v>
      </c>
      <c r="N389" s="155">
        <v>1099.99</v>
      </c>
      <c r="O389" s="315">
        <f t="shared" si="52"/>
        <v>240</v>
      </c>
      <c r="P389" s="344">
        <f t="shared" si="57"/>
        <v>210</v>
      </c>
      <c r="Q389" s="510">
        <v>30.0</v>
      </c>
      <c r="R389" s="672" t="b">
        <v>0</v>
      </c>
      <c r="S389" s="318"/>
      <c r="T389" s="315"/>
      <c r="U389" s="315"/>
      <c r="V389" s="144" t="s">
        <v>584</v>
      </c>
      <c r="W389" s="148" t="s">
        <v>584</v>
      </c>
      <c r="X389" s="163"/>
      <c r="Y389" s="162"/>
      <c r="Z389" s="164"/>
      <c r="AA389" s="116"/>
      <c r="AB389" s="116"/>
      <c r="AC389" s="165"/>
      <c r="AD389" s="675" t="str">
        <f t="shared" si="58"/>
        <v>DICIEMBRE</v>
      </c>
      <c r="AE389" s="144" t="s">
        <v>1187</v>
      </c>
      <c r="AF389" s="149" t="b">
        <v>1</v>
      </c>
      <c r="AG389" s="144" t="s">
        <v>1187</v>
      </c>
      <c r="AH389" s="149" t="b">
        <v>0</v>
      </c>
      <c r="AI389" s="162"/>
      <c r="AJ389" s="143"/>
      <c r="AK389" s="143"/>
      <c r="AL389" s="143"/>
      <c r="AM389" s="143"/>
      <c r="AN389" s="143"/>
      <c r="AO389" s="143"/>
      <c r="AP389" s="143"/>
      <c r="AQ389" s="143"/>
    </row>
    <row r="390" ht="22.5" customHeight="1">
      <c r="A390" s="144" t="s">
        <v>162</v>
      </c>
      <c r="B390" s="145">
        <v>45995.0</v>
      </c>
      <c r="C390" s="721" t="s">
        <v>1488</v>
      </c>
      <c r="D390" s="208" t="s">
        <v>1489</v>
      </c>
      <c r="E390" s="148" t="s">
        <v>28</v>
      </c>
      <c r="F390" s="249" t="s">
        <v>1490</v>
      </c>
      <c r="G390" s="149">
        <v>5.1916171721E10</v>
      </c>
      <c r="H390" s="148" t="s">
        <v>257</v>
      </c>
      <c r="I390" s="150">
        <v>0.3</v>
      </c>
      <c r="J390" s="168">
        <v>3269.0</v>
      </c>
      <c r="K390" s="169">
        <f t="shared" si="56"/>
        <v>7665</v>
      </c>
      <c r="L390" s="170">
        <v>10934.0</v>
      </c>
      <c r="M390" s="239">
        <v>10812.92</v>
      </c>
      <c r="N390" s="155">
        <v>2629.99</v>
      </c>
      <c r="O390" s="315">
        <f t="shared" si="52"/>
        <v>121.08</v>
      </c>
      <c r="P390" s="344">
        <f t="shared" si="57"/>
        <v>-33.92</v>
      </c>
      <c r="Q390" s="321"/>
      <c r="R390" s="672" t="b">
        <v>1</v>
      </c>
      <c r="S390" s="318"/>
      <c r="T390" s="347">
        <v>95.0</v>
      </c>
      <c r="U390" s="343">
        <v>10.0</v>
      </c>
      <c r="V390" s="144" t="s">
        <v>584</v>
      </c>
      <c r="W390" s="148" t="s">
        <v>584</v>
      </c>
      <c r="X390" s="163"/>
      <c r="Y390" s="162"/>
      <c r="Z390" s="164"/>
      <c r="AA390" s="116"/>
      <c r="AB390" s="116"/>
      <c r="AC390" s="165"/>
      <c r="AD390" s="675" t="str">
        <f t="shared" si="58"/>
        <v>DICIEMBRE</v>
      </c>
      <c r="AE390" s="144" t="s">
        <v>1187</v>
      </c>
      <c r="AF390" s="149" t="b">
        <v>1</v>
      </c>
      <c r="AG390" s="144" t="s">
        <v>1187</v>
      </c>
      <c r="AH390" s="149" t="b">
        <v>0</v>
      </c>
      <c r="AI390" s="162"/>
      <c r="AJ390" s="143"/>
      <c r="AK390" s="143"/>
      <c r="AL390" s="143"/>
      <c r="AM390" s="143"/>
      <c r="AN390" s="143"/>
      <c r="AO390" s="143"/>
      <c r="AP390" s="143"/>
      <c r="AQ390" s="143"/>
    </row>
    <row r="391" ht="22.5" hidden="1" customHeight="1">
      <c r="A391" s="144" t="s">
        <v>34</v>
      </c>
      <c r="B391" s="145">
        <v>45995.0</v>
      </c>
      <c r="C391" s="721" t="s">
        <v>1491</v>
      </c>
      <c r="D391" s="208" t="s">
        <v>1492</v>
      </c>
      <c r="E391" s="148" t="s">
        <v>28</v>
      </c>
      <c r="F391" s="246" t="s">
        <v>1493</v>
      </c>
      <c r="G391" s="149">
        <v>5.1928948867E10</v>
      </c>
      <c r="H391" s="148" t="s">
        <v>257</v>
      </c>
      <c r="I391" s="150">
        <v>0.2</v>
      </c>
      <c r="J391" s="168">
        <v>1180.0</v>
      </c>
      <c r="K391" s="169">
        <f t="shared" si="56"/>
        <v>4719</v>
      </c>
      <c r="L391" s="170">
        <v>5899.0</v>
      </c>
      <c r="M391" s="239">
        <v>5539.74</v>
      </c>
      <c r="N391" s="155">
        <v>1259.99</v>
      </c>
      <c r="O391" s="315">
        <f t="shared" si="52"/>
        <v>359.26</v>
      </c>
      <c r="P391" s="344">
        <f t="shared" si="57"/>
        <v>109.26</v>
      </c>
      <c r="Q391" s="510">
        <v>190.0</v>
      </c>
      <c r="R391" s="672" t="b">
        <v>1</v>
      </c>
      <c r="S391" s="318"/>
      <c r="T391" s="319"/>
      <c r="U391" s="343">
        <v>10.0</v>
      </c>
      <c r="V391" s="144" t="s">
        <v>584</v>
      </c>
      <c r="W391" s="148" t="s">
        <v>584</v>
      </c>
      <c r="X391" s="163"/>
      <c r="Y391" s="144" t="s">
        <v>584</v>
      </c>
      <c r="Z391" s="164"/>
      <c r="AA391" s="116"/>
      <c r="AB391" s="116"/>
      <c r="AC391" s="165"/>
      <c r="AD391" s="675" t="str">
        <f t="shared" si="58"/>
        <v>DICIEMBRE</v>
      </c>
      <c r="AE391" s="144" t="s">
        <v>1187</v>
      </c>
      <c r="AF391" s="149" t="b">
        <v>1</v>
      </c>
      <c r="AG391" s="144" t="s">
        <v>1187</v>
      </c>
      <c r="AH391" s="149" t="b">
        <v>0</v>
      </c>
      <c r="AI391" s="162"/>
      <c r="AJ391" s="143"/>
      <c r="AK391" s="143"/>
      <c r="AL391" s="143"/>
      <c r="AM391" s="143"/>
      <c r="AN391" s="143"/>
      <c r="AO391" s="143"/>
      <c r="AP391" s="143"/>
      <c r="AQ391" s="143"/>
    </row>
    <row r="392" ht="22.5" customHeight="1">
      <c r="A392" s="144" t="s">
        <v>162</v>
      </c>
      <c r="B392" s="145">
        <v>45996.0</v>
      </c>
      <c r="C392" s="149" t="s">
        <v>1482</v>
      </c>
      <c r="D392" s="329" t="s">
        <v>1494</v>
      </c>
      <c r="E392" s="148" t="s">
        <v>28</v>
      </c>
      <c r="F392" s="149" t="s">
        <v>1495</v>
      </c>
      <c r="G392" s="149">
        <v>5.1908521548E10</v>
      </c>
      <c r="H392" s="148" t="s">
        <v>257</v>
      </c>
      <c r="I392" s="150">
        <v>0.2</v>
      </c>
      <c r="J392" s="168">
        <v>1040.0</v>
      </c>
      <c r="K392" s="169">
        <f t="shared" si="56"/>
        <v>4185</v>
      </c>
      <c r="L392" s="170">
        <v>5225.0</v>
      </c>
      <c r="M392" s="239">
        <v>5217.0</v>
      </c>
      <c r="N392" s="155">
        <v>1199.99</v>
      </c>
      <c r="O392" s="315">
        <f t="shared" si="52"/>
        <v>8</v>
      </c>
      <c r="P392" s="344">
        <f t="shared" si="57"/>
        <v>8</v>
      </c>
      <c r="Q392" s="321"/>
      <c r="R392" s="672" t="b">
        <v>0</v>
      </c>
      <c r="S392" s="318"/>
      <c r="T392" s="321"/>
      <c r="U392" s="315"/>
      <c r="V392" s="144" t="s">
        <v>584</v>
      </c>
      <c r="W392" s="148" t="s">
        <v>584</v>
      </c>
      <c r="X392" s="163"/>
      <c r="Y392" s="144" t="s">
        <v>584</v>
      </c>
      <c r="Z392" s="164"/>
      <c r="AA392" s="116"/>
      <c r="AB392" s="116"/>
      <c r="AC392" s="165"/>
      <c r="AD392" s="675" t="str">
        <f t="shared" si="58"/>
        <v>DICIEMBRE</v>
      </c>
      <c r="AE392" s="144" t="s">
        <v>1187</v>
      </c>
      <c r="AF392" s="149" t="b">
        <v>1</v>
      </c>
      <c r="AG392" s="144" t="s">
        <v>1187</v>
      </c>
      <c r="AH392" s="149" t="b">
        <v>0</v>
      </c>
      <c r="AI392" s="162"/>
      <c r="AJ392" s="143"/>
      <c r="AK392" s="143"/>
      <c r="AL392" s="143"/>
      <c r="AM392" s="143"/>
      <c r="AN392" s="143"/>
      <c r="AO392" s="143"/>
      <c r="AP392" s="143"/>
      <c r="AQ392" s="143"/>
    </row>
    <row r="393" ht="22.5" customHeight="1">
      <c r="A393" s="144" t="s">
        <v>162</v>
      </c>
      <c r="B393" s="145">
        <v>45996.0</v>
      </c>
      <c r="C393" s="857" t="s">
        <v>1496</v>
      </c>
      <c r="D393" s="329" t="s">
        <v>1497</v>
      </c>
      <c r="E393" s="148" t="s">
        <v>28</v>
      </c>
      <c r="F393" s="262" t="s">
        <v>1498</v>
      </c>
      <c r="G393" s="149" t="s">
        <v>1499</v>
      </c>
      <c r="H393" s="148" t="s">
        <v>257</v>
      </c>
      <c r="I393" s="150">
        <v>0.2</v>
      </c>
      <c r="J393" s="168">
        <v>1179.0</v>
      </c>
      <c r="K393" s="169">
        <f t="shared" si="56"/>
        <v>4720</v>
      </c>
      <c r="L393" s="170">
        <v>5899.0</v>
      </c>
      <c r="M393" s="239">
        <v>5539.74</v>
      </c>
      <c r="N393" s="155">
        <v>1259.99</v>
      </c>
      <c r="O393" s="858">
        <f t="shared" si="52"/>
        <v>359.26</v>
      </c>
      <c r="P393" s="344">
        <f t="shared" si="57"/>
        <v>149.26</v>
      </c>
      <c r="Q393" s="510">
        <v>210.0</v>
      </c>
      <c r="R393" s="672" t="b">
        <v>0</v>
      </c>
      <c r="S393" s="318"/>
      <c r="T393" s="319"/>
      <c r="U393" s="315"/>
      <c r="V393" s="144" t="s">
        <v>584</v>
      </c>
      <c r="W393" s="148" t="s">
        <v>584</v>
      </c>
      <c r="X393" s="163"/>
      <c r="Y393" s="144" t="s">
        <v>584</v>
      </c>
      <c r="Z393" s="164"/>
      <c r="AA393" s="116"/>
      <c r="AB393" s="116"/>
      <c r="AC393" s="165"/>
      <c r="AD393" s="675" t="str">
        <f t="shared" si="58"/>
        <v>DICIEMBRE</v>
      </c>
      <c r="AE393" s="144" t="s">
        <v>1187</v>
      </c>
      <c r="AF393" s="149" t="b">
        <v>1</v>
      </c>
      <c r="AG393" s="144" t="s">
        <v>1392</v>
      </c>
      <c r="AH393" s="149" t="b">
        <v>0</v>
      </c>
      <c r="AI393" s="162"/>
      <c r="AJ393" s="143"/>
      <c r="AK393" s="143"/>
      <c r="AL393" s="143"/>
      <c r="AM393" s="143"/>
      <c r="AN393" s="143"/>
      <c r="AO393" s="143"/>
      <c r="AP393" s="143"/>
      <c r="AQ393" s="143"/>
    </row>
    <row r="394" ht="22.5" hidden="1" customHeight="1">
      <c r="A394" s="144" t="s">
        <v>34</v>
      </c>
      <c r="B394" s="145">
        <v>45996.0</v>
      </c>
      <c r="C394" s="817" t="s">
        <v>771</v>
      </c>
      <c r="D394" s="778" t="s">
        <v>1500</v>
      </c>
      <c r="E394" s="148" t="s">
        <v>28</v>
      </c>
      <c r="F394" s="262" t="s">
        <v>1501</v>
      </c>
      <c r="G394" s="149">
        <v>5.1931865792E10</v>
      </c>
      <c r="H394" s="148" t="s">
        <v>257</v>
      </c>
      <c r="I394" s="669"/>
      <c r="J394" s="168">
        <v>1620.0</v>
      </c>
      <c r="K394" s="169">
        <f t="shared" si="56"/>
        <v>6479</v>
      </c>
      <c r="L394" s="170">
        <v>8099.0</v>
      </c>
      <c r="M394" s="239">
        <v>7726.54</v>
      </c>
      <c r="N394" s="155">
        <v>1599.99</v>
      </c>
      <c r="O394" s="315">
        <f t="shared" si="52"/>
        <v>372.46</v>
      </c>
      <c r="P394" s="344">
        <f t="shared" si="57"/>
        <v>87.46</v>
      </c>
      <c r="Q394" s="510">
        <v>285.0</v>
      </c>
      <c r="R394" s="672" t="b">
        <v>0</v>
      </c>
      <c r="S394" s="318"/>
      <c r="T394" s="319"/>
      <c r="U394" s="315"/>
      <c r="V394" s="144" t="s">
        <v>584</v>
      </c>
      <c r="W394" s="148"/>
      <c r="X394" s="163"/>
      <c r="Y394" s="144" t="s">
        <v>584</v>
      </c>
      <c r="Z394" s="164"/>
      <c r="AA394" s="116"/>
      <c r="AB394" s="116"/>
      <c r="AC394" s="165"/>
      <c r="AD394" s="675" t="str">
        <f t="shared" si="58"/>
        <v>DICIEMBRE</v>
      </c>
      <c r="AE394" s="144" t="s">
        <v>1187</v>
      </c>
      <c r="AF394" s="149" t="b">
        <v>1</v>
      </c>
      <c r="AG394" s="144" t="s">
        <v>1392</v>
      </c>
      <c r="AH394" s="149" t="b">
        <v>0</v>
      </c>
      <c r="AI394" s="162"/>
      <c r="AJ394" s="143"/>
      <c r="AK394" s="143"/>
      <c r="AL394" s="143"/>
      <c r="AM394" s="143"/>
      <c r="AN394" s="143"/>
      <c r="AO394" s="143"/>
      <c r="AP394" s="143"/>
      <c r="AQ394" s="143"/>
    </row>
    <row r="395" ht="22.5" hidden="1" customHeight="1">
      <c r="A395" s="144" t="s">
        <v>34</v>
      </c>
      <c r="B395" s="145">
        <v>45996.0</v>
      </c>
      <c r="C395" s="721" t="s">
        <v>1502</v>
      </c>
      <c r="D395" s="778" t="s">
        <v>1503</v>
      </c>
      <c r="E395" s="148" t="s">
        <v>28</v>
      </c>
      <c r="F395" s="246" t="s">
        <v>1504</v>
      </c>
      <c r="G395" s="819">
        <v>9.91674871E8</v>
      </c>
      <c r="H395" s="148" t="s">
        <v>257</v>
      </c>
      <c r="I395" s="148" t="s">
        <v>61</v>
      </c>
      <c r="J395" s="168">
        <v>5799.0</v>
      </c>
      <c r="K395" s="169">
        <f t="shared" si="56"/>
        <v>6400</v>
      </c>
      <c r="L395" s="170">
        <v>12199.0</v>
      </c>
      <c r="M395" s="239">
        <v>11934.89</v>
      </c>
      <c r="N395" s="155">
        <v>2799.99</v>
      </c>
      <c r="O395" s="315">
        <f t="shared" si="52"/>
        <v>264.11</v>
      </c>
      <c r="P395" s="344">
        <f t="shared" si="57"/>
        <v>114.11</v>
      </c>
      <c r="Q395" s="510">
        <v>100.0</v>
      </c>
      <c r="R395" s="672" t="b">
        <v>1</v>
      </c>
      <c r="S395" s="318"/>
      <c r="T395" s="347"/>
      <c r="U395" s="343"/>
      <c r="V395" s="144" t="s">
        <v>584</v>
      </c>
      <c r="W395" s="148" t="s">
        <v>584</v>
      </c>
      <c r="X395" s="163"/>
      <c r="Y395" s="144" t="s">
        <v>584</v>
      </c>
      <c r="Z395" s="164"/>
      <c r="AA395" s="116"/>
      <c r="AB395" s="116"/>
      <c r="AC395" s="165"/>
      <c r="AD395" s="675" t="str">
        <f t="shared" si="58"/>
        <v>DICIEMBRE</v>
      </c>
      <c r="AE395" s="144" t="s">
        <v>1187</v>
      </c>
      <c r="AF395" s="149" t="b">
        <v>1</v>
      </c>
      <c r="AG395" s="144" t="s">
        <v>1187</v>
      </c>
      <c r="AH395" s="149" t="b">
        <v>0</v>
      </c>
      <c r="AI395" s="162"/>
      <c r="AJ395" s="143"/>
      <c r="AK395" s="143"/>
      <c r="AL395" s="143"/>
      <c r="AM395" s="143"/>
      <c r="AN395" s="143"/>
      <c r="AO395" s="143"/>
      <c r="AP395" s="143"/>
      <c r="AQ395" s="143"/>
    </row>
    <row r="396" ht="22.5" customHeight="1">
      <c r="A396" s="144" t="s">
        <v>162</v>
      </c>
      <c r="B396" s="145">
        <v>46001.0</v>
      </c>
      <c r="C396" s="149" t="s">
        <v>1505</v>
      </c>
      <c r="D396" s="208" t="s">
        <v>1506</v>
      </c>
      <c r="E396" s="148" t="s">
        <v>28</v>
      </c>
      <c r="F396" s="262" t="s">
        <v>1507</v>
      </c>
      <c r="G396" s="149">
        <v>9.31011583E8</v>
      </c>
      <c r="H396" s="148" t="s">
        <v>257</v>
      </c>
      <c r="I396" s="148" t="s">
        <v>61</v>
      </c>
      <c r="J396" s="168">
        <v>1249.0</v>
      </c>
      <c r="K396" s="169">
        <f t="shared" si="56"/>
        <v>4998</v>
      </c>
      <c r="L396" s="170">
        <v>6247.0</v>
      </c>
      <c r="M396" s="170">
        <v>6247.0</v>
      </c>
      <c r="N396" s="155">
        <v>1399.0</v>
      </c>
      <c r="O396" s="413">
        <f t="shared" si="52"/>
        <v>0</v>
      </c>
      <c r="P396" s="759">
        <v>130.0</v>
      </c>
      <c r="Q396" s="510">
        <v>120.0</v>
      </c>
      <c r="R396" s="672" t="b">
        <v>0</v>
      </c>
      <c r="S396" s="318"/>
      <c r="T396" s="319"/>
      <c r="U396" s="343">
        <v>10.0</v>
      </c>
      <c r="V396" s="144" t="s">
        <v>584</v>
      </c>
      <c r="W396" s="148" t="s">
        <v>584</v>
      </c>
      <c r="X396" s="163"/>
      <c r="Y396" s="144" t="s">
        <v>584</v>
      </c>
      <c r="Z396" s="164"/>
      <c r="AA396" s="116"/>
      <c r="AB396" s="116"/>
      <c r="AC396" s="165"/>
      <c r="AD396" s="675" t="str">
        <f t="shared" si="58"/>
        <v>DICIEMBRE</v>
      </c>
      <c r="AE396" s="144" t="s">
        <v>1187</v>
      </c>
      <c r="AF396" s="149" t="b">
        <v>1</v>
      </c>
      <c r="AG396" s="144" t="s">
        <v>1187</v>
      </c>
      <c r="AH396" s="149" t="b">
        <v>0</v>
      </c>
      <c r="AI396" s="162"/>
      <c r="AJ396" s="143"/>
      <c r="AK396" s="143"/>
      <c r="AL396" s="143"/>
      <c r="AM396" s="143"/>
      <c r="AN396" s="143"/>
      <c r="AO396" s="143"/>
      <c r="AP396" s="143"/>
      <c r="AQ396" s="143"/>
    </row>
    <row r="397" ht="22.5" customHeight="1">
      <c r="A397" s="144" t="s">
        <v>162</v>
      </c>
      <c r="B397" s="145">
        <v>46001.0</v>
      </c>
      <c r="C397" s="721" t="s">
        <v>1508</v>
      </c>
      <c r="D397" s="208" t="s">
        <v>1509</v>
      </c>
      <c r="E397" s="148" t="s">
        <v>28</v>
      </c>
      <c r="F397" s="262" t="s">
        <v>1510</v>
      </c>
      <c r="G397" s="149">
        <v>9.88780131E8</v>
      </c>
      <c r="H397" s="148" t="s">
        <v>257</v>
      </c>
      <c r="I397" s="150">
        <v>0.2</v>
      </c>
      <c r="J397" s="168">
        <v>1087.0</v>
      </c>
      <c r="K397" s="169">
        <f t="shared" si="56"/>
        <v>4349</v>
      </c>
      <c r="L397" s="170">
        <v>5436.0</v>
      </c>
      <c r="M397" s="239">
        <v>5235.59</v>
      </c>
      <c r="N397" s="155">
        <v>1199.99</v>
      </c>
      <c r="O397" s="858">
        <f t="shared" si="52"/>
        <v>200.41</v>
      </c>
      <c r="P397" s="344">
        <f t="shared" ref="P397:P406" si="59">L397-M397-Q397-50*R397-S397-T397-U397</f>
        <v>50.41</v>
      </c>
      <c r="Q397" s="510">
        <v>150.0</v>
      </c>
      <c r="R397" s="672" t="b">
        <v>0</v>
      </c>
      <c r="S397" s="318"/>
      <c r="T397" s="319"/>
      <c r="U397" s="315"/>
      <c r="V397" s="144" t="s">
        <v>584</v>
      </c>
      <c r="W397" s="148" t="s">
        <v>584</v>
      </c>
      <c r="X397" s="163"/>
      <c r="Y397" s="144" t="s">
        <v>584</v>
      </c>
      <c r="Z397" s="164"/>
      <c r="AA397" s="116"/>
      <c r="AB397" s="116"/>
      <c r="AC397" s="165"/>
      <c r="AD397" s="675" t="str">
        <f t="shared" si="58"/>
        <v>DICIEMBRE</v>
      </c>
      <c r="AE397" s="144" t="s">
        <v>1187</v>
      </c>
      <c r="AF397" s="149" t="b">
        <v>1</v>
      </c>
      <c r="AG397" s="144" t="s">
        <v>1392</v>
      </c>
      <c r="AH397" s="149" t="b">
        <v>0</v>
      </c>
      <c r="AI397" s="162"/>
      <c r="AJ397" s="143"/>
      <c r="AK397" s="143"/>
      <c r="AL397" s="143"/>
      <c r="AM397" s="143"/>
      <c r="AN397" s="143"/>
      <c r="AO397" s="143"/>
      <c r="AP397" s="143"/>
      <c r="AQ397" s="143"/>
    </row>
    <row r="398" ht="22.5" hidden="1" customHeight="1">
      <c r="A398" s="144" t="s">
        <v>34</v>
      </c>
      <c r="B398" s="145">
        <v>46001.0</v>
      </c>
      <c r="C398" s="149" t="s">
        <v>1511</v>
      </c>
      <c r="D398" s="208" t="s">
        <v>1512</v>
      </c>
      <c r="E398" s="148" t="s">
        <v>28</v>
      </c>
      <c r="F398" s="262" t="s">
        <v>1513</v>
      </c>
      <c r="G398" s="149">
        <v>5.1930873831E10</v>
      </c>
      <c r="H398" s="148" t="s">
        <v>257</v>
      </c>
      <c r="I398" s="150">
        <v>0.2</v>
      </c>
      <c r="J398" s="168">
        <v>1979.8</v>
      </c>
      <c r="K398" s="169">
        <f t="shared" si="56"/>
        <v>7919.2</v>
      </c>
      <c r="L398" s="170">
        <v>9899.0</v>
      </c>
      <c r="M398" s="239">
        <v>8962.13</v>
      </c>
      <c r="N398" s="155">
        <v>1999.99</v>
      </c>
      <c r="O398" s="315">
        <f t="shared" si="52"/>
        <v>936.87</v>
      </c>
      <c r="P398" s="344">
        <f t="shared" si="59"/>
        <v>786.87</v>
      </c>
      <c r="Q398" s="510">
        <v>100.0</v>
      </c>
      <c r="R398" s="672" t="b">
        <v>1</v>
      </c>
      <c r="S398" s="318"/>
      <c r="T398" s="319"/>
      <c r="U398" s="315"/>
      <c r="V398" s="144" t="s">
        <v>584</v>
      </c>
      <c r="W398" s="148"/>
      <c r="X398" s="163"/>
      <c r="Y398" s="144" t="s">
        <v>584</v>
      </c>
      <c r="Z398" s="164"/>
      <c r="AA398" s="116"/>
      <c r="AB398" s="116"/>
      <c r="AC398" s="165"/>
      <c r="AD398" s="675" t="str">
        <f t="shared" si="58"/>
        <v>DICIEMBRE</v>
      </c>
      <c r="AE398" s="144" t="s">
        <v>1187</v>
      </c>
      <c r="AF398" s="149" t="b">
        <v>1</v>
      </c>
      <c r="AG398" s="144" t="s">
        <v>1392</v>
      </c>
      <c r="AH398" s="149" t="b">
        <v>0</v>
      </c>
      <c r="AI398" s="162"/>
      <c r="AJ398" s="143"/>
      <c r="AK398" s="143"/>
      <c r="AL398" s="143"/>
      <c r="AM398" s="143"/>
      <c r="AN398" s="143"/>
      <c r="AO398" s="143"/>
      <c r="AP398" s="143"/>
      <c r="AQ398" s="143"/>
    </row>
    <row r="399" ht="22.5" hidden="1" customHeight="1">
      <c r="A399" s="144" t="s">
        <v>259</v>
      </c>
      <c r="B399" s="772">
        <v>45996.0</v>
      </c>
      <c r="C399" s="149" t="s">
        <v>794</v>
      </c>
      <c r="D399" s="208" t="s">
        <v>1514</v>
      </c>
      <c r="E399" s="148" t="s">
        <v>28</v>
      </c>
      <c r="F399" s="149" t="s">
        <v>1515</v>
      </c>
      <c r="G399" s="165"/>
      <c r="H399" s="148" t="s">
        <v>257</v>
      </c>
      <c r="I399" s="150">
        <v>1.0</v>
      </c>
      <c r="J399" s="168">
        <v>6799.0</v>
      </c>
      <c r="K399" s="169">
        <f t="shared" si="56"/>
        <v>0</v>
      </c>
      <c r="L399" s="170">
        <v>6799.0</v>
      </c>
      <c r="M399" s="239">
        <v>6136.0</v>
      </c>
      <c r="N399" s="155">
        <v>1399.0</v>
      </c>
      <c r="O399" s="315">
        <f t="shared" si="52"/>
        <v>663</v>
      </c>
      <c r="P399" s="344">
        <f t="shared" si="59"/>
        <v>663</v>
      </c>
      <c r="Q399" s="321"/>
      <c r="R399" s="672" t="b">
        <v>0</v>
      </c>
      <c r="S399" s="318"/>
      <c r="T399" s="315"/>
      <c r="U399" s="315"/>
      <c r="V399" s="144" t="s">
        <v>584</v>
      </c>
      <c r="W399" s="148" t="s">
        <v>584</v>
      </c>
      <c r="X399" s="163"/>
      <c r="Y399" s="162"/>
      <c r="Z399" s="164"/>
      <c r="AA399" s="116"/>
      <c r="AB399" s="116"/>
      <c r="AC399" s="165"/>
      <c r="AD399" s="675" t="str">
        <f t="shared" si="58"/>
        <v>DICIEMBRE</v>
      </c>
      <c r="AE399" s="144" t="s">
        <v>1187</v>
      </c>
      <c r="AF399" s="149" t="b">
        <v>1</v>
      </c>
      <c r="AG399" s="144" t="s">
        <v>1187</v>
      </c>
      <c r="AH399" s="149" t="b">
        <v>0</v>
      </c>
      <c r="AI399" s="162"/>
      <c r="AJ399" s="143"/>
      <c r="AK399" s="143"/>
      <c r="AL399" s="143"/>
      <c r="AM399" s="143"/>
      <c r="AN399" s="143"/>
      <c r="AO399" s="143"/>
      <c r="AP399" s="143"/>
      <c r="AQ399" s="143"/>
    </row>
    <row r="400" ht="22.5" hidden="1" customHeight="1">
      <c r="A400" s="144" t="s">
        <v>259</v>
      </c>
      <c r="B400" s="772">
        <v>46002.0</v>
      </c>
      <c r="C400" s="149" t="s">
        <v>617</v>
      </c>
      <c r="D400" s="208" t="s">
        <v>1516</v>
      </c>
      <c r="E400" s="148" t="s">
        <v>28</v>
      </c>
      <c r="F400" s="149" t="s">
        <v>1517</v>
      </c>
      <c r="G400" s="149" t="s">
        <v>1518</v>
      </c>
      <c r="H400" s="148" t="s">
        <v>257</v>
      </c>
      <c r="I400" s="150">
        <v>1.0</v>
      </c>
      <c r="J400" s="168">
        <v>9619.0</v>
      </c>
      <c r="K400" s="169">
        <f t="shared" si="56"/>
        <v>0</v>
      </c>
      <c r="L400" s="170">
        <v>9619.0</v>
      </c>
      <c r="M400" s="239">
        <v>9173.0</v>
      </c>
      <c r="N400" s="155">
        <v>2099.99</v>
      </c>
      <c r="O400" s="315">
        <f t="shared" si="52"/>
        <v>446</v>
      </c>
      <c r="P400" s="344">
        <f t="shared" si="59"/>
        <v>396</v>
      </c>
      <c r="Q400" s="510">
        <v>50.0</v>
      </c>
      <c r="R400" s="672" t="b">
        <v>0</v>
      </c>
      <c r="S400" s="318"/>
      <c r="T400" s="315"/>
      <c r="U400" s="315"/>
      <c r="V400" s="144" t="s">
        <v>584</v>
      </c>
      <c r="W400" s="148" t="s">
        <v>584</v>
      </c>
      <c r="X400" s="163"/>
      <c r="Y400" s="162"/>
      <c r="Z400" s="164"/>
      <c r="AA400" s="116"/>
      <c r="AB400" s="116"/>
      <c r="AC400" s="165"/>
      <c r="AD400" s="675" t="str">
        <f t="shared" si="58"/>
        <v>DICIEMBRE</v>
      </c>
      <c r="AE400" s="144" t="s">
        <v>1187</v>
      </c>
      <c r="AF400" s="149" t="b">
        <v>1</v>
      </c>
      <c r="AG400" s="144" t="s">
        <v>1187</v>
      </c>
      <c r="AH400" s="149" t="b">
        <v>0</v>
      </c>
      <c r="AI400" s="162"/>
      <c r="AJ400" s="143"/>
      <c r="AK400" s="143"/>
      <c r="AL400" s="143"/>
      <c r="AM400" s="143"/>
      <c r="AN400" s="143"/>
      <c r="AO400" s="143"/>
      <c r="AP400" s="143"/>
      <c r="AQ400" s="143"/>
    </row>
    <row r="401" ht="22.5" customHeight="1">
      <c r="A401" s="144" t="s">
        <v>162</v>
      </c>
      <c r="B401" s="145">
        <v>46003.0</v>
      </c>
      <c r="C401" s="149" t="s">
        <v>1519</v>
      </c>
      <c r="D401" s="208" t="s">
        <v>1520</v>
      </c>
      <c r="E401" s="148" t="s">
        <v>28</v>
      </c>
      <c r="F401" s="149" t="s">
        <v>1521</v>
      </c>
      <c r="G401" s="149">
        <v>9.07155155E8</v>
      </c>
      <c r="H401" s="148" t="s">
        <v>257</v>
      </c>
      <c r="I401" s="150">
        <v>1.0</v>
      </c>
      <c r="J401" s="168">
        <v>7199.0</v>
      </c>
      <c r="K401" s="169">
        <f t="shared" si="56"/>
        <v>0</v>
      </c>
      <c r="L401" s="170">
        <v>7199.0</v>
      </c>
      <c r="M401" s="239">
        <v>6253.0</v>
      </c>
      <c r="N401" s="155">
        <v>1449.99</v>
      </c>
      <c r="O401" s="315">
        <f t="shared" si="52"/>
        <v>946</v>
      </c>
      <c r="P401" s="344">
        <f t="shared" si="59"/>
        <v>272</v>
      </c>
      <c r="Q401" s="510">
        <v>215.0</v>
      </c>
      <c r="R401" s="672" t="b">
        <v>0</v>
      </c>
      <c r="S401" s="346">
        <v>449.0</v>
      </c>
      <c r="T401" s="319"/>
      <c r="U401" s="343">
        <v>10.0</v>
      </c>
      <c r="V401" s="144" t="s">
        <v>584</v>
      </c>
      <c r="W401" s="148" t="s">
        <v>584</v>
      </c>
      <c r="X401" s="163"/>
      <c r="Y401" s="144" t="s">
        <v>584</v>
      </c>
      <c r="Z401" s="164"/>
      <c r="AA401" s="116"/>
      <c r="AB401" s="116"/>
      <c r="AC401" s="165"/>
      <c r="AD401" s="675" t="str">
        <f t="shared" si="58"/>
        <v>DICIEMBRE</v>
      </c>
      <c r="AE401" s="144" t="s">
        <v>1187</v>
      </c>
      <c r="AF401" s="149" t="b">
        <v>1</v>
      </c>
      <c r="AG401" s="144" t="s">
        <v>1187</v>
      </c>
      <c r="AH401" s="149" t="b">
        <v>0</v>
      </c>
      <c r="AI401" s="162"/>
      <c r="AJ401" s="143"/>
      <c r="AK401" s="143"/>
      <c r="AL401" s="143"/>
      <c r="AM401" s="143"/>
      <c r="AN401" s="143"/>
      <c r="AO401" s="143"/>
      <c r="AP401" s="143"/>
      <c r="AQ401" s="143"/>
    </row>
    <row r="402" ht="22.5" hidden="1" customHeight="1">
      <c r="A402" s="144" t="s">
        <v>34</v>
      </c>
      <c r="B402" s="218">
        <v>46003.0</v>
      </c>
      <c r="C402" s="149" t="s">
        <v>1522</v>
      </c>
      <c r="D402" s="778" t="s">
        <v>1523</v>
      </c>
      <c r="E402" s="148" t="s">
        <v>28</v>
      </c>
      <c r="F402" s="246" t="s">
        <v>1524</v>
      </c>
      <c r="G402" s="149">
        <v>5.1935478069E10</v>
      </c>
      <c r="H402" s="148" t="s">
        <v>257</v>
      </c>
      <c r="I402" s="150">
        <v>0.5</v>
      </c>
      <c r="J402" s="168">
        <v>8488.94</v>
      </c>
      <c r="K402" s="169">
        <f t="shared" si="56"/>
        <v>8488.94</v>
      </c>
      <c r="L402" s="170">
        <v>16977.88</v>
      </c>
      <c r="M402" s="239">
        <v>16077.88</v>
      </c>
      <c r="N402" s="155">
        <v>3799.99</v>
      </c>
      <c r="O402" s="315">
        <f t="shared" si="52"/>
        <v>900</v>
      </c>
      <c r="P402" s="344">
        <f t="shared" si="59"/>
        <v>750</v>
      </c>
      <c r="Q402" s="510">
        <v>100.0</v>
      </c>
      <c r="R402" s="672" t="b">
        <v>1</v>
      </c>
      <c r="S402" s="318"/>
      <c r="T402" s="319"/>
      <c r="U402" s="315"/>
      <c r="V402" s="144" t="s">
        <v>584</v>
      </c>
      <c r="W402" s="148" t="s">
        <v>584</v>
      </c>
      <c r="X402" s="163"/>
      <c r="Y402" s="144" t="s">
        <v>584</v>
      </c>
      <c r="Z402" s="494" t="s">
        <v>1525</v>
      </c>
      <c r="AA402" s="116"/>
      <c r="AB402" s="116"/>
      <c r="AC402" s="165"/>
      <c r="AD402" s="675" t="str">
        <f t="shared" si="58"/>
        <v>DICIEMBRE</v>
      </c>
      <c r="AE402" s="144" t="s">
        <v>1187</v>
      </c>
      <c r="AF402" s="149" t="b">
        <v>1</v>
      </c>
      <c r="AG402" s="144" t="s">
        <v>1187</v>
      </c>
      <c r="AH402" s="149" t="b">
        <v>0</v>
      </c>
      <c r="AI402" s="162"/>
      <c r="AJ402" s="143"/>
      <c r="AK402" s="143"/>
      <c r="AL402" s="143"/>
      <c r="AM402" s="143"/>
      <c r="AN402" s="143"/>
      <c r="AO402" s="143"/>
      <c r="AP402" s="143"/>
      <c r="AQ402" s="143"/>
    </row>
    <row r="403" ht="22.5" customHeight="1">
      <c r="A403" s="144" t="s">
        <v>162</v>
      </c>
      <c r="B403" s="145">
        <v>46004.0</v>
      </c>
      <c r="C403" s="149" t="s">
        <v>911</v>
      </c>
      <c r="D403" s="208" t="s">
        <v>1526</v>
      </c>
      <c r="E403" s="148" t="s">
        <v>28</v>
      </c>
      <c r="F403" s="250" t="s">
        <v>1527</v>
      </c>
      <c r="G403" s="149">
        <v>5.197370085E10</v>
      </c>
      <c r="H403" s="148" t="s">
        <v>257</v>
      </c>
      <c r="I403" s="150">
        <v>1.0</v>
      </c>
      <c r="J403" s="168">
        <v>5599.0</v>
      </c>
      <c r="K403" s="169">
        <f t="shared" si="56"/>
        <v>0</v>
      </c>
      <c r="L403" s="170">
        <v>5599.0</v>
      </c>
      <c r="M403" s="239">
        <v>5248.0</v>
      </c>
      <c r="N403" s="155">
        <v>1199.99</v>
      </c>
      <c r="O403" s="315">
        <f t="shared" si="52"/>
        <v>351</v>
      </c>
      <c r="P403" s="344">
        <f t="shared" si="59"/>
        <v>101</v>
      </c>
      <c r="Q403" s="510">
        <v>190.0</v>
      </c>
      <c r="R403" s="672" t="b">
        <v>1</v>
      </c>
      <c r="S403" s="346"/>
      <c r="T403" s="319"/>
      <c r="U403" s="343">
        <v>10.0</v>
      </c>
      <c r="V403" s="144" t="s">
        <v>584</v>
      </c>
      <c r="W403" s="148" t="s">
        <v>584</v>
      </c>
      <c r="X403" s="163"/>
      <c r="Y403" s="144"/>
      <c r="Z403" s="164"/>
      <c r="AA403" s="116"/>
      <c r="AB403" s="116"/>
      <c r="AC403" s="165"/>
      <c r="AD403" s="675" t="str">
        <f t="shared" si="58"/>
        <v>DICIEMBRE</v>
      </c>
      <c r="AE403" s="144" t="s">
        <v>1187</v>
      </c>
      <c r="AF403" s="149" t="b">
        <v>1</v>
      </c>
      <c r="AG403" s="144" t="s">
        <v>1187</v>
      </c>
      <c r="AH403" s="149" t="b">
        <v>0</v>
      </c>
      <c r="AI403" s="162"/>
      <c r="AJ403" s="143"/>
      <c r="AK403" s="143"/>
      <c r="AL403" s="143"/>
      <c r="AM403" s="143"/>
      <c r="AN403" s="143"/>
      <c r="AO403" s="143"/>
      <c r="AP403" s="143"/>
      <c r="AQ403" s="143"/>
    </row>
    <row r="404" ht="22.5" customHeight="1">
      <c r="A404" s="144" t="s">
        <v>162</v>
      </c>
      <c r="B404" s="145">
        <v>46004.0</v>
      </c>
      <c r="C404" s="149" t="s">
        <v>879</v>
      </c>
      <c r="D404" s="329" t="s">
        <v>1528</v>
      </c>
      <c r="E404" s="148" t="s">
        <v>28</v>
      </c>
      <c r="F404" s="149" t="s">
        <v>1529</v>
      </c>
      <c r="G404" s="149">
        <v>5.190144683E10</v>
      </c>
      <c r="H404" s="148" t="s">
        <v>257</v>
      </c>
      <c r="I404" s="150">
        <v>1.0</v>
      </c>
      <c r="J404" s="168">
        <v>6400.0</v>
      </c>
      <c r="K404" s="169">
        <f t="shared" si="56"/>
        <v>0</v>
      </c>
      <c r="L404" s="170">
        <v>6400.0</v>
      </c>
      <c r="M404" s="239">
        <v>5880.0</v>
      </c>
      <c r="N404" s="155">
        <v>1242.99</v>
      </c>
      <c r="O404" s="315">
        <f t="shared" si="52"/>
        <v>520</v>
      </c>
      <c r="P404" s="344">
        <f t="shared" si="59"/>
        <v>41</v>
      </c>
      <c r="Q404" s="759">
        <v>120.0</v>
      </c>
      <c r="R404" s="672" t="b">
        <v>0</v>
      </c>
      <c r="S404" s="346">
        <v>349.0</v>
      </c>
      <c r="T404" s="319"/>
      <c r="U404" s="343">
        <v>10.0</v>
      </c>
      <c r="V404" s="144" t="s">
        <v>584</v>
      </c>
      <c r="W404" s="148" t="s">
        <v>584</v>
      </c>
      <c r="X404" s="163"/>
      <c r="Y404" s="162"/>
      <c r="Z404" s="164"/>
      <c r="AA404" s="116"/>
      <c r="AB404" s="116"/>
      <c r="AC404" s="165"/>
      <c r="AD404" s="675" t="str">
        <f t="shared" si="58"/>
        <v>DICIEMBRE</v>
      </c>
      <c r="AE404" s="144" t="s">
        <v>1187</v>
      </c>
      <c r="AF404" s="149" t="b">
        <v>1</v>
      </c>
      <c r="AG404" s="144" t="s">
        <v>1187</v>
      </c>
      <c r="AH404" s="149" t="b">
        <v>0</v>
      </c>
      <c r="AI404" s="162"/>
      <c r="AJ404" s="143"/>
      <c r="AK404" s="143"/>
      <c r="AL404" s="143"/>
      <c r="AM404" s="143"/>
      <c r="AN404" s="143"/>
      <c r="AO404" s="143"/>
      <c r="AP404" s="143"/>
      <c r="AQ404" s="143"/>
    </row>
    <row r="405" ht="22.5" hidden="1" customHeight="1">
      <c r="A405" s="144" t="s">
        <v>259</v>
      </c>
      <c r="B405" s="145">
        <v>46004.0</v>
      </c>
      <c r="C405" s="149" t="s">
        <v>1530</v>
      </c>
      <c r="D405" s="208" t="s">
        <v>1531</v>
      </c>
      <c r="E405" s="148" t="s">
        <v>28</v>
      </c>
      <c r="F405" s="262" t="s">
        <v>1532</v>
      </c>
      <c r="G405" s="165"/>
      <c r="H405" s="148" t="s">
        <v>257</v>
      </c>
      <c r="I405" s="150">
        <v>0.2</v>
      </c>
      <c r="J405" s="168">
        <v>1819.0</v>
      </c>
      <c r="K405" s="169">
        <f t="shared" si="56"/>
        <v>7619</v>
      </c>
      <c r="L405" s="170">
        <v>9438.0</v>
      </c>
      <c r="M405" s="239">
        <v>8504.0</v>
      </c>
      <c r="N405" s="155">
        <v>1999.0</v>
      </c>
      <c r="O405" s="315">
        <f t="shared" si="52"/>
        <v>934</v>
      </c>
      <c r="P405" s="344">
        <f t="shared" si="59"/>
        <v>313</v>
      </c>
      <c r="Q405" s="510">
        <v>100.0</v>
      </c>
      <c r="R405" s="672" t="b">
        <v>0</v>
      </c>
      <c r="S405" s="318"/>
      <c r="T405" s="343">
        <v>521.0</v>
      </c>
      <c r="U405" s="315"/>
      <c r="V405" s="144" t="s">
        <v>584</v>
      </c>
      <c r="W405" s="148"/>
      <c r="X405" s="163"/>
      <c r="Y405" s="144" t="s">
        <v>584</v>
      </c>
      <c r="Z405" s="164"/>
      <c r="AA405" s="116"/>
      <c r="AB405" s="116"/>
      <c r="AC405" s="165"/>
      <c r="AD405" s="675" t="str">
        <f t="shared" si="58"/>
        <v>DICIEMBRE</v>
      </c>
      <c r="AE405" s="144" t="s">
        <v>1187</v>
      </c>
      <c r="AF405" s="149" t="b">
        <v>1</v>
      </c>
      <c r="AG405" s="144" t="s">
        <v>1392</v>
      </c>
      <c r="AH405" s="149" t="b">
        <v>0</v>
      </c>
      <c r="AI405" s="162"/>
      <c r="AJ405" s="143"/>
      <c r="AK405" s="143"/>
      <c r="AL405" s="143"/>
      <c r="AM405" s="143"/>
      <c r="AN405" s="143"/>
      <c r="AO405" s="143"/>
      <c r="AP405" s="143"/>
      <c r="AQ405" s="143"/>
    </row>
    <row r="406" ht="22.5" hidden="1" customHeight="1">
      <c r="A406" s="144" t="s">
        <v>259</v>
      </c>
      <c r="B406" s="145">
        <v>46004.0</v>
      </c>
      <c r="C406" s="149" t="s">
        <v>1533</v>
      </c>
      <c r="D406" s="208" t="s">
        <v>1534</v>
      </c>
      <c r="E406" s="148" t="s">
        <v>28</v>
      </c>
      <c r="F406" s="262" t="s">
        <v>1535</v>
      </c>
      <c r="G406" s="165"/>
      <c r="H406" s="148" t="s">
        <v>257</v>
      </c>
      <c r="I406" s="150">
        <v>0.2</v>
      </c>
      <c r="J406" s="168">
        <v>1819.0</v>
      </c>
      <c r="K406" s="169">
        <f t="shared" si="56"/>
        <v>7280</v>
      </c>
      <c r="L406" s="170">
        <v>9099.0</v>
      </c>
      <c r="M406" s="239">
        <v>8396.0</v>
      </c>
      <c r="N406" s="155">
        <v>1999.0</v>
      </c>
      <c r="O406" s="315">
        <f t="shared" si="52"/>
        <v>703</v>
      </c>
      <c r="P406" s="344">
        <f t="shared" si="59"/>
        <v>533</v>
      </c>
      <c r="Q406" s="510">
        <v>170.0</v>
      </c>
      <c r="R406" s="672" t="b">
        <v>0</v>
      </c>
      <c r="S406" s="318"/>
      <c r="T406" s="315"/>
      <c r="U406" s="315"/>
      <c r="V406" s="144" t="s">
        <v>584</v>
      </c>
      <c r="W406" s="148"/>
      <c r="X406" s="163"/>
      <c r="Y406" s="144" t="s">
        <v>584</v>
      </c>
      <c r="Z406" s="164"/>
      <c r="AA406" s="116"/>
      <c r="AB406" s="116"/>
      <c r="AC406" s="165"/>
      <c r="AD406" s="675" t="str">
        <f t="shared" si="58"/>
        <v>DICIEMBRE</v>
      </c>
      <c r="AE406" s="144" t="s">
        <v>1187</v>
      </c>
      <c r="AF406" s="149" t="b">
        <v>1</v>
      </c>
      <c r="AG406" s="144" t="s">
        <v>1392</v>
      </c>
      <c r="AH406" s="149" t="b">
        <v>0</v>
      </c>
      <c r="AI406" s="162"/>
      <c r="AJ406" s="143"/>
      <c r="AK406" s="143"/>
      <c r="AL406" s="143"/>
      <c r="AM406" s="143"/>
      <c r="AN406" s="143"/>
      <c r="AO406" s="143"/>
      <c r="AP406" s="143"/>
      <c r="AQ406" s="143"/>
    </row>
    <row r="407" ht="22.5" customHeight="1">
      <c r="A407" s="144" t="s">
        <v>162</v>
      </c>
      <c r="B407" s="145">
        <v>46006.0</v>
      </c>
      <c r="C407" s="149" t="s">
        <v>911</v>
      </c>
      <c r="D407" s="329" t="s">
        <v>1536</v>
      </c>
      <c r="E407" s="148" t="s">
        <v>28</v>
      </c>
      <c r="F407" s="149" t="s">
        <v>1537</v>
      </c>
      <c r="G407" s="149">
        <v>5.1960263767E10</v>
      </c>
      <c r="H407" s="148" t="s">
        <v>257</v>
      </c>
      <c r="I407" s="150">
        <v>0.2</v>
      </c>
      <c r="J407" s="168">
        <v>1139.0</v>
      </c>
      <c r="K407" s="169">
        <f t="shared" si="56"/>
        <v>4560</v>
      </c>
      <c r="L407" s="170">
        <v>5699.0</v>
      </c>
      <c r="M407" s="239">
        <v>5248.0</v>
      </c>
      <c r="N407" s="155">
        <v>1199.99</v>
      </c>
      <c r="O407" s="315">
        <f t="shared" si="52"/>
        <v>451</v>
      </c>
      <c r="P407" s="759">
        <v>161.0</v>
      </c>
      <c r="Q407" s="510">
        <v>90.0</v>
      </c>
      <c r="R407" s="672" t="b">
        <v>0</v>
      </c>
      <c r="S407" s="318"/>
      <c r="T407" s="319"/>
      <c r="U407" s="343">
        <v>10.0</v>
      </c>
      <c r="V407" s="144" t="s">
        <v>584</v>
      </c>
      <c r="W407" s="148" t="s">
        <v>584</v>
      </c>
      <c r="X407" s="163"/>
      <c r="Y407" s="162"/>
      <c r="Z407" s="164"/>
      <c r="AA407" s="116"/>
      <c r="AB407" s="116"/>
      <c r="AC407" s="165"/>
      <c r="AD407" s="675" t="str">
        <f t="shared" si="58"/>
        <v>DICIEMBRE</v>
      </c>
      <c r="AE407" s="144" t="s">
        <v>1187</v>
      </c>
      <c r="AF407" s="149" t="b">
        <v>1</v>
      </c>
      <c r="AG407" s="144" t="s">
        <v>1187</v>
      </c>
      <c r="AH407" s="149" t="b">
        <v>0</v>
      </c>
      <c r="AI407" s="162"/>
      <c r="AJ407" s="143"/>
      <c r="AK407" s="143"/>
      <c r="AL407" s="143"/>
      <c r="AM407" s="143"/>
      <c r="AN407" s="143"/>
      <c r="AO407" s="143"/>
      <c r="AP407" s="143"/>
      <c r="AQ407" s="143"/>
    </row>
    <row r="408" ht="22.5" hidden="1" customHeight="1">
      <c r="A408" s="144" t="s">
        <v>259</v>
      </c>
      <c r="B408" s="145">
        <v>46006.0</v>
      </c>
      <c r="C408" s="647" t="s">
        <v>1429</v>
      </c>
      <c r="D408" s="635" t="s">
        <v>1538</v>
      </c>
      <c r="E408" s="148" t="s">
        <v>28</v>
      </c>
      <c r="F408" s="859" t="s">
        <v>1539</v>
      </c>
      <c r="G408" s="165"/>
      <c r="H408" s="148" t="s">
        <v>257</v>
      </c>
      <c r="I408" s="148" t="s">
        <v>61</v>
      </c>
      <c r="J408" s="783">
        <v>2500.0</v>
      </c>
      <c r="K408" s="169">
        <f t="shared" si="56"/>
        <v>4720</v>
      </c>
      <c r="L408" s="175">
        <v>7220.0</v>
      </c>
      <c r="M408" s="239">
        <v>6163.0</v>
      </c>
      <c r="N408" s="155">
        <v>1424.05</v>
      </c>
      <c r="O408" s="315">
        <f t="shared" si="52"/>
        <v>1057</v>
      </c>
      <c r="P408" s="344">
        <f t="shared" ref="P408:P425" si="60">L408-M408-Q408-50*R408-S408-T408-U408</f>
        <v>436</v>
      </c>
      <c r="Q408" s="510">
        <v>100.0</v>
      </c>
      <c r="R408" s="672" t="b">
        <v>0</v>
      </c>
      <c r="S408" s="318"/>
      <c r="T408" s="343">
        <v>521.0</v>
      </c>
      <c r="U408" s="315"/>
      <c r="V408" s="144" t="s">
        <v>584</v>
      </c>
      <c r="W408" s="148"/>
      <c r="X408" s="163"/>
      <c r="Y408" s="162"/>
      <c r="Z408" s="164"/>
      <c r="AA408" s="116"/>
      <c r="AB408" s="116"/>
      <c r="AC408" s="165"/>
      <c r="AD408" s="675" t="str">
        <f t="shared" si="58"/>
        <v>DICIEMBRE</v>
      </c>
      <c r="AE408" s="144" t="s">
        <v>1187</v>
      </c>
      <c r="AF408" s="149" t="b">
        <v>1</v>
      </c>
      <c r="AG408" s="144" t="s">
        <v>1392</v>
      </c>
      <c r="AH408" s="149" t="b">
        <v>0</v>
      </c>
      <c r="AI408" s="162"/>
      <c r="AJ408" s="143"/>
      <c r="AK408" s="143"/>
      <c r="AL408" s="143"/>
      <c r="AM408" s="143"/>
      <c r="AN408" s="143"/>
      <c r="AO408" s="143"/>
      <c r="AP408" s="143"/>
      <c r="AQ408" s="143"/>
    </row>
    <row r="409" ht="22.5" hidden="1" customHeight="1">
      <c r="A409" s="144" t="s">
        <v>34</v>
      </c>
      <c r="B409" s="145">
        <v>46006.0</v>
      </c>
      <c r="C409" s="591" t="s">
        <v>1098</v>
      </c>
      <c r="D409" s="208" t="s">
        <v>1540</v>
      </c>
      <c r="E409" s="148" t="s">
        <v>28</v>
      </c>
      <c r="F409" s="859" t="s">
        <v>1541</v>
      </c>
      <c r="G409" s="149" t="s">
        <v>1542</v>
      </c>
      <c r="H409" s="148" t="s">
        <v>257</v>
      </c>
      <c r="I409" s="150">
        <v>0.2</v>
      </c>
      <c r="J409" s="168">
        <v>1119.0</v>
      </c>
      <c r="K409" s="169">
        <f t="shared" si="56"/>
        <v>4480</v>
      </c>
      <c r="L409" s="170">
        <v>5599.0</v>
      </c>
      <c r="M409" s="239">
        <v>5321.01</v>
      </c>
      <c r="N409" s="155">
        <v>1199.99</v>
      </c>
      <c r="O409" s="315">
        <f t="shared" si="52"/>
        <v>277.99</v>
      </c>
      <c r="P409" s="344">
        <f t="shared" si="60"/>
        <v>117.99</v>
      </c>
      <c r="Q409" s="510">
        <v>100.0</v>
      </c>
      <c r="R409" s="672" t="b">
        <v>1</v>
      </c>
      <c r="S409" s="318"/>
      <c r="T409" s="319"/>
      <c r="U409" s="343">
        <v>10.0</v>
      </c>
      <c r="V409" s="144" t="s">
        <v>584</v>
      </c>
      <c r="W409" s="148" t="s">
        <v>584</v>
      </c>
      <c r="X409" s="163"/>
      <c r="Y409" s="162"/>
      <c r="Z409" s="164"/>
      <c r="AA409" s="116"/>
      <c r="AB409" s="116"/>
      <c r="AC409" s="165"/>
      <c r="AD409" s="675" t="str">
        <f t="shared" si="58"/>
        <v>DICIEMBRE</v>
      </c>
      <c r="AE409" s="144" t="s">
        <v>1187</v>
      </c>
      <c r="AF409" s="149" t="b">
        <v>1</v>
      </c>
      <c r="AG409" s="144" t="s">
        <v>1187</v>
      </c>
      <c r="AH409" s="149" t="b">
        <v>0</v>
      </c>
      <c r="AI409" s="162"/>
      <c r="AJ409" s="143"/>
      <c r="AK409" s="143"/>
      <c r="AL409" s="143"/>
      <c r="AM409" s="143"/>
      <c r="AN409" s="143"/>
      <c r="AO409" s="143"/>
      <c r="AP409" s="143"/>
      <c r="AQ409" s="143"/>
    </row>
    <row r="410" ht="22.5" hidden="1" customHeight="1">
      <c r="A410" s="144" t="s">
        <v>259</v>
      </c>
      <c r="B410" s="772">
        <v>46007.0</v>
      </c>
      <c r="C410" s="591" t="s">
        <v>1543</v>
      </c>
      <c r="D410" s="208" t="s">
        <v>1544</v>
      </c>
      <c r="E410" s="148" t="s">
        <v>28</v>
      </c>
      <c r="F410" s="860" t="s">
        <v>1545</v>
      </c>
      <c r="G410" s="388"/>
      <c r="H410" s="148" t="s">
        <v>257</v>
      </c>
      <c r="I410" s="148" t="s">
        <v>61</v>
      </c>
      <c r="J410" s="168">
        <v>3000.0</v>
      </c>
      <c r="K410" s="169">
        <f t="shared" si="56"/>
        <v>3499</v>
      </c>
      <c r="L410" s="170">
        <v>6499.0</v>
      </c>
      <c r="M410" s="239">
        <v>6452.0</v>
      </c>
      <c r="N410" s="155">
        <v>1499.0</v>
      </c>
      <c r="O410" s="315">
        <f t="shared" si="52"/>
        <v>47</v>
      </c>
      <c r="P410" s="344">
        <f t="shared" si="60"/>
        <v>0</v>
      </c>
      <c r="Q410" s="759">
        <v>37.0</v>
      </c>
      <c r="R410" s="672" t="b">
        <v>0</v>
      </c>
      <c r="S410" s="318"/>
      <c r="T410" s="315"/>
      <c r="U410" s="343">
        <v>10.0</v>
      </c>
      <c r="V410" s="144" t="s">
        <v>584</v>
      </c>
      <c r="W410" s="148" t="s">
        <v>584</v>
      </c>
      <c r="X410" s="163"/>
      <c r="Y410" s="162"/>
      <c r="Z410" s="164"/>
      <c r="AA410" s="116"/>
      <c r="AB410" s="116"/>
      <c r="AC410" s="165"/>
      <c r="AD410" s="675" t="str">
        <f t="shared" si="58"/>
        <v>DICIEMBRE</v>
      </c>
      <c r="AE410" s="144" t="s">
        <v>1187</v>
      </c>
      <c r="AF410" s="149" t="b">
        <v>1</v>
      </c>
      <c r="AG410" s="144" t="s">
        <v>1187</v>
      </c>
      <c r="AH410" s="149" t="b">
        <v>0</v>
      </c>
      <c r="AI410" s="162"/>
      <c r="AJ410" s="143"/>
      <c r="AK410" s="143"/>
      <c r="AL410" s="143"/>
      <c r="AM410" s="143"/>
      <c r="AN410" s="143"/>
      <c r="AO410" s="143"/>
      <c r="AP410" s="143"/>
      <c r="AQ410" s="143"/>
    </row>
    <row r="411" ht="22.5" hidden="1" customHeight="1">
      <c r="A411" s="144" t="s">
        <v>34</v>
      </c>
      <c r="B411" s="145">
        <v>46008.0</v>
      </c>
      <c r="C411" s="591" t="s">
        <v>1546</v>
      </c>
      <c r="D411" s="208" t="s">
        <v>1547</v>
      </c>
      <c r="E411" s="148" t="s">
        <v>28</v>
      </c>
      <c r="F411" s="246" t="s">
        <v>1548</v>
      </c>
      <c r="G411" s="165"/>
      <c r="H411" s="148" t="s">
        <v>257</v>
      </c>
      <c r="I411" s="150">
        <v>0.3</v>
      </c>
      <c r="J411" s="168">
        <v>2940.0</v>
      </c>
      <c r="K411" s="169">
        <f t="shared" si="56"/>
        <v>6859</v>
      </c>
      <c r="L411" s="170">
        <v>9799.0</v>
      </c>
      <c r="M411" s="239">
        <v>9032.17</v>
      </c>
      <c r="N411" s="155">
        <v>2174.99</v>
      </c>
      <c r="O411" s="315">
        <f t="shared" si="52"/>
        <v>766.83</v>
      </c>
      <c r="P411" s="344">
        <f t="shared" si="60"/>
        <v>336.83</v>
      </c>
      <c r="Q411" s="510">
        <v>285.0</v>
      </c>
      <c r="R411" s="672" t="b">
        <v>1</v>
      </c>
      <c r="S411" s="318"/>
      <c r="T411" s="319"/>
      <c r="U411" s="343">
        <v>95.0</v>
      </c>
      <c r="V411" s="144" t="s">
        <v>584</v>
      </c>
      <c r="W411" s="148"/>
      <c r="X411" s="163"/>
      <c r="Y411" s="144" t="s">
        <v>584</v>
      </c>
      <c r="Z411" s="164"/>
      <c r="AA411" s="116"/>
      <c r="AB411" s="116"/>
      <c r="AC411" s="165"/>
      <c r="AD411" s="675" t="str">
        <f t="shared" si="58"/>
        <v>DICIEMBRE</v>
      </c>
      <c r="AE411" s="144" t="s">
        <v>1187</v>
      </c>
      <c r="AF411" s="149" t="b">
        <v>1</v>
      </c>
      <c r="AG411" s="144" t="s">
        <v>1392</v>
      </c>
      <c r="AH411" s="149" t="b">
        <v>0</v>
      </c>
      <c r="AI411" s="162"/>
      <c r="AJ411" s="143"/>
      <c r="AK411" s="143"/>
      <c r="AL411" s="143"/>
      <c r="AM411" s="143"/>
      <c r="AN411" s="143"/>
      <c r="AO411" s="143"/>
      <c r="AP411" s="143"/>
      <c r="AQ411" s="143"/>
    </row>
    <row r="412" ht="22.5" customHeight="1">
      <c r="A412" s="144" t="s">
        <v>162</v>
      </c>
      <c r="B412" s="145">
        <v>46008.0</v>
      </c>
      <c r="C412" s="721" t="s">
        <v>1549</v>
      </c>
      <c r="D412" s="208" t="s">
        <v>1550</v>
      </c>
      <c r="E412" s="148" t="s">
        <v>28</v>
      </c>
      <c r="F412" s="262" t="s">
        <v>1551</v>
      </c>
      <c r="G412" s="149">
        <v>5.1950450227E10</v>
      </c>
      <c r="H412" s="148" t="s">
        <v>257</v>
      </c>
      <c r="I412" s="150">
        <v>0.3</v>
      </c>
      <c r="J412" s="168">
        <v>2519.0</v>
      </c>
      <c r="K412" s="169">
        <f t="shared" si="56"/>
        <v>5880</v>
      </c>
      <c r="L412" s="170">
        <v>8399.0</v>
      </c>
      <c r="M412" s="239">
        <v>7721.58</v>
      </c>
      <c r="N412" s="155">
        <v>1849.99</v>
      </c>
      <c r="O412" s="858">
        <f t="shared" si="52"/>
        <v>677.42</v>
      </c>
      <c r="P412" s="344">
        <f t="shared" si="60"/>
        <v>487.42</v>
      </c>
      <c r="Q412" s="510">
        <v>190.0</v>
      </c>
      <c r="R412" s="672" t="b">
        <v>0</v>
      </c>
      <c r="S412" s="318"/>
      <c r="T412" s="319"/>
      <c r="U412" s="315"/>
      <c r="V412" s="144" t="s">
        <v>584</v>
      </c>
      <c r="W412" s="148" t="s">
        <v>584</v>
      </c>
      <c r="X412" s="163"/>
      <c r="Y412" s="144" t="s">
        <v>584</v>
      </c>
      <c r="Z412" s="164"/>
      <c r="AA412" s="116"/>
      <c r="AB412" s="116"/>
      <c r="AC412" s="165"/>
      <c r="AD412" s="675" t="str">
        <f t="shared" si="58"/>
        <v>DICIEMBRE</v>
      </c>
      <c r="AE412" s="144" t="s">
        <v>1187</v>
      </c>
      <c r="AF412" s="149" t="b">
        <v>1</v>
      </c>
      <c r="AG412" s="144" t="s">
        <v>1392</v>
      </c>
      <c r="AH412" s="149" t="b">
        <v>0</v>
      </c>
      <c r="AI412" s="162"/>
      <c r="AJ412" s="143"/>
      <c r="AK412" s="143"/>
      <c r="AL412" s="143"/>
      <c r="AM412" s="143"/>
      <c r="AN412" s="143"/>
      <c r="AO412" s="143"/>
      <c r="AP412" s="143"/>
      <c r="AQ412" s="143"/>
    </row>
    <row r="413" ht="22.5" hidden="1" customHeight="1">
      <c r="A413" s="144" t="s">
        <v>259</v>
      </c>
      <c r="B413" s="145">
        <v>46008.0</v>
      </c>
      <c r="C413" s="565"/>
      <c r="D413" s="208" t="s">
        <v>1552</v>
      </c>
      <c r="E413" s="148"/>
      <c r="F413" s="524"/>
      <c r="G413" s="165"/>
      <c r="H413" s="148" t="s">
        <v>257</v>
      </c>
      <c r="I413" s="150">
        <v>0.3</v>
      </c>
      <c r="J413" s="168"/>
      <c r="K413" s="271" t="str">
        <f t="shared" si="56"/>
        <v/>
      </c>
      <c r="L413" s="170"/>
      <c r="M413" s="239"/>
      <c r="N413" s="155"/>
      <c r="O413" s="315">
        <f t="shared" si="52"/>
        <v>0</v>
      </c>
      <c r="P413" s="344">
        <f t="shared" si="60"/>
        <v>0</v>
      </c>
      <c r="Q413" s="321"/>
      <c r="R413" s="672" t="b">
        <v>0</v>
      </c>
      <c r="S413" s="318"/>
      <c r="T413" s="319"/>
      <c r="U413" s="315"/>
      <c r="V413" s="162"/>
      <c r="W413" s="148"/>
      <c r="X413" s="163"/>
      <c r="Y413" s="162"/>
      <c r="Z413" s="164"/>
      <c r="AA413" s="116"/>
      <c r="AB413" s="116"/>
      <c r="AC413" s="165"/>
      <c r="AD413" s="675" t="str">
        <f t="shared" si="58"/>
        <v>DICIEMBRE</v>
      </c>
      <c r="AE413" s="162"/>
      <c r="AF413" s="149" t="b">
        <v>0</v>
      </c>
      <c r="AG413" s="166"/>
      <c r="AH413" s="149" t="b">
        <v>0</v>
      </c>
      <c r="AI413" s="162"/>
      <c r="AJ413" s="143"/>
      <c r="AK413" s="143"/>
      <c r="AL413" s="143"/>
      <c r="AM413" s="143"/>
      <c r="AN413" s="143"/>
      <c r="AO413" s="143"/>
      <c r="AP413" s="143"/>
      <c r="AQ413" s="143"/>
    </row>
    <row r="414" ht="22.5" hidden="1" customHeight="1">
      <c r="A414" s="144" t="s">
        <v>259</v>
      </c>
      <c r="B414" s="145">
        <v>46008.0</v>
      </c>
      <c r="C414" s="353" t="s">
        <v>1553</v>
      </c>
      <c r="D414" s="208" t="s">
        <v>1554</v>
      </c>
      <c r="E414" s="148" t="s">
        <v>28</v>
      </c>
      <c r="F414" s="246" t="s">
        <v>1555</v>
      </c>
      <c r="G414" s="165"/>
      <c r="H414" s="148" t="s">
        <v>257</v>
      </c>
      <c r="I414" s="148" t="s">
        <v>61</v>
      </c>
      <c r="J414" s="168">
        <v>6000.0</v>
      </c>
      <c r="K414" s="169">
        <f t="shared" si="56"/>
        <v>7649</v>
      </c>
      <c r="L414" s="170">
        <v>13649.0</v>
      </c>
      <c r="M414" s="239">
        <v>12930.0</v>
      </c>
      <c r="N414" s="155">
        <v>2999.0</v>
      </c>
      <c r="O414" s="315">
        <f t="shared" si="52"/>
        <v>719</v>
      </c>
      <c r="P414" s="344">
        <f t="shared" si="60"/>
        <v>341</v>
      </c>
      <c r="Q414" s="510">
        <v>210.0</v>
      </c>
      <c r="R414" s="672" t="b">
        <v>0</v>
      </c>
      <c r="S414" s="318"/>
      <c r="T414" s="343">
        <v>168.0</v>
      </c>
      <c r="U414" s="343"/>
      <c r="V414" s="144" t="s">
        <v>584</v>
      </c>
      <c r="W414" s="148"/>
      <c r="X414" s="163"/>
      <c r="Y414" s="144" t="s">
        <v>584</v>
      </c>
      <c r="Z414" s="164"/>
      <c r="AA414" s="116"/>
      <c r="AB414" s="116"/>
      <c r="AC414" s="165"/>
      <c r="AD414" s="675" t="str">
        <f t="shared" si="58"/>
        <v>DICIEMBRE</v>
      </c>
      <c r="AE414" s="144" t="s">
        <v>1187</v>
      </c>
      <c r="AF414" s="149" t="b">
        <v>1</v>
      </c>
      <c r="AG414" s="144" t="s">
        <v>1392</v>
      </c>
      <c r="AH414" s="149" t="b">
        <v>0</v>
      </c>
      <c r="AI414" s="162"/>
      <c r="AJ414" s="143"/>
      <c r="AK414" s="143"/>
      <c r="AL414" s="143"/>
      <c r="AM414" s="143"/>
      <c r="AN414" s="143"/>
      <c r="AO414" s="143"/>
      <c r="AP414" s="143"/>
      <c r="AQ414" s="143"/>
    </row>
    <row r="415" ht="22.5" customHeight="1">
      <c r="A415" s="144" t="s">
        <v>162</v>
      </c>
      <c r="B415" s="145">
        <v>46008.0</v>
      </c>
      <c r="C415" s="396" t="s">
        <v>869</v>
      </c>
      <c r="D415" s="329" t="s">
        <v>1556</v>
      </c>
      <c r="E415" s="148" t="s">
        <v>28</v>
      </c>
      <c r="F415" s="149" t="s">
        <v>1557</v>
      </c>
      <c r="G415" s="149">
        <v>9.93707533E8</v>
      </c>
      <c r="H415" s="148" t="s">
        <v>257</v>
      </c>
      <c r="I415" s="150">
        <v>0.2</v>
      </c>
      <c r="J415" s="168">
        <v>1500.0</v>
      </c>
      <c r="K415" s="169">
        <f t="shared" si="56"/>
        <v>4399</v>
      </c>
      <c r="L415" s="170">
        <v>5899.0</v>
      </c>
      <c r="M415" s="239">
        <v>5594.0</v>
      </c>
      <c r="N415" s="155">
        <v>1299.99</v>
      </c>
      <c r="O415" s="315">
        <f t="shared" si="52"/>
        <v>305</v>
      </c>
      <c r="P415" s="344">
        <f t="shared" si="60"/>
        <v>105</v>
      </c>
      <c r="Q415" s="510">
        <v>190.0</v>
      </c>
      <c r="R415" s="672" t="b">
        <v>0</v>
      </c>
      <c r="S415" s="318"/>
      <c r="T415" s="319"/>
      <c r="U415" s="343">
        <v>10.0</v>
      </c>
      <c r="V415" s="144" t="s">
        <v>584</v>
      </c>
      <c r="W415" s="148" t="s">
        <v>584</v>
      </c>
      <c r="X415" s="163"/>
      <c r="Y415" s="144" t="s">
        <v>584</v>
      </c>
      <c r="Z415" s="164"/>
      <c r="AA415" s="116"/>
      <c r="AB415" s="116"/>
      <c r="AC415" s="165"/>
      <c r="AD415" s="675" t="str">
        <f t="shared" si="58"/>
        <v>DICIEMBRE</v>
      </c>
      <c r="AE415" s="144" t="s">
        <v>1187</v>
      </c>
      <c r="AF415" s="149" t="b">
        <v>1</v>
      </c>
      <c r="AG415" s="144" t="s">
        <v>1187</v>
      </c>
      <c r="AH415" s="149" t="b">
        <v>0</v>
      </c>
      <c r="AI415" s="162"/>
      <c r="AJ415" s="143"/>
      <c r="AK415" s="143"/>
      <c r="AL415" s="143"/>
      <c r="AM415" s="143"/>
      <c r="AN415" s="143"/>
      <c r="AO415" s="143"/>
      <c r="AP415" s="143"/>
      <c r="AQ415" s="143"/>
    </row>
    <row r="416" ht="22.5" hidden="1" customHeight="1">
      <c r="A416" s="144" t="s">
        <v>34</v>
      </c>
      <c r="B416" s="145">
        <v>46008.0</v>
      </c>
      <c r="C416" s="353" t="s">
        <v>434</v>
      </c>
      <c r="D416" s="778" t="s">
        <v>1558</v>
      </c>
      <c r="E416" s="148" t="s">
        <v>28</v>
      </c>
      <c r="F416" s="246" t="s">
        <v>1559</v>
      </c>
      <c r="G416" s="149">
        <v>5.1996279191E10</v>
      </c>
      <c r="H416" s="148" t="s">
        <v>257</v>
      </c>
      <c r="I416" s="150">
        <v>0.2</v>
      </c>
      <c r="J416" s="168">
        <v>1620.0</v>
      </c>
      <c r="K416" s="169">
        <f t="shared" si="56"/>
        <v>6479</v>
      </c>
      <c r="L416" s="170">
        <v>8099.0</v>
      </c>
      <c r="M416" s="239">
        <v>7585.61</v>
      </c>
      <c r="N416" s="155">
        <v>1699.99</v>
      </c>
      <c r="O416" s="315">
        <f t="shared" si="52"/>
        <v>513.39</v>
      </c>
      <c r="P416" s="344">
        <f t="shared" si="60"/>
        <v>263.39</v>
      </c>
      <c r="Q416" s="510">
        <v>190.0</v>
      </c>
      <c r="R416" s="672" t="b">
        <v>1</v>
      </c>
      <c r="S416" s="318"/>
      <c r="T416" s="319"/>
      <c r="U416" s="343">
        <v>10.0</v>
      </c>
      <c r="V416" s="144" t="s">
        <v>584</v>
      </c>
      <c r="W416" s="148"/>
      <c r="X416" s="163"/>
      <c r="Y416" s="144" t="s">
        <v>584</v>
      </c>
      <c r="Z416" s="164"/>
      <c r="AA416" s="116"/>
      <c r="AB416" s="116"/>
      <c r="AC416" s="165"/>
      <c r="AD416" s="675" t="str">
        <f t="shared" si="58"/>
        <v>DICIEMBRE</v>
      </c>
      <c r="AE416" s="144" t="s">
        <v>1187</v>
      </c>
      <c r="AF416" s="149" t="b">
        <v>1</v>
      </c>
      <c r="AG416" s="144" t="s">
        <v>1392</v>
      </c>
      <c r="AH416" s="149" t="b">
        <v>0</v>
      </c>
      <c r="AI416" s="162"/>
      <c r="AJ416" s="143"/>
      <c r="AK416" s="143"/>
      <c r="AL416" s="143"/>
      <c r="AM416" s="143"/>
      <c r="AN416" s="143"/>
      <c r="AO416" s="143"/>
      <c r="AP416" s="143"/>
      <c r="AQ416" s="143"/>
    </row>
    <row r="417" ht="22.5" hidden="1" customHeight="1">
      <c r="A417" s="144" t="s">
        <v>259</v>
      </c>
      <c r="B417" s="145">
        <v>46008.0</v>
      </c>
      <c r="C417" s="149" t="s">
        <v>1560</v>
      </c>
      <c r="D417" s="329" t="s">
        <v>1561</v>
      </c>
      <c r="E417" s="148" t="s">
        <v>28</v>
      </c>
      <c r="F417" s="246" t="s">
        <v>1562</v>
      </c>
      <c r="G417" s="149">
        <v>5.1931345663E10</v>
      </c>
      <c r="H417" s="148" t="s">
        <v>257</v>
      </c>
      <c r="I417" s="150">
        <v>0.2</v>
      </c>
      <c r="J417" s="168">
        <v>1760.0</v>
      </c>
      <c r="K417" s="169">
        <f t="shared" si="56"/>
        <v>7039</v>
      </c>
      <c r="L417" s="170">
        <v>8799.0</v>
      </c>
      <c r="M417" s="239">
        <v>8446.0</v>
      </c>
      <c r="N417" s="155">
        <v>1899.0</v>
      </c>
      <c r="O417" s="315">
        <f t="shared" si="52"/>
        <v>353</v>
      </c>
      <c r="P417" s="344">
        <f t="shared" si="60"/>
        <v>353</v>
      </c>
      <c r="Q417" s="321"/>
      <c r="R417" s="672" t="b">
        <v>0</v>
      </c>
      <c r="S417" s="318"/>
      <c r="T417" s="315"/>
      <c r="U417" s="315"/>
      <c r="V417" s="144" t="s">
        <v>584</v>
      </c>
      <c r="W417" s="148"/>
      <c r="X417" s="163"/>
      <c r="Y417" s="144" t="s">
        <v>584</v>
      </c>
      <c r="Z417" s="164"/>
      <c r="AA417" s="116"/>
      <c r="AB417" s="116"/>
      <c r="AC417" s="165"/>
      <c r="AD417" s="675" t="str">
        <f t="shared" si="58"/>
        <v>DICIEMBRE</v>
      </c>
      <c r="AE417" s="144" t="s">
        <v>1187</v>
      </c>
      <c r="AF417" s="149" t="b">
        <v>1</v>
      </c>
      <c r="AG417" s="144" t="s">
        <v>1392</v>
      </c>
      <c r="AH417" s="149" t="b">
        <v>0</v>
      </c>
      <c r="AI417" s="162"/>
      <c r="AJ417" s="143"/>
      <c r="AK417" s="143"/>
      <c r="AL417" s="143"/>
      <c r="AM417" s="143"/>
      <c r="AN417" s="143"/>
      <c r="AO417" s="143"/>
      <c r="AP417" s="143"/>
      <c r="AQ417" s="143"/>
    </row>
    <row r="418" ht="22.5" customHeight="1">
      <c r="A418" s="144" t="s">
        <v>162</v>
      </c>
      <c r="B418" s="145">
        <v>46009.0</v>
      </c>
      <c r="C418" s="149" t="s">
        <v>593</v>
      </c>
      <c r="D418" s="329" t="s">
        <v>1563</v>
      </c>
      <c r="E418" s="148" t="s">
        <v>28</v>
      </c>
      <c r="F418" s="149" t="s">
        <v>1564</v>
      </c>
      <c r="G418" s="149">
        <v>5.1992885262E10</v>
      </c>
      <c r="H418" s="148" t="s">
        <v>257</v>
      </c>
      <c r="I418" s="150">
        <v>0.2</v>
      </c>
      <c r="J418" s="168">
        <v>1000.0</v>
      </c>
      <c r="K418" s="169">
        <f t="shared" si="56"/>
        <v>4174</v>
      </c>
      <c r="L418" s="170">
        <v>5174.0</v>
      </c>
      <c r="M418" s="239">
        <v>4690.0</v>
      </c>
      <c r="N418" s="155">
        <v>1049.99</v>
      </c>
      <c r="O418" s="315">
        <f t="shared" si="52"/>
        <v>484</v>
      </c>
      <c r="P418" s="344">
        <f t="shared" si="60"/>
        <v>189</v>
      </c>
      <c r="Q418" s="510">
        <v>220.0</v>
      </c>
      <c r="R418" s="672" t="b">
        <v>0</v>
      </c>
      <c r="S418" s="318"/>
      <c r="T418" s="347">
        <v>65.0</v>
      </c>
      <c r="U418" s="343">
        <v>10.0</v>
      </c>
      <c r="V418" s="144" t="s">
        <v>584</v>
      </c>
      <c r="W418" s="148" t="s">
        <v>584</v>
      </c>
      <c r="X418" s="163"/>
      <c r="Y418" s="162"/>
      <c r="Z418" s="164"/>
      <c r="AA418" s="116"/>
      <c r="AB418" s="116"/>
      <c r="AC418" s="165"/>
      <c r="AD418" s="675" t="str">
        <f t="shared" si="58"/>
        <v>DICIEMBRE</v>
      </c>
      <c r="AE418" s="144" t="s">
        <v>1187</v>
      </c>
      <c r="AF418" s="149" t="b">
        <v>1</v>
      </c>
      <c r="AG418" s="144" t="s">
        <v>1187</v>
      </c>
      <c r="AH418" s="149" t="b">
        <v>0</v>
      </c>
      <c r="AI418" s="162"/>
      <c r="AJ418" s="143"/>
      <c r="AK418" s="143"/>
      <c r="AL418" s="143"/>
      <c r="AM418" s="143"/>
      <c r="AN418" s="143"/>
      <c r="AO418" s="143"/>
      <c r="AP418" s="143"/>
      <c r="AQ418" s="143"/>
    </row>
    <row r="419" ht="22.5" hidden="1" customHeight="1">
      <c r="A419" s="144" t="s">
        <v>259</v>
      </c>
      <c r="B419" s="772">
        <v>46009.0</v>
      </c>
      <c r="C419" s="591" t="s">
        <v>1098</v>
      </c>
      <c r="D419" s="208" t="s">
        <v>1565</v>
      </c>
      <c r="E419" s="148" t="s">
        <v>28</v>
      </c>
      <c r="F419" s="859" t="s">
        <v>1566</v>
      </c>
      <c r="G419" s="165"/>
      <c r="H419" s="148" t="s">
        <v>257</v>
      </c>
      <c r="I419" s="150">
        <v>0.2</v>
      </c>
      <c r="J419" s="168">
        <v>1099.0</v>
      </c>
      <c r="K419" s="169">
        <f t="shared" si="56"/>
        <v>4400</v>
      </c>
      <c r="L419" s="170">
        <v>5499.0</v>
      </c>
      <c r="M419" s="239">
        <v>5320.0</v>
      </c>
      <c r="N419" s="155">
        <v>1199.99</v>
      </c>
      <c r="O419" s="315">
        <f t="shared" si="52"/>
        <v>179</v>
      </c>
      <c r="P419" s="344">
        <f t="shared" si="60"/>
        <v>49</v>
      </c>
      <c r="Q419" s="510">
        <v>120.0</v>
      </c>
      <c r="R419" s="672" t="b">
        <v>0</v>
      </c>
      <c r="S419" s="318"/>
      <c r="T419" s="315"/>
      <c r="U419" s="343">
        <v>10.0</v>
      </c>
      <c r="V419" s="144" t="s">
        <v>584</v>
      </c>
      <c r="W419" s="148" t="s">
        <v>584</v>
      </c>
      <c r="X419" s="163"/>
      <c r="Y419" s="162"/>
      <c r="Z419" s="164"/>
      <c r="AA419" s="116"/>
      <c r="AB419" s="116"/>
      <c r="AC419" s="165"/>
      <c r="AD419" s="675" t="str">
        <f t="shared" si="58"/>
        <v>DICIEMBRE</v>
      </c>
      <c r="AE419" s="144" t="s">
        <v>1187</v>
      </c>
      <c r="AF419" s="149" t="b">
        <v>1</v>
      </c>
      <c r="AG419" s="144" t="s">
        <v>1187</v>
      </c>
      <c r="AH419" s="149" t="b">
        <v>0</v>
      </c>
      <c r="AI419" s="162"/>
      <c r="AJ419" s="143"/>
      <c r="AK419" s="143"/>
      <c r="AL419" s="143"/>
      <c r="AM419" s="143"/>
      <c r="AN419" s="143"/>
      <c r="AO419" s="143"/>
      <c r="AP419" s="143"/>
      <c r="AQ419" s="143"/>
    </row>
    <row r="420" ht="22.5" hidden="1" customHeight="1">
      <c r="A420" s="144" t="s">
        <v>34</v>
      </c>
      <c r="B420" s="145">
        <v>46010.0</v>
      </c>
      <c r="C420" s="353" t="s">
        <v>434</v>
      </c>
      <c r="D420" s="778" t="s">
        <v>1567</v>
      </c>
      <c r="E420" s="148" t="s">
        <v>28</v>
      </c>
      <c r="F420" s="246" t="s">
        <v>1568</v>
      </c>
      <c r="G420" s="149" t="s">
        <v>1569</v>
      </c>
      <c r="H420" s="148" t="s">
        <v>257</v>
      </c>
      <c r="I420" s="150">
        <v>0.2</v>
      </c>
      <c r="J420" s="168">
        <v>1641.62</v>
      </c>
      <c r="K420" s="169">
        <f t="shared" si="56"/>
        <v>7015.46</v>
      </c>
      <c r="L420" s="170">
        <v>8657.08</v>
      </c>
      <c r="M420" s="239">
        <v>7585.61</v>
      </c>
      <c r="N420" s="155">
        <v>1699.99</v>
      </c>
      <c r="O420" s="315">
        <f t="shared" si="52"/>
        <v>1071.47</v>
      </c>
      <c r="P420" s="344">
        <f t="shared" si="60"/>
        <v>382.47</v>
      </c>
      <c r="Q420" s="510">
        <v>190.0</v>
      </c>
      <c r="R420" s="672" t="b">
        <v>1</v>
      </c>
      <c r="S420" s="346">
        <v>449.0</v>
      </c>
      <c r="T420" s="319"/>
      <c r="U420" s="315"/>
      <c r="V420" s="144" t="s">
        <v>584</v>
      </c>
      <c r="W420" s="148" t="s">
        <v>584</v>
      </c>
      <c r="X420" s="163"/>
      <c r="Y420" s="144" t="s">
        <v>584</v>
      </c>
      <c r="Z420" s="164"/>
      <c r="AA420" s="116"/>
      <c r="AB420" s="116"/>
      <c r="AC420" s="165"/>
      <c r="AD420" s="675" t="str">
        <f t="shared" si="58"/>
        <v>DICIEMBRE</v>
      </c>
      <c r="AE420" s="144" t="s">
        <v>1187</v>
      </c>
      <c r="AF420" s="149" t="b">
        <v>1</v>
      </c>
      <c r="AG420" s="144" t="s">
        <v>1187</v>
      </c>
      <c r="AH420" s="149" t="b">
        <v>0</v>
      </c>
      <c r="AI420" s="162"/>
      <c r="AJ420" s="143"/>
      <c r="AK420" s="143"/>
      <c r="AL420" s="143"/>
      <c r="AM420" s="143"/>
      <c r="AN420" s="143"/>
      <c r="AO420" s="143"/>
      <c r="AP420" s="143"/>
      <c r="AQ420" s="143"/>
    </row>
    <row r="421" ht="22.5" customHeight="1">
      <c r="A421" s="144" t="s">
        <v>162</v>
      </c>
      <c r="B421" s="145">
        <v>46010.0</v>
      </c>
      <c r="C421" s="149" t="s">
        <v>879</v>
      </c>
      <c r="D421" s="329" t="s">
        <v>1570</v>
      </c>
      <c r="E421" s="148" t="s">
        <v>28</v>
      </c>
      <c r="F421" s="149" t="s">
        <v>1571</v>
      </c>
      <c r="G421" s="149">
        <v>9.87923686E8</v>
      </c>
      <c r="H421" s="148" t="s">
        <v>257</v>
      </c>
      <c r="I421" s="150">
        <v>0.2</v>
      </c>
      <c r="J421" s="168">
        <v>1259.0</v>
      </c>
      <c r="K421" s="169">
        <f t="shared" si="56"/>
        <v>5049</v>
      </c>
      <c r="L421" s="170">
        <v>6308.0</v>
      </c>
      <c r="M421" s="239">
        <v>5880.0</v>
      </c>
      <c r="N421" s="155">
        <v>1242.99</v>
      </c>
      <c r="O421" s="315">
        <f t="shared" si="52"/>
        <v>428</v>
      </c>
      <c r="P421" s="344">
        <f t="shared" si="60"/>
        <v>328</v>
      </c>
      <c r="Q421" s="510">
        <v>90.0</v>
      </c>
      <c r="R421" s="672" t="b">
        <v>0</v>
      </c>
      <c r="S421" s="318"/>
      <c r="T421" s="319"/>
      <c r="U421" s="343">
        <v>10.0</v>
      </c>
      <c r="V421" s="144" t="s">
        <v>584</v>
      </c>
      <c r="W421" s="148" t="s">
        <v>584</v>
      </c>
      <c r="X421" s="163"/>
      <c r="Y421" s="144"/>
      <c r="Z421" s="164"/>
      <c r="AA421" s="116"/>
      <c r="AB421" s="116"/>
      <c r="AC421" s="165"/>
      <c r="AD421" s="675" t="str">
        <f t="shared" si="58"/>
        <v>DICIEMBRE</v>
      </c>
      <c r="AE421" s="144" t="s">
        <v>1187</v>
      </c>
      <c r="AF421" s="149" t="b">
        <v>1</v>
      </c>
      <c r="AG421" s="144" t="s">
        <v>1187</v>
      </c>
      <c r="AH421" s="149" t="b">
        <v>0</v>
      </c>
      <c r="AI421" s="162"/>
      <c r="AJ421" s="143"/>
      <c r="AK421" s="143"/>
      <c r="AL421" s="143"/>
      <c r="AM421" s="143"/>
      <c r="AN421" s="143"/>
      <c r="AO421" s="143"/>
      <c r="AP421" s="143"/>
      <c r="AQ421" s="143"/>
    </row>
    <row r="422" ht="22.5" hidden="1" customHeight="1">
      <c r="A422" s="144" t="s">
        <v>34</v>
      </c>
      <c r="B422" s="145">
        <v>46011.0</v>
      </c>
      <c r="C422" s="353" t="s">
        <v>1572</v>
      </c>
      <c r="D422" s="208" t="s">
        <v>1573</v>
      </c>
      <c r="E422" s="148" t="s">
        <v>28</v>
      </c>
      <c r="F422" s="262" t="s">
        <v>1574</v>
      </c>
      <c r="G422" s="149" t="s">
        <v>1575</v>
      </c>
      <c r="H422" s="148" t="s">
        <v>257</v>
      </c>
      <c r="I422" s="669"/>
      <c r="J422" s="168">
        <v>1471.31</v>
      </c>
      <c r="K422" s="169">
        <f t="shared" si="56"/>
        <v>5885.22</v>
      </c>
      <c r="L422" s="170">
        <v>7356.53</v>
      </c>
      <c r="M422" s="239">
        <v>6856.5</v>
      </c>
      <c r="N422" s="155">
        <v>1499.99</v>
      </c>
      <c r="O422" s="315">
        <f t="shared" si="52"/>
        <v>500.03</v>
      </c>
      <c r="P422" s="344">
        <f t="shared" si="60"/>
        <v>185.03</v>
      </c>
      <c r="Q422" s="510">
        <v>285.0</v>
      </c>
      <c r="R422" s="672" t="b">
        <v>0</v>
      </c>
      <c r="S422" s="318"/>
      <c r="T422" s="319"/>
      <c r="U422" s="343">
        <v>30.0</v>
      </c>
      <c r="V422" s="144" t="s">
        <v>584</v>
      </c>
      <c r="W422" s="148" t="s">
        <v>584</v>
      </c>
      <c r="X422" s="163"/>
      <c r="Y422" s="144" t="s">
        <v>584</v>
      </c>
      <c r="Z422" s="164"/>
      <c r="AA422" s="116"/>
      <c r="AB422" s="116"/>
      <c r="AC422" s="165"/>
      <c r="AD422" s="675" t="str">
        <f t="shared" si="58"/>
        <v>DICIEMBRE</v>
      </c>
      <c r="AE422" s="144" t="s">
        <v>1187</v>
      </c>
      <c r="AF422" s="149" t="b">
        <v>1</v>
      </c>
      <c r="AG422" s="144" t="s">
        <v>1392</v>
      </c>
      <c r="AH422" s="149" t="b">
        <v>0</v>
      </c>
      <c r="AI422" s="162"/>
      <c r="AJ422" s="143"/>
      <c r="AK422" s="143"/>
      <c r="AL422" s="143"/>
      <c r="AM422" s="143"/>
      <c r="AN422" s="143"/>
      <c r="AO422" s="143"/>
      <c r="AP422" s="143"/>
      <c r="AQ422" s="143"/>
    </row>
    <row r="423" ht="22.5" hidden="1" customHeight="1">
      <c r="A423" s="144" t="s">
        <v>34</v>
      </c>
      <c r="B423" s="145">
        <v>46011.0</v>
      </c>
      <c r="C423" s="149" t="s">
        <v>879</v>
      </c>
      <c r="D423" s="208" t="s">
        <v>1576</v>
      </c>
      <c r="E423" s="148" t="s">
        <v>28</v>
      </c>
      <c r="F423" s="861" t="s">
        <v>1577</v>
      </c>
      <c r="G423" s="149">
        <v>9.04822633E8</v>
      </c>
      <c r="H423" s="148" t="s">
        <v>257</v>
      </c>
      <c r="I423" s="150">
        <v>0.2</v>
      </c>
      <c r="J423" s="168">
        <v>1249.8</v>
      </c>
      <c r="K423" s="169">
        <f t="shared" si="56"/>
        <v>4999.2</v>
      </c>
      <c r="L423" s="170">
        <v>6249.0</v>
      </c>
      <c r="M423" s="820">
        <v>5880.0</v>
      </c>
      <c r="N423" s="155">
        <v>1199.99</v>
      </c>
      <c r="O423" s="315">
        <f t="shared" si="52"/>
        <v>369</v>
      </c>
      <c r="P423" s="344">
        <f t="shared" si="60"/>
        <v>119</v>
      </c>
      <c r="Q423" s="510">
        <v>170.0</v>
      </c>
      <c r="R423" s="672" t="b">
        <v>1</v>
      </c>
      <c r="S423" s="346"/>
      <c r="T423" s="319"/>
      <c r="U423" s="343">
        <v>30.0</v>
      </c>
      <c r="V423" s="144" t="s">
        <v>584</v>
      </c>
      <c r="W423" s="148"/>
      <c r="X423" s="163"/>
      <c r="Y423" s="162"/>
      <c r="Z423" s="164"/>
      <c r="AA423" s="116"/>
      <c r="AB423" s="116"/>
      <c r="AC423" s="165"/>
      <c r="AD423" s="675" t="str">
        <f t="shared" si="58"/>
        <v>DICIEMBRE</v>
      </c>
      <c r="AE423" s="144" t="s">
        <v>1187</v>
      </c>
      <c r="AF423" s="149" t="b">
        <v>1</v>
      </c>
      <c r="AG423" s="144" t="s">
        <v>1392</v>
      </c>
      <c r="AH423" s="149" t="b">
        <v>0</v>
      </c>
      <c r="AI423" s="162"/>
      <c r="AJ423" s="143"/>
      <c r="AK423" s="143"/>
      <c r="AL423" s="143"/>
      <c r="AM423" s="143"/>
      <c r="AN423" s="143"/>
      <c r="AO423" s="143"/>
      <c r="AP423" s="143"/>
      <c r="AQ423" s="143"/>
    </row>
    <row r="424" ht="22.5" hidden="1" customHeight="1">
      <c r="A424" s="144" t="s">
        <v>259</v>
      </c>
      <c r="B424" s="145">
        <v>46011.0</v>
      </c>
      <c r="C424" s="353" t="s">
        <v>1578</v>
      </c>
      <c r="D424" s="208" t="s">
        <v>1579</v>
      </c>
      <c r="E424" s="148" t="s">
        <v>28</v>
      </c>
      <c r="F424" s="262" t="s">
        <v>1580</v>
      </c>
      <c r="G424" s="165"/>
      <c r="H424" s="148" t="s">
        <v>257</v>
      </c>
      <c r="I424" s="150">
        <v>0.2</v>
      </c>
      <c r="J424" s="168">
        <v>1620.0</v>
      </c>
      <c r="K424" s="169">
        <f t="shared" si="56"/>
        <v>6480</v>
      </c>
      <c r="L424" s="170">
        <v>8100.0</v>
      </c>
      <c r="M424" s="239">
        <v>7582.0</v>
      </c>
      <c r="N424" s="155">
        <v>1699.0</v>
      </c>
      <c r="O424" s="315">
        <f t="shared" si="52"/>
        <v>518</v>
      </c>
      <c r="P424" s="344">
        <f t="shared" si="60"/>
        <v>518</v>
      </c>
      <c r="Q424" s="321"/>
      <c r="R424" s="672" t="b">
        <v>0</v>
      </c>
      <c r="S424" s="318"/>
      <c r="T424" s="315"/>
      <c r="U424" s="315"/>
      <c r="V424" s="144" t="s">
        <v>584</v>
      </c>
      <c r="W424" s="855" t="s">
        <v>584</v>
      </c>
      <c r="X424" s="856"/>
      <c r="Y424" s="144" t="s">
        <v>584</v>
      </c>
      <c r="Z424" s="164"/>
      <c r="AA424" s="116"/>
      <c r="AB424" s="116"/>
      <c r="AC424" s="165"/>
      <c r="AD424" s="675" t="str">
        <f t="shared" si="58"/>
        <v>DICIEMBRE</v>
      </c>
      <c r="AE424" s="144" t="s">
        <v>1187</v>
      </c>
      <c r="AF424" s="149" t="b">
        <v>1</v>
      </c>
      <c r="AG424" s="144" t="s">
        <v>1392</v>
      </c>
      <c r="AH424" s="149" t="b">
        <v>0</v>
      </c>
      <c r="AI424" s="162"/>
      <c r="AJ424" s="143"/>
      <c r="AK424" s="143"/>
      <c r="AL424" s="143"/>
      <c r="AM424" s="143"/>
      <c r="AN424" s="143"/>
      <c r="AO424" s="143"/>
      <c r="AP424" s="143"/>
      <c r="AQ424" s="143"/>
    </row>
    <row r="425" ht="22.5" customHeight="1">
      <c r="A425" s="144" t="s">
        <v>162</v>
      </c>
      <c r="B425" s="145">
        <v>46013.0</v>
      </c>
      <c r="C425" s="353" t="s">
        <v>1581</v>
      </c>
      <c r="D425" s="208" t="s">
        <v>1582</v>
      </c>
      <c r="E425" s="148" t="s">
        <v>28</v>
      </c>
      <c r="F425" s="249" t="s">
        <v>1583</v>
      </c>
      <c r="G425" s="149">
        <v>5.1935192561E10</v>
      </c>
      <c r="H425" s="148" t="s">
        <v>257</v>
      </c>
      <c r="I425" s="148" t="s">
        <v>61</v>
      </c>
      <c r="J425" s="168">
        <v>1100.0</v>
      </c>
      <c r="K425" s="169">
        <f t="shared" si="56"/>
        <v>7299</v>
      </c>
      <c r="L425" s="170">
        <v>8399.0</v>
      </c>
      <c r="M425" s="239">
        <v>7950.16</v>
      </c>
      <c r="N425" s="155">
        <v>1799.99</v>
      </c>
      <c r="O425" s="315">
        <f t="shared" si="52"/>
        <v>448.84</v>
      </c>
      <c r="P425" s="344">
        <f t="shared" si="60"/>
        <v>393.84</v>
      </c>
      <c r="Q425" s="321"/>
      <c r="R425" s="672" t="b">
        <v>0</v>
      </c>
      <c r="S425" s="318"/>
      <c r="T425" s="347">
        <v>55.0</v>
      </c>
      <c r="U425" s="315"/>
      <c r="V425" s="144" t="s">
        <v>584</v>
      </c>
      <c r="W425" s="148" t="s">
        <v>584</v>
      </c>
      <c r="X425" s="163"/>
      <c r="Y425" s="144" t="s">
        <v>584</v>
      </c>
      <c r="Z425" s="164"/>
      <c r="AA425" s="116"/>
      <c r="AB425" s="116"/>
      <c r="AC425" s="165"/>
      <c r="AD425" s="675" t="str">
        <f t="shared" si="58"/>
        <v>DICIEMBRE</v>
      </c>
      <c r="AE425" s="144" t="s">
        <v>1187</v>
      </c>
      <c r="AF425" s="149" t="b">
        <v>1</v>
      </c>
      <c r="AG425" s="144" t="s">
        <v>1187</v>
      </c>
      <c r="AH425" s="149" t="b">
        <v>0</v>
      </c>
      <c r="AI425" s="162"/>
      <c r="AJ425" s="143"/>
      <c r="AK425" s="143"/>
      <c r="AL425" s="143"/>
      <c r="AM425" s="143"/>
      <c r="AN425" s="143"/>
      <c r="AO425" s="143"/>
      <c r="AP425" s="143"/>
      <c r="AQ425" s="143"/>
    </row>
    <row r="426" ht="22.5" customHeight="1">
      <c r="A426" s="144" t="s">
        <v>162</v>
      </c>
      <c r="B426" s="145">
        <v>46013.0</v>
      </c>
      <c r="C426" s="149" t="s">
        <v>918</v>
      </c>
      <c r="D426" s="329" t="s">
        <v>1584</v>
      </c>
      <c r="E426" s="148" t="s">
        <v>28</v>
      </c>
      <c r="F426" s="149" t="s">
        <v>1585</v>
      </c>
      <c r="G426" s="149">
        <v>5.1919187879E10</v>
      </c>
      <c r="H426" s="148" t="s">
        <v>257</v>
      </c>
      <c r="I426" s="150">
        <v>1.0</v>
      </c>
      <c r="J426" s="168">
        <v>5099.0</v>
      </c>
      <c r="K426" s="169">
        <f t="shared" si="56"/>
        <v>0</v>
      </c>
      <c r="L426" s="170">
        <v>5099.0</v>
      </c>
      <c r="M426" s="239">
        <v>4690.0</v>
      </c>
      <c r="N426" s="155">
        <v>1049.99</v>
      </c>
      <c r="O426" s="315">
        <f t="shared" si="52"/>
        <v>409</v>
      </c>
      <c r="P426" s="759">
        <v>79.0</v>
      </c>
      <c r="Q426" s="510">
        <v>190.0</v>
      </c>
      <c r="R426" s="672" t="b">
        <v>0</v>
      </c>
      <c r="S426" s="318"/>
      <c r="T426" s="318"/>
      <c r="U426" s="343">
        <v>10.0</v>
      </c>
      <c r="V426" s="144" t="s">
        <v>584</v>
      </c>
      <c r="W426" s="148" t="s">
        <v>584</v>
      </c>
      <c r="X426" s="163"/>
      <c r="Y426" s="144" t="s">
        <v>584</v>
      </c>
      <c r="Z426" s="164"/>
      <c r="AA426" s="116"/>
      <c r="AB426" s="116"/>
      <c r="AC426" s="165"/>
      <c r="AD426" s="675" t="str">
        <f t="shared" si="58"/>
        <v>DICIEMBRE</v>
      </c>
      <c r="AE426" s="144" t="s">
        <v>1187</v>
      </c>
      <c r="AF426" s="149" t="b">
        <v>1</v>
      </c>
      <c r="AG426" s="144" t="s">
        <v>1187</v>
      </c>
      <c r="AH426" s="149" t="b">
        <v>0</v>
      </c>
      <c r="AI426" s="162"/>
      <c r="AJ426" s="143"/>
      <c r="AK426" s="143"/>
      <c r="AL426" s="143"/>
      <c r="AM426" s="143"/>
      <c r="AN426" s="143"/>
      <c r="AO426" s="143"/>
      <c r="AP426" s="143"/>
      <c r="AQ426" s="143"/>
    </row>
    <row r="427" ht="22.5" hidden="1" customHeight="1">
      <c r="A427" s="144" t="s">
        <v>259</v>
      </c>
      <c r="B427" s="772">
        <v>46014.0</v>
      </c>
      <c r="C427" s="862" t="s">
        <v>1519</v>
      </c>
      <c r="D427" s="571" t="s">
        <v>1586</v>
      </c>
      <c r="E427" s="148" t="s">
        <v>28</v>
      </c>
      <c r="F427" s="861" t="s">
        <v>1587</v>
      </c>
      <c r="G427" s="165"/>
      <c r="H427" s="148" t="s">
        <v>257</v>
      </c>
      <c r="I427" s="150">
        <v>1.0</v>
      </c>
      <c r="J427" s="168">
        <v>6699.0</v>
      </c>
      <c r="K427" s="169">
        <f t="shared" si="56"/>
        <v>0</v>
      </c>
      <c r="L427" s="170">
        <v>6699.0</v>
      </c>
      <c r="M427" s="239">
        <v>6253.0</v>
      </c>
      <c r="N427" s="155">
        <v>1449.99</v>
      </c>
      <c r="O427" s="315">
        <f t="shared" si="52"/>
        <v>446</v>
      </c>
      <c r="P427" s="344">
        <f t="shared" ref="P427:P435" si="61">L427-M427-Q427-50*R427-S427-T427-U427</f>
        <v>266</v>
      </c>
      <c r="Q427" s="510">
        <v>170.0</v>
      </c>
      <c r="R427" s="672" t="b">
        <v>0</v>
      </c>
      <c r="S427" s="318"/>
      <c r="T427" s="315"/>
      <c r="U427" s="343">
        <v>10.0</v>
      </c>
      <c r="V427" s="144" t="s">
        <v>584</v>
      </c>
      <c r="W427" s="148" t="s">
        <v>584</v>
      </c>
      <c r="X427" s="163"/>
      <c r="Y427" s="162"/>
      <c r="Z427" s="164"/>
      <c r="AA427" s="116"/>
      <c r="AB427" s="116"/>
      <c r="AC427" s="165"/>
      <c r="AD427" s="675" t="str">
        <f t="shared" si="58"/>
        <v>DICIEMBRE</v>
      </c>
      <c r="AE427" s="144" t="s">
        <v>1187</v>
      </c>
      <c r="AF427" s="149" t="b">
        <v>1</v>
      </c>
      <c r="AG427" s="144" t="s">
        <v>1187</v>
      </c>
      <c r="AH427" s="149" t="b">
        <v>0</v>
      </c>
      <c r="AI427" s="162"/>
      <c r="AJ427" s="143"/>
      <c r="AK427" s="143"/>
      <c r="AL427" s="143"/>
      <c r="AM427" s="143"/>
      <c r="AN427" s="143"/>
      <c r="AO427" s="143"/>
      <c r="AP427" s="143"/>
      <c r="AQ427" s="143"/>
    </row>
    <row r="428" ht="22.5" hidden="1" customHeight="1">
      <c r="A428" s="144" t="s">
        <v>259</v>
      </c>
      <c r="B428" s="145">
        <v>46014.0</v>
      </c>
      <c r="C428" s="353" t="s">
        <v>1588</v>
      </c>
      <c r="D428" s="208" t="s">
        <v>1589</v>
      </c>
      <c r="E428" s="148" t="s">
        <v>28</v>
      </c>
      <c r="F428" s="246" t="s">
        <v>1590</v>
      </c>
      <c r="G428" s="165"/>
      <c r="H428" s="148" t="s">
        <v>257</v>
      </c>
      <c r="I428" s="150">
        <v>0.3</v>
      </c>
      <c r="J428" s="168">
        <v>3389.7</v>
      </c>
      <c r="K428" s="169">
        <f t="shared" si="56"/>
        <v>8161.3</v>
      </c>
      <c r="L428" s="170">
        <v>11551.0</v>
      </c>
      <c r="M428" s="239">
        <v>10700.0</v>
      </c>
      <c r="N428" s="155">
        <v>2599.0</v>
      </c>
      <c r="O428" s="315">
        <f t="shared" si="52"/>
        <v>851</v>
      </c>
      <c r="P428" s="344">
        <f t="shared" si="61"/>
        <v>311</v>
      </c>
      <c r="Q428" s="510">
        <v>210.0</v>
      </c>
      <c r="R428" s="672" t="b">
        <v>0</v>
      </c>
      <c r="S428" s="318"/>
      <c r="T428" s="343">
        <v>330.0</v>
      </c>
      <c r="U428" s="315"/>
      <c r="V428" s="144" t="s">
        <v>584</v>
      </c>
      <c r="W428" s="148"/>
      <c r="X428" s="163"/>
      <c r="Y428" s="144" t="s">
        <v>584</v>
      </c>
      <c r="Z428" s="164"/>
      <c r="AA428" s="116"/>
      <c r="AB428" s="116"/>
      <c r="AC428" s="165"/>
      <c r="AD428" s="675" t="str">
        <f t="shared" si="58"/>
        <v>DICIEMBRE</v>
      </c>
      <c r="AE428" s="144" t="s">
        <v>1187</v>
      </c>
      <c r="AF428" s="149" t="b">
        <v>1</v>
      </c>
      <c r="AG428" s="144" t="s">
        <v>1392</v>
      </c>
      <c r="AH428" s="149" t="b">
        <v>0</v>
      </c>
      <c r="AI428" s="162"/>
      <c r="AJ428" s="143"/>
      <c r="AK428" s="143"/>
      <c r="AL428" s="143"/>
      <c r="AM428" s="143"/>
      <c r="AN428" s="143"/>
      <c r="AO428" s="143"/>
      <c r="AP428" s="143"/>
      <c r="AQ428" s="143"/>
    </row>
    <row r="429" ht="22.5" hidden="1" customHeight="1">
      <c r="A429" s="144" t="s">
        <v>34</v>
      </c>
      <c r="B429" s="145">
        <v>46014.0</v>
      </c>
      <c r="C429" s="863" t="s">
        <v>903</v>
      </c>
      <c r="D429" s="208" t="s">
        <v>1591</v>
      </c>
      <c r="E429" s="148" t="s">
        <v>28</v>
      </c>
      <c r="F429" s="861" t="s">
        <v>1592</v>
      </c>
      <c r="G429" s="149">
        <v>5.1981990064E10</v>
      </c>
      <c r="H429" s="148" t="s">
        <v>257</v>
      </c>
      <c r="I429" s="150">
        <v>0.2</v>
      </c>
      <c r="J429" s="168">
        <v>1259.8</v>
      </c>
      <c r="K429" s="169">
        <f t="shared" si="56"/>
        <v>5039.2</v>
      </c>
      <c r="L429" s="170">
        <v>6299.0</v>
      </c>
      <c r="M429" s="239">
        <v>5880.0</v>
      </c>
      <c r="N429" s="155">
        <v>1199.99</v>
      </c>
      <c r="O429" s="315">
        <f t="shared" si="52"/>
        <v>419</v>
      </c>
      <c r="P429" s="344">
        <f t="shared" si="61"/>
        <v>84</v>
      </c>
      <c r="Q429" s="510">
        <v>190.0</v>
      </c>
      <c r="R429" s="672" t="b">
        <v>1</v>
      </c>
      <c r="S429" s="346"/>
      <c r="T429" s="319"/>
      <c r="U429" s="343">
        <v>95.0</v>
      </c>
      <c r="V429" s="144" t="s">
        <v>584</v>
      </c>
      <c r="W429" s="148" t="s">
        <v>584</v>
      </c>
      <c r="X429" s="163"/>
      <c r="Y429" s="162"/>
      <c r="Z429" s="10" t="s">
        <v>1389</v>
      </c>
      <c r="AA429" s="116"/>
      <c r="AB429" s="116"/>
      <c r="AC429" s="165"/>
      <c r="AD429" s="675" t="str">
        <f t="shared" si="58"/>
        <v>DICIEMBRE</v>
      </c>
      <c r="AE429" s="144" t="s">
        <v>1187</v>
      </c>
      <c r="AF429" s="149" t="b">
        <v>1</v>
      </c>
      <c r="AG429" s="144" t="s">
        <v>1392</v>
      </c>
      <c r="AH429" s="149" t="b">
        <v>0</v>
      </c>
      <c r="AI429" s="162"/>
      <c r="AJ429" s="143"/>
      <c r="AK429" s="143"/>
      <c r="AL429" s="143"/>
      <c r="AM429" s="143"/>
      <c r="AN429" s="143"/>
      <c r="AO429" s="143"/>
      <c r="AP429" s="143"/>
      <c r="AQ429" s="143"/>
    </row>
    <row r="430" ht="22.5" customHeight="1">
      <c r="A430" s="144" t="s">
        <v>162</v>
      </c>
      <c r="B430" s="145">
        <v>46014.0</v>
      </c>
      <c r="C430" s="830" t="s">
        <v>1593</v>
      </c>
      <c r="D430" s="329" t="s">
        <v>1594</v>
      </c>
      <c r="E430" s="148" t="s">
        <v>28</v>
      </c>
      <c r="F430" s="262" t="s">
        <v>1595</v>
      </c>
      <c r="G430" s="149">
        <v>5.1972192249E10</v>
      </c>
      <c r="H430" s="148" t="s">
        <v>257</v>
      </c>
      <c r="I430" s="150">
        <v>0.3</v>
      </c>
      <c r="J430" s="783">
        <v>2699.0</v>
      </c>
      <c r="K430" s="169">
        <f t="shared" si="56"/>
        <v>6100</v>
      </c>
      <c r="L430" s="175">
        <v>8799.0</v>
      </c>
      <c r="M430" s="239">
        <v>7950.16</v>
      </c>
      <c r="N430" s="155">
        <v>1799.99</v>
      </c>
      <c r="O430" s="858">
        <f t="shared" si="52"/>
        <v>848.84</v>
      </c>
      <c r="P430" s="344">
        <f t="shared" si="61"/>
        <v>648.84</v>
      </c>
      <c r="Q430" s="510">
        <v>180.0</v>
      </c>
      <c r="R430" s="672" t="b">
        <v>0</v>
      </c>
      <c r="S430" s="318"/>
      <c r="T430" s="347">
        <v>20.0</v>
      </c>
      <c r="U430" s="315"/>
      <c r="V430" s="144" t="s">
        <v>584</v>
      </c>
      <c r="W430" s="148" t="s">
        <v>584</v>
      </c>
      <c r="X430" s="163"/>
      <c r="Y430" s="144" t="s">
        <v>584</v>
      </c>
      <c r="Z430" s="10" t="s">
        <v>1389</v>
      </c>
      <c r="AA430" s="116"/>
      <c r="AB430" s="116"/>
      <c r="AC430" s="165"/>
      <c r="AD430" s="675" t="str">
        <f t="shared" si="58"/>
        <v>DICIEMBRE</v>
      </c>
      <c r="AE430" s="144" t="s">
        <v>1187</v>
      </c>
      <c r="AF430" s="149" t="b">
        <v>1</v>
      </c>
      <c r="AG430" s="144" t="s">
        <v>1392</v>
      </c>
      <c r="AH430" s="149" t="b">
        <v>0</v>
      </c>
      <c r="AI430" s="162"/>
      <c r="AJ430" s="143"/>
      <c r="AK430" s="143"/>
      <c r="AL430" s="143"/>
      <c r="AM430" s="143"/>
      <c r="AN430" s="143"/>
      <c r="AO430" s="143"/>
      <c r="AP430" s="143"/>
      <c r="AQ430" s="143"/>
    </row>
    <row r="431" ht="22.5" customHeight="1">
      <c r="A431" s="144" t="s">
        <v>162</v>
      </c>
      <c r="B431" s="145">
        <v>46014.0</v>
      </c>
      <c r="C431" s="368" t="s">
        <v>1596</v>
      </c>
      <c r="D431" s="553" t="s">
        <v>1597</v>
      </c>
      <c r="E431" s="148" t="s">
        <v>28</v>
      </c>
      <c r="F431" s="246" t="s">
        <v>1598</v>
      </c>
      <c r="G431" s="149">
        <v>5.1938110768E10</v>
      </c>
      <c r="H431" s="148" t="s">
        <v>257</v>
      </c>
      <c r="I431" s="150">
        <v>0.3</v>
      </c>
      <c r="J431" s="783">
        <v>3000.0</v>
      </c>
      <c r="K431" s="169">
        <f t="shared" si="56"/>
        <v>5799</v>
      </c>
      <c r="L431" s="175">
        <v>8799.0</v>
      </c>
      <c r="M431" s="239">
        <v>8504.22</v>
      </c>
      <c r="N431" s="155">
        <v>1999.0</v>
      </c>
      <c r="O431" s="858">
        <f t="shared" si="52"/>
        <v>294.78</v>
      </c>
      <c r="P431" s="344">
        <f t="shared" si="61"/>
        <v>154.78</v>
      </c>
      <c r="Q431" s="510">
        <v>140.0</v>
      </c>
      <c r="R431" s="672" t="b">
        <v>0</v>
      </c>
      <c r="S431" s="318"/>
      <c r="T431" s="319"/>
      <c r="U431" s="315"/>
      <c r="V431" s="144" t="s">
        <v>584</v>
      </c>
      <c r="W431" s="148"/>
      <c r="X431" s="163"/>
      <c r="Y431" s="144" t="s">
        <v>584</v>
      </c>
      <c r="Z431" s="164"/>
      <c r="AA431" s="116"/>
      <c r="AB431" s="116"/>
      <c r="AC431" s="165"/>
      <c r="AD431" s="675" t="str">
        <f t="shared" si="58"/>
        <v>DICIEMBRE</v>
      </c>
      <c r="AE431" s="144" t="s">
        <v>1187</v>
      </c>
      <c r="AF431" s="149" t="b">
        <v>1</v>
      </c>
      <c r="AG431" s="144" t="s">
        <v>1392</v>
      </c>
      <c r="AH431" s="149" t="b">
        <v>0</v>
      </c>
      <c r="AI431" s="162"/>
      <c r="AJ431" s="143"/>
      <c r="AK431" s="143"/>
      <c r="AL431" s="143"/>
      <c r="AM431" s="143"/>
      <c r="AN431" s="143"/>
      <c r="AO431" s="143"/>
      <c r="AP431" s="143"/>
      <c r="AQ431" s="143"/>
    </row>
    <row r="432" ht="22.5" hidden="1" customHeight="1">
      <c r="A432" s="144" t="s">
        <v>34</v>
      </c>
      <c r="B432" s="145">
        <v>46015.0</v>
      </c>
      <c r="C432" s="496" t="s">
        <v>1599</v>
      </c>
      <c r="D432" s="778" t="s">
        <v>1600</v>
      </c>
      <c r="E432" s="148" t="s">
        <v>28</v>
      </c>
      <c r="F432" s="246" t="s">
        <v>1601</v>
      </c>
      <c r="G432" s="149">
        <v>5.1934655756E10</v>
      </c>
      <c r="H432" s="148" t="s">
        <v>257</v>
      </c>
      <c r="I432" s="150">
        <v>0.2</v>
      </c>
      <c r="J432" s="783">
        <v>1179.8</v>
      </c>
      <c r="K432" s="169">
        <f t="shared" si="56"/>
        <v>4719.2</v>
      </c>
      <c r="L432" s="175">
        <v>5899.0</v>
      </c>
      <c r="M432" s="239">
        <v>5597.25</v>
      </c>
      <c r="N432" s="155">
        <v>1299.99</v>
      </c>
      <c r="O432" s="315">
        <f t="shared" si="52"/>
        <v>301.75</v>
      </c>
      <c r="P432" s="344">
        <f t="shared" si="61"/>
        <v>36.75</v>
      </c>
      <c r="Q432" s="510">
        <v>170.0</v>
      </c>
      <c r="R432" s="672" t="b">
        <v>0</v>
      </c>
      <c r="S432" s="318"/>
      <c r="T432" s="319"/>
      <c r="U432" s="343">
        <v>95.0</v>
      </c>
      <c r="V432" s="144" t="s">
        <v>584</v>
      </c>
      <c r="W432" s="148"/>
      <c r="X432" s="163"/>
      <c r="Y432" s="144" t="s">
        <v>584</v>
      </c>
      <c r="Z432" s="164"/>
      <c r="AA432" s="116"/>
      <c r="AB432" s="116"/>
      <c r="AC432" s="165"/>
      <c r="AD432" s="675" t="str">
        <f t="shared" si="58"/>
        <v>DICIEMBRE</v>
      </c>
      <c r="AE432" s="144" t="s">
        <v>1187</v>
      </c>
      <c r="AF432" s="149" t="b">
        <v>1</v>
      </c>
      <c r="AG432" s="144" t="s">
        <v>1392</v>
      </c>
      <c r="AH432" s="149" t="b">
        <v>0</v>
      </c>
      <c r="AI432" s="162"/>
      <c r="AJ432" s="143"/>
      <c r="AK432" s="143"/>
      <c r="AL432" s="143"/>
      <c r="AM432" s="143"/>
      <c r="AN432" s="143"/>
      <c r="AO432" s="143"/>
      <c r="AP432" s="143"/>
      <c r="AQ432" s="143"/>
    </row>
    <row r="433" ht="22.5" hidden="1" customHeight="1">
      <c r="A433" s="144" t="s">
        <v>259</v>
      </c>
      <c r="B433" s="145">
        <v>46015.0</v>
      </c>
      <c r="C433" s="149" t="s">
        <v>1602</v>
      </c>
      <c r="D433" s="208" t="s">
        <v>1603</v>
      </c>
      <c r="E433" s="148" t="s">
        <v>28</v>
      </c>
      <c r="F433" s="249" t="s">
        <v>1604</v>
      </c>
      <c r="G433" s="165"/>
      <c r="H433" s="148" t="s">
        <v>257</v>
      </c>
      <c r="I433" s="150">
        <v>0.2</v>
      </c>
      <c r="J433" s="168">
        <v>1620.0</v>
      </c>
      <c r="K433" s="169">
        <f t="shared" si="56"/>
        <v>6479</v>
      </c>
      <c r="L433" s="170">
        <v>8099.0</v>
      </c>
      <c r="M433" s="239">
        <v>7947.0</v>
      </c>
      <c r="N433" s="155">
        <v>1799.0</v>
      </c>
      <c r="O433" s="315">
        <f t="shared" si="52"/>
        <v>152</v>
      </c>
      <c r="P433" s="344">
        <f t="shared" si="61"/>
        <v>52</v>
      </c>
      <c r="Q433" s="510">
        <v>100.0</v>
      </c>
      <c r="R433" s="672" t="b">
        <v>0</v>
      </c>
      <c r="S433" s="318"/>
      <c r="T433" s="315"/>
      <c r="U433" s="315"/>
      <c r="V433" s="144" t="s">
        <v>584</v>
      </c>
      <c r="W433" s="148" t="s">
        <v>584</v>
      </c>
      <c r="X433" s="163"/>
      <c r="Y433" s="144" t="s">
        <v>584</v>
      </c>
      <c r="Z433" s="164"/>
      <c r="AA433" s="116"/>
      <c r="AB433" s="116"/>
      <c r="AC433" s="165"/>
      <c r="AD433" s="675" t="str">
        <f t="shared" si="58"/>
        <v>DICIEMBRE</v>
      </c>
      <c r="AE433" s="144" t="s">
        <v>1187</v>
      </c>
      <c r="AF433" s="149" t="b">
        <v>1</v>
      </c>
      <c r="AG433" s="144" t="s">
        <v>1392</v>
      </c>
      <c r="AH433" s="149" t="b">
        <v>0</v>
      </c>
      <c r="AI433" s="162"/>
      <c r="AJ433" s="143"/>
      <c r="AK433" s="143"/>
      <c r="AL433" s="143"/>
      <c r="AM433" s="143"/>
      <c r="AN433" s="143"/>
      <c r="AO433" s="143"/>
      <c r="AP433" s="143"/>
      <c r="AQ433" s="143"/>
    </row>
    <row r="434" ht="22.5" hidden="1" customHeight="1">
      <c r="A434" s="144" t="s">
        <v>34</v>
      </c>
      <c r="B434" s="145">
        <v>46015.0</v>
      </c>
      <c r="C434" s="591" t="s">
        <v>1152</v>
      </c>
      <c r="D434" s="208" t="s">
        <v>1605</v>
      </c>
      <c r="E434" s="148" t="s">
        <v>28</v>
      </c>
      <c r="F434" s="861" t="s">
        <v>1606</v>
      </c>
      <c r="G434" s="149" t="s">
        <v>1607</v>
      </c>
      <c r="H434" s="148" t="s">
        <v>257</v>
      </c>
      <c r="I434" s="150">
        <v>0.2</v>
      </c>
      <c r="J434" s="168">
        <v>1339.8</v>
      </c>
      <c r="K434" s="169">
        <f t="shared" si="56"/>
        <v>5359.2</v>
      </c>
      <c r="L434" s="170">
        <v>6699.0</v>
      </c>
      <c r="M434" s="239">
        <v>6253.0</v>
      </c>
      <c r="N434" s="155">
        <v>1449.99</v>
      </c>
      <c r="O434" s="315">
        <f t="shared" si="52"/>
        <v>446</v>
      </c>
      <c r="P434" s="344">
        <f t="shared" si="61"/>
        <v>206</v>
      </c>
      <c r="Q434" s="510">
        <v>190.0</v>
      </c>
      <c r="R434" s="672" t="b">
        <v>1</v>
      </c>
      <c r="S434" s="318"/>
      <c r="T434" s="319"/>
      <c r="U434" s="315"/>
      <c r="V434" s="144" t="s">
        <v>584</v>
      </c>
      <c r="W434" s="148" t="s">
        <v>584</v>
      </c>
      <c r="X434" s="163"/>
      <c r="Y434" s="144" t="s">
        <v>584</v>
      </c>
      <c r="Z434" s="10" t="s">
        <v>1389</v>
      </c>
      <c r="AA434" s="116"/>
      <c r="AB434" s="116"/>
      <c r="AC434" s="165"/>
      <c r="AD434" s="675" t="str">
        <f t="shared" si="58"/>
        <v>DICIEMBRE</v>
      </c>
      <c r="AE434" s="144" t="s">
        <v>1187</v>
      </c>
      <c r="AF434" s="149" t="b">
        <v>1</v>
      </c>
      <c r="AG434" s="144" t="s">
        <v>1392</v>
      </c>
      <c r="AH434" s="149" t="b">
        <v>0</v>
      </c>
      <c r="AI434" s="162"/>
      <c r="AJ434" s="143"/>
      <c r="AK434" s="143"/>
      <c r="AL434" s="143"/>
      <c r="AM434" s="143"/>
      <c r="AN434" s="143"/>
      <c r="AO434" s="143"/>
      <c r="AP434" s="143"/>
      <c r="AQ434" s="143"/>
    </row>
    <row r="435" ht="22.5" hidden="1" customHeight="1">
      <c r="A435" s="144" t="s">
        <v>34</v>
      </c>
      <c r="B435" s="145">
        <v>46017.0</v>
      </c>
      <c r="C435" s="863" t="s">
        <v>1152</v>
      </c>
      <c r="D435" s="208" t="s">
        <v>1608</v>
      </c>
      <c r="E435" s="148" t="s">
        <v>28</v>
      </c>
      <c r="F435" s="859" t="s">
        <v>1609</v>
      </c>
      <c r="G435" s="149">
        <v>5.1940492718E10</v>
      </c>
      <c r="H435" s="148" t="s">
        <v>257</v>
      </c>
      <c r="I435" s="150">
        <v>0.2</v>
      </c>
      <c r="J435" s="168">
        <v>1399.8</v>
      </c>
      <c r="K435" s="169">
        <f t="shared" si="56"/>
        <v>5599.2</v>
      </c>
      <c r="L435" s="170">
        <v>6999.0</v>
      </c>
      <c r="M435" s="239">
        <v>6253.0</v>
      </c>
      <c r="N435" s="155">
        <v>1449.99</v>
      </c>
      <c r="O435" s="315">
        <f t="shared" si="52"/>
        <v>746</v>
      </c>
      <c r="P435" s="344">
        <f t="shared" si="61"/>
        <v>411</v>
      </c>
      <c r="Q435" s="510">
        <v>285.0</v>
      </c>
      <c r="R435" s="672" t="b">
        <v>1</v>
      </c>
      <c r="S435" s="318"/>
      <c r="T435" s="319"/>
      <c r="U435" s="315"/>
      <c r="V435" s="144" t="s">
        <v>584</v>
      </c>
      <c r="W435" s="148"/>
      <c r="X435" s="163"/>
      <c r="Y435" s="144" t="s">
        <v>584</v>
      </c>
      <c r="Z435" s="164"/>
      <c r="AA435" s="116"/>
      <c r="AB435" s="116"/>
      <c r="AC435" s="165"/>
      <c r="AD435" s="675" t="str">
        <f t="shared" si="58"/>
        <v>DICIEMBRE</v>
      </c>
      <c r="AE435" s="144" t="s">
        <v>1187</v>
      </c>
      <c r="AF435" s="149" t="b">
        <v>1</v>
      </c>
      <c r="AG435" s="144" t="s">
        <v>1392</v>
      </c>
      <c r="AH435" s="149" t="b">
        <v>0</v>
      </c>
      <c r="AI435" s="162"/>
      <c r="AJ435" s="143"/>
      <c r="AK435" s="143"/>
      <c r="AL435" s="143"/>
      <c r="AM435" s="143"/>
      <c r="AN435" s="143"/>
      <c r="AO435" s="143"/>
      <c r="AP435" s="143"/>
      <c r="AQ435" s="143"/>
    </row>
    <row r="436" ht="22.5" customHeight="1">
      <c r="A436" s="144" t="s">
        <v>162</v>
      </c>
      <c r="B436" s="145">
        <v>46017.0</v>
      </c>
      <c r="C436" s="862" t="s">
        <v>1152</v>
      </c>
      <c r="D436" s="208" t="s">
        <v>1610</v>
      </c>
      <c r="E436" s="148" t="s">
        <v>28</v>
      </c>
      <c r="F436" s="149" t="s">
        <v>1611</v>
      </c>
      <c r="G436" s="149">
        <v>5.1938404742E10</v>
      </c>
      <c r="H436" s="148" t="s">
        <v>257</v>
      </c>
      <c r="I436" s="150">
        <v>1.0</v>
      </c>
      <c r="J436" s="168">
        <v>7094.0</v>
      </c>
      <c r="K436" s="169">
        <f t="shared" si="56"/>
        <v>0</v>
      </c>
      <c r="L436" s="170">
        <v>7094.0</v>
      </c>
      <c r="M436" s="239">
        <v>6352.0</v>
      </c>
      <c r="N436" s="155">
        <v>1449.99</v>
      </c>
      <c r="O436" s="315">
        <f t="shared" si="52"/>
        <v>742</v>
      </c>
      <c r="P436" s="759">
        <v>257.0</v>
      </c>
      <c r="Q436" s="510">
        <v>285.0</v>
      </c>
      <c r="R436" s="672" t="b">
        <v>0</v>
      </c>
      <c r="S436" s="318"/>
      <c r="T436" s="608">
        <f>30+80</f>
        <v>110</v>
      </c>
      <c r="U436" s="343">
        <v>10.0</v>
      </c>
      <c r="V436" s="144" t="s">
        <v>584</v>
      </c>
      <c r="W436" s="148" t="s">
        <v>584</v>
      </c>
      <c r="X436" s="163"/>
      <c r="Y436" s="144" t="s">
        <v>584</v>
      </c>
      <c r="Z436" s="164"/>
      <c r="AA436" s="116"/>
      <c r="AB436" s="116"/>
      <c r="AC436" s="165"/>
      <c r="AD436" s="675" t="str">
        <f t="shared" si="58"/>
        <v>DICIEMBRE</v>
      </c>
      <c r="AE436" s="144" t="s">
        <v>1187</v>
      </c>
      <c r="AF436" s="149" t="b">
        <v>1</v>
      </c>
      <c r="AG436" s="144" t="s">
        <v>1187</v>
      </c>
      <c r="AH436" s="149" t="b">
        <v>0</v>
      </c>
      <c r="AI436" s="162"/>
      <c r="AJ436" s="143"/>
      <c r="AK436" s="143"/>
      <c r="AL436" s="143"/>
      <c r="AM436" s="143"/>
      <c r="AN436" s="143"/>
      <c r="AO436" s="143"/>
      <c r="AP436" s="143"/>
      <c r="AQ436" s="143"/>
    </row>
    <row r="437" ht="22.5" hidden="1" customHeight="1">
      <c r="A437" s="144" t="s">
        <v>259</v>
      </c>
      <c r="B437" s="145">
        <v>46017.0</v>
      </c>
      <c r="C437" s="591" t="s">
        <v>1543</v>
      </c>
      <c r="D437" s="643" t="s">
        <v>1612</v>
      </c>
      <c r="E437" s="148" t="s">
        <v>28</v>
      </c>
      <c r="F437" s="860" t="s">
        <v>1613</v>
      </c>
      <c r="G437" s="165"/>
      <c r="H437" s="148" t="s">
        <v>257</v>
      </c>
      <c r="I437" s="150">
        <v>0.2</v>
      </c>
      <c r="J437" s="168">
        <v>1299.0</v>
      </c>
      <c r="K437" s="169">
        <f t="shared" si="56"/>
        <v>5200</v>
      </c>
      <c r="L437" s="170">
        <v>6499.0</v>
      </c>
      <c r="M437" s="239">
        <v>6163.0</v>
      </c>
      <c r="N437" s="155">
        <v>1424.05</v>
      </c>
      <c r="O437" s="315">
        <f t="shared" si="52"/>
        <v>336</v>
      </c>
      <c r="P437" s="344">
        <f t="shared" ref="P437:P555" si="62">L437-M437-Q437-50*R437-S437-T437-U437</f>
        <v>156</v>
      </c>
      <c r="Q437" s="510">
        <v>100.0</v>
      </c>
      <c r="R437" s="672" t="b">
        <v>0</v>
      </c>
      <c r="S437" s="318"/>
      <c r="T437" s="315"/>
      <c r="U437" s="343">
        <v>80.0</v>
      </c>
      <c r="V437" s="144" t="s">
        <v>584</v>
      </c>
      <c r="W437" s="148" t="s">
        <v>584</v>
      </c>
      <c r="X437" s="163"/>
      <c r="Y437" s="162"/>
      <c r="Z437" s="164"/>
      <c r="AA437" s="116"/>
      <c r="AB437" s="116"/>
      <c r="AC437" s="165"/>
      <c r="AD437" s="675" t="str">
        <f t="shared" si="58"/>
        <v>DICIEMBRE</v>
      </c>
      <c r="AE437" s="144" t="s">
        <v>1187</v>
      </c>
      <c r="AF437" s="149" t="b">
        <v>1</v>
      </c>
      <c r="AG437" s="144" t="s">
        <v>1392</v>
      </c>
      <c r="AH437" s="149" t="b">
        <v>0</v>
      </c>
      <c r="AI437" s="162"/>
      <c r="AJ437" s="143"/>
      <c r="AK437" s="143"/>
      <c r="AL437" s="143"/>
      <c r="AM437" s="143"/>
      <c r="AN437" s="143"/>
      <c r="AO437" s="143"/>
      <c r="AP437" s="143"/>
      <c r="AQ437" s="143"/>
    </row>
    <row r="438" ht="22.5" hidden="1" customHeight="1">
      <c r="A438" s="144" t="s">
        <v>34</v>
      </c>
      <c r="B438" s="145">
        <v>46018.0</v>
      </c>
      <c r="C438" s="647" t="s">
        <v>918</v>
      </c>
      <c r="D438" s="208" t="s">
        <v>1614</v>
      </c>
      <c r="E438" s="148" t="s">
        <v>28</v>
      </c>
      <c r="F438" s="861" t="s">
        <v>1615</v>
      </c>
      <c r="G438" s="149">
        <v>5.1994317917E10</v>
      </c>
      <c r="H438" s="148" t="s">
        <v>257</v>
      </c>
      <c r="I438" s="150">
        <v>0.2</v>
      </c>
      <c r="J438" s="168">
        <v>1710.0</v>
      </c>
      <c r="K438" s="169">
        <f t="shared" si="56"/>
        <v>3989</v>
      </c>
      <c r="L438" s="170">
        <v>5699.0</v>
      </c>
      <c r="M438" s="239">
        <v>4690.0</v>
      </c>
      <c r="N438" s="155">
        <v>1049.99</v>
      </c>
      <c r="O438" s="315">
        <f t="shared" si="52"/>
        <v>1009</v>
      </c>
      <c r="P438" s="344">
        <f t="shared" si="62"/>
        <v>365</v>
      </c>
      <c r="Q438" s="510">
        <v>285.0</v>
      </c>
      <c r="R438" s="672" t="b">
        <v>0</v>
      </c>
      <c r="S438" s="346">
        <v>349.0</v>
      </c>
      <c r="T438" s="319"/>
      <c r="U438" s="343">
        <v>10.0</v>
      </c>
      <c r="V438" s="144" t="s">
        <v>584</v>
      </c>
      <c r="W438" s="148" t="s">
        <v>584</v>
      </c>
      <c r="X438" s="163"/>
      <c r="Y438" s="162"/>
      <c r="Z438" s="164"/>
      <c r="AA438" s="116"/>
      <c r="AB438" s="116"/>
      <c r="AC438" s="165"/>
      <c r="AD438" s="675" t="str">
        <f t="shared" si="58"/>
        <v>DICIEMBRE</v>
      </c>
      <c r="AE438" s="144" t="s">
        <v>1187</v>
      </c>
      <c r="AF438" s="149" t="b">
        <v>1</v>
      </c>
      <c r="AG438" s="144" t="s">
        <v>1187</v>
      </c>
      <c r="AH438" s="149" t="b">
        <v>0</v>
      </c>
      <c r="AI438" s="162"/>
      <c r="AJ438" s="143"/>
      <c r="AK438" s="143"/>
      <c r="AL438" s="143"/>
      <c r="AM438" s="143"/>
      <c r="AN438" s="143"/>
      <c r="AO438" s="143"/>
      <c r="AP438" s="143"/>
      <c r="AQ438" s="143"/>
    </row>
    <row r="439" ht="22.5" customHeight="1">
      <c r="A439" s="144" t="s">
        <v>162</v>
      </c>
      <c r="B439" s="145">
        <v>46018.0</v>
      </c>
      <c r="C439" s="721" t="s">
        <v>1533</v>
      </c>
      <c r="D439" s="208" t="s">
        <v>1616</v>
      </c>
      <c r="E439" s="148" t="s">
        <v>28</v>
      </c>
      <c r="F439" s="262" t="s">
        <v>1617</v>
      </c>
      <c r="G439" s="149">
        <v>5.1976286392E10</v>
      </c>
      <c r="H439" s="148" t="s">
        <v>257</v>
      </c>
      <c r="I439" s="150">
        <v>0.3</v>
      </c>
      <c r="J439" s="168">
        <v>2639.0</v>
      </c>
      <c r="K439" s="169">
        <f t="shared" si="56"/>
        <v>6210</v>
      </c>
      <c r="L439" s="170">
        <v>8849.0</v>
      </c>
      <c r="M439" s="239">
        <v>8399.27</v>
      </c>
      <c r="N439" s="155">
        <v>1999.99</v>
      </c>
      <c r="O439" s="315">
        <f t="shared" si="52"/>
        <v>449.73</v>
      </c>
      <c r="P439" s="344">
        <f t="shared" si="62"/>
        <v>164.73</v>
      </c>
      <c r="Q439" s="510">
        <v>235.0</v>
      </c>
      <c r="R439" s="672" t="b">
        <v>1</v>
      </c>
      <c r="S439" s="318"/>
      <c r="T439" s="319"/>
      <c r="U439" s="315"/>
      <c r="V439" s="144" t="s">
        <v>584</v>
      </c>
      <c r="W439" s="148" t="s">
        <v>968</v>
      </c>
      <c r="X439" s="163"/>
      <c r="Y439" s="144" t="s">
        <v>584</v>
      </c>
      <c r="Z439" s="164"/>
      <c r="AA439" s="116"/>
      <c r="AB439" s="116"/>
      <c r="AC439" s="165"/>
      <c r="AD439" s="675" t="str">
        <f t="shared" si="58"/>
        <v>DICIEMBRE</v>
      </c>
      <c r="AE439" s="144" t="s">
        <v>1392</v>
      </c>
      <c r="AF439" s="149" t="b">
        <v>1</v>
      </c>
      <c r="AG439" s="144" t="s">
        <v>1392</v>
      </c>
      <c r="AH439" s="149" t="b">
        <v>0</v>
      </c>
      <c r="AI439" s="162"/>
      <c r="AJ439" s="143"/>
      <c r="AK439" s="143"/>
      <c r="AL439" s="143"/>
      <c r="AM439" s="143"/>
      <c r="AN439" s="143"/>
      <c r="AO439" s="143"/>
      <c r="AP439" s="143"/>
      <c r="AQ439" s="143"/>
    </row>
    <row r="440" ht="22.5" customHeight="1">
      <c r="A440" s="144" t="s">
        <v>162</v>
      </c>
      <c r="B440" s="145">
        <v>46018.0</v>
      </c>
      <c r="C440" s="149" t="s">
        <v>593</v>
      </c>
      <c r="D440" s="208" t="s">
        <v>1618</v>
      </c>
      <c r="E440" s="148" t="s">
        <v>28</v>
      </c>
      <c r="F440" s="149" t="s">
        <v>1619</v>
      </c>
      <c r="G440" s="149">
        <v>5.1954759169E10</v>
      </c>
      <c r="H440" s="148" t="s">
        <v>257</v>
      </c>
      <c r="I440" s="148" t="s">
        <v>61</v>
      </c>
      <c r="J440" s="168">
        <v>300.0</v>
      </c>
      <c r="K440" s="557">
        <f t="shared" si="56"/>
        <v>4775</v>
      </c>
      <c r="L440" s="170">
        <v>5075.0</v>
      </c>
      <c r="M440" s="239">
        <v>4952.0</v>
      </c>
      <c r="N440" s="155">
        <v>1049.99</v>
      </c>
      <c r="O440" s="315">
        <f t="shared" si="52"/>
        <v>123</v>
      </c>
      <c r="P440" s="344">
        <f t="shared" si="62"/>
        <v>8</v>
      </c>
      <c r="Q440" s="510">
        <v>105.0</v>
      </c>
      <c r="R440" s="672" t="b">
        <v>0</v>
      </c>
      <c r="S440" s="318"/>
      <c r="T440" s="319"/>
      <c r="U440" s="343">
        <v>10.0</v>
      </c>
      <c r="V440" s="144" t="s">
        <v>584</v>
      </c>
      <c r="W440" s="148" t="s">
        <v>584</v>
      </c>
      <c r="X440" s="163"/>
      <c r="Y440" s="162"/>
      <c r="Z440" s="164"/>
      <c r="AA440" s="116"/>
      <c r="AB440" s="116"/>
      <c r="AC440" s="165"/>
      <c r="AD440" s="675" t="str">
        <f t="shared" si="58"/>
        <v>DICIEMBRE</v>
      </c>
      <c r="AE440" s="144" t="s">
        <v>1187</v>
      </c>
      <c r="AF440" s="149" t="b">
        <v>1</v>
      </c>
      <c r="AG440" s="144" t="s">
        <v>1187</v>
      </c>
      <c r="AH440" s="149" t="b">
        <v>0</v>
      </c>
      <c r="AI440" s="162"/>
      <c r="AJ440" s="143"/>
      <c r="AK440" s="143"/>
      <c r="AL440" s="143"/>
      <c r="AM440" s="143"/>
      <c r="AN440" s="143"/>
      <c r="AO440" s="143"/>
      <c r="AP440" s="143"/>
      <c r="AQ440" s="143"/>
    </row>
    <row r="441" ht="22.5" customHeight="1">
      <c r="A441" s="144" t="s">
        <v>162</v>
      </c>
      <c r="B441" s="145">
        <v>46018.0</v>
      </c>
      <c r="C441" s="149" t="s">
        <v>593</v>
      </c>
      <c r="D441" s="208" t="s">
        <v>1620</v>
      </c>
      <c r="E441" s="148" t="s">
        <v>28</v>
      </c>
      <c r="F441" s="149" t="s">
        <v>1621</v>
      </c>
      <c r="G441" s="149">
        <v>5.1962167166E10</v>
      </c>
      <c r="H441" s="148" t="s">
        <v>257</v>
      </c>
      <c r="I441" s="150">
        <v>0.2</v>
      </c>
      <c r="J441" s="168">
        <v>979.0</v>
      </c>
      <c r="K441" s="169">
        <f t="shared" si="56"/>
        <v>3920</v>
      </c>
      <c r="L441" s="170">
        <v>4899.0</v>
      </c>
      <c r="M441" s="239">
        <v>4690.0</v>
      </c>
      <c r="N441" s="155">
        <v>1049.99</v>
      </c>
      <c r="O441" s="315">
        <f t="shared" si="52"/>
        <v>209</v>
      </c>
      <c r="P441" s="344">
        <f t="shared" si="62"/>
        <v>29</v>
      </c>
      <c r="Q441" s="510">
        <v>180.0</v>
      </c>
      <c r="R441" s="672" t="b">
        <v>0</v>
      </c>
      <c r="S441" s="318"/>
      <c r="T441" s="319"/>
      <c r="U441" s="315"/>
      <c r="V441" s="144" t="s">
        <v>584</v>
      </c>
      <c r="W441" s="148" t="s">
        <v>968</v>
      </c>
      <c r="X441" s="163"/>
      <c r="Y441" s="162"/>
      <c r="Z441" s="164"/>
      <c r="AA441" s="116"/>
      <c r="AB441" s="116"/>
      <c r="AC441" s="165"/>
      <c r="AD441" s="675" t="str">
        <f t="shared" si="58"/>
        <v>DICIEMBRE</v>
      </c>
      <c r="AE441" s="144" t="s">
        <v>1392</v>
      </c>
      <c r="AF441" s="149" t="b">
        <v>1</v>
      </c>
      <c r="AG441" s="144" t="s">
        <v>1392</v>
      </c>
      <c r="AH441" s="149" t="b">
        <v>0</v>
      </c>
      <c r="AI441" s="162"/>
      <c r="AJ441" s="143"/>
      <c r="AK441" s="143"/>
      <c r="AL441" s="143"/>
      <c r="AM441" s="143"/>
      <c r="AN441" s="143"/>
      <c r="AO441" s="143"/>
      <c r="AP441" s="143"/>
      <c r="AQ441" s="143"/>
    </row>
    <row r="442" ht="22.5" customHeight="1">
      <c r="A442" s="144" t="s">
        <v>162</v>
      </c>
      <c r="B442" s="145">
        <v>46018.0</v>
      </c>
      <c r="C442" s="149" t="s">
        <v>593</v>
      </c>
      <c r="D442" s="208" t="s">
        <v>1622</v>
      </c>
      <c r="E442" s="148" t="s">
        <v>28</v>
      </c>
      <c r="F442" s="149" t="s">
        <v>1623</v>
      </c>
      <c r="G442" s="149">
        <v>5.1970549651E10</v>
      </c>
      <c r="H442" s="148" t="s">
        <v>257</v>
      </c>
      <c r="I442" s="148" t="s">
        <v>61</v>
      </c>
      <c r="J442" s="168">
        <v>300.0</v>
      </c>
      <c r="K442" s="169">
        <f t="shared" si="56"/>
        <v>4800</v>
      </c>
      <c r="L442" s="170">
        <v>5100.0</v>
      </c>
      <c r="M442" s="239">
        <v>4952.0</v>
      </c>
      <c r="N442" s="155">
        <v>1049.99</v>
      </c>
      <c r="O442" s="315">
        <f t="shared" si="52"/>
        <v>148</v>
      </c>
      <c r="P442" s="344">
        <f t="shared" si="62"/>
        <v>18</v>
      </c>
      <c r="Q442" s="510">
        <v>120.0</v>
      </c>
      <c r="R442" s="672" t="b">
        <v>0</v>
      </c>
      <c r="S442" s="318"/>
      <c r="T442" s="319"/>
      <c r="U442" s="343">
        <v>10.0</v>
      </c>
      <c r="V442" s="144" t="s">
        <v>584</v>
      </c>
      <c r="W442" s="148" t="s">
        <v>584</v>
      </c>
      <c r="X442" s="163"/>
      <c r="Y442" s="162"/>
      <c r="Z442" s="164"/>
      <c r="AA442" s="116"/>
      <c r="AB442" s="116"/>
      <c r="AC442" s="165"/>
      <c r="AD442" s="675" t="str">
        <f t="shared" si="58"/>
        <v>DICIEMBRE</v>
      </c>
      <c r="AE442" s="144" t="s">
        <v>1187</v>
      </c>
      <c r="AF442" s="149" t="b">
        <v>1</v>
      </c>
      <c r="AG442" s="144" t="s">
        <v>1187</v>
      </c>
      <c r="AH442" s="149" t="b">
        <v>0</v>
      </c>
      <c r="AI442" s="162"/>
      <c r="AJ442" s="143"/>
      <c r="AK442" s="143"/>
      <c r="AL442" s="143"/>
      <c r="AM442" s="143"/>
      <c r="AN442" s="143"/>
      <c r="AO442" s="143"/>
      <c r="AP442" s="143"/>
      <c r="AQ442" s="143"/>
    </row>
    <row r="443" ht="22.5" hidden="1" customHeight="1">
      <c r="A443" s="144" t="s">
        <v>259</v>
      </c>
      <c r="B443" s="145">
        <v>46018.0</v>
      </c>
      <c r="C443" s="647" t="s">
        <v>1152</v>
      </c>
      <c r="D443" s="208" t="s">
        <v>1624</v>
      </c>
      <c r="E443" s="148" t="s">
        <v>28</v>
      </c>
      <c r="F443" s="861" t="s">
        <v>1625</v>
      </c>
      <c r="G443" s="165"/>
      <c r="H443" s="148" t="s">
        <v>257</v>
      </c>
      <c r="I443" s="150">
        <v>0.2</v>
      </c>
      <c r="J443" s="168">
        <v>1440.0</v>
      </c>
      <c r="K443" s="169">
        <f t="shared" si="56"/>
        <v>5759</v>
      </c>
      <c r="L443" s="170">
        <v>7199.0</v>
      </c>
      <c r="M443" s="239">
        <v>6263.0</v>
      </c>
      <c r="N443" s="155">
        <v>1449.99</v>
      </c>
      <c r="O443" s="315">
        <f t="shared" si="52"/>
        <v>936</v>
      </c>
      <c r="P443" s="344">
        <f t="shared" si="62"/>
        <v>836</v>
      </c>
      <c r="Q443" s="510">
        <v>100.0</v>
      </c>
      <c r="R443" s="672" t="b">
        <v>0</v>
      </c>
      <c r="S443" s="318"/>
      <c r="T443" s="315"/>
      <c r="U443" s="315"/>
      <c r="V443" s="144" t="s">
        <v>584</v>
      </c>
      <c r="W443" s="148"/>
      <c r="X443" s="163"/>
      <c r="Y443" s="162"/>
      <c r="Z443" s="164"/>
      <c r="AA443" s="116"/>
      <c r="AB443" s="116"/>
      <c r="AC443" s="165"/>
      <c r="AD443" s="675" t="str">
        <f t="shared" si="58"/>
        <v>DICIEMBRE</v>
      </c>
      <c r="AE443" s="144" t="s">
        <v>1187</v>
      </c>
      <c r="AF443" s="149" t="b">
        <v>1</v>
      </c>
      <c r="AG443" s="144" t="s">
        <v>1392</v>
      </c>
      <c r="AH443" s="149" t="b">
        <v>0</v>
      </c>
      <c r="AI443" s="162"/>
      <c r="AJ443" s="143"/>
      <c r="AK443" s="143"/>
      <c r="AL443" s="143"/>
      <c r="AM443" s="143"/>
      <c r="AN443" s="143"/>
      <c r="AO443" s="143"/>
      <c r="AP443" s="143"/>
      <c r="AQ443" s="143"/>
    </row>
    <row r="444" ht="22.5" hidden="1" customHeight="1">
      <c r="A444" s="144" t="s">
        <v>34</v>
      </c>
      <c r="B444" s="145">
        <v>46018.0</v>
      </c>
      <c r="C444" s="647" t="s">
        <v>1152</v>
      </c>
      <c r="D444" s="208" t="s">
        <v>1626</v>
      </c>
      <c r="E444" s="148" t="s">
        <v>28</v>
      </c>
      <c r="F444" s="859" t="s">
        <v>1627</v>
      </c>
      <c r="G444" s="149">
        <v>5.1950742971E10</v>
      </c>
      <c r="H444" s="148" t="s">
        <v>257</v>
      </c>
      <c r="I444" s="148" t="s">
        <v>61</v>
      </c>
      <c r="J444" s="168">
        <v>1159.8</v>
      </c>
      <c r="K444" s="169">
        <f t="shared" si="56"/>
        <v>6139.2</v>
      </c>
      <c r="L444" s="170">
        <v>7299.0</v>
      </c>
      <c r="M444" s="239">
        <v>6263.0</v>
      </c>
      <c r="N444" s="155">
        <v>1449.99</v>
      </c>
      <c r="O444" s="315">
        <f t="shared" si="52"/>
        <v>1036</v>
      </c>
      <c r="P444" s="344">
        <f t="shared" si="62"/>
        <v>606</v>
      </c>
      <c r="Q444" s="510">
        <v>285.0</v>
      </c>
      <c r="R444" s="672" t="b">
        <v>1</v>
      </c>
      <c r="S444" s="346"/>
      <c r="T444" s="319"/>
      <c r="U444" s="343">
        <v>95.0</v>
      </c>
      <c r="V444" s="144" t="s">
        <v>584</v>
      </c>
      <c r="W444" s="148"/>
      <c r="X444" s="163"/>
      <c r="Y444" s="162"/>
      <c r="Z444" s="164"/>
      <c r="AA444" s="116"/>
      <c r="AB444" s="116"/>
      <c r="AC444" s="165"/>
      <c r="AD444" s="675" t="str">
        <f t="shared" si="58"/>
        <v>DICIEMBRE</v>
      </c>
      <c r="AE444" s="144" t="s">
        <v>1187</v>
      </c>
      <c r="AF444" s="149" t="b">
        <v>1</v>
      </c>
      <c r="AG444" s="144" t="s">
        <v>1392</v>
      </c>
      <c r="AH444" s="149" t="b">
        <v>0</v>
      </c>
      <c r="AI444" s="162"/>
      <c r="AJ444" s="143"/>
      <c r="AK444" s="143"/>
      <c r="AL444" s="143"/>
      <c r="AM444" s="143"/>
      <c r="AN444" s="143"/>
      <c r="AO444" s="143"/>
      <c r="AP444" s="143"/>
      <c r="AQ444" s="143"/>
    </row>
    <row r="445" ht="22.5" hidden="1" customHeight="1">
      <c r="A445" s="144" t="s">
        <v>259</v>
      </c>
      <c r="B445" s="145">
        <v>46018.0</v>
      </c>
      <c r="C445" s="149" t="s">
        <v>1533</v>
      </c>
      <c r="D445" s="208" t="s">
        <v>1628</v>
      </c>
      <c r="E445" s="148" t="s">
        <v>28</v>
      </c>
      <c r="F445" s="262" t="s">
        <v>1629</v>
      </c>
      <c r="G445" s="165"/>
      <c r="H445" s="148" t="s">
        <v>257</v>
      </c>
      <c r="I445" s="148" t="s">
        <v>61</v>
      </c>
      <c r="J445" s="783">
        <v>1760.0</v>
      </c>
      <c r="K445" s="169">
        <f t="shared" si="56"/>
        <v>7039</v>
      </c>
      <c r="L445" s="175">
        <v>8799.0</v>
      </c>
      <c r="M445" s="239">
        <v>8395.0</v>
      </c>
      <c r="N445" s="155">
        <v>1999.0</v>
      </c>
      <c r="O445" s="315">
        <f t="shared" si="52"/>
        <v>404</v>
      </c>
      <c r="P445" s="344">
        <f t="shared" si="62"/>
        <v>234</v>
      </c>
      <c r="Q445" s="510">
        <v>170.0</v>
      </c>
      <c r="R445" s="672" t="b">
        <v>0</v>
      </c>
      <c r="S445" s="318"/>
      <c r="T445" s="319"/>
      <c r="U445" s="315"/>
      <c r="V445" s="144" t="s">
        <v>584</v>
      </c>
      <c r="W445" s="148"/>
      <c r="X445" s="163"/>
      <c r="Y445" s="144" t="s">
        <v>584</v>
      </c>
      <c r="Z445" s="164"/>
      <c r="AA445" s="116"/>
      <c r="AB445" s="116"/>
      <c r="AC445" s="165"/>
      <c r="AD445" s="675" t="str">
        <f t="shared" si="58"/>
        <v>DICIEMBRE</v>
      </c>
      <c r="AE445" s="144" t="s">
        <v>1392</v>
      </c>
      <c r="AF445" s="149" t="b">
        <v>1</v>
      </c>
      <c r="AG445" s="144" t="s">
        <v>1392</v>
      </c>
      <c r="AH445" s="149" t="b">
        <v>0</v>
      </c>
      <c r="AI445" s="162"/>
      <c r="AJ445" s="143"/>
      <c r="AK445" s="143"/>
      <c r="AL445" s="143"/>
      <c r="AM445" s="143"/>
      <c r="AN445" s="143"/>
      <c r="AO445" s="143"/>
      <c r="AP445" s="143"/>
      <c r="AQ445" s="143"/>
    </row>
    <row r="446" ht="22.5" hidden="1" customHeight="1">
      <c r="A446" s="144" t="s">
        <v>34</v>
      </c>
      <c r="B446" s="145">
        <v>46018.0</v>
      </c>
      <c r="C446" s="149" t="s">
        <v>1630</v>
      </c>
      <c r="D446" s="208" t="s">
        <v>1631</v>
      </c>
      <c r="E446" s="148" t="s">
        <v>28</v>
      </c>
      <c r="F446" s="246" t="s">
        <v>1632</v>
      </c>
      <c r="G446" s="149">
        <v>5.1944714904E10</v>
      </c>
      <c r="H446" s="148" t="s">
        <v>257</v>
      </c>
      <c r="I446" s="150">
        <v>0.2</v>
      </c>
      <c r="J446" s="783">
        <v>1799.8</v>
      </c>
      <c r="K446" s="169">
        <f t="shared" si="56"/>
        <v>7199.2</v>
      </c>
      <c r="L446" s="175">
        <v>8999.0</v>
      </c>
      <c r="M446" s="239">
        <v>8446.3</v>
      </c>
      <c r="N446" s="155">
        <v>1899.0</v>
      </c>
      <c r="O446" s="315">
        <f t="shared" si="52"/>
        <v>552.7</v>
      </c>
      <c r="P446" s="344">
        <f t="shared" si="62"/>
        <v>217.7</v>
      </c>
      <c r="Q446" s="510">
        <v>285.0</v>
      </c>
      <c r="R446" s="672" t="b">
        <v>1</v>
      </c>
      <c r="S446" s="318"/>
      <c r="T446" s="319"/>
      <c r="U446" s="315"/>
      <c r="V446" s="144" t="s">
        <v>584</v>
      </c>
      <c r="W446" s="148"/>
      <c r="X446" s="163"/>
      <c r="Y446" s="144" t="s">
        <v>584</v>
      </c>
      <c r="Z446" s="164"/>
      <c r="AA446" s="116"/>
      <c r="AB446" s="116"/>
      <c r="AC446" s="165"/>
      <c r="AD446" s="675" t="str">
        <f t="shared" si="58"/>
        <v>DICIEMBRE</v>
      </c>
      <c r="AE446" s="144" t="s">
        <v>1187</v>
      </c>
      <c r="AF446" s="149" t="b">
        <v>1</v>
      </c>
      <c r="AG446" s="144" t="s">
        <v>1392</v>
      </c>
      <c r="AH446" s="149" t="b">
        <v>0</v>
      </c>
      <c r="AI446" s="162"/>
      <c r="AJ446" s="143"/>
      <c r="AK446" s="143"/>
      <c r="AL446" s="143"/>
      <c r="AM446" s="143"/>
      <c r="AN446" s="143"/>
      <c r="AO446" s="143"/>
      <c r="AP446" s="143"/>
      <c r="AQ446" s="143"/>
    </row>
    <row r="447" ht="22.5" hidden="1" customHeight="1">
      <c r="A447" s="144" t="s">
        <v>259</v>
      </c>
      <c r="B447" s="145">
        <v>46020.0</v>
      </c>
      <c r="C447" s="149" t="s">
        <v>1633</v>
      </c>
      <c r="D447" s="208" t="s">
        <v>1634</v>
      </c>
      <c r="E447" s="148" t="s">
        <v>28</v>
      </c>
      <c r="F447" s="113" t="s">
        <v>1635</v>
      </c>
      <c r="G447" s="165"/>
      <c r="H447" s="148" t="s">
        <v>257</v>
      </c>
      <c r="I447" s="150">
        <v>0.2</v>
      </c>
      <c r="J447" s="783">
        <v>1720.0</v>
      </c>
      <c r="K447" s="755">
        <f t="shared" si="56"/>
        <v>6879</v>
      </c>
      <c r="L447" s="175">
        <v>8599.0</v>
      </c>
      <c r="M447" s="239">
        <v>8496.0</v>
      </c>
      <c r="N447" s="155">
        <v>1999.0</v>
      </c>
      <c r="O447" s="315"/>
      <c r="P447" s="344">
        <f t="shared" si="62"/>
        <v>103</v>
      </c>
      <c r="Q447" s="321"/>
      <c r="R447" s="672" t="b">
        <v>0</v>
      </c>
      <c r="S447" s="318"/>
      <c r="T447" s="319"/>
      <c r="U447" s="315"/>
      <c r="V447" s="144" t="s">
        <v>584</v>
      </c>
      <c r="W447" s="148" t="s">
        <v>584</v>
      </c>
      <c r="X447" s="163"/>
      <c r="Y447" s="144" t="s">
        <v>584</v>
      </c>
      <c r="Z447" s="164"/>
      <c r="AA447" s="116"/>
      <c r="AB447" s="116"/>
      <c r="AC447" s="165"/>
      <c r="AD447" s="675" t="str">
        <f t="shared" si="58"/>
        <v>DICIEMBRE</v>
      </c>
      <c r="AE447" s="144" t="s">
        <v>1392</v>
      </c>
      <c r="AF447" s="149" t="b">
        <v>1</v>
      </c>
      <c r="AG447" s="144" t="s">
        <v>1636</v>
      </c>
      <c r="AH447" s="149" t="b">
        <v>0</v>
      </c>
      <c r="AI447" s="162"/>
      <c r="AJ447" s="143"/>
      <c r="AK447" s="143"/>
      <c r="AL447" s="143"/>
      <c r="AM447" s="143"/>
      <c r="AN447" s="143"/>
      <c r="AO447" s="143"/>
      <c r="AP447" s="143"/>
      <c r="AQ447" s="143"/>
    </row>
    <row r="448" ht="22.5" customHeight="1">
      <c r="A448" s="144" t="s">
        <v>162</v>
      </c>
      <c r="B448" s="145">
        <v>46021.0</v>
      </c>
      <c r="C448" s="664" t="s">
        <v>1508</v>
      </c>
      <c r="D448" s="329" t="s">
        <v>1637</v>
      </c>
      <c r="E448" s="148" t="s">
        <v>28</v>
      </c>
      <c r="F448" s="149" t="s">
        <v>1638</v>
      </c>
      <c r="G448" s="149">
        <v>5.1960740543E10</v>
      </c>
      <c r="H448" s="148" t="s">
        <v>257</v>
      </c>
      <c r="I448" s="148" t="s">
        <v>61</v>
      </c>
      <c r="J448" s="168">
        <v>300.0</v>
      </c>
      <c r="K448" s="169">
        <f t="shared" si="56"/>
        <v>5664</v>
      </c>
      <c r="L448" s="170">
        <v>5964.0</v>
      </c>
      <c r="M448" s="239">
        <v>5321.0</v>
      </c>
      <c r="N448" s="155">
        <v>1199.0</v>
      </c>
      <c r="O448" s="315">
        <f t="shared" ref="O448:O459" si="63">L448-M448</f>
        <v>643</v>
      </c>
      <c r="P448" s="344">
        <f t="shared" si="62"/>
        <v>83</v>
      </c>
      <c r="Q448" s="510">
        <v>525.0</v>
      </c>
      <c r="R448" s="672" t="b">
        <v>0</v>
      </c>
      <c r="S448" s="318"/>
      <c r="T448" s="347">
        <v>25.0</v>
      </c>
      <c r="U448" s="343">
        <v>10.0</v>
      </c>
      <c r="V448" s="144" t="s">
        <v>584</v>
      </c>
      <c r="W448" s="148" t="s">
        <v>584</v>
      </c>
      <c r="X448" s="163"/>
      <c r="Y448" s="162"/>
      <c r="Z448" s="164"/>
      <c r="AA448" s="116"/>
      <c r="AB448" s="116"/>
      <c r="AC448" s="165"/>
      <c r="AD448" s="675" t="str">
        <f t="shared" si="58"/>
        <v>DICIEMBRE</v>
      </c>
      <c r="AE448" s="144" t="s">
        <v>1187</v>
      </c>
      <c r="AF448" s="149" t="b">
        <v>1</v>
      </c>
      <c r="AG448" s="144" t="s">
        <v>1187</v>
      </c>
      <c r="AH448" s="149" t="b">
        <v>0</v>
      </c>
      <c r="AI448" s="162"/>
      <c r="AJ448" s="143"/>
      <c r="AK448" s="143"/>
      <c r="AL448" s="143"/>
      <c r="AM448" s="143"/>
      <c r="AN448" s="143"/>
      <c r="AO448" s="143"/>
      <c r="AP448" s="143"/>
      <c r="AQ448" s="143"/>
    </row>
    <row r="449" ht="22.5" customHeight="1">
      <c r="A449" s="144" t="s">
        <v>162</v>
      </c>
      <c r="B449" s="145">
        <v>46021.0</v>
      </c>
      <c r="C449" s="830" t="s">
        <v>1639</v>
      </c>
      <c r="D449" s="336" t="s">
        <v>1640</v>
      </c>
      <c r="E449" s="148" t="s">
        <v>28</v>
      </c>
      <c r="F449" s="262" t="s">
        <v>1641</v>
      </c>
      <c r="G449" s="149">
        <v>5.1959614737E10</v>
      </c>
      <c r="H449" s="148" t="s">
        <v>257</v>
      </c>
      <c r="I449" s="150">
        <v>0.2</v>
      </c>
      <c r="J449" s="783">
        <v>1079.0</v>
      </c>
      <c r="K449" s="169">
        <f t="shared" si="56"/>
        <v>4320</v>
      </c>
      <c r="L449" s="175">
        <v>5399.0</v>
      </c>
      <c r="M449" s="239">
        <v>5108.35</v>
      </c>
      <c r="N449" s="155">
        <v>1169.0</v>
      </c>
      <c r="O449" s="315">
        <f t="shared" si="63"/>
        <v>290.65</v>
      </c>
      <c r="P449" s="344">
        <f t="shared" si="62"/>
        <v>190.65</v>
      </c>
      <c r="Q449" s="510">
        <v>100.0</v>
      </c>
      <c r="R449" s="672" t="b">
        <v>0</v>
      </c>
      <c r="S449" s="346"/>
      <c r="T449" s="319"/>
      <c r="U449" s="315"/>
      <c r="V449" s="144" t="s">
        <v>584</v>
      </c>
      <c r="W449" s="148" t="s">
        <v>584</v>
      </c>
      <c r="X449" s="163"/>
      <c r="Y449" s="144" t="s">
        <v>584</v>
      </c>
      <c r="Z449" s="164"/>
      <c r="AA449" s="116"/>
      <c r="AB449" s="116"/>
      <c r="AC449" s="165"/>
      <c r="AD449" s="675" t="str">
        <f t="shared" si="58"/>
        <v>DICIEMBRE</v>
      </c>
      <c r="AE449" s="144" t="s">
        <v>1392</v>
      </c>
      <c r="AF449" s="149" t="b">
        <v>1</v>
      </c>
      <c r="AG449" s="144" t="s">
        <v>1392</v>
      </c>
      <c r="AH449" s="149" t="b">
        <v>0</v>
      </c>
      <c r="AI449" s="162"/>
      <c r="AJ449" s="143"/>
      <c r="AK449" s="143"/>
      <c r="AL449" s="143"/>
      <c r="AM449" s="143"/>
      <c r="AN449" s="143"/>
      <c r="AO449" s="143"/>
      <c r="AP449" s="143"/>
      <c r="AQ449" s="143"/>
    </row>
    <row r="450" ht="22.5" customHeight="1">
      <c r="A450" s="144" t="s">
        <v>162</v>
      </c>
      <c r="B450" s="145">
        <v>46021.0</v>
      </c>
      <c r="C450" s="149" t="s">
        <v>911</v>
      </c>
      <c r="D450" s="329" t="s">
        <v>1642</v>
      </c>
      <c r="E450" s="148" t="s">
        <v>28</v>
      </c>
      <c r="F450" s="262" t="s">
        <v>1643</v>
      </c>
      <c r="G450" s="149">
        <v>5.1972059066E10</v>
      </c>
      <c r="H450" s="148" t="s">
        <v>257</v>
      </c>
      <c r="I450" s="148" t="s">
        <v>61</v>
      </c>
      <c r="J450" s="168">
        <v>300.0</v>
      </c>
      <c r="K450" s="169">
        <f t="shared" si="56"/>
        <v>5699</v>
      </c>
      <c r="L450" s="170">
        <v>5999.0</v>
      </c>
      <c r="M450" s="239">
        <v>5709.0</v>
      </c>
      <c r="N450" s="155">
        <v>1199.0</v>
      </c>
      <c r="O450" s="315">
        <f t="shared" si="63"/>
        <v>290</v>
      </c>
      <c r="P450" s="344">
        <f t="shared" si="62"/>
        <v>100</v>
      </c>
      <c r="Q450" s="510">
        <v>190.0</v>
      </c>
      <c r="R450" s="672" t="b">
        <v>0</v>
      </c>
      <c r="S450" s="318"/>
      <c r="T450" s="319"/>
      <c r="U450" s="315"/>
      <c r="V450" s="144" t="s">
        <v>584</v>
      </c>
      <c r="W450" s="148" t="s">
        <v>584</v>
      </c>
      <c r="X450" s="163"/>
      <c r="Y450" s="144" t="s">
        <v>584</v>
      </c>
      <c r="Z450" s="164"/>
      <c r="AA450" s="116"/>
      <c r="AB450" s="116"/>
      <c r="AC450" s="165"/>
      <c r="AD450" s="675" t="str">
        <f t="shared" si="58"/>
        <v>DICIEMBRE</v>
      </c>
      <c r="AE450" s="144" t="s">
        <v>1392</v>
      </c>
      <c r="AF450" s="149" t="b">
        <v>1</v>
      </c>
      <c r="AG450" s="144" t="s">
        <v>1392</v>
      </c>
      <c r="AH450" s="149" t="b">
        <v>0</v>
      </c>
      <c r="AI450" s="162"/>
      <c r="AJ450" s="143"/>
      <c r="AK450" s="143"/>
      <c r="AL450" s="143"/>
      <c r="AM450" s="143"/>
      <c r="AN450" s="143"/>
      <c r="AO450" s="143"/>
      <c r="AP450" s="143"/>
      <c r="AQ450" s="143"/>
    </row>
    <row r="451" ht="22.5" customHeight="1">
      <c r="A451" s="144" t="s">
        <v>162</v>
      </c>
      <c r="B451" s="145">
        <v>46021.0</v>
      </c>
      <c r="C451" s="664" t="s">
        <v>1508</v>
      </c>
      <c r="D451" s="329" t="s">
        <v>1644</v>
      </c>
      <c r="E451" s="148" t="s">
        <v>28</v>
      </c>
      <c r="F451" s="149" t="s">
        <v>1645</v>
      </c>
      <c r="G451" s="149">
        <v>5.1997217542E10</v>
      </c>
      <c r="H451" s="148" t="s">
        <v>257</v>
      </c>
      <c r="I451" s="150">
        <v>1.0</v>
      </c>
      <c r="J451" s="168">
        <v>6000.0</v>
      </c>
      <c r="K451" s="169">
        <f t="shared" si="56"/>
        <v>0</v>
      </c>
      <c r="L451" s="170">
        <v>6000.0</v>
      </c>
      <c r="M451" s="239">
        <v>5321.0</v>
      </c>
      <c r="N451" s="155">
        <v>1199.0</v>
      </c>
      <c r="O451" s="315">
        <f t="shared" si="63"/>
        <v>679</v>
      </c>
      <c r="P451" s="344">
        <f t="shared" si="62"/>
        <v>539</v>
      </c>
      <c r="Q451" s="510">
        <v>90.0</v>
      </c>
      <c r="R451" s="672" t="b">
        <v>0</v>
      </c>
      <c r="S451" s="318"/>
      <c r="T451" s="347">
        <v>50.0</v>
      </c>
      <c r="U451" s="315"/>
      <c r="V451" s="144" t="s">
        <v>584</v>
      </c>
      <c r="W451" s="148" t="s">
        <v>584</v>
      </c>
      <c r="X451" s="163"/>
      <c r="Y451" s="144" t="s">
        <v>584</v>
      </c>
      <c r="Z451" s="164"/>
      <c r="AA451" s="116"/>
      <c r="AB451" s="116"/>
      <c r="AC451" s="165"/>
      <c r="AD451" s="675" t="str">
        <f t="shared" si="58"/>
        <v>DICIEMBRE</v>
      </c>
      <c r="AE451" s="144" t="s">
        <v>1187</v>
      </c>
      <c r="AF451" s="149" t="b">
        <v>1</v>
      </c>
      <c r="AG451" s="144" t="s">
        <v>1187</v>
      </c>
      <c r="AH451" s="149" t="b">
        <v>0</v>
      </c>
      <c r="AI451" s="162"/>
      <c r="AJ451" s="143"/>
      <c r="AK451" s="143"/>
      <c r="AL451" s="143"/>
      <c r="AM451" s="143"/>
      <c r="AN451" s="143"/>
      <c r="AO451" s="143"/>
      <c r="AP451" s="143"/>
      <c r="AQ451" s="143"/>
    </row>
    <row r="452" ht="22.5" customHeight="1">
      <c r="A452" s="144" t="s">
        <v>162</v>
      </c>
      <c r="B452" s="145">
        <v>46022.0</v>
      </c>
      <c r="C452" s="149" t="s">
        <v>1152</v>
      </c>
      <c r="D452" s="208" t="s">
        <v>1646</v>
      </c>
      <c r="E452" s="148" t="s">
        <v>28</v>
      </c>
      <c r="F452" s="149" t="s">
        <v>1647</v>
      </c>
      <c r="G452" s="149">
        <v>5.1977112223E10</v>
      </c>
      <c r="H452" s="148" t="s">
        <v>257</v>
      </c>
      <c r="I452" s="150">
        <v>0.2</v>
      </c>
      <c r="J452" s="168">
        <v>1000.0</v>
      </c>
      <c r="K452" s="169">
        <f t="shared" si="56"/>
        <v>5999</v>
      </c>
      <c r="L452" s="170">
        <v>6999.0</v>
      </c>
      <c r="M452" s="239">
        <v>6253.0</v>
      </c>
      <c r="N452" s="155">
        <v>1449.99</v>
      </c>
      <c r="O452" s="858">
        <f t="shared" si="63"/>
        <v>746</v>
      </c>
      <c r="P452" s="344">
        <f t="shared" si="62"/>
        <v>536</v>
      </c>
      <c r="Q452" s="510">
        <v>210.0</v>
      </c>
      <c r="R452" s="672" t="b">
        <v>0</v>
      </c>
      <c r="S452" s="318"/>
      <c r="T452" s="319"/>
      <c r="U452" s="315"/>
      <c r="V452" s="144" t="s">
        <v>584</v>
      </c>
      <c r="W452" s="855" t="s">
        <v>584</v>
      </c>
      <c r="X452" s="856"/>
      <c r="Y452" s="144" t="s">
        <v>584</v>
      </c>
      <c r="Z452" s="164"/>
      <c r="AA452" s="116"/>
      <c r="AB452" s="116"/>
      <c r="AC452" s="165"/>
      <c r="AD452" s="675" t="str">
        <f t="shared" si="58"/>
        <v>DICIEMBRE</v>
      </c>
      <c r="AE452" s="144" t="s">
        <v>1187</v>
      </c>
      <c r="AF452" s="149" t="b">
        <v>1</v>
      </c>
      <c r="AG452" s="144" t="s">
        <v>1392</v>
      </c>
      <c r="AH452" s="149" t="b">
        <v>0</v>
      </c>
      <c r="AI452" s="162"/>
      <c r="AJ452" s="143"/>
      <c r="AK452" s="143"/>
      <c r="AL452" s="143"/>
      <c r="AM452" s="143"/>
      <c r="AN452" s="143"/>
      <c r="AO452" s="143"/>
      <c r="AP452" s="143"/>
      <c r="AQ452" s="143"/>
    </row>
    <row r="453" ht="22.5" hidden="1" customHeight="1">
      <c r="A453" s="144" t="s">
        <v>259</v>
      </c>
      <c r="B453" s="145">
        <v>46022.0</v>
      </c>
      <c r="C453" s="149" t="s">
        <v>1397</v>
      </c>
      <c r="D453" s="635" t="s">
        <v>1648</v>
      </c>
      <c r="E453" s="148" t="s">
        <v>28</v>
      </c>
      <c r="F453" s="578" t="s">
        <v>1649</v>
      </c>
      <c r="G453" s="165"/>
      <c r="H453" s="148" t="s">
        <v>257</v>
      </c>
      <c r="I453" s="148" t="s">
        <v>61</v>
      </c>
      <c r="J453" s="783">
        <v>6000.0</v>
      </c>
      <c r="K453" s="169">
        <f t="shared" si="56"/>
        <v>2276</v>
      </c>
      <c r="L453" s="175">
        <v>8276.0</v>
      </c>
      <c r="M453" s="239">
        <v>8076.0</v>
      </c>
      <c r="N453" s="155">
        <v>1799.0</v>
      </c>
      <c r="O453" s="315">
        <f t="shared" si="63"/>
        <v>200</v>
      </c>
      <c r="P453" s="344">
        <f t="shared" si="62"/>
        <v>100</v>
      </c>
      <c r="Q453" s="510">
        <v>100.0</v>
      </c>
      <c r="R453" s="672" t="b">
        <v>0</v>
      </c>
      <c r="S453" s="318"/>
      <c r="T453" s="319"/>
      <c r="U453" s="315"/>
      <c r="V453" s="144" t="s">
        <v>584</v>
      </c>
      <c r="W453" s="148"/>
      <c r="X453" s="163"/>
      <c r="Y453" s="144" t="s">
        <v>584</v>
      </c>
      <c r="Z453" s="164"/>
      <c r="AA453" s="116"/>
      <c r="AB453" s="116"/>
      <c r="AC453" s="165"/>
      <c r="AD453" s="675" t="str">
        <f t="shared" si="58"/>
        <v>DICIEMBRE</v>
      </c>
      <c r="AE453" s="144" t="s">
        <v>1392</v>
      </c>
      <c r="AF453" s="149" t="b">
        <v>1</v>
      </c>
      <c r="AG453" s="144" t="s">
        <v>1392</v>
      </c>
      <c r="AH453" s="149" t="b">
        <v>0</v>
      </c>
      <c r="AI453" s="162"/>
      <c r="AJ453" s="143"/>
      <c r="AK453" s="143"/>
      <c r="AL453" s="143"/>
      <c r="AM453" s="143"/>
      <c r="AN453" s="143"/>
      <c r="AO453" s="143"/>
      <c r="AP453" s="143"/>
      <c r="AQ453" s="143"/>
    </row>
    <row r="454" ht="22.5" hidden="1" customHeight="1">
      <c r="A454" s="144" t="s">
        <v>259</v>
      </c>
      <c r="B454" s="145">
        <v>46022.0</v>
      </c>
      <c r="C454" s="664" t="s">
        <v>1508</v>
      </c>
      <c r="D454" s="208" t="s">
        <v>1650</v>
      </c>
      <c r="E454" s="148" t="s">
        <v>28</v>
      </c>
      <c r="F454" s="859" t="s">
        <v>1651</v>
      </c>
      <c r="G454" s="165"/>
      <c r="H454" s="148" t="s">
        <v>257</v>
      </c>
      <c r="I454" s="150">
        <v>0.2</v>
      </c>
      <c r="J454" s="168">
        <v>1120.0</v>
      </c>
      <c r="K454" s="169">
        <f t="shared" si="56"/>
        <v>4579</v>
      </c>
      <c r="L454" s="170">
        <v>5699.0</v>
      </c>
      <c r="M454" s="239">
        <v>5321.0</v>
      </c>
      <c r="N454" s="155">
        <v>1199.99</v>
      </c>
      <c r="O454" s="315">
        <f t="shared" si="63"/>
        <v>378</v>
      </c>
      <c r="P454" s="344">
        <f t="shared" si="62"/>
        <v>278</v>
      </c>
      <c r="Q454" s="510">
        <v>100.0</v>
      </c>
      <c r="R454" s="672" t="b">
        <v>0</v>
      </c>
      <c r="S454" s="318"/>
      <c r="T454" s="315"/>
      <c r="U454" s="315"/>
      <c r="V454" s="144" t="s">
        <v>584</v>
      </c>
      <c r="W454" s="148"/>
      <c r="X454" s="163"/>
      <c r="Y454" s="162"/>
      <c r="Z454" s="164"/>
      <c r="AA454" s="116"/>
      <c r="AB454" s="116"/>
      <c r="AC454" s="165"/>
      <c r="AD454" s="675" t="str">
        <f t="shared" si="58"/>
        <v>DICIEMBRE</v>
      </c>
      <c r="AE454" s="144" t="s">
        <v>1187</v>
      </c>
      <c r="AF454" s="149" t="b">
        <v>1</v>
      </c>
      <c r="AG454" s="144" t="s">
        <v>1392</v>
      </c>
      <c r="AH454" s="149" t="b">
        <v>0</v>
      </c>
      <c r="AI454" s="162"/>
      <c r="AJ454" s="143"/>
      <c r="AK454" s="143"/>
      <c r="AL454" s="143"/>
      <c r="AM454" s="143"/>
      <c r="AN454" s="143"/>
      <c r="AO454" s="143"/>
      <c r="AP454" s="143"/>
      <c r="AQ454" s="143"/>
    </row>
    <row r="455" ht="22.5" hidden="1" customHeight="1">
      <c r="A455" s="406" t="s">
        <v>259</v>
      </c>
      <c r="B455" s="218">
        <v>46022.0</v>
      </c>
      <c r="C455" s="338" t="s">
        <v>1652</v>
      </c>
      <c r="D455" s="864" t="s">
        <v>1653</v>
      </c>
      <c r="E455" s="337" t="s">
        <v>28</v>
      </c>
      <c r="F455" s="865" t="s">
        <v>1654</v>
      </c>
      <c r="G455" s="411"/>
      <c r="H455" s="337" t="s">
        <v>257</v>
      </c>
      <c r="I455" s="754">
        <v>0.2</v>
      </c>
      <c r="J455" s="866">
        <v>860.0</v>
      </c>
      <c r="K455" s="755">
        <f t="shared" si="56"/>
        <v>3439</v>
      </c>
      <c r="L455" s="867">
        <v>4299.0</v>
      </c>
      <c r="M455" s="757">
        <v>3970.0</v>
      </c>
      <c r="N455" s="868">
        <v>869.0</v>
      </c>
      <c r="O455" s="413">
        <f t="shared" si="63"/>
        <v>329</v>
      </c>
      <c r="P455" s="759">
        <f t="shared" si="62"/>
        <v>229</v>
      </c>
      <c r="Q455" s="759">
        <v>100.0</v>
      </c>
      <c r="R455" s="869" t="b">
        <v>0</v>
      </c>
      <c r="S455" s="413"/>
      <c r="T455" s="415"/>
      <c r="U455" s="413"/>
      <c r="V455" s="406" t="s">
        <v>584</v>
      </c>
      <c r="W455" s="337"/>
      <c r="X455" s="417"/>
      <c r="Y455" s="406" t="s">
        <v>584</v>
      </c>
      <c r="Z455" s="418"/>
      <c r="AA455" s="419"/>
      <c r="AB455" s="419"/>
      <c r="AC455" s="411"/>
      <c r="AD455" s="762" t="str">
        <f t="shared" si="58"/>
        <v>DICIEMBRE</v>
      </c>
      <c r="AE455" s="406" t="s">
        <v>1392</v>
      </c>
      <c r="AF455" s="338" t="b">
        <v>1</v>
      </c>
      <c r="AG455" s="406" t="s">
        <v>1392</v>
      </c>
      <c r="AH455" s="338" t="b">
        <v>0</v>
      </c>
      <c r="AI455" s="870"/>
      <c r="AJ455" s="421"/>
      <c r="AK455" s="421"/>
      <c r="AL455" s="421"/>
      <c r="AM455" s="421"/>
      <c r="AN455" s="421"/>
      <c r="AO455" s="421"/>
      <c r="AP455" s="421"/>
      <c r="AQ455" s="421"/>
    </row>
    <row r="456" ht="22.5" hidden="1" customHeight="1">
      <c r="A456" s="144" t="s">
        <v>34</v>
      </c>
      <c r="B456" s="145">
        <v>46022.0</v>
      </c>
      <c r="C456" s="664" t="s">
        <v>1655</v>
      </c>
      <c r="D456" s="366" t="s">
        <v>1656</v>
      </c>
      <c r="E456" s="148" t="s">
        <v>28</v>
      </c>
      <c r="F456" s="246" t="s">
        <v>1657</v>
      </c>
      <c r="G456" s="165"/>
      <c r="H456" s="148" t="s">
        <v>257</v>
      </c>
      <c r="I456" s="150">
        <v>0.2</v>
      </c>
      <c r="J456" s="783">
        <v>1090.23</v>
      </c>
      <c r="K456" s="169">
        <f t="shared" si="56"/>
        <v>4360.94</v>
      </c>
      <c r="L456" s="175">
        <v>5451.17</v>
      </c>
      <c r="M456" s="239">
        <v>5051.17</v>
      </c>
      <c r="N456" s="155">
        <v>1149.0</v>
      </c>
      <c r="O456" s="315">
        <f t="shared" si="63"/>
        <v>400</v>
      </c>
      <c r="P456" s="344">
        <f t="shared" si="62"/>
        <v>45</v>
      </c>
      <c r="Q456" s="510">
        <v>305.0</v>
      </c>
      <c r="R456" s="672" t="b">
        <v>1</v>
      </c>
      <c r="S456" s="318"/>
      <c r="T456" s="319"/>
      <c r="U456" s="315"/>
      <c r="V456" s="144" t="s">
        <v>584</v>
      </c>
      <c r="W456" s="148"/>
      <c r="X456" s="163"/>
      <c r="Y456" s="144" t="s">
        <v>584</v>
      </c>
      <c r="Z456" s="164"/>
      <c r="AA456" s="116"/>
      <c r="AB456" s="116"/>
      <c r="AC456" s="165"/>
      <c r="AD456" s="675" t="str">
        <f t="shared" si="58"/>
        <v>DICIEMBRE</v>
      </c>
      <c r="AE456" s="144" t="s">
        <v>1392</v>
      </c>
      <c r="AF456" s="149" t="b">
        <v>1</v>
      </c>
      <c r="AG456" s="144" t="s">
        <v>1636</v>
      </c>
      <c r="AH456" s="149" t="b">
        <v>0</v>
      </c>
      <c r="AI456" s="162"/>
      <c r="AJ456" s="143"/>
      <c r="AK456" s="143"/>
      <c r="AL456" s="143"/>
      <c r="AM456" s="143"/>
      <c r="AN456" s="143"/>
      <c r="AO456" s="143"/>
      <c r="AP456" s="143"/>
      <c r="AQ456" s="143"/>
    </row>
    <row r="457" ht="22.5" hidden="1" customHeight="1">
      <c r="A457" s="144" t="s">
        <v>34</v>
      </c>
      <c r="B457" s="145">
        <v>46022.0</v>
      </c>
      <c r="C457" s="149" t="s">
        <v>1658</v>
      </c>
      <c r="D457" s="208" t="s">
        <v>1659</v>
      </c>
      <c r="E457" s="148" t="s">
        <v>28</v>
      </c>
      <c r="F457" s="246" t="s">
        <v>1660</v>
      </c>
      <c r="G457" s="149" t="s">
        <v>1661</v>
      </c>
      <c r="H457" s="148" t="s">
        <v>257</v>
      </c>
      <c r="I457" s="148" t="s">
        <v>61</v>
      </c>
      <c r="J457" s="783">
        <v>1459.8</v>
      </c>
      <c r="K457" s="169">
        <f t="shared" si="56"/>
        <v>5889.2</v>
      </c>
      <c r="L457" s="175">
        <v>7349.0</v>
      </c>
      <c r="M457" s="239">
        <v>7179.0</v>
      </c>
      <c r="N457" s="155">
        <v>1699.0</v>
      </c>
      <c r="O457" s="315">
        <f t="shared" si="63"/>
        <v>170</v>
      </c>
      <c r="P457" s="344">
        <f t="shared" si="62"/>
        <v>20</v>
      </c>
      <c r="Q457" s="510">
        <v>100.0</v>
      </c>
      <c r="R457" s="672" t="b">
        <v>1</v>
      </c>
      <c r="S457" s="318"/>
      <c r="T457" s="319"/>
      <c r="U457" s="315"/>
      <c r="V457" s="144" t="s">
        <v>584</v>
      </c>
      <c r="W457" s="148"/>
      <c r="X457" s="163"/>
      <c r="Y457" s="144" t="s">
        <v>584</v>
      </c>
      <c r="Z457" s="164"/>
      <c r="AA457" s="116"/>
      <c r="AB457" s="116"/>
      <c r="AC457" s="165"/>
      <c r="AD457" s="675" t="str">
        <f t="shared" si="58"/>
        <v>DICIEMBRE</v>
      </c>
      <c r="AE457" s="144" t="s">
        <v>1392</v>
      </c>
      <c r="AF457" s="149" t="b">
        <v>1</v>
      </c>
      <c r="AG457" s="144" t="s">
        <v>1392</v>
      </c>
      <c r="AH457" s="149" t="b">
        <v>0</v>
      </c>
      <c r="AI457" s="162"/>
      <c r="AJ457" s="143"/>
      <c r="AK457" s="143"/>
      <c r="AL457" s="143"/>
      <c r="AM457" s="143"/>
      <c r="AN457" s="143"/>
      <c r="AO457" s="143"/>
      <c r="AP457" s="143"/>
      <c r="AQ457" s="143"/>
    </row>
    <row r="458" ht="22.5" hidden="1" customHeight="1">
      <c r="A458" s="144" t="s">
        <v>34</v>
      </c>
      <c r="B458" s="145">
        <v>46022.0</v>
      </c>
      <c r="C458" s="578" t="s">
        <v>1152</v>
      </c>
      <c r="D458" s="366" t="s">
        <v>1662</v>
      </c>
      <c r="E458" s="148" t="s">
        <v>28</v>
      </c>
      <c r="F458" s="871" t="s">
        <v>1663</v>
      </c>
      <c r="G458" s="149" t="s">
        <v>1664</v>
      </c>
      <c r="H458" s="148" t="s">
        <v>257</v>
      </c>
      <c r="I458" s="150">
        <v>0.2</v>
      </c>
      <c r="J458" s="168">
        <v>1399.0</v>
      </c>
      <c r="K458" s="169">
        <f t="shared" si="56"/>
        <v>5600</v>
      </c>
      <c r="L458" s="170">
        <v>6999.0</v>
      </c>
      <c r="M458" s="239">
        <v>6263.0</v>
      </c>
      <c r="N458" s="155">
        <v>1449.99</v>
      </c>
      <c r="O458" s="315">
        <f t="shared" si="63"/>
        <v>736</v>
      </c>
      <c r="P458" s="344">
        <f t="shared" si="62"/>
        <v>401</v>
      </c>
      <c r="Q458" s="510">
        <v>285.0</v>
      </c>
      <c r="R458" s="672" t="b">
        <v>1</v>
      </c>
      <c r="S458" s="318"/>
      <c r="T458" s="319"/>
      <c r="U458" s="315"/>
      <c r="V458" s="144" t="s">
        <v>584</v>
      </c>
      <c r="W458" s="148"/>
      <c r="X458" s="163"/>
      <c r="Y458" s="162"/>
      <c r="Z458" s="164"/>
      <c r="AA458" s="116"/>
      <c r="AB458" s="116"/>
      <c r="AC458" s="165"/>
      <c r="AD458" s="675" t="str">
        <f t="shared" si="58"/>
        <v>DICIEMBRE</v>
      </c>
      <c r="AE458" s="144" t="s">
        <v>1187</v>
      </c>
      <c r="AF458" s="149" t="b">
        <v>1</v>
      </c>
      <c r="AG458" s="144" t="s">
        <v>1392</v>
      </c>
      <c r="AH458" s="149" t="b">
        <v>0</v>
      </c>
      <c r="AI458" s="162"/>
      <c r="AJ458" s="143"/>
      <c r="AK458" s="143"/>
      <c r="AL458" s="143"/>
      <c r="AM458" s="143"/>
      <c r="AN458" s="143"/>
      <c r="AO458" s="143"/>
      <c r="AP458" s="143"/>
      <c r="AQ458" s="143"/>
    </row>
    <row r="459" ht="22.5" hidden="1" customHeight="1">
      <c r="A459" s="144" t="s">
        <v>34</v>
      </c>
      <c r="B459" s="145">
        <v>46022.0</v>
      </c>
      <c r="C459" s="113" t="s">
        <v>1465</v>
      </c>
      <c r="D459" s="329" t="s">
        <v>1665</v>
      </c>
      <c r="E459" s="148" t="s">
        <v>28</v>
      </c>
      <c r="F459" s="872" t="s">
        <v>1666</v>
      </c>
      <c r="G459" s="562"/>
      <c r="H459" s="148" t="s">
        <v>257</v>
      </c>
      <c r="I459" s="148" t="s">
        <v>61</v>
      </c>
      <c r="J459" s="168">
        <v>300.0</v>
      </c>
      <c r="K459" s="169">
        <f t="shared" si="56"/>
        <v>6050</v>
      </c>
      <c r="L459" s="170">
        <v>6350.0</v>
      </c>
      <c r="M459" s="239">
        <v>6272.0</v>
      </c>
      <c r="N459" s="155">
        <v>1449.0</v>
      </c>
      <c r="O459" s="315">
        <f t="shared" si="63"/>
        <v>78</v>
      </c>
      <c r="P459" s="344">
        <f t="shared" si="62"/>
        <v>78</v>
      </c>
      <c r="Q459" s="321"/>
      <c r="R459" s="672" t="b">
        <v>0</v>
      </c>
      <c r="S459" s="318"/>
      <c r="T459" s="319"/>
      <c r="U459" s="315"/>
      <c r="V459" s="144" t="s">
        <v>584</v>
      </c>
      <c r="W459" s="148"/>
      <c r="X459" s="163"/>
      <c r="Y459" s="162"/>
      <c r="Z459" s="164"/>
      <c r="AA459" s="116"/>
      <c r="AB459" s="116"/>
      <c r="AC459" s="165"/>
      <c r="AD459" s="675" t="str">
        <f t="shared" si="58"/>
        <v>DICIEMBRE</v>
      </c>
      <c r="AE459" s="144" t="s">
        <v>1187</v>
      </c>
      <c r="AF459" s="149" t="b">
        <v>1</v>
      </c>
      <c r="AG459" s="144" t="s">
        <v>1392</v>
      </c>
      <c r="AH459" s="149" t="b">
        <v>0</v>
      </c>
      <c r="AI459" s="162"/>
      <c r="AJ459" s="143"/>
      <c r="AK459" s="143"/>
      <c r="AL459" s="143"/>
      <c r="AM459" s="143"/>
      <c r="AN459" s="143"/>
      <c r="AO459" s="143"/>
      <c r="AP459" s="143"/>
      <c r="AQ459" s="143"/>
    </row>
    <row r="460" ht="22.5" hidden="1" customHeight="1">
      <c r="A460" s="144" t="s">
        <v>211</v>
      </c>
      <c r="B460" s="145">
        <v>46021.0</v>
      </c>
      <c r="C460" s="353" t="s">
        <v>1667</v>
      </c>
      <c r="D460" s="208" t="s">
        <v>137</v>
      </c>
      <c r="E460" s="148" t="s">
        <v>28</v>
      </c>
      <c r="F460" s="246" t="s">
        <v>1668</v>
      </c>
      <c r="G460" s="165"/>
      <c r="H460" s="148" t="s">
        <v>257</v>
      </c>
      <c r="I460" s="150">
        <v>0.5</v>
      </c>
      <c r="J460" s="168">
        <v>5850.0</v>
      </c>
      <c r="K460" s="169">
        <f t="shared" si="56"/>
        <v>5850</v>
      </c>
      <c r="L460" s="297">
        <f t="shared" ref="L460:L461" si="64">J460*2</f>
        <v>11700</v>
      </c>
      <c r="M460" s="334"/>
      <c r="N460" s="155">
        <v>2699.0</v>
      </c>
      <c r="O460" s="315"/>
      <c r="P460" s="344">
        <f t="shared" si="62"/>
        <v>11700</v>
      </c>
      <c r="Q460" s="321"/>
      <c r="R460" s="672" t="b">
        <v>0</v>
      </c>
      <c r="S460" s="318"/>
      <c r="T460" s="319"/>
      <c r="U460" s="315"/>
      <c r="V460" s="162"/>
      <c r="W460" s="148" t="s">
        <v>584</v>
      </c>
      <c r="X460" s="163"/>
      <c r="Y460" s="162"/>
      <c r="Z460" s="164"/>
      <c r="AA460" s="116"/>
      <c r="AB460" s="116"/>
      <c r="AC460" s="165"/>
      <c r="AD460" s="675" t="str">
        <f t="shared" si="58"/>
        <v>DICIEMBRE</v>
      </c>
      <c r="AE460" s="166"/>
      <c r="AF460" s="149" t="b">
        <v>0</v>
      </c>
      <c r="AG460" s="166"/>
      <c r="AH460" s="149" t="b">
        <v>0</v>
      </c>
      <c r="AI460" s="162"/>
      <c r="AJ460" s="143"/>
      <c r="AK460" s="143"/>
      <c r="AL460" s="143"/>
      <c r="AM460" s="143"/>
      <c r="AN460" s="143"/>
      <c r="AO460" s="143"/>
      <c r="AP460" s="143"/>
      <c r="AQ460" s="143"/>
    </row>
    <row r="461" ht="22.5" customHeight="1">
      <c r="A461" s="873"/>
      <c r="B461" s="874"/>
      <c r="C461" s="875" t="s">
        <v>1669</v>
      </c>
      <c r="D461" s="876"/>
      <c r="E461" s="877"/>
      <c r="F461" s="878"/>
      <c r="G461" s="879"/>
      <c r="H461" s="877"/>
      <c r="I461" s="877"/>
      <c r="J461" s="880"/>
      <c r="K461" s="881" t="str">
        <f t="shared" si="56"/>
        <v/>
      </c>
      <c r="L461" s="882">
        <f t="shared" si="64"/>
        <v>0</v>
      </c>
      <c r="M461" s="883"/>
      <c r="N461" s="884"/>
      <c r="O461" s="315">
        <f t="shared" ref="O461:O588" si="65">L461-M461</f>
        <v>0</v>
      </c>
      <c r="P461" s="885">
        <f t="shared" si="62"/>
        <v>0</v>
      </c>
      <c r="Q461" s="886"/>
      <c r="R461" s="887" t="b">
        <v>0</v>
      </c>
      <c r="S461" s="886"/>
      <c r="T461" s="888"/>
      <c r="U461" s="886"/>
      <c r="V461" s="873"/>
      <c r="W461" s="889"/>
      <c r="X461" s="890"/>
      <c r="Y461" s="873"/>
      <c r="Z461" s="891"/>
      <c r="AA461" s="892"/>
      <c r="AB461" s="892"/>
      <c r="AC461" s="879"/>
      <c r="AD461" s="893" t="str">
        <f>IF(B461="","",TEXT(B461,"mmmm")) </f>
        <v/>
      </c>
      <c r="AE461" s="894"/>
      <c r="AF461" s="895" t="b">
        <v>0</v>
      </c>
      <c r="AG461" s="166"/>
      <c r="AH461" s="149" t="b">
        <v>0</v>
      </c>
      <c r="AI461" s="162"/>
      <c r="AJ461" s="896"/>
      <c r="AK461" s="896"/>
      <c r="AL461" s="896"/>
      <c r="AM461" s="896"/>
      <c r="AN461" s="896"/>
      <c r="AO461" s="896"/>
      <c r="AP461" s="896"/>
      <c r="AQ461" s="896"/>
    </row>
    <row r="462" ht="22.5" hidden="1" customHeight="1">
      <c r="A462" s="144" t="s">
        <v>259</v>
      </c>
      <c r="B462" s="145">
        <v>46024.0</v>
      </c>
      <c r="C462" s="578" t="s">
        <v>869</v>
      </c>
      <c r="D462" s="208" t="s">
        <v>1670</v>
      </c>
      <c r="E462" s="148" t="s">
        <v>28</v>
      </c>
      <c r="F462" s="860" t="s">
        <v>1671</v>
      </c>
      <c r="G462" s="149" t="s">
        <v>1672</v>
      </c>
      <c r="H462" s="148" t="s">
        <v>257</v>
      </c>
      <c r="I462" s="150">
        <v>1.0</v>
      </c>
      <c r="J462" s="897"/>
      <c r="K462" s="169">
        <v>6299.0</v>
      </c>
      <c r="L462" s="175">
        <v>6299.0</v>
      </c>
      <c r="M462" s="239">
        <v>5594.0</v>
      </c>
      <c r="N462" s="155">
        <v>1299.99</v>
      </c>
      <c r="O462" s="315">
        <f t="shared" si="65"/>
        <v>705</v>
      </c>
      <c r="P462" s="344">
        <f t="shared" si="62"/>
        <v>495</v>
      </c>
      <c r="Q462" s="510">
        <v>210.0</v>
      </c>
      <c r="R462" s="672" t="b">
        <v>0</v>
      </c>
      <c r="S462" s="318"/>
      <c r="T462" s="319"/>
      <c r="U462" s="315"/>
      <c r="V462" s="144" t="s">
        <v>584</v>
      </c>
      <c r="W462" s="148"/>
      <c r="X462" s="163"/>
      <c r="Y462" s="162"/>
      <c r="Z462" s="164"/>
      <c r="AA462" s="116"/>
      <c r="AB462" s="116"/>
      <c r="AC462" s="165"/>
      <c r="AD462" s="675" t="str">
        <f t="shared" ref="AD462:AD647" si="66">UPPER(IF(B462="","",TEXT(B462,"mmmm")))</f>
        <v>ENERO</v>
      </c>
      <c r="AE462" s="144" t="s">
        <v>1392</v>
      </c>
      <c r="AF462" s="149" t="b">
        <v>1</v>
      </c>
      <c r="AG462" s="144" t="s">
        <v>1392</v>
      </c>
      <c r="AH462" s="149" t="b">
        <v>0</v>
      </c>
      <c r="AI462" s="162"/>
      <c r="AJ462" s="143"/>
      <c r="AK462" s="143"/>
      <c r="AL462" s="143"/>
      <c r="AM462" s="143"/>
      <c r="AN462" s="143"/>
      <c r="AO462" s="143"/>
      <c r="AP462" s="143"/>
      <c r="AQ462" s="143"/>
    </row>
    <row r="463" ht="22.5" hidden="1" customHeight="1">
      <c r="A463" s="144" t="s">
        <v>259</v>
      </c>
      <c r="B463" s="145">
        <v>46025.0</v>
      </c>
      <c r="C463" s="353" t="s">
        <v>1673</v>
      </c>
      <c r="D463" s="208" t="s">
        <v>1674</v>
      </c>
      <c r="E463" s="148" t="s">
        <v>28</v>
      </c>
      <c r="F463" s="552" t="s">
        <v>1675</v>
      </c>
      <c r="G463" s="165"/>
      <c r="H463" s="148" t="s">
        <v>257</v>
      </c>
      <c r="I463" s="150">
        <v>0.2</v>
      </c>
      <c r="J463" s="783">
        <v>1520.0</v>
      </c>
      <c r="K463" s="755">
        <f t="shared" ref="K463:K489" si="67">IF(J463="","",L463-J463)</f>
        <v>6079</v>
      </c>
      <c r="L463" s="175">
        <v>7599.0</v>
      </c>
      <c r="M463" s="239">
        <v>6832.0</v>
      </c>
      <c r="N463" s="155">
        <v>1499.0</v>
      </c>
      <c r="O463" s="315">
        <f t="shared" si="65"/>
        <v>767</v>
      </c>
      <c r="P463" s="344">
        <f t="shared" si="62"/>
        <v>542</v>
      </c>
      <c r="Q463" s="510">
        <v>225.0</v>
      </c>
      <c r="R463" s="672" t="b">
        <v>0</v>
      </c>
      <c r="S463" s="318"/>
      <c r="T463" s="319"/>
      <c r="U463" s="315"/>
      <c r="V463" s="144" t="s">
        <v>584</v>
      </c>
      <c r="W463" s="148"/>
      <c r="X463" s="163"/>
      <c r="Y463" s="144" t="s">
        <v>584</v>
      </c>
      <c r="Z463" s="164"/>
      <c r="AA463" s="116"/>
      <c r="AB463" s="116"/>
      <c r="AC463" s="165"/>
      <c r="AD463" s="675" t="str">
        <f t="shared" si="66"/>
        <v>ENERO</v>
      </c>
      <c r="AE463" s="144" t="s">
        <v>1392</v>
      </c>
      <c r="AF463" s="149" t="b">
        <v>1</v>
      </c>
      <c r="AG463" s="144" t="s">
        <v>1636</v>
      </c>
      <c r="AH463" s="149" t="b">
        <v>0</v>
      </c>
      <c r="AI463" s="162"/>
      <c r="AJ463" s="143"/>
      <c r="AK463" s="143"/>
      <c r="AL463" s="143"/>
      <c r="AM463" s="143"/>
      <c r="AN463" s="143"/>
      <c r="AO463" s="143"/>
      <c r="AP463" s="143"/>
      <c r="AQ463" s="143"/>
    </row>
    <row r="464" ht="22.5" hidden="1" customHeight="1">
      <c r="A464" s="144" t="s">
        <v>259</v>
      </c>
      <c r="B464" s="145">
        <v>46025.0</v>
      </c>
      <c r="C464" s="647" t="s">
        <v>1429</v>
      </c>
      <c r="D464" s="208" t="s">
        <v>1676</v>
      </c>
      <c r="E464" s="148" t="s">
        <v>28</v>
      </c>
      <c r="F464" s="861" t="s">
        <v>1677</v>
      </c>
      <c r="G464" s="149">
        <v>5.1965023578E10</v>
      </c>
      <c r="H464" s="148" t="s">
        <v>257</v>
      </c>
      <c r="I464" s="150">
        <v>0.2</v>
      </c>
      <c r="J464" s="168">
        <v>1340.0</v>
      </c>
      <c r="K464" s="169">
        <f t="shared" si="67"/>
        <v>5359</v>
      </c>
      <c r="L464" s="170">
        <v>6699.0</v>
      </c>
      <c r="M464" s="239">
        <v>6164.0</v>
      </c>
      <c r="N464" s="155">
        <v>1424.05</v>
      </c>
      <c r="O464" s="315">
        <f t="shared" si="65"/>
        <v>535</v>
      </c>
      <c r="P464" s="344">
        <f t="shared" si="62"/>
        <v>435</v>
      </c>
      <c r="Q464" s="510">
        <v>100.0</v>
      </c>
      <c r="R464" s="672" t="b">
        <v>0</v>
      </c>
      <c r="S464" s="318"/>
      <c r="T464" s="319"/>
      <c r="U464" s="315"/>
      <c r="V464" s="144" t="s">
        <v>584</v>
      </c>
      <c r="W464" s="148"/>
      <c r="X464" s="163"/>
      <c r="Y464" s="144"/>
      <c r="Z464" s="164"/>
      <c r="AA464" s="116"/>
      <c r="AB464" s="116"/>
      <c r="AC464" s="165"/>
      <c r="AD464" s="675" t="str">
        <f t="shared" si="66"/>
        <v>ENERO</v>
      </c>
      <c r="AE464" s="144" t="s">
        <v>1392</v>
      </c>
      <c r="AF464" s="149" t="b">
        <v>1</v>
      </c>
      <c r="AG464" s="144" t="s">
        <v>1392</v>
      </c>
      <c r="AH464" s="149" t="b">
        <v>0</v>
      </c>
      <c r="AI464" s="162"/>
      <c r="AJ464" s="143"/>
      <c r="AK464" s="143"/>
      <c r="AL464" s="143"/>
      <c r="AM464" s="143"/>
      <c r="AN464" s="143"/>
      <c r="AO464" s="143"/>
      <c r="AP464" s="143"/>
      <c r="AQ464" s="143"/>
    </row>
    <row r="465" ht="22.5" hidden="1" customHeight="1">
      <c r="A465" s="144" t="s">
        <v>259</v>
      </c>
      <c r="B465" s="145">
        <v>46027.0</v>
      </c>
      <c r="C465" s="647" t="s">
        <v>1678</v>
      </c>
      <c r="D465" s="329" t="s">
        <v>1679</v>
      </c>
      <c r="E465" s="148" t="s">
        <v>28</v>
      </c>
      <c r="F465" s="898" t="s">
        <v>1680</v>
      </c>
      <c r="G465" s="149">
        <v>5.1916765629E10</v>
      </c>
      <c r="H465" s="148" t="s">
        <v>257</v>
      </c>
      <c r="I465" s="150">
        <v>0.2</v>
      </c>
      <c r="J465" s="168">
        <v>1760.0</v>
      </c>
      <c r="K465" s="169">
        <f t="shared" si="67"/>
        <v>7039</v>
      </c>
      <c r="L465" s="170">
        <v>8799.0</v>
      </c>
      <c r="M465" s="239">
        <v>7940.0</v>
      </c>
      <c r="N465" s="155">
        <v>1799.99</v>
      </c>
      <c r="O465" s="315">
        <f t="shared" si="65"/>
        <v>859</v>
      </c>
      <c r="P465" s="344">
        <f t="shared" si="62"/>
        <v>859</v>
      </c>
      <c r="Q465" s="321"/>
      <c r="R465" s="672" t="b">
        <v>0</v>
      </c>
      <c r="S465" s="318"/>
      <c r="T465" s="319"/>
      <c r="U465" s="315"/>
      <c r="V465" s="144" t="s">
        <v>584</v>
      </c>
      <c r="W465" s="148"/>
      <c r="X465" s="163"/>
      <c r="Y465" s="144" t="s">
        <v>584</v>
      </c>
      <c r="Z465" s="164"/>
      <c r="AA465" s="116"/>
      <c r="AB465" s="116"/>
      <c r="AC465" s="165"/>
      <c r="AD465" s="675" t="str">
        <f t="shared" si="66"/>
        <v>ENERO</v>
      </c>
      <c r="AE465" s="144" t="s">
        <v>1392</v>
      </c>
      <c r="AF465" s="149" t="b">
        <v>1</v>
      </c>
      <c r="AG465" s="144" t="s">
        <v>1636</v>
      </c>
      <c r="AH465" s="149" t="b">
        <v>0</v>
      </c>
      <c r="AI465" s="162"/>
      <c r="AJ465" s="143"/>
      <c r="AK465" s="143"/>
      <c r="AL465" s="143"/>
      <c r="AM465" s="143"/>
      <c r="AN465" s="143"/>
      <c r="AO465" s="143"/>
      <c r="AP465" s="143"/>
      <c r="AQ465" s="143"/>
    </row>
    <row r="466" ht="22.5" hidden="1" customHeight="1">
      <c r="A466" s="144" t="s">
        <v>34</v>
      </c>
      <c r="B466" s="145">
        <v>46027.0</v>
      </c>
      <c r="C466" s="149" t="s">
        <v>1681</v>
      </c>
      <c r="D466" s="208" t="s">
        <v>1682</v>
      </c>
      <c r="E466" s="148" t="s">
        <v>28</v>
      </c>
      <c r="F466" s="262" t="s">
        <v>1683</v>
      </c>
      <c r="G466" s="149">
        <v>5.197221716E10</v>
      </c>
      <c r="H466" s="148" t="s">
        <v>257</v>
      </c>
      <c r="I466" s="150">
        <v>1.0</v>
      </c>
      <c r="J466" s="783">
        <v>7299.0</v>
      </c>
      <c r="K466" s="169">
        <f t="shared" si="67"/>
        <v>349</v>
      </c>
      <c r="L466" s="175">
        <v>7648.0</v>
      </c>
      <c r="M466" s="239">
        <v>6817.43</v>
      </c>
      <c r="N466" s="155">
        <v>1599.99</v>
      </c>
      <c r="O466" s="315">
        <f t="shared" si="65"/>
        <v>830.57</v>
      </c>
      <c r="P466" s="344">
        <f t="shared" si="62"/>
        <v>176.57</v>
      </c>
      <c r="Q466" s="510">
        <v>305.0</v>
      </c>
      <c r="R466" s="672" t="b">
        <v>0</v>
      </c>
      <c r="S466" s="346">
        <v>349.0</v>
      </c>
      <c r="T466" s="319"/>
      <c r="U466" s="315"/>
      <c r="V466" s="144" t="s">
        <v>584</v>
      </c>
      <c r="W466" s="148" t="s">
        <v>584</v>
      </c>
      <c r="X466" s="163"/>
      <c r="Y466" s="144" t="s">
        <v>584</v>
      </c>
      <c r="Z466" s="10" t="s">
        <v>1684</v>
      </c>
      <c r="AA466" s="116"/>
      <c r="AB466" s="116"/>
      <c r="AC466" s="165"/>
      <c r="AD466" s="675" t="str">
        <f t="shared" si="66"/>
        <v>ENERO</v>
      </c>
      <c r="AE466" s="144" t="s">
        <v>1392</v>
      </c>
      <c r="AF466" s="149" t="b">
        <v>1</v>
      </c>
      <c r="AG466" s="144" t="s">
        <v>1392</v>
      </c>
      <c r="AH466" s="149" t="b">
        <v>0</v>
      </c>
      <c r="AI466" s="162"/>
      <c r="AJ466" s="143"/>
      <c r="AK466" s="143"/>
      <c r="AL466" s="143"/>
      <c r="AM466" s="143"/>
      <c r="AN466" s="143"/>
      <c r="AO466" s="143"/>
      <c r="AP466" s="143"/>
      <c r="AQ466" s="143"/>
    </row>
    <row r="467" ht="22.5" hidden="1" customHeight="1">
      <c r="A467" s="144" t="s">
        <v>259</v>
      </c>
      <c r="B467" s="145">
        <v>46028.0</v>
      </c>
      <c r="C467" s="591" t="s">
        <v>1685</v>
      </c>
      <c r="D467" s="208" t="s">
        <v>1686</v>
      </c>
      <c r="E467" s="148" t="s">
        <v>28</v>
      </c>
      <c r="F467" s="861" t="s">
        <v>1687</v>
      </c>
      <c r="G467" s="165"/>
      <c r="H467" s="148" t="s">
        <v>257</v>
      </c>
      <c r="I467" s="150">
        <v>0.2</v>
      </c>
      <c r="J467" s="168">
        <v>1400.0</v>
      </c>
      <c r="K467" s="169">
        <f t="shared" si="67"/>
        <v>5599</v>
      </c>
      <c r="L467" s="170">
        <v>6999.0</v>
      </c>
      <c r="M467" s="239">
        <v>6414.0</v>
      </c>
      <c r="N467" s="155">
        <v>1499.99</v>
      </c>
      <c r="O467" s="315">
        <f t="shared" si="65"/>
        <v>585</v>
      </c>
      <c r="P467" s="344">
        <f t="shared" si="62"/>
        <v>485</v>
      </c>
      <c r="Q467" s="510">
        <v>100.0</v>
      </c>
      <c r="R467" s="672" t="b">
        <v>0</v>
      </c>
      <c r="S467" s="318"/>
      <c r="T467" s="319"/>
      <c r="U467" s="315"/>
      <c r="V467" s="144" t="s">
        <v>584</v>
      </c>
      <c r="W467" s="148"/>
      <c r="X467" s="163"/>
      <c r="Y467" s="162"/>
      <c r="Z467" s="164"/>
      <c r="AA467" s="116"/>
      <c r="AB467" s="116"/>
      <c r="AC467" s="165"/>
      <c r="AD467" s="675" t="str">
        <f t="shared" si="66"/>
        <v>ENERO</v>
      </c>
      <c r="AE467" s="144" t="s">
        <v>1392</v>
      </c>
      <c r="AF467" s="149" t="b">
        <v>1</v>
      </c>
      <c r="AG467" s="144" t="s">
        <v>1392</v>
      </c>
      <c r="AH467" s="149" t="b">
        <v>0</v>
      </c>
      <c r="AI467" s="162"/>
      <c r="AJ467" s="143"/>
      <c r="AK467" s="143"/>
      <c r="AL467" s="143"/>
      <c r="AM467" s="143"/>
      <c r="AN467" s="143"/>
      <c r="AO467" s="143"/>
      <c r="AP467" s="143"/>
      <c r="AQ467" s="143"/>
    </row>
    <row r="468" ht="22.5" hidden="1" customHeight="1">
      <c r="A468" s="144" t="s">
        <v>259</v>
      </c>
      <c r="B468" s="145">
        <v>46028.0</v>
      </c>
      <c r="C468" s="281" t="s">
        <v>1688</v>
      </c>
      <c r="D468" s="571" t="s">
        <v>1689</v>
      </c>
      <c r="E468" s="148" t="s">
        <v>28</v>
      </c>
      <c r="F468" s="246" t="s">
        <v>1690</v>
      </c>
      <c r="G468" s="149" t="s">
        <v>1691</v>
      </c>
      <c r="H468" s="148" t="s">
        <v>257</v>
      </c>
      <c r="I468" s="150">
        <v>0.2</v>
      </c>
      <c r="J468" s="783">
        <v>1200.0</v>
      </c>
      <c r="K468" s="169">
        <f t="shared" si="67"/>
        <v>4799</v>
      </c>
      <c r="L468" s="175">
        <v>5999.0</v>
      </c>
      <c r="M468" s="239">
        <v>5593.0</v>
      </c>
      <c r="N468" s="155">
        <v>1299.99</v>
      </c>
      <c r="O468" s="315">
        <f t="shared" si="65"/>
        <v>406</v>
      </c>
      <c r="P468" s="344">
        <f t="shared" si="62"/>
        <v>276</v>
      </c>
      <c r="Q468" s="510">
        <v>100.0</v>
      </c>
      <c r="R468" s="672" t="b">
        <v>0</v>
      </c>
      <c r="S468" s="318"/>
      <c r="T468" s="319"/>
      <c r="U468" s="343">
        <v>30.0</v>
      </c>
      <c r="V468" s="144" t="s">
        <v>584</v>
      </c>
      <c r="W468" s="148"/>
      <c r="X468" s="163"/>
      <c r="Y468" s="144" t="s">
        <v>584</v>
      </c>
      <c r="Z468" s="10" t="s">
        <v>1692</v>
      </c>
      <c r="AA468" s="116"/>
      <c r="AB468" s="116"/>
      <c r="AC468" s="165"/>
      <c r="AD468" s="675" t="str">
        <f t="shared" si="66"/>
        <v>ENERO</v>
      </c>
      <c r="AE468" s="144" t="s">
        <v>1392</v>
      </c>
      <c r="AF468" s="149" t="b">
        <v>1</v>
      </c>
      <c r="AG468" s="144" t="s">
        <v>1392</v>
      </c>
      <c r="AH468" s="149" t="b">
        <v>0</v>
      </c>
      <c r="AI468" s="162"/>
      <c r="AJ468" s="143"/>
      <c r="AK468" s="143"/>
      <c r="AL468" s="143"/>
      <c r="AM468" s="143"/>
      <c r="AN468" s="143"/>
      <c r="AO468" s="143"/>
      <c r="AP468" s="143"/>
      <c r="AQ468" s="143"/>
    </row>
    <row r="469" ht="22.5" hidden="1" customHeight="1">
      <c r="A469" s="144" t="s">
        <v>259</v>
      </c>
      <c r="B469" s="145">
        <v>45663.0</v>
      </c>
      <c r="C469" s="899" t="s">
        <v>1693</v>
      </c>
      <c r="D469" s="208" t="s">
        <v>1694</v>
      </c>
      <c r="E469" s="148" t="s">
        <v>28</v>
      </c>
      <c r="F469" s="262" t="s">
        <v>1695</v>
      </c>
      <c r="G469" s="149">
        <v>5.194220724E10</v>
      </c>
      <c r="H469" s="148" t="s">
        <v>257</v>
      </c>
      <c r="I469" s="150">
        <v>0.2</v>
      </c>
      <c r="J469" s="783">
        <v>1760.0</v>
      </c>
      <c r="K469" s="169">
        <f t="shared" si="67"/>
        <v>7039</v>
      </c>
      <c r="L469" s="175">
        <v>8799.0</v>
      </c>
      <c r="M469" s="239">
        <v>8504.0</v>
      </c>
      <c r="N469" s="155">
        <v>1999.0</v>
      </c>
      <c r="O469" s="315">
        <f t="shared" si="65"/>
        <v>295</v>
      </c>
      <c r="P469" s="344">
        <f t="shared" si="62"/>
        <v>195</v>
      </c>
      <c r="Q469" s="510">
        <v>100.0</v>
      </c>
      <c r="R469" s="672" t="b">
        <v>0</v>
      </c>
      <c r="S469" s="318"/>
      <c r="T469" s="319"/>
      <c r="U469" s="315"/>
      <c r="V469" s="144" t="s">
        <v>584</v>
      </c>
      <c r="W469" s="148" t="s">
        <v>584</v>
      </c>
      <c r="X469" s="163"/>
      <c r="Y469" s="144" t="s">
        <v>584</v>
      </c>
      <c r="Z469" s="164"/>
      <c r="AA469" s="116"/>
      <c r="AB469" s="116"/>
      <c r="AC469" s="165"/>
      <c r="AD469" s="675" t="str">
        <f t="shared" si="66"/>
        <v>ENERO</v>
      </c>
      <c r="AE469" s="144" t="s">
        <v>1392</v>
      </c>
      <c r="AF469" s="149" t="b">
        <v>1</v>
      </c>
      <c r="AG469" s="144" t="s">
        <v>1636</v>
      </c>
      <c r="AH469" s="149" t="b">
        <v>0</v>
      </c>
      <c r="AI469" s="162"/>
      <c r="AJ469" s="143"/>
      <c r="AK469" s="143"/>
      <c r="AL469" s="143"/>
      <c r="AM469" s="143"/>
      <c r="AN469" s="143"/>
      <c r="AO469" s="143"/>
      <c r="AP469" s="143"/>
      <c r="AQ469" s="143"/>
    </row>
    <row r="470" ht="22.5" hidden="1" customHeight="1">
      <c r="A470" s="144" t="s">
        <v>259</v>
      </c>
      <c r="B470" s="145">
        <v>46029.0</v>
      </c>
      <c r="C470" s="591" t="s">
        <v>1685</v>
      </c>
      <c r="D470" s="208" t="s">
        <v>1696</v>
      </c>
      <c r="E470" s="148" t="s">
        <v>28</v>
      </c>
      <c r="F470" s="859" t="s">
        <v>1697</v>
      </c>
      <c r="G470" s="149">
        <v>9.55211966E8</v>
      </c>
      <c r="H470" s="148" t="s">
        <v>257</v>
      </c>
      <c r="I470" s="150">
        <v>0.2</v>
      </c>
      <c r="J470" s="783">
        <v>1400.0</v>
      </c>
      <c r="K470" s="557">
        <f t="shared" si="67"/>
        <v>5599</v>
      </c>
      <c r="L470" s="175">
        <v>6999.0</v>
      </c>
      <c r="M470" s="239">
        <v>6414.0</v>
      </c>
      <c r="N470" s="155">
        <v>1499.99</v>
      </c>
      <c r="O470" s="315">
        <f t="shared" si="65"/>
        <v>585</v>
      </c>
      <c r="P470" s="344">
        <f t="shared" si="62"/>
        <v>485</v>
      </c>
      <c r="Q470" s="510">
        <v>100.0</v>
      </c>
      <c r="R470" s="672" t="b">
        <v>0</v>
      </c>
      <c r="S470" s="318"/>
      <c r="T470" s="319"/>
      <c r="U470" s="315"/>
      <c r="V470" s="144" t="s">
        <v>584</v>
      </c>
      <c r="W470" s="148"/>
      <c r="X470" s="163"/>
      <c r="Y470" s="162"/>
      <c r="Z470" s="164"/>
      <c r="AA470" s="116"/>
      <c r="AB470" s="116"/>
      <c r="AC470" s="165"/>
      <c r="AD470" s="675" t="str">
        <f t="shared" si="66"/>
        <v>ENERO</v>
      </c>
      <c r="AE470" s="144" t="s">
        <v>1392</v>
      </c>
      <c r="AF470" s="149" t="b">
        <v>1</v>
      </c>
      <c r="AG470" s="144" t="s">
        <v>1392</v>
      </c>
      <c r="AH470" s="149" t="b">
        <v>0</v>
      </c>
      <c r="AI470" s="162"/>
      <c r="AJ470" s="143"/>
      <c r="AK470" s="143"/>
      <c r="AL470" s="143"/>
      <c r="AM470" s="143"/>
      <c r="AN470" s="143"/>
      <c r="AO470" s="143"/>
      <c r="AP470" s="143"/>
      <c r="AQ470" s="143"/>
    </row>
    <row r="471" ht="22.5" customHeight="1">
      <c r="A471" s="144" t="s">
        <v>162</v>
      </c>
      <c r="B471" s="145">
        <v>46029.0</v>
      </c>
      <c r="C471" s="721" t="s">
        <v>1698</v>
      </c>
      <c r="D471" s="208" t="s">
        <v>1699</v>
      </c>
      <c r="E471" s="148" t="s">
        <v>28</v>
      </c>
      <c r="F471" s="262" t="s">
        <v>1700</v>
      </c>
      <c r="G471" s="149">
        <v>5.1941770511E10</v>
      </c>
      <c r="H471" s="148" t="s">
        <v>257</v>
      </c>
      <c r="I471" s="150">
        <v>0.2</v>
      </c>
      <c r="J471" s="783">
        <v>959.0</v>
      </c>
      <c r="K471" s="169">
        <f t="shared" si="67"/>
        <v>3840</v>
      </c>
      <c r="L471" s="175">
        <v>4799.0</v>
      </c>
      <c r="M471" s="239">
        <v>4512.27</v>
      </c>
      <c r="N471" s="155">
        <v>999.99</v>
      </c>
      <c r="O471" s="315">
        <f t="shared" si="65"/>
        <v>286.73</v>
      </c>
      <c r="P471" s="344">
        <f t="shared" si="62"/>
        <v>76.73</v>
      </c>
      <c r="Q471" s="510">
        <v>210.0</v>
      </c>
      <c r="R471" s="672" t="b">
        <v>0</v>
      </c>
      <c r="S471" s="318"/>
      <c r="T471" s="319"/>
      <c r="U471" s="315"/>
      <c r="V471" s="144" t="s">
        <v>584</v>
      </c>
      <c r="W471" s="148" t="s">
        <v>968</v>
      </c>
      <c r="X471" s="163"/>
      <c r="Y471" s="144" t="s">
        <v>584</v>
      </c>
      <c r="Z471" s="164"/>
      <c r="AA471" s="116"/>
      <c r="AB471" s="116"/>
      <c r="AC471" s="165"/>
      <c r="AD471" s="675" t="str">
        <f t="shared" si="66"/>
        <v>ENERO</v>
      </c>
      <c r="AE471" s="144" t="s">
        <v>1392</v>
      </c>
      <c r="AF471" s="149" t="b">
        <v>1</v>
      </c>
      <c r="AG471" s="144" t="s">
        <v>1392</v>
      </c>
      <c r="AH471" s="149" t="b">
        <v>0</v>
      </c>
      <c r="AI471" s="162"/>
      <c r="AJ471" s="143"/>
      <c r="AK471" s="143"/>
      <c r="AL471" s="143"/>
      <c r="AM471" s="143"/>
      <c r="AN471" s="143"/>
      <c r="AO471" s="143"/>
      <c r="AP471" s="143"/>
      <c r="AQ471" s="143"/>
    </row>
    <row r="472" ht="22.5" hidden="1" customHeight="1">
      <c r="A472" s="144" t="s">
        <v>34</v>
      </c>
      <c r="B472" s="145">
        <v>46030.0</v>
      </c>
      <c r="C472" s="353" t="s">
        <v>1572</v>
      </c>
      <c r="D472" s="778" t="s">
        <v>1701</v>
      </c>
      <c r="E472" s="148" t="s">
        <v>28</v>
      </c>
      <c r="F472" s="552" t="s">
        <v>1702</v>
      </c>
      <c r="G472" s="149">
        <v>5.1999960601E10</v>
      </c>
      <c r="H472" s="148" t="s">
        <v>257</v>
      </c>
      <c r="I472" s="150">
        <v>0.2</v>
      </c>
      <c r="J472" s="783">
        <v>1499.8</v>
      </c>
      <c r="K472" s="169">
        <f t="shared" si="67"/>
        <v>5999.2</v>
      </c>
      <c r="L472" s="175">
        <v>7499.0</v>
      </c>
      <c r="M472" s="239">
        <v>6856.5</v>
      </c>
      <c r="N472" s="155">
        <v>1499.99</v>
      </c>
      <c r="O472" s="315">
        <f t="shared" si="65"/>
        <v>642.5</v>
      </c>
      <c r="P472" s="344">
        <f t="shared" si="62"/>
        <v>237.5</v>
      </c>
      <c r="Q472" s="510">
        <v>305.0</v>
      </c>
      <c r="R472" s="672" t="b">
        <v>1</v>
      </c>
      <c r="S472" s="318"/>
      <c r="T472" s="319"/>
      <c r="U472" s="343">
        <v>50.0</v>
      </c>
      <c r="V472" s="144" t="s">
        <v>584</v>
      </c>
      <c r="W472" s="148"/>
      <c r="X472" s="163"/>
      <c r="Y472" s="144" t="s">
        <v>584</v>
      </c>
      <c r="Z472" s="164"/>
      <c r="AA472" s="116"/>
      <c r="AB472" s="116"/>
      <c r="AC472" s="165"/>
      <c r="AD472" s="675" t="str">
        <f t="shared" si="66"/>
        <v>ENERO</v>
      </c>
      <c r="AE472" s="144" t="s">
        <v>1392</v>
      </c>
      <c r="AF472" s="149" t="b">
        <v>1</v>
      </c>
      <c r="AG472" s="144" t="s">
        <v>1636</v>
      </c>
      <c r="AH472" s="149" t="b">
        <v>0</v>
      </c>
      <c r="AI472" s="162"/>
      <c r="AJ472" s="143"/>
      <c r="AK472" s="143"/>
      <c r="AL472" s="143"/>
      <c r="AM472" s="143"/>
      <c r="AN472" s="143"/>
      <c r="AO472" s="143"/>
      <c r="AP472" s="143"/>
      <c r="AQ472" s="143"/>
    </row>
    <row r="473" ht="22.5" customHeight="1">
      <c r="A473" s="144" t="s">
        <v>162</v>
      </c>
      <c r="B473" s="145">
        <v>46030.0</v>
      </c>
      <c r="C473" s="188" t="s">
        <v>1703</v>
      </c>
      <c r="D473" s="329" t="s">
        <v>1704</v>
      </c>
      <c r="E473" s="148" t="s">
        <v>28</v>
      </c>
      <c r="F473" s="262" t="s">
        <v>1705</v>
      </c>
      <c r="G473" s="149">
        <v>5.1925923842E10</v>
      </c>
      <c r="H473" s="148" t="s">
        <v>257</v>
      </c>
      <c r="I473" s="150">
        <v>0.5</v>
      </c>
      <c r="J473" s="168">
        <v>7000.0</v>
      </c>
      <c r="K473" s="169">
        <f t="shared" si="67"/>
        <v>6948</v>
      </c>
      <c r="L473" s="170">
        <v>13948.0</v>
      </c>
      <c r="M473" s="239">
        <v>12967.81</v>
      </c>
      <c r="N473" s="155">
        <v>2999.99</v>
      </c>
      <c r="O473" s="315">
        <f t="shared" si="65"/>
        <v>980.19</v>
      </c>
      <c r="P473" s="344">
        <f t="shared" si="62"/>
        <v>321.19</v>
      </c>
      <c r="Q473" s="510">
        <v>210.0</v>
      </c>
      <c r="R473" s="672" t="b">
        <v>0</v>
      </c>
      <c r="S473" s="346">
        <v>449.0</v>
      </c>
      <c r="T473" s="319"/>
      <c r="U473" s="315"/>
      <c r="V473" s="144" t="s">
        <v>584</v>
      </c>
      <c r="W473" s="148" t="s">
        <v>584</v>
      </c>
      <c r="X473" s="163"/>
      <c r="Y473" s="144"/>
      <c r="Z473" s="164"/>
      <c r="AA473" s="116"/>
      <c r="AB473" s="116"/>
      <c r="AC473" s="165"/>
      <c r="AD473" s="675" t="str">
        <f t="shared" si="66"/>
        <v>ENERO</v>
      </c>
      <c r="AE473" s="144" t="s">
        <v>1392</v>
      </c>
      <c r="AF473" s="149" t="b">
        <v>1</v>
      </c>
      <c r="AG473" s="144" t="s">
        <v>1392</v>
      </c>
      <c r="AH473" s="149" t="b">
        <v>0</v>
      </c>
      <c r="AI473" s="162"/>
      <c r="AJ473" s="143"/>
      <c r="AK473" s="143"/>
      <c r="AL473" s="143"/>
      <c r="AM473" s="143"/>
      <c r="AN473" s="143"/>
      <c r="AO473" s="143"/>
      <c r="AP473" s="143"/>
      <c r="AQ473" s="143"/>
    </row>
    <row r="474" ht="22.5" hidden="1" customHeight="1">
      <c r="A474" s="144" t="s">
        <v>34</v>
      </c>
      <c r="B474" s="145">
        <v>46030.0</v>
      </c>
      <c r="C474" s="149" t="s">
        <v>1706</v>
      </c>
      <c r="D474" s="208" t="s">
        <v>1707</v>
      </c>
      <c r="E474" s="148" t="s">
        <v>28</v>
      </c>
      <c r="F474" s="246" t="s">
        <v>1708</v>
      </c>
      <c r="G474" s="149" t="s">
        <v>1709</v>
      </c>
      <c r="H474" s="148" t="s">
        <v>257</v>
      </c>
      <c r="I474" s="150">
        <v>0.2</v>
      </c>
      <c r="J474" s="783">
        <v>1624.32</v>
      </c>
      <c r="K474" s="169">
        <f t="shared" si="67"/>
        <v>6497.29</v>
      </c>
      <c r="L474" s="175">
        <v>8121.61</v>
      </c>
      <c r="M474" s="239">
        <v>7721.58</v>
      </c>
      <c r="N474" s="155">
        <v>1849.99</v>
      </c>
      <c r="O474" s="315">
        <f t="shared" si="65"/>
        <v>400.03</v>
      </c>
      <c r="P474" s="344">
        <f t="shared" si="62"/>
        <v>195.03</v>
      </c>
      <c r="Q474" s="510">
        <v>205.0</v>
      </c>
      <c r="R474" s="785" t="b">
        <v>0</v>
      </c>
      <c r="S474" s="318"/>
      <c r="T474" s="319"/>
      <c r="U474" s="315"/>
      <c r="V474" s="144" t="s">
        <v>584</v>
      </c>
      <c r="W474" s="148"/>
      <c r="X474" s="163"/>
      <c r="Y474" s="144" t="s">
        <v>584</v>
      </c>
      <c r="Z474" s="164"/>
      <c r="AA474" s="116"/>
      <c r="AB474" s="116"/>
      <c r="AC474" s="165"/>
      <c r="AD474" s="675" t="str">
        <f t="shared" si="66"/>
        <v>ENERO</v>
      </c>
      <c r="AE474" s="144" t="s">
        <v>1392</v>
      </c>
      <c r="AF474" s="149" t="b">
        <v>1</v>
      </c>
      <c r="AG474" s="144" t="s">
        <v>1392</v>
      </c>
      <c r="AH474" s="149" t="b">
        <v>0</v>
      </c>
      <c r="AI474" s="162"/>
      <c r="AJ474" s="143"/>
      <c r="AK474" s="143"/>
      <c r="AL474" s="143"/>
      <c r="AM474" s="143"/>
      <c r="AN474" s="143"/>
      <c r="AO474" s="143"/>
      <c r="AP474" s="143"/>
      <c r="AQ474" s="143"/>
    </row>
    <row r="475" ht="22.5" hidden="1" customHeight="1">
      <c r="A475" s="144" t="s">
        <v>259</v>
      </c>
      <c r="B475" s="145">
        <v>46031.0</v>
      </c>
      <c r="C475" s="899" t="s">
        <v>1710</v>
      </c>
      <c r="D475" s="208" t="s">
        <v>1711</v>
      </c>
      <c r="E475" s="148" t="s">
        <v>28</v>
      </c>
      <c r="F475" s="246" t="s">
        <v>1712</v>
      </c>
      <c r="G475" s="149">
        <v>5.1954156339E10</v>
      </c>
      <c r="H475" s="148" t="s">
        <v>257</v>
      </c>
      <c r="I475" s="150">
        <v>0.2</v>
      </c>
      <c r="J475" s="783">
        <v>960.0</v>
      </c>
      <c r="K475" s="169">
        <f t="shared" si="67"/>
        <v>3839</v>
      </c>
      <c r="L475" s="175">
        <v>4799.0</v>
      </c>
      <c r="M475" s="239">
        <v>4508.0</v>
      </c>
      <c r="N475" s="155">
        <v>999.0</v>
      </c>
      <c r="O475" s="315">
        <f t="shared" si="65"/>
        <v>291</v>
      </c>
      <c r="P475" s="344">
        <f t="shared" si="62"/>
        <v>191</v>
      </c>
      <c r="Q475" s="510">
        <v>100.0</v>
      </c>
      <c r="R475" s="672" t="b">
        <v>0</v>
      </c>
      <c r="S475" s="318"/>
      <c r="T475" s="319"/>
      <c r="U475" s="315"/>
      <c r="V475" s="144" t="s">
        <v>584</v>
      </c>
      <c r="W475" s="148"/>
      <c r="X475" s="163"/>
      <c r="Y475" s="144" t="s">
        <v>584</v>
      </c>
      <c r="Z475" s="164"/>
      <c r="AA475" s="116"/>
      <c r="AB475" s="116"/>
      <c r="AC475" s="165"/>
      <c r="AD475" s="675" t="str">
        <f t="shared" si="66"/>
        <v>ENERO</v>
      </c>
      <c r="AE475" s="144" t="s">
        <v>1392</v>
      </c>
      <c r="AF475" s="149" t="b">
        <v>1</v>
      </c>
      <c r="AG475" s="144" t="s">
        <v>1636</v>
      </c>
      <c r="AH475" s="149" t="b">
        <v>0</v>
      </c>
      <c r="AI475" s="162"/>
      <c r="AJ475" s="143"/>
      <c r="AK475" s="143"/>
      <c r="AL475" s="143"/>
      <c r="AM475" s="143"/>
      <c r="AN475" s="143"/>
      <c r="AO475" s="143"/>
      <c r="AP475" s="143"/>
      <c r="AQ475" s="143"/>
    </row>
    <row r="476" ht="22.5" hidden="1" customHeight="1">
      <c r="A476" s="144" t="s">
        <v>259</v>
      </c>
      <c r="B476" s="145">
        <v>45666.0</v>
      </c>
      <c r="C476" s="591" t="s">
        <v>1713</v>
      </c>
      <c r="D476" s="208" t="s">
        <v>1714</v>
      </c>
      <c r="E476" s="148" t="s">
        <v>28</v>
      </c>
      <c r="F476" s="861" t="s">
        <v>1715</v>
      </c>
      <c r="G476" s="165"/>
      <c r="H476" s="148" t="s">
        <v>257</v>
      </c>
      <c r="I476" s="148" t="s">
        <v>61</v>
      </c>
      <c r="J476" s="783">
        <v>5000.0</v>
      </c>
      <c r="K476" s="169">
        <f t="shared" si="67"/>
        <v>2999</v>
      </c>
      <c r="L476" s="175">
        <v>7999.0</v>
      </c>
      <c r="M476" s="239">
        <v>7320.0</v>
      </c>
      <c r="N476" s="155">
        <v>1739.0</v>
      </c>
      <c r="O476" s="315">
        <f t="shared" si="65"/>
        <v>679</v>
      </c>
      <c r="P476" s="344">
        <f t="shared" si="62"/>
        <v>579</v>
      </c>
      <c r="Q476" s="510">
        <v>100.0</v>
      </c>
      <c r="R476" s="672" t="b">
        <v>0</v>
      </c>
      <c r="S476" s="318"/>
      <c r="T476" s="319"/>
      <c r="U476" s="315"/>
      <c r="V476" s="144" t="s">
        <v>584</v>
      </c>
      <c r="W476" s="148"/>
      <c r="X476" s="163"/>
      <c r="Y476" s="162"/>
      <c r="Z476" s="164"/>
      <c r="AA476" s="116"/>
      <c r="AB476" s="116"/>
      <c r="AC476" s="165"/>
      <c r="AD476" s="675" t="str">
        <f t="shared" si="66"/>
        <v>ENERO</v>
      </c>
      <c r="AE476" s="144" t="s">
        <v>1392</v>
      </c>
      <c r="AF476" s="149" t="b">
        <v>1</v>
      </c>
      <c r="AG476" s="144" t="s">
        <v>1636</v>
      </c>
      <c r="AH476" s="149" t="b">
        <v>0</v>
      </c>
      <c r="AI476" s="162"/>
      <c r="AJ476" s="143"/>
      <c r="AK476" s="143"/>
      <c r="AL476" s="143"/>
      <c r="AM476" s="143"/>
      <c r="AN476" s="143"/>
      <c r="AO476" s="143"/>
      <c r="AP476" s="143"/>
      <c r="AQ476" s="143"/>
    </row>
    <row r="477" ht="22.5" hidden="1" customHeight="1">
      <c r="A477" s="144" t="s">
        <v>34</v>
      </c>
      <c r="B477" s="145">
        <v>46032.0</v>
      </c>
      <c r="C477" s="149" t="s">
        <v>1716</v>
      </c>
      <c r="D477" s="778" t="s">
        <v>1717</v>
      </c>
      <c r="E477" s="148" t="s">
        <v>28</v>
      </c>
      <c r="F477" s="246" t="s">
        <v>1718</v>
      </c>
      <c r="G477" s="149">
        <v>5.1990445793E10</v>
      </c>
      <c r="H477" s="148" t="s">
        <v>257</v>
      </c>
      <c r="I477" s="150">
        <v>0.2</v>
      </c>
      <c r="J477" s="783">
        <v>1279.8</v>
      </c>
      <c r="K477" s="169">
        <f t="shared" si="67"/>
        <v>5119.2</v>
      </c>
      <c r="L477" s="175">
        <v>6399.0</v>
      </c>
      <c r="M477" s="239">
        <v>5958.91</v>
      </c>
      <c r="N477" s="155">
        <v>1399.99</v>
      </c>
      <c r="O477" s="315">
        <f t="shared" si="65"/>
        <v>440.09</v>
      </c>
      <c r="P477" s="344">
        <f t="shared" si="62"/>
        <v>135.09</v>
      </c>
      <c r="Q477" s="510">
        <v>305.0</v>
      </c>
      <c r="R477" s="672" t="b">
        <v>0</v>
      </c>
      <c r="S477" s="318"/>
      <c r="T477" s="319"/>
      <c r="U477" s="315"/>
      <c r="V477" s="144" t="s">
        <v>584</v>
      </c>
      <c r="W477" s="148"/>
      <c r="X477" s="163"/>
      <c r="Y477" s="144" t="s">
        <v>584</v>
      </c>
      <c r="Z477" s="164"/>
      <c r="AA477" s="116"/>
      <c r="AB477" s="116"/>
      <c r="AC477" s="165"/>
      <c r="AD477" s="675" t="str">
        <f t="shared" si="66"/>
        <v>ENERO</v>
      </c>
      <c r="AE477" s="144" t="s">
        <v>1392</v>
      </c>
      <c r="AF477" s="149" t="b">
        <v>1</v>
      </c>
      <c r="AG477" s="144" t="s">
        <v>1636</v>
      </c>
      <c r="AH477" s="149" t="b">
        <v>0</v>
      </c>
      <c r="AI477" s="162"/>
      <c r="AJ477" s="143"/>
      <c r="AK477" s="143"/>
      <c r="AL477" s="143"/>
      <c r="AM477" s="143"/>
      <c r="AN477" s="143"/>
      <c r="AO477" s="143"/>
      <c r="AP477" s="143"/>
      <c r="AQ477" s="143"/>
    </row>
    <row r="478" ht="22.5" hidden="1" customHeight="1">
      <c r="A478" s="144" t="s">
        <v>34</v>
      </c>
      <c r="B478" s="145">
        <v>46032.0</v>
      </c>
      <c r="C478" s="149" t="s">
        <v>1719</v>
      </c>
      <c r="D478" s="208" t="s">
        <v>1720</v>
      </c>
      <c r="E478" s="148" t="s">
        <v>28</v>
      </c>
      <c r="F478" s="262" t="s">
        <v>1721</v>
      </c>
      <c r="G478" s="149">
        <v>5.19840072E10</v>
      </c>
      <c r="H478" s="148" t="s">
        <v>257</v>
      </c>
      <c r="I478" s="150">
        <v>0.2</v>
      </c>
      <c r="J478" s="783">
        <v>1819.8</v>
      </c>
      <c r="K478" s="169">
        <f t="shared" si="67"/>
        <v>7279.2</v>
      </c>
      <c r="L478" s="175">
        <v>9099.0</v>
      </c>
      <c r="M478" s="239">
        <v>8504.22</v>
      </c>
      <c r="N478" s="155">
        <v>1999.0</v>
      </c>
      <c r="O478" s="315">
        <f t="shared" si="65"/>
        <v>594.78</v>
      </c>
      <c r="P478" s="344">
        <f t="shared" si="62"/>
        <v>239.78</v>
      </c>
      <c r="Q478" s="510">
        <v>305.0</v>
      </c>
      <c r="R478" s="672" t="b">
        <v>1</v>
      </c>
      <c r="S478" s="318"/>
      <c r="T478" s="319"/>
      <c r="U478" s="315"/>
      <c r="V478" s="144" t="s">
        <v>584</v>
      </c>
      <c r="W478" s="148" t="s">
        <v>584</v>
      </c>
      <c r="X478" s="163"/>
      <c r="Y478" s="144" t="s">
        <v>584</v>
      </c>
      <c r="Z478" s="10" t="s">
        <v>1722</v>
      </c>
      <c r="AA478" s="116"/>
      <c r="AB478" s="116"/>
      <c r="AC478" s="165"/>
      <c r="AD478" s="675" t="str">
        <f t="shared" si="66"/>
        <v>ENERO</v>
      </c>
      <c r="AE478" s="144" t="s">
        <v>1392</v>
      </c>
      <c r="AF478" s="149" t="b">
        <v>1</v>
      </c>
      <c r="AG478" s="144" t="s">
        <v>1636</v>
      </c>
      <c r="AH478" s="149" t="b">
        <v>0</v>
      </c>
      <c r="AI478" s="162"/>
      <c r="AJ478" s="143"/>
      <c r="AK478" s="143"/>
      <c r="AL478" s="143"/>
      <c r="AM478" s="143"/>
      <c r="AN478" s="143"/>
      <c r="AO478" s="143"/>
      <c r="AP478" s="143"/>
      <c r="AQ478" s="143"/>
    </row>
    <row r="479" ht="22.5" hidden="1" customHeight="1">
      <c r="A479" s="144" t="s">
        <v>34</v>
      </c>
      <c r="B479" s="145">
        <v>46034.0</v>
      </c>
      <c r="C479" s="900" t="s">
        <v>1719</v>
      </c>
      <c r="D479" s="208" t="s">
        <v>1723</v>
      </c>
      <c r="E479" s="148" t="s">
        <v>28</v>
      </c>
      <c r="F479" s="901" t="s">
        <v>1724</v>
      </c>
      <c r="G479" s="149">
        <v>5.1933571118E10</v>
      </c>
      <c r="H479" s="148" t="s">
        <v>257</v>
      </c>
      <c r="I479" s="150">
        <v>0.2</v>
      </c>
      <c r="J479" s="783">
        <v>1819.8</v>
      </c>
      <c r="K479" s="169">
        <f t="shared" si="67"/>
        <v>7279.2</v>
      </c>
      <c r="L479" s="175">
        <v>9099.0</v>
      </c>
      <c r="M479" s="239">
        <v>8479.06</v>
      </c>
      <c r="N479" s="155">
        <v>1999.0</v>
      </c>
      <c r="O479" s="315">
        <f t="shared" si="65"/>
        <v>619.94</v>
      </c>
      <c r="P479" s="344">
        <f t="shared" si="62"/>
        <v>264.94</v>
      </c>
      <c r="Q479" s="510">
        <v>305.0</v>
      </c>
      <c r="R479" s="672" t="b">
        <v>1</v>
      </c>
      <c r="S479" s="318"/>
      <c r="T479" s="319"/>
      <c r="U479" s="315"/>
      <c r="V479" s="144" t="s">
        <v>584</v>
      </c>
      <c r="W479" s="148"/>
      <c r="X479" s="163"/>
      <c r="Y479" s="144" t="s">
        <v>584</v>
      </c>
      <c r="Z479" s="164"/>
      <c r="AA479" s="116"/>
      <c r="AB479" s="116"/>
      <c r="AC479" s="165"/>
      <c r="AD479" s="675" t="str">
        <f t="shared" si="66"/>
        <v>ENERO</v>
      </c>
      <c r="AE479" s="144" t="s">
        <v>1392</v>
      </c>
      <c r="AF479" s="149" t="b">
        <v>1</v>
      </c>
      <c r="AG479" s="144" t="s">
        <v>1636</v>
      </c>
      <c r="AH479" s="149" t="b">
        <v>0</v>
      </c>
      <c r="AI479" s="162"/>
      <c r="AJ479" s="143"/>
      <c r="AK479" s="143"/>
      <c r="AL479" s="143"/>
      <c r="AM479" s="143"/>
      <c r="AN479" s="143"/>
      <c r="AO479" s="143"/>
      <c r="AP479" s="143"/>
      <c r="AQ479" s="143"/>
    </row>
    <row r="480" ht="22.5" customHeight="1">
      <c r="A480" s="144" t="s">
        <v>162</v>
      </c>
      <c r="B480" s="145">
        <v>46034.0</v>
      </c>
      <c r="C480" s="721" t="s">
        <v>1488</v>
      </c>
      <c r="D480" s="329" t="s">
        <v>1725</v>
      </c>
      <c r="E480" s="148" t="s">
        <v>28</v>
      </c>
      <c r="F480" s="262" t="s">
        <v>1726</v>
      </c>
      <c r="G480" s="149">
        <v>5.1976192476E10</v>
      </c>
      <c r="H480" s="148" t="s">
        <v>257</v>
      </c>
      <c r="I480" s="150">
        <v>0.3</v>
      </c>
      <c r="J480" s="783">
        <v>2789.0</v>
      </c>
      <c r="K480" s="169">
        <f t="shared" si="67"/>
        <v>6510</v>
      </c>
      <c r="L480" s="175">
        <v>9299.0</v>
      </c>
      <c r="M480" s="239">
        <v>9050.25</v>
      </c>
      <c r="N480" s="155">
        <v>2179.99</v>
      </c>
      <c r="O480" s="315">
        <f t="shared" si="65"/>
        <v>248.75</v>
      </c>
      <c r="P480" s="344">
        <f t="shared" si="62"/>
        <v>38.75</v>
      </c>
      <c r="Q480" s="510">
        <v>210.0</v>
      </c>
      <c r="R480" s="672" t="b">
        <v>0</v>
      </c>
      <c r="S480" s="318"/>
      <c r="T480" s="319"/>
      <c r="U480" s="315"/>
      <c r="V480" s="144" t="s">
        <v>584</v>
      </c>
      <c r="W480" s="148" t="s">
        <v>584</v>
      </c>
      <c r="X480" s="163"/>
      <c r="Y480" s="144" t="s">
        <v>584</v>
      </c>
      <c r="Z480" s="164"/>
      <c r="AA480" s="116"/>
      <c r="AB480" s="116"/>
      <c r="AC480" s="165"/>
      <c r="AD480" s="675" t="str">
        <f t="shared" si="66"/>
        <v>ENERO</v>
      </c>
      <c r="AE480" s="144" t="s">
        <v>1392</v>
      </c>
      <c r="AF480" s="149" t="b">
        <v>1</v>
      </c>
      <c r="AG480" s="144" t="s">
        <v>1392</v>
      </c>
      <c r="AH480" s="149" t="b">
        <v>0</v>
      </c>
      <c r="AI480" s="162"/>
      <c r="AJ480" s="143"/>
      <c r="AK480" s="143"/>
      <c r="AL480" s="143"/>
      <c r="AM480" s="143"/>
      <c r="AN480" s="143"/>
      <c r="AO480" s="143"/>
      <c r="AP480" s="143"/>
      <c r="AQ480" s="143"/>
    </row>
    <row r="481" ht="22.5" customHeight="1">
      <c r="A481" s="144" t="s">
        <v>162</v>
      </c>
      <c r="B481" s="145">
        <v>46035.0</v>
      </c>
      <c r="C481" s="721" t="s">
        <v>1533</v>
      </c>
      <c r="D481" s="208" t="s">
        <v>1727</v>
      </c>
      <c r="E481" s="148" t="s">
        <v>28</v>
      </c>
      <c r="F481" s="262" t="s">
        <v>1728</v>
      </c>
      <c r="G481" s="149">
        <v>5.1946585489E10</v>
      </c>
      <c r="H481" s="148" t="s">
        <v>257</v>
      </c>
      <c r="I481" s="150">
        <v>0.3</v>
      </c>
      <c r="J481" s="783">
        <v>2579.0</v>
      </c>
      <c r="K481" s="169">
        <f t="shared" si="67"/>
        <v>6020</v>
      </c>
      <c r="L481" s="175">
        <v>8599.0</v>
      </c>
      <c r="M481" s="239">
        <v>8399.27</v>
      </c>
      <c r="N481" s="155">
        <v>1999.99</v>
      </c>
      <c r="O481" s="315">
        <f t="shared" si="65"/>
        <v>199.73</v>
      </c>
      <c r="P481" s="344">
        <f t="shared" si="62"/>
        <v>29.73</v>
      </c>
      <c r="Q481" s="510">
        <v>170.0</v>
      </c>
      <c r="R481" s="672" t="b">
        <v>0</v>
      </c>
      <c r="S481" s="318"/>
      <c r="T481" s="319"/>
      <c r="U481" s="315"/>
      <c r="V481" s="144" t="s">
        <v>584</v>
      </c>
      <c r="W481" s="148" t="s">
        <v>968</v>
      </c>
      <c r="X481" s="163"/>
      <c r="Y481" s="144" t="s">
        <v>584</v>
      </c>
      <c r="Z481" s="164"/>
      <c r="AA481" s="116"/>
      <c r="AB481" s="116"/>
      <c r="AC481" s="165"/>
      <c r="AD481" s="675" t="str">
        <f t="shared" si="66"/>
        <v>ENERO</v>
      </c>
      <c r="AE481" s="144" t="s">
        <v>1392</v>
      </c>
      <c r="AF481" s="149" t="b">
        <v>1</v>
      </c>
      <c r="AG481" s="144" t="s">
        <v>1392</v>
      </c>
      <c r="AH481" s="149" t="b">
        <v>0</v>
      </c>
      <c r="AI481" s="162"/>
      <c r="AJ481" s="143"/>
      <c r="AK481" s="143"/>
      <c r="AL481" s="143"/>
      <c r="AM481" s="143"/>
      <c r="AN481" s="143"/>
      <c r="AO481" s="143"/>
      <c r="AP481" s="143"/>
      <c r="AQ481" s="143"/>
    </row>
    <row r="482" ht="22.5" customHeight="1">
      <c r="A482" s="144" t="s">
        <v>162</v>
      </c>
      <c r="B482" s="145">
        <v>46035.0</v>
      </c>
      <c r="C482" s="149" t="s">
        <v>1729</v>
      </c>
      <c r="D482" s="208" t="s">
        <v>1730</v>
      </c>
      <c r="E482" s="148" t="s">
        <v>28</v>
      </c>
      <c r="F482" s="149" t="s">
        <v>1731</v>
      </c>
      <c r="G482" s="149">
        <v>5.1944021696E10</v>
      </c>
      <c r="H482" s="148" t="s">
        <v>257</v>
      </c>
      <c r="I482" s="150">
        <v>1.0</v>
      </c>
      <c r="J482" s="168">
        <v>300.0</v>
      </c>
      <c r="K482" s="169">
        <f t="shared" si="67"/>
        <v>9000</v>
      </c>
      <c r="L482" s="170">
        <v>9300.0</v>
      </c>
      <c r="M482" s="239">
        <v>9206.0</v>
      </c>
      <c r="N482" s="155">
        <v>2099.99</v>
      </c>
      <c r="O482" s="315">
        <f t="shared" si="65"/>
        <v>94</v>
      </c>
      <c r="P482" s="344">
        <f t="shared" si="62"/>
        <v>94</v>
      </c>
      <c r="Q482" s="321"/>
      <c r="R482" s="672" t="b">
        <v>0</v>
      </c>
      <c r="S482" s="318"/>
      <c r="T482" s="319"/>
      <c r="U482" s="315"/>
      <c r="V482" s="144" t="s">
        <v>584</v>
      </c>
      <c r="W482" s="148" t="s">
        <v>584</v>
      </c>
      <c r="X482" s="163"/>
      <c r="Y482" s="144" t="s">
        <v>584</v>
      </c>
      <c r="Z482" s="164"/>
      <c r="AA482" s="116"/>
      <c r="AB482" s="116"/>
      <c r="AC482" s="165"/>
      <c r="AD482" s="675" t="str">
        <f t="shared" si="66"/>
        <v>ENERO</v>
      </c>
      <c r="AE482" s="144" t="s">
        <v>1392</v>
      </c>
      <c r="AF482" s="149" t="b">
        <v>1</v>
      </c>
      <c r="AG482" s="144" t="s">
        <v>1392</v>
      </c>
      <c r="AH482" s="149" t="b">
        <v>0</v>
      </c>
      <c r="AI482" s="162"/>
      <c r="AJ482" s="143"/>
      <c r="AK482" s="143"/>
      <c r="AL482" s="143"/>
      <c r="AM482" s="143"/>
      <c r="AN482" s="143"/>
      <c r="AO482" s="143"/>
      <c r="AP482" s="143"/>
      <c r="AQ482" s="143"/>
    </row>
    <row r="483" ht="22.5" hidden="1" customHeight="1">
      <c r="A483" s="144" t="s">
        <v>34</v>
      </c>
      <c r="B483" s="145">
        <v>46035.0</v>
      </c>
      <c r="C483" s="647" t="s">
        <v>1152</v>
      </c>
      <c r="D483" s="643" t="s">
        <v>1732</v>
      </c>
      <c r="E483" s="148" t="s">
        <v>28</v>
      </c>
      <c r="F483" s="859" t="s">
        <v>1733</v>
      </c>
      <c r="G483" s="149" t="s">
        <v>1734</v>
      </c>
      <c r="H483" s="148" t="s">
        <v>257</v>
      </c>
      <c r="I483" s="150">
        <v>1.0</v>
      </c>
      <c r="J483" s="352"/>
      <c r="K483" s="271" t="str">
        <f t="shared" si="67"/>
        <v/>
      </c>
      <c r="L483" s="170">
        <v>7599.0</v>
      </c>
      <c r="M483" s="239">
        <v>6253.0</v>
      </c>
      <c r="N483" s="155">
        <v>1449.99</v>
      </c>
      <c r="O483" s="315">
        <f t="shared" si="65"/>
        <v>1346</v>
      </c>
      <c r="P483" s="344">
        <f t="shared" si="62"/>
        <v>686</v>
      </c>
      <c r="Q483" s="510">
        <v>305.0</v>
      </c>
      <c r="R483" s="672" t="b">
        <v>1</v>
      </c>
      <c r="S483" s="318"/>
      <c r="T483" s="347">
        <v>305.0</v>
      </c>
      <c r="U483" s="315"/>
      <c r="V483" s="144" t="s">
        <v>584</v>
      </c>
      <c r="W483" s="148"/>
      <c r="X483" s="163"/>
      <c r="Y483" s="162"/>
      <c r="Z483" s="164"/>
      <c r="AA483" s="116"/>
      <c r="AB483" s="116"/>
      <c r="AC483" s="165"/>
      <c r="AD483" s="675" t="str">
        <f t="shared" si="66"/>
        <v>ENERO</v>
      </c>
      <c r="AE483" s="144" t="s">
        <v>1392</v>
      </c>
      <c r="AF483" s="149" t="b">
        <v>1</v>
      </c>
      <c r="AG483" s="144" t="s">
        <v>1392</v>
      </c>
      <c r="AH483" s="149" t="b">
        <v>0</v>
      </c>
      <c r="AI483" s="162"/>
      <c r="AJ483" s="143"/>
      <c r="AK483" s="143"/>
      <c r="AL483" s="143"/>
      <c r="AM483" s="143"/>
      <c r="AN483" s="143"/>
      <c r="AO483" s="143"/>
      <c r="AP483" s="143"/>
      <c r="AQ483" s="143"/>
    </row>
    <row r="484" ht="22.5" hidden="1" customHeight="1">
      <c r="A484" s="144" t="s">
        <v>34</v>
      </c>
      <c r="B484" s="145">
        <v>46035.0</v>
      </c>
      <c r="C484" s="149" t="s">
        <v>1735</v>
      </c>
      <c r="D484" s="208" t="s">
        <v>1736</v>
      </c>
      <c r="E484" s="148" t="s">
        <v>28</v>
      </c>
      <c r="F484" s="246" t="s">
        <v>1737</v>
      </c>
      <c r="G484" s="149" t="s">
        <v>1738</v>
      </c>
      <c r="H484" s="148" t="s">
        <v>257</v>
      </c>
      <c r="I484" s="150">
        <v>0.2</v>
      </c>
      <c r="J484" s="783">
        <v>1236.45</v>
      </c>
      <c r="K484" s="169">
        <f t="shared" si="67"/>
        <v>4945.8</v>
      </c>
      <c r="L484" s="902">
        <v>6182.25</v>
      </c>
      <c r="M484" s="239">
        <v>6032.21</v>
      </c>
      <c r="N484" s="155">
        <v>1399.99</v>
      </c>
      <c r="O484" s="315">
        <f t="shared" si="65"/>
        <v>150.04</v>
      </c>
      <c r="P484" s="344">
        <f t="shared" si="62"/>
        <v>120.04</v>
      </c>
      <c r="Q484" s="510"/>
      <c r="R484" s="672" t="b">
        <v>0</v>
      </c>
      <c r="S484" s="318"/>
      <c r="T484" s="347"/>
      <c r="U484" s="343">
        <v>30.0</v>
      </c>
      <c r="V484" s="144" t="s">
        <v>584</v>
      </c>
      <c r="W484" s="148"/>
      <c r="X484" s="163"/>
      <c r="Y484" s="144" t="s">
        <v>584</v>
      </c>
      <c r="Z484" s="164"/>
      <c r="AA484" s="116"/>
      <c r="AB484" s="116"/>
      <c r="AC484" s="165"/>
      <c r="AD484" s="675" t="str">
        <f t="shared" si="66"/>
        <v>ENERO</v>
      </c>
      <c r="AE484" s="144" t="s">
        <v>1392</v>
      </c>
      <c r="AF484" s="149" t="b">
        <v>1</v>
      </c>
      <c r="AG484" s="144" t="s">
        <v>1636</v>
      </c>
      <c r="AH484" s="149" t="b">
        <v>0</v>
      </c>
      <c r="AI484" s="162"/>
      <c r="AJ484" s="143"/>
      <c r="AK484" s="143"/>
      <c r="AL484" s="143"/>
      <c r="AM484" s="143"/>
      <c r="AN484" s="143"/>
      <c r="AO484" s="143"/>
      <c r="AP484" s="143"/>
      <c r="AQ484" s="143"/>
    </row>
    <row r="485" ht="22.5" customHeight="1">
      <c r="A485" s="144" t="s">
        <v>162</v>
      </c>
      <c r="B485" s="145">
        <v>46037.0</v>
      </c>
      <c r="C485" s="149" t="s">
        <v>1739</v>
      </c>
      <c r="D485" s="208" t="s">
        <v>1740</v>
      </c>
      <c r="E485" s="148" t="s">
        <v>28</v>
      </c>
      <c r="F485" s="249" t="s">
        <v>1741</v>
      </c>
      <c r="G485" s="149" t="s">
        <v>1742</v>
      </c>
      <c r="H485" s="148" t="s">
        <v>257</v>
      </c>
      <c r="I485" s="150">
        <v>0.3</v>
      </c>
      <c r="J485" s="783">
        <v>2669.0</v>
      </c>
      <c r="K485" s="169">
        <f t="shared" si="67"/>
        <v>6230</v>
      </c>
      <c r="L485" s="175">
        <v>8899.0</v>
      </c>
      <c r="M485" s="239">
        <v>8479.06</v>
      </c>
      <c r="N485" s="155">
        <v>1999.0</v>
      </c>
      <c r="O485" s="315">
        <f t="shared" si="65"/>
        <v>419.94</v>
      </c>
      <c r="P485" s="344">
        <f t="shared" si="62"/>
        <v>209.94</v>
      </c>
      <c r="Q485" s="510">
        <v>210.0</v>
      </c>
      <c r="R485" s="672" t="b">
        <v>0</v>
      </c>
      <c r="S485" s="318"/>
      <c r="T485" s="319"/>
      <c r="U485" s="315"/>
      <c r="V485" s="144" t="s">
        <v>584</v>
      </c>
      <c r="W485" s="148"/>
      <c r="X485" s="163"/>
      <c r="Y485" s="144" t="s">
        <v>584</v>
      </c>
      <c r="Z485" s="164"/>
      <c r="AA485" s="116"/>
      <c r="AB485" s="116"/>
      <c r="AC485" s="165"/>
      <c r="AD485" s="675" t="str">
        <f t="shared" si="66"/>
        <v>ENERO</v>
      </c>
      <c r="AE485" s="144" t="s">
        <v>1392</v>
      </c>
      <c r="AF485" s="149" t="b">
        <v>1</v>
      </c>
      <c r="AG485" s="144" t="s">
        <v>1636</v>
      </c>
      <c r="AH485" s="149" t="b">
        <v>0</v>
      </c>
      <c r="AI485" s="162"/>
      <c r="AJ485" s="143"/>
      <c r="AK485" s="143"/>
      <c r="AL485" s="143"/>
      <c r="AM485" s="143"/>
      <c r="AN485" s="143"/>
      <c r="AO485" s="143"/>
      <c r="AP485" s="143"/>
      <c r="AQ485" s="143"/>
    </row>
    <row r="486" ht="22.5" customHeight="1">
      <c r="A486" s="144" t="s">
        <v>162</v>
      </c>
      <c r="B486" s="145">
        <v>46038.0</v>
      </c>
      <c r="C486" s="149" t="s">
        <v>1743</v>
      </c>
      <c r="D486" s="208" t="s">
        <v>1744</v>
      </c>
      <c r="E486" s="148" t="s">
        <v>28</v>
      </c>
      <c r="F486" s="149" t="s">
        <v>1745</v>
      </c>
      <c r="G486" s="149" t="s">
        <v>1746</v>
      </c>
      <c r="H486" s="148" t="s">
        <v>257</v>
      </c>
      <c r="I486" s="150">
        <v>0.5</v>
      </c>
      <c r="J486" s="783">
        <v>5000.0</v>
      </c>
      <c r="K486" s="557">
        <f t="shared" si="67"/>
        <v>5526</v>
      </c>
      <c r="L486" s="175">
        <v>10526.0</v>
      </c>
      <c r="M486" s="239">
        <v>10161.0</v>
      </c>
      <c r="N486" s="155">
        <v>2449.99</v>
      </c>
      <c r="O486" s="315">
        <f t="shared" si="65"/>
        <v>365</v>
      </c>
      <c r="P486" s="344">
        <f t="shared" si="62"/>
        <v>10</v>
      </c>
      <c r="Q486" s="510">
        <v>330.0</v>
      </c>
      <c r="R486" s="672" t="b">
        <v>0</v>
      </c>
      <c r="S486" s="318"/>
      <c r="T486" s="319"/>
      <c r="U486" s="343">
        <v>25.0</v>
      </c>
      <c r="V486" s="144" t="s">
        <v>584</v>
      </c>
      <c r="W486" s="148" t="s">
        <v>584</v>
      </c>
      <c r="X486" s="163"/>
      <c r="Y486" s="144" t="s">
        <v>584</v>
      </c>
      <c r="Z486" s="10" t="s">
        <v>1747</v>
      </c>
      <c r="AA486" s="116"/>
      <c r="AB486" s="116"/>
      <c r="AC486" s="165"/>
      <c r="AD486" s="675" t="str">
        <f t="shared" si="66"/>
        <v>ENERO</v>
      </c>
      <c r="AE486" s="144" t="s">
        <v>1392</v>
      </c>
      <c r="AF486" s="149" t="b">
        <v>1</v>
      </c>
      <c r="AG486" s="144" t="s">
        <v>1392</v>
      </c>
      <c r="AH486" s="149" t="b">
        <v>0</v>
      </c>
      <c r="AI486" s="162"/>
      <c r="AJ486" s="143"/>
      <c r="AK486" s="143"/>
      <c r="AL486" s="143"/>
      <c r="AM486" s="143"/>
      <c r="AN486" s="143"/>
      <c r="AO486" s="143"/>
      <c r="AP486" s="143"/>
      <c r="AQ486" s="143"/>
    </row>
    <row r="487" ht="22.5" customHeight="1">
      <c r="A487" s="144" t="s">
        <v>162</v>
      </c>
      <c r="B487" s="145">
        <v>46038.0</v>
      </c>
      <c r="C487" s="149" t="s">
        <v>1678</v>
      </c>
      <c r="D487" s="208" t="s">
        <v>1748</v>
      </c>
      <c r="E487" s="148" t="s">
        <v>28</v>
      </c>
      <c r="F487" s="248" t="s">
        <v>1749</v>
      </c>
      <c r="G487" s="149" t="s">
        <v>1750</v>
      </c>
      <c r="H487" s="148" t="s">
        <v>257</v>
      </c>
      <c r="I487" s="150">
        <v>1.0</v>
      </c>
      <c r="J487" s="168">
        <v>300.0</v>
      </c>
      <c r="K487" s="169">
        <f t="shared" si="67"/>
        <v>7999</v>
      </c>
      <c r="L487" s="170">
        <v>8299.0</v>
      </c>
      <c r="M487" s="239">
        <v>7893.0</v>
      </c>
      <c r="N487" s="155">
        <v>1799.99</v>
      </c>
      <c r="O487" s="315">
        <f t="shared" si="65"/>
        <v>406</v>
      </c>
      <c r="P487" s="344">
        <f t="shared" si="62"/>
        <v>196</v>
      </c>
      <c r="Q487" s="510">
        <v>210.0</v>
      </c>
      <c r="R487" s="672" t="b">
        <v>0</v>
      </c>
      <c r="S487" s="318"/>
      <c r="T487" s="319"/>
      <c r="U487" s="315"/>
      <c r="V487" s="144" t="s">
        <v>584</v>
      </c>
      <c r="W487" s="148" t="s">
        <v>584</v>
      </c>
      <c r="X487" s="163"/>
      <c r="Y487" s="144" t="s">
        <v>584</v>
      </c>
      <c r="Z487" s="164"/>
      <c r="AA487" s="116"/>
      <c r="AB487" s="116"/>
      <c r="AC487" s="165"/>
      <c r="AD487" s="675" t="str">
        <f t="shared" si="66"/>
        <v>ENERO</v>
      </c>
      <c r="AE487" s="144" t="s">
        <v>1392</v>
      </c>
      <c r="AF487" s="149" t="b">
        <v>1</v>
      </c>
      <c r="AG487" s="144" t="s">
        <v>1392</v>
      </c>
      <c r="AH487" s="149" t="b">
        <v>0</v>
      </c>
      <c r="AI487" s="162"/>
      <c r="AJ487" s="143"/>
      <c r="AK487" s="143"/>
      <c r="AL487" s="143"/>
      <c r="AM487" s="143"/>
      <c r="AN487" s="143"/>
      <c r="AO487" s="143"/>
      <c r="AP487" s="143"/>
      <c r="AQ487" s="143"/>
    </row>
    <row r="488" ht="22.5" hidden="1" customHeight="1">
      <c r="A488" s="144" t="s">
        <v>34</v>
      </c>
      <c r="B488" s="145">
        <v>46039.0</v>
      </c>
      <c r="C488" s="647" t="s">
        <v>1152</v>
      </c>
      <c r="D488" s="208" t="s">
        <v>1751</v>
      </c>
      <c r="E488" s="148" t="s">
        <v>28</v>
      </c>
      <c r="F488" s="903" t="s">
        <v>1752</v>
      </c>
      <c r="G488" s="149">
        <v>5.1980434769E10</v>
      </c>
      <c r="H488" s="148" t="s">
        <v>257</v>
      </c>
      <c r="I488" s="150">
        <v>0.2</v>
      </c>
      <c r="J488" s="783">
        <v>1420.0</v>
      </c>
      <c r="K488" s="169">
        <f t="shared" si="67"/>
        <v>5679</v>
      </c>
      <c r="L488" s="175">
        <v>7099.0</v>
      </c>
      <c r="M488" s="239">
        <v>6636.6</v>
      </c>
      <c r="N488" s="155">
        <v>1549.99</v>
      </c>
      <c r="O488" s="315">
        <f t="shared" si="65"/>
        <v>462.4</v>
      </c>
      <c r="P488" s="344">
        <f t="shared" si="62"/>
        <v>107.4</v>
      </c>
      <c r="Q488" s="510">
        <v>305.0</v>
      </c>
      <c r="R488" s="672" t="b">
        <v>1</v>
      </c>
      <c r="S488" s="318"/>
      <c r="T488" s="319"/>
      <c r="U488" s="315"/>
      <c r="V488" s="144" t="s">
        <v>584</v>
      </c>
      <c r="W488" s="148" t="s">
        <v>584</v>
      </c>
      <c r="X488" s="819" t="s">
        <v>1753</v>
      </c>
      <c r="Y488" s="144" t="s">
        <v>584</v>
      </c>
      <c r="Z488" s="164"/>
      <c r="AA488" s="116"/>
      <c r="AB488" s="116"/>
      <c r="AC488" s="165"/>
      <c r="AD488" s="675" t="str">
        <f t="shared" si="66"/>
        <v>ENERO</v>
      </c>
      <c r="AE488" s="144" t="s">
        <v>1392</v>
      </c>
      <c r="AF488" s="149" t="b">
        <v>1</v>
      </c>
      <c r="AG488" s="144" t="s">
        <v>1636</v>
      </c>
      <c r="AH488" s="149" t="b">
        <v>0</v>
      </c>
      <c r="AI488" s="162"/>
      <c r="AJ488" s="143"/>
      <c r="AK488" s="143"/>
      <c r="AL488" s="143"/>
      <c r="AM488" s="143"/>
      <c r="AN488" s="143"/>
      <c r="AO488" s="143"/>
      <c r="AP488" s="143"/>
      <c r="AQ488" s="143"/>
    </row>
    <row r="489" ht="22.5" hidden="1" customHeight="1">
      <c r="A489" s="144" t="s">
        <v>34</v>
      </c>
      <c r="B489" s="145">
        <v>46039.0</v>
      </c>
      <c r="C489" s="387" t="s">
        <v>1754</v>
      </c>
      <c r="D489" s="208" t="s">
        <v>1751</v>
      </c>
      <c r="E489" s="148" t="s">
        <v>28</v>
      </c>
      <c r="F489" s="765" t="s">
        <v>1755</v>
      </c>
      <c r="G489" s="149">
        <v>5.1980434769E10</v>
      </c>
      <c r="H489" s="148" t="s">
        <v>1076</v>
      </c>
      <c r="I489" s="150">
        <v>0.2</v>
      </c>
      <c r="J489" s="783">
        <v>113.0</v>
      </c>
      <c r="K489" s="169">
        <f t="shared" si="67"/>
        <v>401.79</v>
      </c>
      <c r="L489" s="175">
        <v>514.79</v>
      </c>
      <c r="M489" s="170">
        <v>514.79</v>
      </c>
      <c r="N489" s="155">
        <v>115.99</v>
      </c>
      <c r="O489" s="315">
        <f t="shared" si="65"/>
        <v>0</v>
      </c>
      <c r="P489" s="344">
        <f t="shared" si="62"/>
        <v>0</v>
      </c>
      <c r="Q489" s="321"/>
      <c r="R489" s="672" t="b">
        <v>0</v>
      </c>
      <c r="S489" s="318"/>
      <c r="T489" s="319"/>
      <c r="U489" s="315"/>
      <c r="V489" s="162"/>
      <c r="W489" s="148"/>
      <c r="X489" s="163"/>
      <c r="Y489" s="162"/>
      <c r="Z489" s="10" t="s">
        <v>1756</v>
      </c>
      <c r="AA489" s="116"/>
      <c r="AB489" s="116"/>
      <c r="AC489" s="165"/>
      <c r="AD489" s="675" t="str">
        <f t="shared" si="66"/>
        <v>ENERO</v>
      </c>
      <c r="AE489" s="144" t="s">
        <v>1392</v>
      </c>
      <c r="AF489" s="338" t="b">
        <v>1</v>
      </c>
      <c r="AG489" s="144" t="s">
        <v>1392</v>
      </c>
      <c r="AH489" s="149" t="b">
        <v>0</v>
      </c>
      <c r="AI489" s="162"/>
      <c r="AJ489" s="143"/>
      <c r="AK489" s="143"/>
      <c r="AL489" s="143"/>
      <c r="AM489" s="143"/>
      <c r="AN489" s="143"/>
      <c r="AO489" s="143"/>
      <c r="AP489" s="143"/>
      <c r="AQ489" s="143"/>
    </row>
    <row r="490" ht="22.5" hidden="1" customHeight="1">
      <c r="A490" s="144" t="s">
        <v>34</v>
      </c>
      <c r="B490" s="145">
        <v>46039.0</v>
      </c>
      <c r="C490" s="309" t="s">
        <v>1757</v>
      </c>
      <c r="D490" s="208" t="s">
        <v>1751</v>
      </c>
      <c r="E490" s="148" t="s">
        <v>28</v>
      </c>
      <c r="F490" s="246" t="s">
        <v>1758</v>
      </c>
      <c r="G490" s="149">
        <v>5.1980434769E10</v>
      </c>
      <c r="H490" s="148" t="s">
        <v>1076</v>
      </c>
      <c r="I490" s="150">
        <v>0.2</v>
      </c>
      <c r="J490" s="897"/>
      <c r="K490" s="271"/>
      <c r="L490" s="228"/>
      <c r="M490" s="334"/>
      <c r="N490" s="155">
        <v>9.9</v>
      </c>
      <c r="O490" s="315">
        <f t="shared" si="65"/>
        <v>0</v>
      </c>
      <c r="P490" s="344">
        <f t="shared" si="62"/>
        <v>0</v>
      </c>
      <c r="Q490" s="321"/>
      <c r="R490" s="672" t="b">
        <v>0</v>
      </c>
      <c r="S490" s="318"/>
      <c r="T490" s="319"/>
      <c r="U490" s="315"/>
      <c r="V490" s="162"/>
      <c r="W490" s="148"/>
      <c r="X490" s="163"/>
      <c r="Y490" s="162"/>
      <c r="Z490" s="10" t="s">
        <v>1759</v>
      </c>
      <c r="AA490" s="116"/>
      <c r="AB490" s="116"/>
      <c r="AC490" s="165"/>
      <c r="AD490" s="675" t="str">
        <f t="shared" si="66"/>
        <v>ENERO</v>
      </c>
      <c r="AE490" s="144" t="s">
        <v>1392</v>
      </c>
      <c r="AF490" s="338" t="b">
        <v>1</v>
      </c>
      <c r="AG490" s="144" t="s">
        <v>1392</v>
      </c>
      <c r="AH490" s="149" t="b">
        <v>0</v>
      </c>
      <c r="AI490" s="162"/>
      <c r="AJ490" s="143"/>
      <c r="AK490" s="143"/>
      <c r="AL490" s="143"/>
      <c r="AM490" s="143"/>
      <c r="AN490" s="143"/>
      <c r="AO490" s="143"/>
      <c r="AP490" s="143"/>
      <c r="AQ490" s="143"/>
    </row>
    <row r="491" ht="22.5" customHeight="1">
      <c r="A491" s="144" t="s">
        <v>162</v>
      </c>
      <c r="B491" s="145">
        <v>46039.0</v>
      </c>
      <c r="C491" s="904" t="s">
        <v>1760</v>
      </c>
      <c r="D491" s="208" t="s">
        <v>1761</v>
      </c>
      <c r="E491" s="148" t="s">
        <v>28</v>
      </c>
      <c r="F491" s="262" t="s">
        <v>1762</v>
      </c>
      <c r="G491" s="149">
        <v>5.1989730299E10</v>
      </c>
      <c r="H491" s="148" t="s">
        <v>257</v>
      </c>
      <c r="I491" s="150">
        <v>0.2</v>
      </c>
      <c r="J491" s="783">
        <v>1439.0</v>
      </c>
      <c r="K491" s="169">
        <f t="shared" ref="K491:K693" si="68">IF(J491="","",L491-J491)</f>
        <v>5760</v>
      </c>
      <c r="L491" s="175">
        <v>7199.0</v>
      </c>
      <c r="M491" s="239">
        <v>6856.5</v>
      </c>
      <c r="N491" s="155">
        <v>1499.99</v>
      </c>
      <c r="O491" s="315">
        <f t="shared" si="65"/>
        <v>342.5</v>
      </c>
      <c r="P491" s="344">
        <f t="shared" si="62"/>
        <v>132.5</v>
      </c>
      <c r="Q491" s="510">
        <v>210.0</v>
      </c>
      <c r="R491" s="672" t="b">
        <v>0</v>
      </c>
      <c r="S491" s="318"/>
      <c r="T491" s="319"/>
      <c r="U491" s="315"/>
      <c r="V491" s="144" t="s">
        <v>584</v>
      </c>
      <c r="W491" s="148" t="s">
        <v>968</v>
      </c>
      <c r="X491" s="163"/>
      <c r="Y491" s="144" t="s">
        <v>584</v>
      </c>
      <c r="Z491" s="164"/>
      <c r="AA491" s="116"/>
      <c r="AB491" s="116"/>
      <c r="AC491" s="165"/>
      <c r="AD491" s="675" t="str">
        <f t="shared" si="66"/>
        <v>ENERO</v>
      </c>
      <c r="AE491" s="144" t="s">
        <v>1392</v>
      </c>
      <c r="AF491" s="149" t="b">
        <v>1</v>
      </c>
      <c r="AG491" s="144" t="s">
        <v>1392</v>
      </c>
      <c r="AH491" s="149" t="b">
        <v>0</v>
      </c>
      <c r="AI491" s="162"/>
      <c r="AJ491" s="143"/>
      <c r="AK491" s="143"/>
      <c r="AL491" s="143"/>
      <c r="AM491" s="143"/>
      <c r="AN491" s="143"/>
      <c r="AO491" s="143"/>
      <c r="AP491" s="143"/>
      <c r="AQ491" s="143"/>
    </row>
    <row r="492" ht="22.5" customHeight="1">
      <c r="A492" s="144" t="s">
        <v>162</v>
      </c>
      <c r="B492" s="145">
        <v>46041.0</v>
      </c>
      <c r="C492" s="149" t="s">
        <v>1678</v>
      </c>
      <c r="D492" s="208" t="s">
        <v>1763</v>
      </c>
      <c r="E492" s="148" t="s">
        <v>28</v>
      </c>
      <c r="F492" s="905" t="s">
        <v>1764</v>
      </c>
      <c r="G492" s="149" t="s">
        <v>1765</v>
      </c>
      <c r="H492" s="148" t="s">
        <v>257</v>
      </c>
      <c r="I492" s="148" t="s">
        <v>61</v>
      </c>
      <c r="J492" s="168">
        <v>300.0</v>
      </c>
      <c r="K492" s="169">
        <f t="shared" si="68"/>
        <v>8051.73</v>
      </c>
      <c r="L492" s="170">
        <v>8351.73</v>
      </c>
      <c r="M492" s="239">
        <v>7917.0</v>
      </c>
      <c r="N492" s="155">
        <v>1799.99</v>
      </c>
      <c r="O492" s="315">
        <f t="shared" si="65"/>
        <v>434.73</v>
      </c>
      <c r="P492" s="344">
        <f t="shared" si="62"/>
        <v>224.73</v>
      </c>
      <c r="Q492" s="510">
        <v>210.0</v>
      </c>
      <c r="R492" s="672" t="b">
        <v>0</v>
      </c>
      <c r="S492" s="318"/>
      <c r="T492" s="319"/>
      <c r="U492" s="315"/>
      <c r="V492" s="144" t="s">
        <v>584</v>
      </c>
      <c r="W492" s="148" t="s">
        <v>584</v>
      </c>
      <c r="X492" s="163"/>
      <c r="Y492" s="162"/>
      <c r="Z492" s="164"/>
      <c r="AA492" s="116"/>
      <c r="AB492" s="116"/>
      <c r="AC492" s="165"/>
      <c r="AD492" s="675" t="str">
        <f t="shared" si="66"/>
        <v>ENERO</v>
      </c>
      <c r="AE492" s="144" t="s">
        <v>1392</v>
      </c>
      <c r="AF492" s="149" t="b">
        <v>1</v>
      </c>
      <c r="AG492" s="144" t="s">
        <v>1392</v>
      </c>
      <c r="AH492" s="149" t="b">
        <v>0</v>
      </c>
      <c r="AI492" s="162"/>
      <c r="AJ492" s="143"/>
      <c r="AK492" s="143"/>
      <c r="AL492" s="143"/>
      <c r="AM492" s="143"/>
      <c r="AN492" s="143"/>
      <c r="AO492" s="143"/>
      <c r="AP492" s="143"/>
      <c r="AQ492" s="143"/>
    </row>
    <row r="493" ht="22.5" hidden="1" customHeight="1">
      <c r="A493" s="144" t="s">
        <v>34</v>
      </c>
      <c r="B493" s="145">
        <v>46041.0</v>
      </c>
      <c r="C493" s="591" t="s">
        <v>1766</v>
      </c>
      <c r="D493" s="778" t="s">
        <v>1767</v>
      </c>
      <c r="E493" s="148" t="s">
        <v>28</v>
      </c>
      <c r="F493" s="906" t="s">
        <v>1768</v>
      </c>
      <c r="G493" s="149">
        <v>5.1927795122E10</v>
      </c>
      <c r="H493" s="148" t="s">
        <v>257</v>
      </c>
      <c r="I493" s="150">
        <v>0.2</v>
      </c>
      <c r="J493" s="783">
        <v>1180.0</v>
      </c>
      <c r="K493" s="169">
        <f t="shared" si="68"/>
        <v>4719</v>
      </c>
      <c r="L493" s="175">
        <v>5899.0</v>
      </c>
      <c r="M493" s="239">
        <v>5216.0</v>
      </c>
      <c r="N493" s="155">
        <v>1199.0</v>
      </c>
      <c r="O493" s="315">
        <f t="shared" si="65"/>
        <v>683</v>
      </c>
      <c r="P493" s="344">
        <f t="shared" si="62"/>
        <v>328</v>
      </c>
      <c r="Q493" s="510">
        <v>305.0</v>
      </c>
      <c r="R493" s="672" t="b">
        <v>1</v>
      </c>
      <c r="S493" s="318"/>
      <c r="T493" s="319"/>
      <c r="U493" s="315"/>
      <c r="V493" s="144" t="s">
        <v>584</v>
      </c>
      <c r="W493" s="148" t="s">
        <v>584</v>
      </c>
      <c r="X493" s="163"/>
      <c r="Y493" s="162"/>
      <c r="Z493" s="164"/>
      <c r="AA493" s="116"/>
      <c r="AB493" s="116"/>
      <c r="AC493" s="165"/>
      <c r="AD493" s="675" t="str">
        <f t="shared" si="66"/>
        <v>ENERO</v>
      </c>
      <c r="AE493" s="144" t="s">
        <v>1392</v>
      </c>
      <c r="AF493" s="149" t="b">
        <v>1</v>
      </c>
      <c r="AG493" s="144" t="s">
        <v>1636</v>
      </c>
      <c r="AH493" s="149" t="b">
        <v>0</v>
      </c>
      <c r="AI493" s="162"/>
      <c r="AJ493" s="143"/>
      <c r="AK493" s="143"/>
      <c r="AL493" s="143"/>
      <c r="AM493" s="143"/>
      <c r="AN493" s="143"/>
      <c r="AO493" s="143"/>
      <c r="AP493" s="143"/>
      <c r="AQ493" s="143"/>
    </row>
    <row r="494" ht="22.5" hidden="1" customHeight="1">
      <c r="A494" s="144" t="s">
        <v>259</v>
      </c>
      <c r="B494" s="145">
        <v>46046.0</v>
      </c>
      <c r="C494" s="149" t="s">
        <v>1685</v>
      </c>
      <c r="D494" s="643" t="s">
        <v>1769</v>
      </c>
      <c r="E494" s="148" t="s">
        <v>28</v>
      </c>
      <c r="F494" s="149" t="s">
        <v>1770</v>
      </c>
      <c r="G494" s="149">
        <v>9.42963578E8</v>
      </c>
      <c r="H494" s="148" t="s">
        <v>257</v>
      </c>
      <c r="I494" s="150">
        <v>0.2</v>
      </c>
      <c r="J494" s="168">
        <v>1459.0</v>
      </c>
      <c r="K494" s="169">
        <f t="shared" si="68"/>
        <v>5840</v>
      </c>
      <c r="L494" s="170">
        <v>7299.0</v>
      </c>
      <c r="M494" s="239">
        <v>6773.0</v>
      </c>
      <c r="N494" s="155">
        <v>1599.99</v>
      </c>
      <c r="O494" s="315">
        <f t="shared" si="65"/>
        <v>526</v>
      </c>
      <c r="P494" s="344">
        <f t="shared" si="62"/>
        <v>386</v>
      </c>
      <c r="Q494" s="510">
        <v>140.0</v>
      </c>
      <c r="R494" s="672" t="b">
        <v>0</v>
      </c>
      <c r="S494" s="318"/>
      <c r="T494" s="347"/>
      <c r="U494" s="315"/>
      <c r="V494" s="144" t="s">
        <v>584</v>
      </c>
      <c r="W494" s="148"/>
      <c r="X494" s="163"/>
      <c r="Y494" s="144" t="s">
        <v>584</v>
      </c>
      <c r="Z494" s="164"/>
      <c r="AA494" s="116"/>
      <c r="AB494" s="116"/>
      <c r="AC494" s="165"/>
      <c r="AD494" s="675" t="str">
        <f t="shared" si="66"/>
        <v>ENERO</v>
      </c>
      <c r="AE494" s="144" t="s">
        <v>1392</v>
      </c>
      <c r="AF494" s="149" t="b">
        <v>1</v>
      </c>
      <c r="AG494" s="144" t="s">
        <v>1636</v>
      </c>
      <c r="AH494" s="149" t="b">
        <v>0</v>
      </c>
      <c r="AI494" s="162"/>
      <c r="AJ494" s="143"/>
      <c r="AK494" s="143"/>
      <c r="AL494" s="143"/>
      <c r="AM494" s="143"/>
      <c r="AN494" s="143"/>
      <c r="AO494" s="143"/>
      <c r="AP494" s="143"/>
      <c r="AQ494" s="143"/>
    </row>
    <row r="495" ht="22.5" hidden="1" customHeight="1">
      <c r="A495" s="144" t="s">
        <v>34</v>
      </c>
      <c r="B495" s="145">
        <v>46043.0</v>
      </c>
      <c r="C495" s="149" t="s">
        <v>1771</v>
      </c>
      <c r="D495" s="208" t="s">
        <v>1772</v>
      </c>
      <c r="E495" s="148" t="s">
        <v>28</v>
      </c>
      <c r="F495" s="907" t="s">
        <v>1773</v>
      </c>
      <c r="G495" s="149" t="s">
        <v>1774</v>
      </c>
      <c r="H495" s="148" t="s">
        <v>257</v>
      </c>
      <c r="I495" s="150">
        <v>0.2</v>
      </c>
      <c r="J495" s="168">
        <v>1459.8</v>
      </c>
      <c r="K495" s="169">
        <f t="shared" si="68"/>
        <v>5839.2</v>
      </c>
      <c r="L495" s="170">
        <v>7299.0</v>
      </c>
      <c r="M495" s="239">
        <v>6797.26</v>
      </c>
      <c r="N495" s="155">
        <v>1599.99</v>
      </c>
      <c r="O495" s="315">
        <f t="shared" si="65"/>
        <v>501.74</v>
      </c>
      <c r="P495" s="344">
        <f t="shared" si="62"/>
        <v>146.74</v>
      </c>
      <c r="Q495" s="510">
        <v>305.0</v>
      </c>
      <c r="R495" s="672" t="b">
        <v>1</v>
      </c>
      <c r="S495" s="318"/>
      <c r="T495" s="319"/>
      <c r="U495" s="315"/>
      <c r="V495" s="144" t="s">
        <v>584</v>
      </c>
      <c r="W495" s="148"/>
      <c r="X495" s="163"/>
      <c r="Y495" s="144" t="s">
        <v>584</v>
      </c>
      <c r="Z495" s="164"/>
      <c r="AA495" s="116"/>
      <c r="AB495" s="116"/>
      <c r="AC495" s="165"/>
      <c r="AD495" s="675" t="str">
        <f t="shared" si="66"/>
        <v>ENERO</v>
      </c>
      <c r="AE495" s="144" t="s">
        <v>1392</v>
      </c>
      <c r="AF495" s="149" t="b">
        <v>1</v>
      </c>
      <c r="AG495" s="144" t="s">
        <v>1636</v>
      </c>
      <c r="AH495" s="149" t="b">
        <v>0</v>
      </c>
      <c r="AI495" s="162"/>
      <c r="AJ495" s="143"/>
      <c r="AK495" s="143"/>
      <c r="AL495" s="143"/>
      <c r="AM495" s="143"/>
      <c r="AN495" s="143"/>
      <c r="AO495" s="143"/>
      <c r="AP495" s="143"/>
      <c r="AQ495" s="143"/>
    </row>
    <row r="496" ht="22.5" hidden="1" customHeight="1">
      <c r="A496" s="144" t="s">
        <v>34</v>
      </c>
      <c r="B496" s="145">
        <v>46045.0</v>
      </c>
      <c r="C496" s="149" t="s">
        <v>1775</v>
      </c>
      <c r="D496" s="208" t="s">
        <v>1776</v>
      </c>
      <c r="E496" s="148" t="s">
        <v>28</v>
      </c>
      <c r="F496" s="262" t="s">
        <v>1777</v>
      </c>
      <c r="G496" s="149">
        <v>5.1985448753E10</v>
      </c>
      <c r="H496" s="148" t="s">
        <v>257</v>
      </c>
      <c r="I496" s="150">
        <v>0.2</v>
      </c>
      <c r="J496" s="168">
        <v>1819.0</v>
      </c>
      <c r="K496" s="169">
        <f t="shared" si="68"/>
        <v>7280</v>
      </c>
      <c r="L496" s="170">
        <v>9099.0</v>
      </c>
      <c r="M496" s="239">
        <v>8479.06</v>
      </c>
      <c r="N496" s="155">
        <v>1999.0</v>
      </c>
      <c r="O496" s="315">
        <f t="shared" si="65"/>
        <v>619.94</v>
      </c>
      <c r="P496" s="344">
        <f t="shared" si="62"/>
        <v>319.94</v>
      </c>
      <c r="Q496" s="510">
        <v>200.0</v>
      </c>
      <c r="R496" s="672" t="b">
        <v>1</v>
      </c>
      <c r="S496" s="318"/>
      <c r="T496" s="319"/>
      <c r="U496" s="343">
        <v>50.0</v>
      </c>
      <c r="V496" s="144" t="s">
        <v>584</v>
      </c>
      <c r="W496" s="148" t="s">
        <v>584</v>
      </c>
      <c r="X496" s="163"/>
      <c r="Y496" s="144" t="s">
        <v>584</v>
      </c>
      <c r="AA496" s="116"/>
      <c r="AB496" s="116"/>
      <c r="AC496" s="165"/>
      <c r="AD496" s="675" t="str">
        <f t="shared" si="66"/>
        <v>ENERO</v>
      </c>
      <c r="AE496" s="144" t="s">
        <v>1392</v>
      </c>
      <c r="AF496" s="149" t="b">
        <v>1</v>
      </c>
      <c r="AG496" s="144" t="s">
        <v>1636</v>
      </c>
      <c r="AH496" s="149" t="b">
        <v>0</v>
      </c>
      <c r="AI496" s="162"/>
      <c r="AJ496" s="143"/>
      <c r="AK496" s="143"/>
      <c r="AL496" s="143"/>
      <c r="AM496" s="143"/>
      <c r="AN496" s="143"/>
      <c r="AO496" s="143"/>
      <c r="AP496" s="143"/>
      <c r="AQ496" s="143"/>
    </row>
    <row r="497" ht="22.5" customHeight="1">
      <c r="A497" s="144" t="s">
        <v>162</v>
      </c>
      <c r="B497" s="145">
        <v>46044.0</v>
      </c>
      <c r="C497" s="904" t="s">
        <v>1429</v>
      </c>
      <c r="D497" s="908" t="s">
        <v>1778</v>
      </c>
      <c r="E497" s="148" t="s">
        <v>28</v>
      </c>
      <c r="F497" s="909" t="s">
        <v>1779</v>
      </c>
      <c r="G497" s="910">
        <v>9.87642848E8</v>
      </c>
      <c r="H497" s="148" t="s">
        <v>257</v>
      </c>
      <c r="I497" s="150">
        <v>0.2</v>
      </c>
      <c r="J497" s="168">
        <v>1400.0</v>
      </c>
      <c r="K497" s="169">
        <f t="shared" si="68"/>
        <v>5599</v>
      </c>
      <c r="L497" s="170">
        <v>6999.0</v>
      </c>
      <c r="M497" s="239">
        <v>6163.0</v>
      </c>
      <c r="N497" s="155">
        <v>1424.05</v>
      </c>
      <c r="O497" s="315">
        <f t="shared" si="65"/>
        <v>836</v>
      </c>
      <c r="P497" s="344">
        <f t="shared" si="62"/>
        <v>546</v>
      </c>
      <c r="Q497" s="510">
        <v>260.0</v>
      </c>
      <c r="R497" s="672" t="b">
        <v>0</v>
      </c>
      <c r="S497" s="318"/>
      <c r="T497" s="319"/>
      <c r="U497" s="343">
        <v>30.0</v>
      </c>
      <c r="V497" s="144" t="s">
        <v>584</v>
      </c>
      <c r="W497" s="148"/>
      <c r="X497" s="163"/>
      <c r="Y497" s="162"/>
      <c r="Z497" s="164"/>
      <c r="AA497" s="116"/>
      <c r="AB497" s="116"/>
      <c r="AC497" s="165"/>
      <c r="AD497" s="675" t="str">
        <f t="shared" si="66"/>
        <v>ENERO</v>
      </c>
      <c r="AE497" s="144" t="s">
        <v>1392</v>
      </c>
      <c r="AF497" s="149" t="b">
        <v>1</v>
      </c>
      <c r="AG497" s="144" t="s">
        <v>1636</v>
      </c>
      <c r="AH497" s="149" t="b">
        <v>0</v>
      </c>
      <c r="AI497" s="162"/>
      <c r="AJ497" s="143"/>
      <c r="AK497" s="143"/>
      <c r="AL497" s="143"/>
      <c r="AM497" s="143"/>
      <c r="AN497" s="143"/>
      <c r="AO497" s="143"/>
      <c r="AP497" s="143"/>
      <c r="AQ497" s="143"/>
    </row>
    <row r="498" ht="22.5" customHeight="1">
      <c r="A498" s="144" t="s">
        <v>162</v>
      </c>
      <c r="B498" s="145">
        <v>46044.0</v>
      </c>
      <c r="C498" s="904" t="s">
        <v>1678</v>
      </c>
      <c r="D498" s="908" t="s">
        <v>1780</v>
      </c>
      <c r="E498" s="148" t="s">
        <v>28</v>
      </c>
      <c r="F498" s="909" t="s">
        <v>1781</v>
      </c>
      <c r="G498" s="911" t="s">
        <v>1782</v>
      </c>
      <c r="H498" s="148" t="s">
        <v>257</v>
      </c>
      <c r="I498" s="148" t="s">
        <v>61</v>
      </c>
      <c r="J498" s="168">
        <v>300.0</v>
      </c>
      <c r="K498" s="169">
        <f t="shared" si="68"/>
        <v>8499</v>
      </c>
      <c r="L498" s="170">
        <v>8799.0</v>
      </c>
      <c r="M498" s="239">
        <v>7893.0</v>
      </c>
      <c r="N498" s="155">
        <v>1799.99</v>
      </c>
      <c r="O498" s="315">
        <f t="shared" si="65"/>
        <v>906</v>
      </c>
      <c r="P498" s="344">
        <f t="shared" si="62"/>
        <v>696</v>
      </c>
      <c r="Q498" s="510">
        <v>210.0</v>
      </c>
      <c r="R498" s="672" t="b">
        <v>0</v>
      </c>
      <c r="S498" s="318"/>
      <c r="T498" s="319"/>
      <c r="U498" s="315"/>
      <c r="V498" s="144" t="s">
        <v>584</v>
      </c>
      <c r="W498" s="148" t="s">
        <v>584</v>
      </c>
      <c r="X498" s="163"/>
      <c r="Y498" s="162"/>
      <c r="Z498" s="164"/>
      <c r="AA498" s="116"/>
      <c r="AB498" s="116"/>
      <c r="AC498" s="165"/>
      <c r="AD498" s="675" t="str">
        <f t="shared" si="66"/>
        <v>ENERO</v>
      </c>
      <c r="AE498" s="144" t="s">
        <v>1392</v>
      </c>
      <c r="AF498" s="149" t="b">
        <v>1</v>
      </c>
      <c r="AG498" s="144" t="s">
        <v>1392</v>
      </c>
      <c r="AH498" s="149" t="b">
        <v>0</v>
      </c>
      <c r="AI498" s="162"/>
      <c r="AJ498" s="143"/>
      <c r="AK498" s="143"/>
      <c r="AL498" s="143"/>
      <c r="AM498" s="143"/>
      <c r="AN498" s="143"/>
      <c r="AO498" s="143"/>
      <c r="AP498" s="143"/>
      <c r="AQ498" s="143"/>
    </row>
    <row r="499" ht="22.5" hidden="1" customHeight="1">
      <c r="A499" s="144" t="s">
        <v>34</v>
      </c>
      <c r="B499" s="145">
        <v>46045.0</v>
      </c>
      <c r="C499" s="569" t="s">
        <v>674</v>
      </c>
      <c r="D499" s="208" t="s">
        <v>1783</v>
      </c>
      <c r="E499" s="148" t="s">
        <v>28</v>
      </c>
      <c r="F499" s="912" t="s">
        <v>1784</v>
      </c>
      <c r="G499" s="149">
        <v>5.1956292794E10</v>
      </c>
      <c r="H499" s="148" t="s">
        <v>257</v>
      </c>
      <c r="I499" s="150">
        <v>0.2</v>
      </c>
      <c r="J499" s="168">
        <v>300.0</v>
      </c>
      <c r="K499" s="169">
        <f t="shared" si="68"/>
        <v>6599</v>
      </c>
      <c r="L499" s="170">
        <v>6899.0</v>
      </c>
      <c r="M499" s="239">
        <v>6899.0</v>
      </c>
      <c r="N499" s="155">
        <v>1499.99</v>
      </c>
      <c r="O499" s="315">
        <f t="shared" si="65"/>
        <v>0</v>
      </c>
      <c r="P499" s="344">
        <f t="shared" si="62"/>
        <v>0</v>
      </c>
      <c r="Q499" s="321"/>
      <c r="R499" s="672" t="b">
        <v>0</v>
      </c>
      <c r="S499" s="318"/>
      <c r="T499" s="319"/>
      <c r="U499" s="315"/>
      <c r="V499" s="144" t="s">
        <v>584</v>
      </c>
      <c r="W499" s="148"/>
      <c r="X499" s="163"/>
      <c r="Y499" s="162"/>
      <c r="Z499" s="164"/>
      <c r="AA499" s="116"/>
      <c r="AB499" s="116"/>
      <c r="AC499" s="165"/>
      <c r="AD499" s="675" t="str">
        <f t="shared" si="66"/>
        <v>ENERO</v>
      </c>
      <c r="AE499" s="144" t="s">
        <v>1392</v>
      </c>
      <c r="AF499" s="149" t="b">
        <v>1</v>
      </c>
      <c r="AG499" s="144" t="s">
        <v>1392</v>
      </c>
      <c r="AH499" s="149" t="b">
        <v>0</v>
      </c>
      <c r="AI499" s="162"/>
      <c r="AJ499" s="143"/>
      <c r="AK499" s="143"/>
      <c r="AL499" s="143"/>
      <c r="AM499" s="143"/>
      <c r="AN499" s="143"/>
      <c r="AO499" s="143"/>
      <c r="AP499" s="143"/>
      <c r="AQ499" s="143"/>
    </row>
    <row r="500" ht="22.5" hidden="1" customHeight="1">
      <c r="A500" s="144" t="s">
        <v>34</v>
      </c>
      <c r="B500" s="145">
        <v>46045.0</v>
      </c>
      <c r="C500" s="591" t="s">
        <v>1152</v>
      </c>
      <c r="D500" s="208" t="s">
        <v>1785</v>
      </c>
      <c r="E500" s="148" t="s">
        <v>28</v>
      </c>
      <c r="F500" s="825" t="s">
        <v>1786</v>
      </c>
      <c r="G500" s="149" t="s">
        <v>1787</v>
      </c>
      <c r="H500" s="148" t="s">
        <v>257</v>
      </c>
      <c r="I500" s="150">
        <v>0.2</v>
      </c>
      <c r="J500" s="168">
        <v>1439.0</v>
      </c>
      <c r="K500" s="169">
        <f t="shared" si="68"/>
        <v>5760</v>
      </c>
      <c r="L500" s="170">
        <v>7199.0</v>
      </c>
      <c r="M500" s="239">
        <v>6596.0</v>
      </c>
      <c r="N500" s="155">
        <v>1549.0</v>
      </c>
      <c r="O500" s="315">
        <f t="shared" si="65"/>
        <v>603</v>
      </c>
      <c r="P500" s="344">
        <f t="shared" si="62"/>
        <v>198</v>
      </c>
      <c r="Q500" s="510">
        <v>305.0</v>
      </c>
      <c r="R500" s="672" t="b">
        <v>1</v>
      </c>
      <c r="S500" s="318"/>
      <c r="T500" s="319"/>
      <c r="U500" s="343">
        <v>50.0</v>
      </c>
      <c r="V500" s="144" t="s">
        <v>584</v>
      </c>
      <c r="W500" s="148"/>
      <c r="X500" s="163"/>
      <c r="Y500" s="162"/>
      <c r="Z500" s="164"/>
      <c r="AA500" s="116"/>
      <c r="AB500" s="116"/>
      <c r="AC500" s="165"/>
      <c r="AD500" s="675" t="str">
        <f t="shared" si="66"/>
        <v>ENERO</v>
      </c>
      <c r="AE500" s="144" t="s">
        <v>1392</v>
      </c>
      <c r="AF500" s="149" t="b">
        <v>1</v>
      </c>
      <c r="AG500" s="144" t="s">
        <v>1636</v>
      </c>
      <c r="AH500" s="149" t="b">
        <v>0</v>
      </c>
      <c r="AI500" s="162"/>
      <c r="AJ500" s="143"/>
      <c r="AK500" s="143"/>
      <c r="AL500" s="143"/>
      <c r="AM500" s="143"/>
      <c r="AN500" s="143"/>
      <c r="AO500" s="143"/>
      <c r="AP500" s="143"/>
      <c r="AQ500" s="143"/>
    </row>
    <row r="501" ht="22.5" hidden="1" customHeight="1">
      <c r="A501" s="144" t="s">
        <v>34</v>
      </c>
      <c r="B501" s="145">
        <v>46046.0</v>
      </c>
      <c r="C501" s="149" t="s">
        <v>1788</v>
      </c>
      <c r="D501" s="208" t="s">
        <v>1789</v>
      </c>
      <c r="E501" s="148" t="s">
        <v>28</v>
      </c>
      <c r="F501" s="249" t="s">
        <v>1790</v>
      </c>
      <c r="G501" s="149">
        <v>5.1914697252E10</v>
      </c>
      <c r="H501" s="148" t="s">
        <v>257</v>
      </c>
      <c r="I501" s="150">
        <v>0.2</v>
      </c>
      <c r="J501" s="168">
        <v>1455.07</v>
      </c>
      <c r="K501" s="169">
        <f t="shared" si="68"/>
        <v>5820.29</v>
      </c>
      <c r="L501" s="170">
        <v>7275.36</v>
      </c>
      <c r="M501" s="239">
        <v>6775.36</v>
      </c>
      <c r="N501" s="155">
        <v>1499.99</v>
      </c>
      <c r="O501" s="315">
        <f t="shared" si="65"/>
        <v>500</v>
      </c>
      <c r="P501" s="344">
        <f t="shared" si="62"/>
        <v>145</v>
      </c>
      <c r="Q501" s="510">
        <v>305.0</v>
      </c>
      <c r="R501" s="672" t="b">
        <v>1</v>
      </c>
      <c r="S501" s="318"/>
      <c r="T501" s="319"/>
      <c r="U501" s="315"/>
      <c r="V501" s="144" t="s">
        <v>584</v>
      </c>
      <c r="W501" s="148" t="s">
        <v>584</v>
      </c>
      <c r="X501" s="163"/>
      <c r="Y501" s="144" t="s">
        <v>584</v>
      </c>
      <c r="Z501" s="10" t="s">
        <v>1791</v>
      </c>
      <c r="AA501" s="116"/>
      <c r="AB501" s="116"/>
      <c r="AC501" s="165"/>
      <c r="AD501" s="675" t="str">
        <f t="shared" si="66"/>
        <v>ENERO</v>
      </c>
      <c r="AE501" s="144" t="s">
        <v>1392</v>
      </c>
      <c r="AF501" s="149" t="b">
        <v>1</v>
      </c>
      <c r="AG501" s="144" t="s">
        <v>1636</v>
      </c>
      <c r="AH501" s="149" t="b">
        <v>0</v>
      </c>
      <c r="AI501" s="162"/>
      <c r="AJ501" s="143"/>
      <c r="AK501" s="143"/>
      <c r="AL501" s="143"/>
      <c r="AM501" s="143"/>
      <c r="AN501" s="143"/>
      <c r="AO501" s="143"/>
      <c r="AP501" s="143"/>
      <c r="AQ501" s="143"/>
    </row>
    <row r="502" ht="22.5" customHeight="1">
      <c r="A502" s="144" t="s">
        <v>162</v>
      </c>
      <c r="B502" s="145">
        <v>46046.0</v>
      </c>
      <c r="C502" s="149" t="s">
        <v>1766</v>
      </c>
      <c r="D502" s="208" t="s">
        <v>1792</v>
      </c>
      <c r="E502" s="148" t="s">
        <v>28</v>
      </c>
      <c r="F502" s="149" t="s">
        <v>1793</v>
      </c>
      <c r="G502" s="149" t="s">
        <v>1794</v>
      </c>
      <c r="H502" s="148" t="s">
        <v>257</v>
      </c>
      <c r="I502" s="150">
        <v>0.2</v>
      </c>
      <c r="J502" s="168">
        <v>1099.0</v>
      </c>
      <c r="K502" s="169">
        <f t="shared" si="68"/>
        <v>4400</v>
      </c>
      <c r="L502" s="170">
        <v>5499.0</v>
      </c>
      <c r="M502" s="239">
        <v>5216.0</v>
      </c>
      <c r="N502" s="155">
        <v>1199.0</v>
      </c>
      <c r="O502" s="315">
        <f t="shared" si="65"/>
        <v>283</v>
      </c>
      <c r="P502" s="344">
        <f t="shared" si="62"/>
        <v>73</v>
      </c>
      <c r="Q502" s="510">
        <v>210.0</v>
      </c>
      <c r="R502" s="672" t="b">
        <v>0</v>
      </c>
      <c r="S502" s="318"/>
      <c r="T502" s="319"/>
      <c r="U502" s="315"/>
      <c r="V502" s="144" t="s">
        <v>584</v>
      </c>
      <c r="W502" s="148" t="s">
        <v>584</v>
      </c>
      <c r="X502" s="163"/>
      <c r="Y502" s="162"/>
      <c r="Z502" s="164"/>
      <c r="AA502" s="116"/>
      <c r="AB502" s="116"/>
      <c r="AC502" s="165"/>
      <c r="AD502" s="675" t="str">
        <f t="shared" si="66"/>
        <v>ENERO</v>
      </c>
      <c r="AE502" s="144" t="s">
        <v>1392</v>
      </c>
      <c r="AF502" s="149" t="b">
        <v>1</v>
      </c>
      <c r="AG502" s="144" t="s">
        <v>1636</v>
      </c>
      <c r="AH502" s="149" t="b">
        <v>0</v>
      </c>
      <c r="AI502" s="162"/>
      <c r="AJ502" s="143"/>
      <c r="AK502" s="143"/>
      <c r="AL502" s="143"/>
      <c r="AM502" s="143"/>
      <c r="AN502" s="143"/>
      <c r="AO502" s="143"/>
      <c r="AP502" s="143"/>
      <c r="AQ502" s="143"/>
    </row>
    <row r="503" ht="22.5" hidden="1" customHeight="1">
      <c r="A503" s="144" t="s">
        <v>34</v>
      </c>
      <c r="B503" s="145">
        <v>46048.0</v>
      </c>
      <c r="C503" s="496" t="s">
        <v>1795</v>
      </c>
      <c r="D503" s="208" t="s">
        <v>1796</v>
      </c>
      <c r="E503" s="148" t="s">
        <v>28</v>
      </c>
      <c r="F503" s="262" t="s">
        <v>1797</v>
      </c>
      <c r="G503" s="149" t="s">
        <v>1798</v>
      </c>
      <c r="H503" s="148" t="s">
        <v>257</v>
      </c>
      <c r="I503" s="150">
        <v>0.2</v>
      </c>
      <c r="J503" s="168">
        <v>1379.8</v>
      </c>
      <c r="K503" s="169">
        <f t="shared" si="68"/>
        <v>5519.2</v>
      </c>
      <c r="L503" s="170">
        <v>6899.0</v>
      </c>
      <c r="M503" s="239">
        <v>6436.67</v>
      </c>
      <c r="N503" s="155">
        <v>1499.99</v>
      </c>
      <c r="O503" s="315">
        <f t="shared" si="65"/>
        <v>462.33</v>
      </c>
      <c r="P503" s="344">
        <f t="shared" si="62"/>
        <v>107.33</v>
      </c>
      <c r="Q503" s="510">
        <v>305.0</v>
      </c>
      <c r="R503" s="672" t="b">
        <v>1</v>
      </c>
      <c r="S503" s="318"/>
      <c r="T503" s="319"/>
      <c r="U503" s="315"/>
      <c r="V503" s="144" t="s">
        <v>584</v>
      </c>
      <c r="W503" s="148" t="s">
        <v>584</v>
      </c>
      <c r="X503" s="163"/>
      <c r="Y503" s="144" t="s">
        <v>584</v>
      </c>
      <c r="Z503" s="10" t="s">
        <v>1799</v>
      </c>
      <c r="AA503" s="116"/>
      <c r="AB503" s="116"/>
      <c r="AC503" s="165"/>
      <c r="AD503" s="675" t="str">
        <f t="shared" si="66"/>
        <v>ENERO</v>
      </c>
      <c r="AE503" s="144" t="s">
        <v>1392</v>
      </c>
      <c r="AF503" s="149" t="b">
        <v>1</v>
      </c>
      <c r="AG503" s="144" t="s">
        <v>1636</v>
      </c>
      <c r="AH503" s="149" t="b">
        <v>0</v>
      </c>
      <c r="AI503" s="162"/>
      <c r="AJ503" s="143"/>
      <c r="AK503" s="143"/>
      <c r="AL503" s="143"/>
      <c r="AM503" s="143"/>
      <c r="AN503" s="143"/>
      <c r="AO503" s="143"/>
      <c r="AP503" s="143"/>
      <c r="AQ503" s="143"/>
    </row>
    <row r="504" ht="22.5" hidden="1" customHeight="1">
      <c r="A504" s="144" t="s">
        <v>259</v>
      </c>
      <c r="B504" s="145">
        <v>46048.0</v>
      </c>
      <c r="C504" s="353" t="s">
        <v>1215</v>
      </c>
      <c r="D504" s="643" t="s">
        <v>1800</v>
      </c>
      <c r="E504" s="148" t="s">
        <v>28</v>
      </c>
      <c r="F504" s="262" t="s">
        <v>1801</v>
      </c>
      <c r="G504" s="165"/>
      <c r="H504" s="148" t="s">
        <v>257</v>
      </c>
      <c r="I504" s="150">
        <v>0.2</v>
      </c>
      <c r="J504" s="168">
        <v>1760.0</v>
      </c>
      <c r="K504" s="169">
        <f t="shared" si="68"/>
        <v>7039</v>
      </c>
      <c r="L504" s="170">
        <v>8799.0</v>
      </c>
      <c r="M504" s="239">
        <v>8396.0</v>
      </c>
      <c r="N504" s="155">
        <v>1899.0</v>
      </c>
      <c r="O504" s="315">
        <f t="shared" si="65"/>
        <v>403</v>
      </c>
      <c r="P504" s="344">
        <f t="shared" si="62"/>
        <v>263</v>
      </c>
      <c r="Q504" s="510">
        <v>140.0</v>
      </c>
      <c r="R504" s="672" t="b">
        <v>0</v>
      </c>
      <c r="S504" s="318"/>
      <c r="T504" s="319"/>
      <c r="U504" s="315"/>
      <c r="V504" s="144" t="s">
        <v>584</v>
      </c>
      <c r="W504" s="148"/>
      <c r="X504" s="163"/>
      <c r="Y504" s="144" t="s">
        <v>584</v>
      </c>
      <c r="Z504" s="164"/>
      <c r="AA504" s="116"/>
      <c r="AB504" s="116"/>
      <c r="AC504" s="165"/>
      <c r="AD504" s="675" t="str">
        <f t="shared" si="66"/>
        <v>ENERO</v>
      </c>
      <c r="AE504" s="144" t="s">
        <v>1636</v>
      </c>
      <c r="AF504" s="149" t="b">
        <v>1</v>
      </c>
      <c r="AG504" s="144" t="s">
        <v>1636</v>
      </c>
      <c r="AH504" s="149" t="b">
        <v>0</v>
      </c>
      <c r="AI504" s="162"/>
      <c r="AJ504" s="143"/>
      <c r="AK504" s="143"/>
      <c r="AL504" s="143"/>
      <c r="AM504" s="143"/>
      <c r="AN504" s="143"/>
      <c r="AO504" s="143"/>
      <c r="AP504" s="143"/>
      <c r="AQ504" s="143"/>
    </row>
    <row r="505" ht="22.5" hidden="1" customHeight="1">
      <c r="A505" s="144" t="s">
        <v>259</v>
      </c>
      <c r="B505" s="145">
        <v>46039.0</v>
      </c>
      <c r="C505" s="353" t="s">
        <v>1802</v>
      </c>
      <c r="D505" s="208" t="s">
        <v>1803</v>
      </c>
      <c r="E505" s="148" t="s">
        <v>28</v>
      </c>
      <c r="F505" s="262" t="s">
        <v>1804</v>
      </c>
      <c r="G505" s="165"/>
      <c r="H505" s="148" t="s">
        <v>257</v>
      </c>
      <c r="I505" s="150">
        <v>0.2</v>
      </c>
      <c r="J505" s="168">
        <v>1180.0</v>
      </c>
      <c r="K505" s="557">
        <f t="shared" si="68"/>
        <v>5309</v>
      </c>
      <c r="L505" s="750">
        <v>6489.0</v>
      </c>
      <c r="M505" s="239">
        <v>6166.0</v>
      </c>
      <c r="N505" s="155">
        <v>1409.0</v>
      </c>
      <c r="O505" s="315">
        <f t="shared" si="65"/>
        <v>323</v>
      </c>
      <c r="P505" s="344">
        <f t="shared" si="62"/>
        <v>148</v>
      </c>
      <c r="Q505" s="510">
        <v>140.0</v>
      </c>
      <c r="R505" s="672" t="b">
        <v>0</v>
      </c>
      <c r="S505" s="318"/>
      <c r="T505" s="319"/>
      <c r="U505" s="343">
        <v>35.0</v>
      </c>
      <c r="V505" s="144" t="s">
        <v>584</v>
      </c>
      <c r="W505" s="148"/>
      <c r="X505" s="163"/>
      <c r="Y505" s="144" t="s">
        <v>584</v>
      </c>
      <c r="Z505" s="10" t="s">
        <v>1805</v>
      </c>
      <c r="AA505" s="116"/>
      <c r="AB505" s="116"/>
      <c r="AC505" s="165"/>
      <c r="AD505" s="675" t="str">
        <f t="shared" si="66"/>
        <v>ENERO</v>
      </c>
      <c r="AE505" s="144" t="s">
        <v>1636</v>
      </c>
      <c r="AF505" s="149" t="b">
        <v>1</v>
      </c>
      <c r="AG505" s="144" t="s">
        <v>1636</v>
      </c>
      <c r="AH505" s="149" t="b">
        <v>0</v>
      </c>
      <c r="AI505" s="162"/>
      <c r="AJ505" s="143"/>
      <c r="AK505" s="143"/>
      <c r="AL505" s="143"/>
      <c r="AM505" s="143"/>
      <c r="AN505" s="143"/>
      <c r="AO505" s="143"/>
      <c r="AP505" s="143"/>
      <c r="AQ505" s="143"/>
    </row>
    <row r="506" ht="22.5" customHeight="1">
      <c r="A506" s="144" t="s">
        <v>162</v>
      </c>
      <c r="B506" s="145">
        <v>46050.0</v>
      </c>
      <c r="C506" s="149" t="s">
        <v>1152</v>
      </c>
      <c r="D506" s="329" t="s">
        <v>1806</v>
      </c>
      <c r="E506" s="148" t="s">
        <v>28</v>
      </c>
      <c r="F506" s="149" t="s">
        <v>1807</v>
      </c>
      <c r="G506" s="149">
        <v>5.1974247498E10</v>
      </c>
      <c r="H506" s="148" t="s">
        <v>257</v>
      </c>
      <c r="I506" s="150">
        <v>0.2</v>
      </c>
      <c r="J506" s="168">
        <v>1379.0</v>
      </c>
      <c r="K506" s="169">
        <f t="shared" si="68"/>
        <v>5520</v>
      </c>
      <c r="L506" s="170">
        <v>6899.0</v>
      </c>
      <c r="M506" s="239">
        <v>6596.0</v>
      </c>
      <c r="N506" s="155">
        <v>1549.99</v>
      </c>
      <c r="O506" s="315">
        <f t="shared" si="65"/>
        <v>303</v>
      </c>
      <c r="P506" s="344">
        <f t="shared" si="62"/>
        <v>93</v>
      </c>
      <c r="Q506" s="510">
        <v>210.0</v>
      </c>
      <c r="R506" s="672" t="b">
        <v>0</v>
      </c>
      <c r="S506" s="318"/>
      <c r="T506" s="319"/>
      <c r="U506" s="315"/>
      <c r="V506" s="144" t="s">
        <v>584</v>
      </c>
      <c r="W506" s="148"/>
      <c r="X506" s="163"/>
      <c r="Y506" s="162"/>
      <c r="Z506" s="164"/>
      <c r="AA506" s="116"/>
      <c r="AB506" s="116"/>
      <c r="AC506" s="165"/>
      <c r="AD506" s="675" t="str">
        <f t="shared" si="66"/>
        <v>ENERO</v>
      </c>
      <c r="AE506" s="144" t="s">
        <v>1392</v>
      </c>
      <c r="AF506" s="149" t="b">
        <v>1</v>
      </c>
      <c r="AG506" s="144" t="s">
        <v>1636</v>
      </c>
      <c r="AH506" s="149" t="b">
        <v>0</v>
      </c>
      <c r="AI506" s="162"/>
      <c r="AJ506" s="143"/>
      <c r="AK506" s="143"/>
      <c r="AL506" s="143"/>
      <c r="AM506" s="143"/>
      <c r="AN506" s="143"/>
      <c r="AO506" s="143"/>
      <c r="AP506" s="143"/>
      <c r="AQ506" s="143"/>
    </row>
    <row r="507" ht="22.5" customHeight="1">
      <c r="A507" s="144" t="s">
        <v>162</v>
      </c>
      <c r="B507" s="145">
        <v>46050.0</v>
      </c>
      <c r="C507" s="149" t="s">
        <v>1152</v>
      </c>
      <c r="D507" s="208" t="s">
        <v>1808</v>
      </c>
      <c r="E507" s="148" t="s">
        <v>28</v>
      </c>
      <c r="F507" s="149" t="s">
        <v>1809</v>
      </c>
      <c r="G507" s="149" t="s">
        <v>1810</v>
      </c>
      <c r="H507" s="148" t="s">
        <v>257</v>
      </c>
      <c r="I507" s="150">
        <v>0.2</v>
      </c>
      <c r="J507" s="168">
        <v>1379.0</v>
      </c>
      <c r="K507" s="169">
        <f t="shared" si="68"/>
        <v>5520</v>
      </c>
      <c r="L507" s="170">
        <v>6899.0</v>
      </c>
      <c r="M507" s="239">
        <v>6596.0</v>
      </c>
      <c r="N507" s="155">
        <v>1549.99</v>
      </c>
      <c r="O507" s="315">
        <f t="shared" si="65"/>
        <v>303</v>
      </c>
      <c r="P507" s="344">
        <f t="shared" si="62"/>
        <v>33</v>
      </c>
      <c r="Q507" s="510">
        <v>270.0</v>
      </c>
      <c r="R507" s="672" t="b">
        <v>0</v>
      </c>
      <c r="S507" s="318"/>
      <c r="T507" s="319"/>
      <c r="U507" s="315"/>
      <c r="V507" s="144" t="s">
        <v>584</v>
      </c>
      <c r="W507" s="148" t="s">
        <v>584</v>
      </c>
      <c r="X507" s="163"/>
      <c r="Y507" s="144" t="s">
        <v>584</v>
      </c>
      <c r="Z507" s="164"/>
      <c r="AA507" s="116"/>
      <c r="AB507" s="116"/>
      <c r="AC507" s="165"/>
      <c r="AD507" s="675" t="str">
        <f t="shared" si="66"/>
        <v>ENERO</v>
      </c>
      <c r="AE507" s="144" t="s">
        <v>1392</v>
      </c>
      <c r="AF507" s="149" t="b">
        <v>1</v>
      </c>
      <c r="AG507" s="144" t="s">
        <v>1636</v>
      </c>
      <c r="AH507" s="149" t="b">
        <v>0</v>
      </c>
      <c r="AI507" s="162"/>
      <c r="AJ507" s="143"/>
      <c r="AK507" s="143"/>
      <c r="AL507" s="143"/>
      <c r="AM507" s="143"/>
      <c r="AN507" s="143"/>
      <c r="AO507" s="143"/>
      <c r="AP507" s="143"/>
      <c r="AQ507" s="143"/>
    </row>
    <row r="508" ht="22.5" customHeight="1">
      <c r="A508" s="144" t="s">
        <v>162</v>
      </c>
      <c r="B508" s="145">
        <v>46051.0</v>
      </c>
      <c r="C508" s="721" t="s">
        <v>1549</v>
      </c>
      <c r="D508" s="208" t="s">
        <v>1811</v>
      </c>
      <c r="E508" s="148" t="s">
        <v>28</v>
      </c>
      <c r="F508" s="262" t="s">
        <v>1812</v>
      </c>
      <c r="G508" s="149" t="s">
        <v>1813</v>
      </c>
      <c r="H508" s="148" t="s">
        <v>257</v>
      </c>
      <c r="I508" s="150">
        <v>0.3</v>
      </c>
      <c r="J508" s="168">
        <v>2399.0</v>
      </c>
      <c r="K508" s="169">
        <f t="shared" si="68"/>
        <v>5600</v>
      </c>
      <c r="L508" s="170">
        <v>7999.0</v>
      </c>
      <c r="M508" s="239">
        <v>7675.89</v>
      </c>
      <c r="N508" s="155">
        <v>1849.99</v>
      </c>
      <c r="O508" s="315">
        <f t="shared" si="65"/>
        <v>323.11</v>
      </c>
      <c r="P508" s="344">
        <f t="shared" si="62"/>
        <v>183.11</v>
      </c>
      <c r="Q508" s="510">
        <v>110.0</v>
      </c>
      <c r="R508" s="672" t="b">
        <v>0</v>
      </c>
      <c r="S508" s="318"/>
      <c r="T508" s="319"/>
      <c r="U508" s="343">
        <v>30.0</v>
      </c>
      <c r="V508" s="144" t="s">
        <v>584</v>
      </c>
      <c r="W508" s="148" t="s">
        <v>584</v>
      </c>
      <c r="X508" s="163"/>
      <c r="Y508" s="144" t="s">
        <v>584</v>
      </c>
      <c r="Z508" s="164"/>
      <c r="AA508" s="116"/>
      <c r="AB508" s="116"/>
      <c r="AC508" s="165"/>
      <c r="AD508" s="675" t="str">
        <f t="shared" si="66"/>
        <v>ENERO</v>
      </c>
      <c r="AE508" s="144" t="s">
        <v>1636</v>
      </c>
      <c r="AF508" s="149" t="b">
        <v>1</v>
      </c>
      <c r="AG508" s="144" t="s">
        <v>1636</v>
      </c>
      <c r="AH508" s="149" t="b">
        <v>0</v>
      </c>
      <c r="AI508" s="162"/>
      <c r="AJ508" s="143"/>
      <c r="AK508" s="143"/>
      <c r="AL508" s="143"/>
      <c r="AM508" s="143"/>
      <c r="AN508" s="143"/>
      <c r="AO508" s="143"/>
      <c r="AP508" s="143"/>
      <c r="AQ508" s="143"/>
    </row>
    <row r="509" ht="22.5" hidden="1" customHeight="1">
      <c r="A509" s="144" t="s">
        <v>34</v>
      </c>
      <c r="B509" s="145">
        <v>46051.0</v>
      </c>
      <c r="C509" s="149" t="s">
        <v>1814</v>
      </c>
      <c r="D509" s="208" t="s">
        <v>1815</v>
      </c>
      <c r="E509" s="148" t="s">
        <v>28</v>
      </c>
      <c r="F509" s="262" t="s">
        <v>1816</v>
      </c>
      <c r="G509" s="149">
        <v>5.1982304661E10</v>
      </c>
      <c r="H509" s="148" t="s">
        <v>257</v>
      </c>
      <c r="I509" s="150">
        <v>0.3</v>
      </c>
      <c r="J509" s="168">
        <v>2490.0</v>
      </c>
      <c r="K509" s="169">
        <f t="shared" si="68"/>
        <v>5809</v>
      </c>
      <c r="L509" s="170">
        <v>8299.0</v>
      </c>
      <c r="M509" s="239">
        <v>7675.89</v>
      </c>
      <c r="N509" s="155">
        <v>1849.99</v>
      </c>
      <c r="O509" s="315">
        <f t="shared" si="65"/>
        <v>623.11</v>
      </c>
      <c r="P509" s="344">
        <f t="shared" si="62"/>
        <v>268.11</v>
      </c>
      <c r="Q509" s="510">
        <v>305.0</v>
      </c>
      <c r="R509" s="672" t="b">
        <v>1</v>
      </c>
      <c r="S509" s="318"/>
      <c r="T509" s="319"/>
      <c r="U509" s="315"/>
      <c r="V509" s="144" t="s">
        <v>584</v>
      </c>
      <c r="W509" s="148" t="s">
        <v>584</v>
      </c>
      <c r="X509" s="163"/>
      <c r="Y509" s="144" t="s">
        <v>584</v>
      </c>
      <c r="Z509" s="164"/>
      <c r="AA509" s="116"/>
      <c r="AB509" s="116"/>
      <c r="AC509" s="165"/>
      <c r="AD509" s="675" t="str">
        <f t="shared" si="66"/>
        <v>ENERO</v>
      </c>
      <c r="AE509" s="144" t="s">
        <v>1636</v>
      </c>
      <c r="AF509" s="149" t="b">
        <v>1</v>
      </c>
      <c r="AG509" s="144" t="s">
        <v>1817</v>
      </c>
      <c r="AH509" s="149" t="b">
        <v>0</v>
      </c>
      <c r="AI509" s="162"/>
      <c r="AJ509" s="143"/>
      <c r="AK509" s="143"/>
      <c r="AL509" s="143"/>
      <c r="AM509" s="143"/>
      <c r="AN509" s="143"/>
      <c r="AO509" s="143"/>
      <c r="AP509" s="143"/>
      <c r="AQ509" s="143"/>
    </row>
    <row r="510" ht="22.5" customHeight="1">
      <c r="A510" s="144" t="s">
        <v>162</v>
      </c>
      <c r="B510" s="145">
        <v>46052.0</v>
      </c>
      <c r="C510" s="149" t="s">
        <v>1152</v>
      </c>
      <c r="D510" s="208" t="s">
        <v>1818</v>
      </c>
      <c r="E510" s="148" t="s">
        <v>28</v>
      </c>
      <c r="F510" s="149" t="s">
        <v>1819</v>
      </c>
      <c r="G510" s="149" t="s">
        <v>1820</v>
      </c>
      <c r="H510" s="148" t="s">
        <v>257</v>
      </c>
      <c r="I510" s="150">
        <v>0.3</v>
      </c>
      <c r="J510" s="168">
        <v>1439.0</v>
      </c>
      <c r="K510" s="169">
        <f t="shared" si="68"/>
        <v>5460</v>
      </c>
      <c r="L510" s="170">
        <v>6899.0</v>
      </c>
      <c r="M510" s="239">
        <v>6596.0</v>
      </c>
      <c r="N510" s="155">
        <v>1549.99</v>
      </c>
      <c r="O510" s="315">
        <f t="shared" si="65"/>
        <v>303</v>
      </c>
      <c r="P510" s="344">
        <f t="shared" si="62"/>
        <v>93</v>
      </c>
      <c r="Q510" s="510">
        <v>210.0</v>
      </c>
      <c r="R510" s="672" t="b">
        <v>0</v>
      </c>
      <c r="S510" s="318"/>
      <c r="T510" s="319"/>
      <c r="U510" s="315"/>
      <c r="V510" s="144" t="s">
        <v>584</v>
      </c>
      <c r="W510" s="148"/>
      <c r="X510" s="163"/>
      <c r="Y510" s="162"/>
      <c r="Z510" s="164"/>
      <c r="AA510" s="116"/>
      <c r="AB510" s="116"/>
      <c r="AC510" s="165"/>
      <c r="AD510" s="675" t="str">
        <f t="shared" si="66"/>
        <v>ENERO</v>
      </c>
      <c r="AE510" s="144" t="s">
        <v>1392</v>
      </c>
      <c r="AF510" s="149" t="b">
        <v>1</v>
      </c>
      <c r="AG510" s="144" t="s">
        <v>1636</v>
      </c>
      <c r="AH510" s="149" t="b">
        <v>0</v>
      </c>
      <c r="AI510" s="162"/>
      <c r="AJ510" s="143"/>
      <c r="AK510" s="143"/>
      <c r="AL510" s="143"/>
      <c r="AM510" s="143"/>
      <c r="AN510" s="143"/>
      <c r="AO510" s="143"/>
      <c r="AP510" s="143"/>
      <c r="AQ510" s="143"/>
    </row>
    <row r="511" ht="22.5" hidden="1" customHeight="1">
      <c r="A511" s="144" t="s">
        <v>34</v>
      </c>
      <c r="B511" s="145">
        <v>46052.0</v>
      </c>
      <c r="C511" s="149" t="s">
        <v>1821</v>
      </c>
      <c r="D511" s="208" t="s">
        <v>1822</v>
      </c>
      <c r="E511" s="148" t="s">
        <v>28</v>
      </c>
      <c r="F511" s="246" t="s">
        <v>1823</v>
      </c>
      <c r="G511" s="149">
        <v>5.1938253784E10</v>
      </c>
      <c r="H511" s="148" t="s">
        <v>257</v>
      </c>
      <c r="I511" s="150">
        <v>0.5</v>
      </c>
      <c r="J511" s="168">
        <v>5999.5</v>
      </c>
      <c r="K511" s="169">
        <f t="shared" si="68"/>
        <v>5999.5</v>
      </c>
      <c r="L511" s="170">
        <v>11999.0</v>
      </c>
      <c r="M511" s="239">
        <v>11042.14</v>
      </c>
      <c r="N511" s="155">
        <v>2599.99</v>
      </c>
      <c r="O511" s="315">
        <f t="shared" si="65"/>
        <v>956.86</v>
      </c>
      <c r="P511" s="344">
        <f t="shared" si="62"/>
        <v>751.86</v>
      </c>
      <c r="Q511" s="510">
        <v>205.0</v>
      </c>
      <c r="R511" s="672" t="b">
        <v>0</v>
      </c>
      <c r="S511" s="318"/>
      <c r="T511" s="319"/>
      <c r="U511" s="315"/>
      <c r="V511" s="144" t="s">
        <v>584</v>
      </c>
      <c r="W511" s="148"/>
      <c r="X511" s="163"/>
      <c r="Y511" s="144" t="s">
        <v>584</v>
      </c>
      <c r="Z511" s="164"/>
      <c r="AA511" s="116"/>
      <c r="AB511" s="116"/>
      <c r="AC511" s="165"/>
      <c r="AD511" s="675" t="str">
        <f t="shared" si="66"/>
        <v>ENERO</v>
      </c>
      <c r="AE511" s="144" t="s">
        <v>1636</v>
      </c>
      <c r="AF511" s="149" t="b">
        <v>1</v>
      </c>
      <c r="AG511" s="144" t="s">
        <v>1636</v>
      </c>
      <c r="AH511" s="149" t="b">
        <v>0</v>
      </c>
      <c r="AI511" s="162"/>
      <c r="AJ511" s="143"/>
      <c r="AK511" s="143"/>
      <c r="AL511" s="143"/>
      <c r="AM511" s="143"/>
      <c r="AN511" s="143"/>
      <c r="AO511" s="143"/>
      <c r="AP511" s="143"/>
      <c r="AQ511" s="143"/>
    </row>
    <row r="512" ht="22.5" customHeight="1">
      <c r="A512" s="144" t="s">
        <v>1824</v>
      </c>
      <c r="B512" s="145">
        <v>46052.0</v>
      </c>
      <c r="C512" s="149" t="s">
        <v>1825</v>
      </c>
      <c r="D512" s="208" t="s">
        <v>1826</v>
      </c>
      <c r="E512" s="148" t="s">
        <v>28</v>
      </c>
      <c r="F512" s="262" t="s">
        <v>1827</v>
      </c>
      <c r="G512" s="149">
        <v>5.1943364394E10</v>
      </c>
      <c r="H512" s="148" t="s">
        <v>257</v>
      </c>
      <c r="I512" s="150">
        <v>0.2</v>
      </c>
      <c r="J512" s="168">
        <v>1540.0</v>
      </c>
      <c r="K512" s="370">
        <f t="shared" si="68"/>
        <v>6159</v>
      </c>
      <c r="L512" s="170">
        <v>7699.0</v>
      </c>
      <c r="M512" s="239">
        <v>7175.0</v>
      </c>
      <c r="N512" s="155">
        <v>1599.99</v>
      </c>
      <c r="O512" s="315">
        <f t="shared" si="65"/>
        <v>524</v>
      </c>
      <c r="P512" s="344">
        <f t="shared" si="62"/>
        <v>494</v>
      </c>
      <c r="Q512" s="510">
        <v>30.0</v>
      </c>
      <c r="R512" s="672" t="b">
        <v>0</v>
      </c>
      <c r="S512" s="318"/>
      <c r="T512" s="319"/>
      <c r="U512" s="315"/>
      <c r="V512" s="144" t="s">
        <v>584</v>
      </c>
      <c r="W512" s="148"/>
      <c r="X512" s="163"/>
      <c r="Y512" s="144" t="s">
        <v>584</v>
      </c>
      <c r="Z512" s="164"/>
      <c r="AA512" s="116"/>
      <c r="AB512" s="116"/>
      <c r="AC512" s="165"/>
      <c r="AD512" s="675" t="str">
        <f t="shared" si="66"/>
        <v>ENERO</v>
      </c>
      <c r="AE512" s="144" t="s">
        <v>1636</v>
      </c>
      <c r="AF512" s="149" t="b">
        <v>1</v>
      </c>
      <c r="AG512" s="144" t="s">
        <v>1636</v>
      </c>
      <c r="AH512" s="149" t="b">
        <v>0</v>
      </c>
      <c r="AI512" s="162"/>
      <c r="AJ512" s="143"/>
      <c r="AK512" s="143"/>
      <c r="AL512" s="143"/>
      <c r="AM512" s="143"/>
      <c r="AN512" s="143"/>
      <c r="AO512" s="143"/>
      <c r="AP512" s="143"/>
      <c r="AQ512" s="143"/>
    </row>
    <row r="513" ht="22.5" hidden="1" customHeight="1">
      <c r="A513" s="144" t="s">
        <v>34</v>
      </c>
      <c r="B513" s="145">
        <v>46053.0</v>
      </c>
      <c r="C513" s="647" t="s">
        <v>1508</v>
      </c>
      <c r="D513" s="208" t="s">
        <v>1828</v>
      </c>
      <c r="E513" s="148" t="s">
        <v>28</v>
      </c>
      <c r="F513" s="906" t="s">
        <v>1829</v>
      </c>
      <c r="G513" s="149">
        <v>5.1913504014E10</v>
      </c>
      <c r="H513" s="148" t="s">
        <v>257</v>
      </c>
      <c r="I513" s="150">
        <v>1.0</v>
      </c>
      <c r="J513" s="170">
        <v>6099.0</v>
      </c>
      <c r="K513" s="169">
        <f t="shared" si="68"/>
        <v>0</v>
      </c>
      <c r="L513" s="170">
        <v>6099.0</v>
      </c>
      <c r="M513" s="239">
        <v>5775.0</v>
      </c>
      <c r="N513" s="155">
        <v>1349.999</v>
      </c>
      <c r="O513" s="315">
        <f t="shared" si="65"/>
        <v>324</v>
      </c>
      <c r="P513" s="344">
        <f t="shared" si="62"/>
        <v>64</v>
      </c>
      <c r="Q513" s="510">
        <v>210.0</v>
      </c>
      <c r="R513" s="672" t="b">
        <v>1</v>
      </c>
      <c r="S513" s="318"/>
      <c r="T513" s="319"/>
      <c r="U513" s="315"/>
      <c r="V513" s="144" t="s">
        <v>584</v>
      </c>
      <c r="W513" s="148" t="s">
        <v>584</v>
      </c>
      <c r="X513" s="163"/>
      <c r="Y513" s="162"/>
      <c r="Z513" s="164"/>
      <c r="AA513" s="116"/>
      <c r="AB513" s="116"/>
      <c r="AC513" s="165"/>
      <c r="AD513" s="675" t="str">
        <f t="shared" si="66"/>
        <v>ENERO</v>
      </c>
      <c r="AE513" s="144" t="s">
        <v>1392</v>
      </c>
      <c r="AF513" s="149" t="b">
        <v>1</v>
      </c>
      <c r="AG513" s="144" t="s">
        <v>1392</v>
      </c>
      <c r="AH513" s="149" t="b">
        <v>0</v>
      </c>
      <c r="AI513" s="162"/>
      <c r="AJ513" s="143"/>
      <c r="AK513" s="143"/>
      <c r="AL513" s="143"/>
      <c r="AM513" s="143"/>
      <c r="AN513" s="143"/>
      <c r="AO513" s="143"/>
      <c r="AP513" s="143"/>
      <c r="AQ513" s="143"/>
    </row>
    <row r="514" ht="22.5" customHeight="1">
      <c r="A514" s="144" t="s">
        <v>1824</v>
      </c>
      <c r="B514" s="145">
        <v>46053.0</v>
      </c>
      <c r="C514" s="149" t="s">
        <v>1830</v>
      </c>
      <c r="D514" s="913" t="s">
        <v>1831</v>
      </c>
      <c r="E514" s="148" t="s">
        <v>28</v>
      </c>
      <c r="F514" s="262" t="s">
        <v>1832</v>
      </c>
      <c r="G514" s="149">
        <v>5.1951915562E10</v>
      </c>
      <c r="H514" s="148" t="s">
        <v>257</v>
      </c>
      <c r="I514" s="150">
        <v>0.2</v>
      </c>
      <c r="J514" s="168">
        <v>2120.0</v>
      </c>
      <c r="K514" s="557">
        <f t="shared" si="68"/>
        <v>8479</v>
      </c>
      <c r="L514" s="170">
        <v>10599.0</v>
      </c>
      <c r="M514" s="239">
        <v>9700.0</v>
      </c>
      <c r="N514" s="155">
        <v>2199.0</v>
      </c>
      <c r="O514" s="315">
        <f t="shared" si="65"/>
        <v>899</v>
      </c>
      <c r="P514" s="344">
        <f t="shared" si="62"/>
        <v>699</v>
      </c>
      <c r="Q514" s="510">
        <v>100.0</v>
      </c>
      <c r="R514" s="672" t="b">
        <v>0</v>
      </c>
      <c r="S514" s="318"/>
      <c r="T514" s="319"/>
      <c r="U514" s="343">
        <v>100.0</v>
      </c>
      <c r="V514" s="144" t="s">
        <v>584</v>
      </c>
      <c r="W514" s="148"/>
      <c r="X514" s="163"/>
      <c r="Y514" s="144" t="s">
        <v>584</v>
      </c>
      <c r="Z514" s="164"/>
      <c r="AA514" s="116"/>
      <c r="AB514" s="116"/>
      <c r="AC514" s="165"/>
      <c r="AD514" s="675" t="str">
        <f t="shared" si="66"/>
        <v>ENERO</v>
      </c>
      <c r="AE514" s="144" t="s">
        <v>1636</v>
      </c>
      <c r="AF514" s="149" t="b">
        <v>1</v>
      </c>
      <c r="AG514" s="144" t="s">
        <v>1636</v>
      </c>
      <c r="AH514" s="149" t="b">
        <v>0</v>
      </c>
      <c r="AI514" s="162"/>
      <c r="AJ514" s="143"/>
      <c r="AK514" s="143"/>
      <c r="AL514" s="143"/>
      <c r="AM514" s="143"/>
      <c r="AN514" s="143"/>
      <c r="AO514" s="143"/>
      <c r="AP514" s="143"/>
      <c r="AQ514" s="143"/>
    </row>
    <row r="515" ht="22.5" customHeight="1">
      <c r="A515" s="144" t="s">
        <v>1833</v>
      </c>
      <c r="B515" s="145">
        <v>46053.0</v>
      </c>
      <c r="C515" s="149" t="s">
        <v>1830</v>
      </c>
      <c r="D515" s="208" t="s">
        <v>1834</v>
      </c>
      <c r="E515" s="148" t="s">
        <v>28</v>
      </c>
      <c r="F515" s="262" t="s">
        <v>1835</v>
      </c>
      <c r="G515" s="149">
        <v>5.1925155982E10</v>
      </c>
      <c r="H515" s="148" t="s">
        <v>257</v>
      </c>
      <c r="I515" s="150">
        <v>0.3</v>
      </c>
      <c r="J515" s="168">
        <v>3179.0</v>
      </c>
      <c r="K515" s="169">
        <f t="shared" si="68"/>
        <v>7420</v>
      </c>
      <c r="L515" s="170">
        <v>10599.0</v>
      </c>
      <c r="M515" s="239">
        <v>9700.0</v>
      </c>
      <c r="N515" s="155">
        <v>2199.0</v>
      </c>
      <c r="O515" s="315">
        <f t="shared" si="65"/>
        <v>899</v>
      </c>
      <c r="P515" s="344">
        <f t="shared" si="62"/>
        <v>754</v>
      </c>
      <c r="Q515" s="510">
        <v>145.0</v>
      </c>
      <c r="R515" s="672" t="b">
        <v>0</v>
      </c>
      <c r="S515" s="318"/>
      <c r="T515" s="319"/>
      <c r="U515" s="315"/>
      <c r="V515" s="144" t="s">
        <v>584</v>
      </c>
      <c r="W515" s="148"/>
      <c r="X515" s="163"/>
      <c r="Y515" s="144" t="s">
        <v>584</v>
      </c>
      <c r="Z515" s="164"/>
      <c r="AA515" s="116"/>
      <c r="AB515" s="116"/>
      <c r="AC515" s="165"/>
      <c r="AD515" s="675" t="str">
        <f t="shared" si="66"/>
        <v>ENERO</v>
      </c>
      <c r="AE515" s="144" t="s">
        <v>1636</v>
      </c>
      <c r="AF515" s="149" t="b">
        <v>1</v>
      </c>
      <c r="AG515" s="144" t="s">
        <v>1636</v>
      </c>
      <c r="AH515" s="149" t="b">
        <v>0</v>
      </c>
      <c r="AI515" s="162"/>
      <c r="AJ515" s="143"/>
      <c r="AK515" s="143"/>
      <c r="AL515" s="143"/>
      <c r="AM515" s="143"/>
      <c r="AN515" s="143"/>
      <c r="AO515" s="143"/>
      <c r="AP515" s="143"/>
      <c r="AQ515" s="143"/>
    </row>
    <row r="516" ht="22.5" hidden="1" customHeight="1">
      <c r="A516" s="144" t="s">
        <v>259</v>
      </c>
      <c r="B516" s="145">
        <v>46053.0</v>
      </c>
      <c r="C516" s="353" t="s">
        <v>1836</v>
      </c>
      <c r="D516" s="208" t="s">
        <v>1837</v>
      </c>
      <c r="E516" s="148" t="s">
        <v>399</v>
      </c>
      <c r="F516" s="262"/>
      <c r="G516" s="165"/>
      <c r="H516" s="148" t="s">
        <v>257</v>
      </c>
      <c r="I516" s="148" t="s">
        <v>61</v>
      </c>
      <c r="J516" s="168">
        <v>5000.0</v>
      </c>
      <c r="K516" s="169">
        <f t="shared" si="68"/>
        <v>4599</v>
      </c>
      <c r="L516" s="170">
        <v>9599.0</v>
      </c>
      <c r="M516" s="239">
        <v>8811.0</v>
      </c>
      <c r="N516" s="155">
        <v>1999.0</v>
      </c>
      <c r="O516" s="315">
        <f t="shared" si="65"/>
        <v>788</v>
      </c>
      <c r="P516" s="344">
        <f t="shared" si="62"/>
        <v>788</v>
      </c>
      <c r="Q516" s="321"/>
      <c r="R516" s="672" t="b">
        <v>0</v>
      </c>
      <c r="S516" s="318"/>
      <c r="T516" s="319"/>
      <c r="U516" s="315"/>
      <c r="V516" s="144" t="s">
        <v>584</v>
      </c>
      <c r="W516" s="148"/>
      <c r="X516" s="163"/>
      <c r="Y516" s="144"/>
      <c r="Z516" s="10" t="s">
        <v>1838</v>
      </c>
      <c r="AA516" s="116"/>
      <c r="AB516" s="116"/>
      <c r="AC516" s="165"/>
      <c r="AD516" s="675" t="str">
        <f t="shared" si="66"/>
        <v>ENERO</v>
      </c>
      <c r="AE516" s="144" t="s">
        <v>1636</v>
      </c>
      <c r="AF516" s="763" t="b">
        <v>1</v>
      </c>
      <c r="AG516" s="162"/>
      <c r="AH516" s="149" t="b">
        <v>0</v>
      </c>
      <c r="AI516" s="162"/>
      <c r="AJ516" s="143"/>
      <c r="AK516" s="143"/>
      <c r="AL516" s="143"/>
      <c r="AM516" s="143"/>
      <c r="AN516" s="143"/>
      <c r="AO516" s="143"/>
      <c r="AP516" s="143"/>
      <c r="AQ516" s="143"/>
    </row>
    <row r="517" ht="22.5" hidden="1" customHeight="1">
      <c r="A517" s="728" t="s">
        <v>259</v>
      </c>
      <c r="B517" s="729">
        <v>46053.0</v>
      </c>
      <c r="C517" s="914" t="s">
        <v>1152</v>
      </c>
      <c r="D517" s="915" t="s">
        <v>1839</v>
      </c>
      <c r="E517" s="731" t="s">
        <v>28</v>
      </c>
      <c r="F517" s="916" t="s">
        <v>1840</v>
      </c>
      <c r="G517" s="917"/>
      <c r="H517" s="731" t="s">
        <v>257</v>
      </c>
      <c r="I517" s="734">
        <v>1.0</v>
      </c>
      <c r="J517" s="735">
        <v>7199.0</v>
      </c>
      <c r="K517" s="736">
        <f t="shared" si="68"/>
        <v>0</v>
      </c>
      <c r="L517" s="737">
        <v>7199.0</v>
      </c>
      <c r="M517" s="738">
        <v>6596.0</v>
      </c>
      <c r="N517" s="739">
        <v>1549.99</v>
      </c>
      <c r="O517" s="740">
        <f t="shared" si="65"/>
        <v>603</v>
      </c>
      <c r="P517" s="741">
        <f t="shared" si="62"/>
        <v>503</v>
      </c>
      <c r="Q517" s="741">
        <v>100.0</v>
      </c>
      <c r="R517" s="742" t="b">
        <v>0</v>
      </c>
      <c r="S517" s="740"/>
      <c r="T517" s="918"/>
      <c r="U517" s="740"/>
      <c r="V517" s="728" t="s">
        <v>584</v>
      </c>
      <c r="W517" s="731"/>
      <c r="X517" s="744"/>
      <c r="Y517" s="919"/>
      <c r="Z517" s="920"/>
      <c r="AA517" s="746"/>
      <c r="AB517" s="746"/>
      <c r="AC517" s="917"/>
      <c r="AD517" s="675" t="str">
        <f t="shared" si="66"/>
        <v>ENERO</v>
      </c>
      <c r="AE517" s="728" t="s">
        <v>1392</v>
      </c>
      <c r="AF517" s="733" t="b">
        <v>1</v>
      </c>
      <c r="AG517" s="728" t="s">
        <v>1392</v>
      </c>
      <c r="AH517" s="733" t="b">
        <v>0</v>
      </c>
      <c r="AI517" s="748"/>
      <c r="AJ517" s="749"/>
      <c r="AK517" s="749"/>
      <c r="AL517" s="749"/>
      <c r="AM517" s="749"/>
      <c r="AN517" s="749"/>
      <c r="AO517" s="749"/>
      <c r="AP517" s="749"/>
      <c r="AQ517" s="749"/>
    </row>
    <row r="518" ht="22.5" hidden="1" customHeight="1">
      <c r="A518" s="144" t="s">
        <v>259</v>
      </c>
      <c r="B518" s="209">
        <v>46057.0</v>
      </c>
      <c r="C518" s="149" t="s">
        <v>1841</v>
      </c>
      <c r="D518" s="208" t="s">
        <v>1552</v>
      </c>
      <c r="E518" s="148" t="s">
        <v>28</v>
      </c>
      <c r="F518" s="246" t="s">
        <v>1842</v>
      </c>
      <c r="G518" s="149">
        <v>5.1959779535E10</v>
      </c>
      <c r="H518" s="148" t="s">
        <v>257</v>
      </c>
      <c r="I518" s="150">
        <v>0.3</v>
      </c>
      <c r="J518" s="168">
        <v>3525.0</v>
      </c>
      <c r="K518" s="169">
        <f t="shared" si="68"/>
        <v>8227</v>
      </c>
      <c r="L518" s="170">
        <v>11752.0</v>
      </c>
      <c r="M518" s="239">
        <v>11026.0</v>
      </c>
      <c r="N518" s="155">
        <v>2689.0</v>
      </c>
      <c r="O518" s="315">
        <f t="shared" si="65"/>
        <v>726</v>
      </c>
      <c r="P518" s="344">
        <f t="shared" si="62"/>
        <v>586</v>
      </c>
      <c r="Q518" s="510">
        <v>140.0</v>
      </c>
      <c r="R518" s="672" t="b">
        <v>0</v>
      </c>
      <c r="S518" s="318"/>
      <c r="T518" s="319"/>
      <c r="U518" s="315"/>
      <c r="V518" s="144" t="s">
        <v>584</v>
      </c>
      <c r="W518" s="148"/>
      <c r="X518" s="163"/>
      <c r="Y518" s="144" t="s">
        <v>584</v>
      </c>
      <c r="Z518" s="164"/>
      <c r="AA518" s="116"/>
      <c r="AB518" s="116"/>
      <c r="AC518" s="165"/>
      <c r="AD518" s="675" t="str">
        <f t="shared" si="66"/>
        <v>FEBRERO</v>
      </c>
      <c r="AE518" s="144" t="s">
        <v>1636</v>
      </c>
      <c r="AF518" s="149" t="b">
        <v>1</v>
      </c>
      <c r="AG518" s="144" t="s">
        <v>1817</v>
      </c>
      <c r="AH518" s="149" t="b">
        <v>0</v>
      </c>
      <c r="AI518" s="162"/>
      <c r="AJ518" s="143"/>
      <c r="AK518" s="143"/>
      <c r="AL518" s="143"/>
      <c r="AM518" s="143"/>
      <c r="AN518" s="143"/>
      <c r="AO518" s="143"/>
      <c r="AP518" s="143"/>
      <c r="AQ518" s="143"/>
    </row>
    <row r="519" ht="22.5" hidden="1" customHeight="1">
      <c r="A519" s="144" t="s">
        <v>259</v>
      </c>
      <c r="B519" s="209">
        <v>46057.0</v>
      </c>
      <c r="C519" s="921" t="s">
        <v>1843</v>
      </c>
      <c r="D519" s="208" t="s">
        <v>1844</v>
      </c>
      <c r="E519" s="148" t="s">
        <v>28</v>
      </c>
      <c r="F519" s="246" t="s">
        <v>1845</v>
      </c>
      <c r="G519" s="149">
        <v>5.1964960387E10</v>
      </c>
      <c r="H519" s="148" t="s">
        <v>257</v>
      </c>
      <c r="I519" s="150">
        <v>0.3</v>
      </c>
      <c r="J519" s="168">
        <v>3959.0</v>
      </c>
      <c r="K519" s="169">
        <f t="shared" si="68"/>
        <v>9240</v>
      </c>
      <c r="L519" s="170">
        <v>13199.0</v>
      </c>
      <c r="M519" s="239">
        <v>13090.0</v>
      </c>
      <c r="N519" s="155">
        <v>3149.0</v>
      </c>
      <c r="O519" s="315">
        <f t="shared" si="65"/>
        <v>109</v>
      </c>
      <c r="P519" s="344">
        <f t="shared" si="62"/>
        <v>109</v>
      </c>
      <c r="Q519" s="321"/>
      <c r="R519" s="672" t="b">
        <v>0</v>
      </c>
      <c r="S519" s="318"/>
      <c r="T519" s="319"/>
      <c r="U519" s="315"/>
      <c r="V519" s="144" t="s">
        <v>584</v>
      </c>
      <c r="W519" s="148"/>
      <c r="X519" s="163"/>
      <c r="Y519" s="162"/>
      <c r="Z519" s="164"/>
      <c r="AA519" s="116"/>
      <c r="AB519" s="116"/>
      <c r="AC519" s="165"/>
      <c r="AD519" s="675" t="str">
        <f t="shared" si="66"/>
        <v>FEBRERO</v>
      </c>
      <c r="AE519" s="144" t="s">
        <v>1636</v>
      </c>
      <c r="AF519" s="149" t="b">
        <v>1</v>
      </c>
      <c r="AG519" s="144" t="s">
        <v>1636</v>
      </c>
      <c r="AH519" s="149" t="b">
        <v>0</v>
      </c>
      <c r="AI519" s="162"/>
      <c r="AJ519" s="143"/>
      <c r="AK519" s="143"/>
      <c r="AL519" s="143"/>
      <c r="AM519" s="143"/>
      <c r="AN519" s="143"/>
      <c r="AO519" s="143"/>
      <c r="AP519" s="143"/>
      <c r="AQ519" s="143"/>
    </row>
    <row r="520" ht="22.5" customHeight="1">
      <c r="A520" s="144" t="s">
        <v>162</v>
      </c>
      <c r="B520" s="209">
        <v>46058.0</v>
      </c>
      <c r="C520" s="149" t="s">
        <v>1846</v>
      </c>
      <c r="D520" s="208" t="s">
        <v>1847</v>
      </c>
      <c r="E520" s="148" t="s">
        <v>28</v>
      </c>
      <c r="F520" s="262" t="s">
        <v>1848</v>
      </c>
      <c r="G520" s="149" t="s">
        <v>1849</v>
      </c>
      <c r="H520" s="148" t="s">
        <v>257</v>
      </c>
      <c r="I520" s="150">
        <v>0.3</v>
      </c>
      <c r="J520" s="168">
        <v>2489.0</v>
      </c>
      <c r="K520" s="169">
        <f t="shared" si="68"/>
        <v>5810</v>
      </c>
      <c r="L520" s="170">
        <v>8299.0</v>
      </c>
      <c r="M520" s="239">
        <v>7497.02</v>
      </c>
      <c r="N520" s="155">
        <v>1599.99</v>
      </c>
      <c r="O520" s="315">
        <f t="shared" si="65"/>
        <v>801.98</v>
      </c>
      <c r="P520" s="344">
        <f t="shared" si="62"/>
        <v>591.98</v>
      </c>
      <c r="Q520" s="510">
        <v>210.0</v>
      </c>
      <c r="R520" s="672" t="b">
        <v>0</v>
      </c>
      <c r="S520" s="318"/>
      <c r="T520" s="319"/>
      <c r="U520" s="315"/>
      <c r="V520" s="144" t="s">
        <v>584</v>
      </c>
      <c r="W520" s="148"/>
      <c r="X520" s="163"/>
      <c r="Y520" s="144" t="s">
        <v>584</v>
      </c>
      <c r="Z520" s="164"/>
      <c r="AA520" s="116"/>
      <c r="AB520" s="116"/>
      <c r="AC520" s="165"/>
      <c r="AD520" s="675" t="str">
        <f t="shared" si="66"/>
        <v>FEBRERO</v>
      </c>
      <c r="AE520" s="144" t="s">
        <v>1636</v>
      </c>
      <c r="AF520" s="149" t="b">
        <v>1</v>
      </c>
      <c r="AG520" s="144" t="s">
        <v>1817</v>
      </c>
      <c r="AH520" s="149" t="b">
        <v>0</v>
      </c>
      <c r="AI520" s="162"/>
      <c r="AJ520" s="143"/>
      <c r="AK520" s="143"/>
      <c r="AL520" s="143"/>
      <c r="AM520" s="143"/>
      <c r="AN520" s="143"/>
      <c r="AO520" s="143"/>
      <c r="AP520" s="143"/>
      <c r="AQ520" s="143"/>
    </row>
    <row r="521" ht="22.5" customHeight="1">
      <c r="A521" s="144" t="s">
        <v>162</v>
      </c>
      <c r="B521" s="209">
        <v>46058.0</v>
      </c>
      <c r="C521" s="149" t="s">
        <v>1152</v>
      </c>
      <c r="D521" s="208" t="s">
        <v>1850</v>
      </c>
      <c r="E521" s="148" t="s">
        <v>28</v>
      </c>
      <c r="F521" s="149" t="s">
        <v>1851</v>
      </c>
      <c r="G521" s="149">
        <v>5.1953798342E10</v>
      </c>
      <c r="H521" s="148" t="s">
        <v>257</v>
      </c>
      <c r="I521" s="150">
        <v>0.3</v>
      </c>
      <c r="J521" s="168">
        <v>1400.19</v>
      </c>
      <c r="K521" s="169">
        <f t="shared" si="68"/>
        <v>5698.81</v>
      </c>
      <c r="L521" s="170">
        <v>7099.0</v>
      </c>
      <c r="M521" s="239">
        <v>6596.0</v>
      </c>
      <c r="N521" s="155">
        <v>1549.99</v>
      </c>
      <c r="O521" s="315">
        <f t="shared" si="65"/>
        <v>503</v>
      </c>
      <c r="P521" s="344">
        <f t="shared" si="62"/>
        <v>293</v>
      </c>
      <c r="Q521" s="510">
        <v>210.0</v>
      </c>
      <c r="R521" s="672" t="b">
        <v>0</v>
      </c>
      <c r="S521" s="318"/>
      <c r="T521" s="319"/>
      <c r="U521" s="315"/>
      <c r="V521" s="144" t="s">
        <v>584</v>
      </c>
      <c r="W521" s="148" t="s">
        <v>584</v>
      </c>
      <c r="X521" s="163"/>
      <c r="Y521" s="162"/>
      <c r="Z521" s="164"/>
      <c r="AA521" s="116"/>
      <c r="AB521" s="116"/>
      <c r="AC521" s="165"/>
      <c r="AD521" s="675" t="str">
        <f t="shared" si="66"/>
        <v>FEBRERO</v>
      </c>
      <c r="AE521" s="144" t="s">
        <v>1636</v>
      </c>
      <c r="AF521" s="149" t="b">
        <v>1</v>
      </c>
      <c r="AG521" s="144" t="s">
        <v>1636</v>
      </c>
      <c r="AH521" s="149" t="b">
        <v>0</v>
      </c>
      <c r="AI521" s="162"/>
      <c r="AJ521" s="143"/>
      <c r="AK521" s="143"/>
      <c r="AL521" s="143"/>
      <c r="AM521" s="143"/>
      <c r="AN521" s="143"/>
      <c r="AO521" s="143"/>
      <c r="AP521" s="143"/>
      <c r="AQ521" s="143"/>
    </row>
    <row r="522" ht="22.5" customHeight="1">
      <c r="A522" s="144" t="s">
        <v>162</v>
      </c>
      <c r="B522" s="209">
        <v>46058.0</v>
      </c>
      <c r="C522" s="149" t="s">
        <v>1152</v>
      </c>
      <c r="D522" s="329" t="s">
        <v>1852</v>
      </c>
      <c r="E522" s="148" t="s">
        <v>28</v>
      </c>
      <c r="F522" s="149" t="s">
        <v>1853</v>
      </c>
      <c r="G522" s="149">
        <v>5.1925219835E10</v>
      </c>
      <c r="H522" s="148" t="s">
        <v>257</v>
      </c>
      <c r="I522" s="150">
        <v>0.3</v>
      </c>
      <c r="J522" s="168">
        <v>1439.0</v>
      </c>
      <c r="K522" s="169">
        <f t="shared" si="68"/>
        <v>5760</v>
      </c>
      <c r="L522" s="170">
        <v>7199.0</v>
      </c>
      <c r="M522" s="239">
        <v>6596.0</v>
      </c>
      <c r="N522" s="155">
        <v>1549.99</v>
      </c>
      <c r="O522" s="315">
        <f t="shared" si="65"/>
        <v>603</v>
      </c>
      <c r="P522" s="344">
        <f t="shared" si="62"/>
        <v>393</v>
      </c>
      <c r="Q522" s="510">
        <v>210.0</v>
      </c>
      <c r="R522" s="672" t="b">
        <v>0</v>
      </c>
      <c r="S522" s="318"/>
      <c r="T522" s="319"/>
      <c r="U522" s="315"/>
      <c r="V522" s="144" t="s">
        <v>584</v>
      </c>
      <c r="W522" s="148" t="s">
        <v>584</v>
      </c>
      <c r="X522" s="163"/>
      <c r="Y522" s="162"/>
      <c r="Z522" s="164"/>
      <c r="AA522" s="116"/>
      <c r="AB522" s="116"/>
      <c r="AC522" s="165"/>
      <c r="AD522" s="675" t="str">
        <f t="shared" si="66"/>
        <v>FEBRERO</v>
      </c>
      <c r="AE522" s="144" t="s">
        <v>1636</v>
      </c>
      <c r="AF522" s="149" t="b">
        <v>1</v>
      </c>
      <c r="AG522" s="144" t="s">
        <v>1636</v>
      </c>
      <c r="AH522" s="149" t="b">
        <v>0</v>
      </c>
      <c r="AI522" s="162"/>
      <c r="AJ522" s="143"/>
      <c r="AK522" s="143"/>
      <c r="AL522" s="143"/>
      <c r="AM522" s="143"/>
      <c r="AN522" s="143"/>
      <c r="AO522" s="143"/>
      <c r="AP522" s="143"/>
      <c r="AQ522" s="143"/>
    </row>
    <row r="523" ht="22.5" customHeight="1">
      <c r="A523" s="144" t="s">
        <v>1833</v>
      </c>
      <c r="B523" s="209">
        <v>46059.0</v>
      </c>
      <c r="C523" s="149" t="s">
        <v>1854</v>
      </c>
      <c r="D523" s="329" t="s">
        <v>1855</v>
      </c>
      <c r="E523" s="148" t="s">
        <v>28</v>
      </c>
      <c r="F523" s="246" t="s">
        <v>1856</v>
      </c>
      <c r="G523" s="149" t="s">
        <v>1857</v>
      </c>
      <c r="H523" s="148" t="s">
        <v>257</v>
      </c>
      <c r="I523" s="150">
        <v>0.2</v>
      </c>
      <c r="J523" s="168">
        <v>1659.8</v>
      </c>
      <c r="K523" s="169">
        <f t="shared" si="68"/>
        <v>6639.2</v>
      </c>
      <c r="L523" s="170">
        <v>8299.0</v>
      </c>
      <c r="M523" s="239">
        <v>7343.0</v>
      </c>
      <c r="N523" s="155">
        <v>1599.0</v>
      </c>
      <c r="O523" s="315">
        <f t="shared" si="65"/>
        <v>956</v>
      </c>
      <c r="P523" s="344">
        <f t="shared" si="62"/>
        <v>856</v>
      </c>
      <c r="Q523" s="510">
        <v>100.0</v>
      </c>
      <c r="R523" s="672" t="b">
        <v>0</v>
      </c>
      <c r="S523" s="318"/>
      <c r="T523" s="319"/>
      <c r="U523" s="315"/>
      <c r="V523" s="144" t="s">
        <v>584</v>
      </c>
      <c r="W523" s="148"/>
      <c r="X523" s="163"/>
      <c r="Y523" s="144" t="s">
        <v>584</v>
      </c>
      <c r="Z523" s="164"/>
      <c r="AA523" s="116"/>
      <c r="AB523" s="116"/>
      <c r="AC523" s="165"/>
      <c r="AD523" s="675" t="str">
        <f t="shared" si="66"/>
        <v>FEBRERO</v>
      </c>
      <c r="AE523" s="144" t="s">
        <v>1636</v>
      </c>
      <c r="AF523" s="149" t="b">
        <v>1</v>
      </c>
      <c r="AG523" s="144" t="s">
        <v>1817</v>
      </c>
      <c r="AH523" s="149" t="b">
        <v>0</v>
      </c>
      <c r="AI523" s="162"/>
      <c r="AJ523" s="143"/>
      <c r="AK523" s="143"/>
      <c r="AL523" s="143"/>
      <c r="AM523" s="143"/>
      <c r="AN523" s="143"/>
      <c r="AO523" s="143"/>
      <c r="AP523" s="143"/>
      <c r="AQ523" s="143"/>
    </row>
    <row r="524" ht="22.5" customHeight="1">
      <c r="A524" s="144" t="s">
        <v>1824</v>
      </c>
      <c r="B524" s="209">
        <v>46059.0</v>
      </c>
      <c r="C524" s="149" t="s">
        <v>1858</v>
      </c>
      <c r="D524" s="208" t="s">
        <v>1859</v>
      </c>
      <c r="E524" s="148" t="s">
        <v>28</v>
      </c>
      <c r="F524" s="262" t="s">
        <v>1860</v>
      </c>
      <c r="G524" s="165"/>
      <c r="H524" s="148" t="s">
        <v>257</v>
      </c>
      <c r="I524" s="150">
        <v>1.0</v>
      </c>
      <c r="J524" s="168">
        <v>7799.0</v>
      </c>
      <c r="K524" s="169">
        <f t="shared" si="68"/>
        <v>0</v>
      </c>
      <c r="L524" s="170">
        <v>7799.0</v>
      </c>
      <c r="M524" s="239">
        <v>7221.05</v>
      </c>
      <c r="N524" s="155">
        <v>1599.99</v>
      </c>
      <c r="O524" s="315">
        <f t="shared" si="65"/>
        <v>577.95</v>
      </c>
      <c r="P524" s="344">
        <f t="shared" si="62"/>
        <v>577.95</v>
      </c>
      <c r="Q524" s="321"/>
      <c r="R524" s="672" t="b">
        <v>0</v>
      </c>
      <c r="S524" s="318"/>
      <c r="T524" s="319"/>
      <c r="U524" s="315"/>
      <c r="V524" s="144" t="s">
        <v>584</v>
      </c>
      <c r="W524" s="148" t="s">
        <v>584</v>
      </c>
      <c r="X524" s="163"/>
      <c r="Y524" s="162"/>
      <c r="Z524" s="164"/>
      <c r="AA524" s="116"/>
      <c r="AB524" s="116"/>
      <c r="AC524" s="165"/>
      <c r="AD524" s="675" t="str">
        <f t="shared" si="66"/>
        <v>FEBRERO</v>
      </c>
      <c r="AE524" s="144" t="s">
        <v>1636</v>
      </c>
      <c r="AF524" s="149" t="b">
        <v>1</v>
      </c>
      <c r="AG524" s="144" t="s">
        <v>1636</v>
      </c>
      <c r="AH524" s="149" t="b">
        <v>0</v>
      </c>
      <c r="AI524" s="162"/>
      <c r="AJ524" s="143"/>
      <c r="AK524" s="143"/>
      <c r="AL524" s="143"/>
      <c r="AM524" s="143"/>
      <c r="AN524" s="143"/>
      <c r="AO524" s="143"/>
      <c r="AP524" s="143"/>
      <c r="AQ524" s="143"/>
    </row>
    <row r="525" ht="22.5" customHeight="1">
      <c r="A525" s="144" t="s">
        <v>1833</v>
      </c>
      <c r="B525" s="209">
        <v>46060.0</v>
      </c>
      <c r="C525" s="817" t="s">
        <v>1861</v>
      </c>
      <c r="D525" s="208" t="s">
        <v>1862</v>
      </c>
      <c r="E525" s="148" t="s">
        <v>28</v>
      </c>
      <c r="F525" s="262" t="s">
        <v>1863</v>
      </c>
      <c r="G525" s="165"/>
      <c r="H525" s="148" t="s">
        <v>257</v>
      </c>
      <c r="I525" s="150">
        <v>0.2</v>
      </c>
      <c r="J525" s="168">
        <v>1540.0</v>
      </c>
      <c r="K525" s="169">
        <f t="shared" si="68"/>
        <v>6159</v>
      </c>
      <c r="L525" s="170">
        <v>7699.0</v>
      </c>
      <c r="M525" s="239">
        <v>7617.0</v>
      </c>
      <c r="N525" s="155">
        <v>1799.99</v>
      </c>
      <c r="O525" s="315">
        <f t="shared" si="65"/>
        <v>82</v>
      </c>
      <c r="P525" s="344">
        <f t="shared" si="62"/>
        <v>-18</v>
      </c>
      <c r="Q525" s="510">
        <v>100.0</v>
      </c>
      <c r="R525" s="672" t="b">
        <v>0</v>
      </c>
      <c r="S525" s="318"/>
      <c r="T525" s="319"/>
      <c r="U525" s="315"/>
      <c r="V525" s="144" t="s">
        <v>584</v>
      </c>
      <c r="W525" s="148" t="s">
        <v>584</v>
      </c>
      <c r="X525" s="163"/>
      <c r="Y525" s="162"/>
      <c r="Z525" s="164"/>
      <c r="AA525" s="116"/>
      <c r="AB525" s="116"/>
      <c r="AC525" s="165"/>
      <c r="AD525" s="675" t="str">
        <f t="shared" si="66"/>
        <v>FEBRERO</v>
      </c>
      <c r="AE525" s="144" t="s">
        <v>1636</v>
      </c>
      <c r="AF525" s="149" t="b">
        <v>1</v>
      </c>
      <c r="AG525" s="144" t="s">
        <v>1636</v>
      </c>
      <c r="AH525" s="149" t="b">
        <v>0</v>
      </c>
      <c r="AI525" s="162"/>
      <c r="AJ525" s="143"/>
      <c r="AK525" s="143"/>
      <c r="AL525" s="143"/>
      <c r="AM525" s="143"/>
      <c r="AN525" s="143"/>
      <c r="AO525" s="143"/>
      <c r="AP525" s="143"/>
      <c r="AQ525" s="143"/>
    </row>
    <row r="526" ht="22.5" customHeight="1">
      <c r="A526" s="144" t="s">
        <v>162</v>
      </c>
      <c r="B526" s="209">
        <v>46060.0</v>
      </c>
      <c r="C526" s="353" t="s">
        <v>1864</v>
      </c>
      <c r="D526" s="208" t="s">
        <v>1865</v>
      </c>
      <c r="E526" s="148" t="s">
        <v>28</v>
      </c>
      <c r="F526" s="262" t="s">
        <v>1866</v>
      </c>
      <c r="G526" s="149" t="s">
        <v>1867</v>
      </c>
      <c r="H526" s="148" t="s">
        <v>257</v>
      </c>
      <c r="I526" s="150">
        <v>0.5</v>
      </c>
      <c r="J526" s="168">
        <v>7299.0</v>
      </c>
      <c r="K526" s="169">
        <f t="shared" si="68"/>
        <v>7300</v>
      </c>
      <c r="L526" s="170">
        <v>14599.0</v>
      </c>
      <c r="M526" s="239">
        <v>13917.96</v>
      </c>
      <c r="N526" s="155">
        <v>3299.99</v>
      </c>
      <c r="O526" s="315">
        <f t="shared" si="65"/>
        <v>681.04</v>
      </c>
      <c r="P526" s="344">
        <f t="shared" si="62"/>
        <v>201.04</v>
      </c>
      <c r="Q526" s="510">
        <v>450.0</v>
      </c>
      <c r="R526" s="672" t="b">
        <v>0</v>
      </c>
      <c r="S526" s="318"/>
      <c r="T526" s="319"/>
      <c r="U526" s="343">
        <v>30.0</v>
      </c>
      <c r="V526" s="144" t="s">
        <v>584</v>
      </c>
      <c r="W526" s="148"/>
      <c r="X526" s="163"/>
      <c r="Y526" s="144" t="s">
        <v>584</v>
      </c>
      <c r="Z526" s="164"/>
      <c r="AA526" s="116"/>
      <c r="AB526" s="116"/>
      <c r="AC526" s="165"/>
      <c r="AD526" s="675" t="str">
        <f t="shared" si="66"/>
        <v>FEBRERO</v>
      </c>
      <c r="AE526" s="144" t="s">
        <v>1636</v>
      </c>
      <c r="AF526" s="149" t="b">
        <v>1</v>
      </c>
      <c r="AG526" s="144" t="s">
        <v>1817</v>
      </c>
      <c r="AH526" s="149" t="b">
        <v>0</v>
      </c>
      <c r="AI526" s="162"/>
      <c r="AJ526" s="143"/>
      <c r="AK526" s="143"/>
      <c r="AL526" s="143"/>
      <c r="AM526" s="143"/>
      <c r="AN526" s="143"/>
      <c r="AO526" s="143"/>
      <c r="AP526" s="143"/>
      <c r="AQ526" s="143"/>
    </row>
    <row r="527" ht="22.5" customHeight="1">
      <c r="A527" s="144" t="s">
        <v>162</v>
      </c>
      <c r="B527" s="209">
        <v>46060.0</v>
      </c>
      <c r="C527" s="149" t="s">
        <v>1868</v>
      </c>
      <c r="D527" s="208" t="s">
        <v>1865</v>
      </c>
      <c r="E527" s="148" t="s">
        <v>28</v>
      </c>
      <c r="F527" s="149" t="s">
        <v>1869</v>
      </c>
      <c r="G527" s="149" t="s">
        <v>1867</v>
      </c>
      <c r="H527" s="148" t="s">
        <v>257</v>
      </c>
      <c r="I527" s="150">
        <v>0.3</v>
      </c>
      <c r="J527" s="168">
        <v>2000.0</v>
      </c>
      <c r="K527" s="169">
        <f t="shared" si="68"/>
        <v>6599</v>
      </c>
      <c r="L527" s="170">
        <v>8599.0</v>
      </c>
      <c r="M527" s="239">
        <v>8446.0</v>
      </c>
      <c r="N527" s="155">
        <v>1999.0</v>
      </c>
      <c r="O527" s="315">
        <f t="shared" si="65"/>
        <v>153</v>
      </c>
      <c r="P527" s="344">
        <f t="shared" si="62"/>
        <v>123</v>
      </c>
      <c r="Q527" s="321"/>
      <c r="R527" s="672" t="b">
        <v>0</v>
      </c>
      <c r="S527" s="318"/>
      <c r="T527" s="319"/>
      <c r="U527" s="343">
        <v>30.0</v>
      </c>
      <c r="V527" s="144" t="s">
        <v>584</v>
      </c>
      <c r="W527" s="148"/>
      <c r="X527" s="163"/>
      <c r="Y527" s="162"/>
      <c r="Z527" s="164"/>
      <c r="AA527" s="116"/>
      <c r="AB527" s="116"/>
      <c r="AC527" s="165"/>
      <c r="AD527" s="675" t="str">
        <f t="shared" si="66"/>
        <v>FEBRERO</v>
      </c>
      <c r="AE527" s="144" t="s">
        <v>1636</v>
      </c>
      <c r="AF527" s="149" t="b">
        <v>1</v>
      </c>
      <c r="AG527" s="144" t="s">
        <v>1817</v>
      </c>
      <c r="AH527" s="149" t="b">
        <v>0</v>
      </c>
      <c r="AI527" s="162"/>
      <c r="AJ527" s="143"/>
      <c r="AK527" s="143"/>
      <c r="AL527" s="143"/>
      <c r="AM527" s="143"/>
      <c r="AN527" s="143"/>
      <c r="AO527" s="143"/>
      <c r="AP527" s="143"/>
      <c r="AQ527" s="143"/>
    </row>
    <row r="528" ht="22.5" hidden="1" customHeight="1">
      <c r="A528" s="144" t="s">
        <v>34</v>
      </c>
      <c r="B528" s="145">
        <v>46062.0</v>
      </c>
      <c r="C528" s="149" t="s">
        <v>1870</v>
      </c>
      <c r="D528" s="778" t="s">
        <v>1871</v>
      </c>
      <c r="E528" s="148" t="s">
        <v>28</v>
      </c>
      <c r="F528" s="246" t="s">
        <v>1872</v>
      </c>
      <c r="G528" s="149">
        <v>5.194884304E10</v>
      </c>
      <c r="H528" s="148" t="s">
        <v>257</v>
      </c>
      <c r="I528" s="150">
        <v>0.2</v>
      </c>
      <c r="J528" s="168">
        <v>939.8</v>
      </c>
      <c r="K528" s="169">
        <f t="shared" si="68"/>
        <v>3759.2</v>
      </c>
      <c r="L528" s="170">
        <v>4699.0</v>
      </c>
      <c r="M528" s="239">
        <v>4237.73</v>
      </c>
      <c r="N528" s="155">
        <v>849.99</v>
      </c>
      <c r="O528" s="315">
        <f t="shared" si="65"/>
        <v>461.27</v>
      </c>
      <c r="P528" s="344">
        <f t="shared" si="62"/>
        <v>106.27</v>
      </c>
      <c r="Q528" s="510">
        <v>305.0</v>
      </c>
      <c r="R528" s="672" t="b">
        <v>1</v>
      </c>
      <c r="S528" s="318"/>
      <c r="T528" s="319"/>
      <c r="U528" s="315"/>
      <c r="V528" s="144" t="s">
        <v>584</v>
      </c>
      <c r="W528" s="148"/>
      <c r="X528" s="819" t="s">
        <v>1873</v>
      </c>
      <c r="Y528" s="144" t="s">
        <v>584</v>
      </c>
      <c r="Z528" s="164"/>
      <c r="AA528" s="116"/>
      <c r="AB528" s="116"/>
      <c r="AC528" s="165"/>
      <c r="AD528" s="675" t="str">
        <f t="shared" si="66"/>
        <v>FEBRERO</v>
      </c>
      <c r="AE528" s="144" t="s">
        <v>1636</v>
      </c>
      <c r="AF528" s="149" t="b">
        <v>1</v>
      </c>
      <c r="AG528" s="144" t="s">
        <v>1636</v>
      </c>
      <c r="AH528" s="149" t="b">
        <v>0</v>
      </c>
      <c r="AI528" s="162"/>
      <c r="AJ528" s="143"/>
      <c r="AK528" s="143"/>
      <c r="AL528" s="143"/>
      <c r="AM528" s="143"/>
      <c r="AN528" s="143"/>
      <c r="AO528" s="143"/>
      <c r="AP528" s="143"/>
      <c r="AQ528" s="143"/>
    </row>
    <row r="529" ht="22.5" hidden="1" customHeight="1">
      <c r="A529" s="144" t="s">
        <v>34</v>
      </c>
      <c r="B529" s="145">
        <v>46062.0</v>
      </c>
      <c r="C529" s="149" t="s">
        <v>1152</v>
      </c>
      <c r="D529" s="922" t="s">
        <v>1874</v>
      </c>
      <c r="E529" s="148" t="s">
        <v>28</v>
      </c>
      <c r="F529" s="262" t="s">
        <v>1875</v>
      </c>
      <c r="G529" s="149">
        <v>5.1936143979E10</v>
      </c>
      <c r="H529" s="148" t="s">
        <v>257</v>
      </c>
      <c r="I529" s="150">
        <v>0.2</v>
      </c>
      <c r="J529" s="168">
        <v>1440.0</v>
      </c>
      <c r="K529" s="169">
        <f t="shared" si="68"/>
        <v>5759</v>
      </c>
      <c r="L529" s="170">
        <v>7199.0</v>
      </c>
      <c r="M529" s="239">
        <v>6650.66</v>
      </c>
      <c r="N529" s="155">
        <v>1549.99</v>
      </c>
      <c r="O529" s="315">
        <f t="shared" si="65"/>
        <v>548.34</v>
      </c>
      <c r="P529" s="344">
        <f t="shared" si="62"/>
        <v>193.34</v>
      </c>
      <c r="Q529" s="510">
        <v>305.0</v>
      </c>
      <c r="R529" s="672" t="b">
        <v>1</v>
      </c>
      <c r="S529" s="318"/>
      <c r="T529" s="319"/>
      <c r="U529" s="315"/>
      <c r="V529" s="144" t="s">
        <v>584</v>
      </c>
      <c r="W529" s="148" t="s">
        <v>584</v>
      </c>
      <c r="X529" s="163"/>
      <c r="Y529" s="144" t="s">
        <v>584</v>
      </c>
      <c r="Z529" s="164"/>
      <c r="AA529" s="116"/>
      <c r="AB529" s="116"/>
      <c r="AC529" s="165"/>
      <c r="AD529" s="675" t="str">
        <f t="shared" si="66"/>
        <v>FEBRERO</v>
      </c>
      <c r="AE529" s="144" t="s">
        <v>1636</v>
      </c>
      <c r="AF529" s="149" t="b">
        <v>1</v>
      </c>
      <c r="AG529" s="144" t="s">
        <v>1636</v>
      </c>
      <c r="AH529" s="149" t="b">
        <v>0</v>
      </c>
      <c r="AI529" s="162"/>
      <c r="AJ529" s="143"/>
      <c r="AK529" s="143"/>
      <c r="AL529" s="143"/>
      <c r="AM529" s="143"/>
      <c r="AN529" s="143"/>
      <c r="AO529" s="143"/>
      <c r="AP529" s="143"/>
      <c r="AQ529" s="143"/>
    </row>
    <row r="530" ht="22.5" customHeight="1">
      <c r="A530" s="144" t="s">
        <v>162</v>
      </c>
      <c r="B530" s="145">
        <v>46063.0</v>
      </c>
      <c r="C530" s="353" t="s">
        <v>1864</v>
      </c>
      <c r="D530" s="208" t="s">
        <v>1876</v>
      </c>
      <c r="E530" s="148" t="s">
        <v>399</v>
      </c>
      <c r="F530" s="262" t="s">
        <v>1877</v>
      </c>
      <c r="G530" s="149" t="s">
        <v>1878</v>
      </c>
      <c r="H530" s="148" t="s">
        <v>257</v>
      </c>
      <c r="I530" s="148" t="s">
        <v>61</v>
      </c>
      <c r="J530" s="168">
        <v>5000.0</v>
      </c>
      <c r="K530" s="169">
        <f t="shared" si="68"/>
        <v>9399</v>
      </c>
      <c r="L530" s="170">
        <v>14399.0</v>
      </c>
      <c r="M530" s="239">
        <v>14053.57</v>
      </c>
      <c r="N530" s="155">
        <v>3299.99</v>
      </c>
      <c r="O530" s="315">
        <f t="shared" si="65"/>
        <v>345.43</v>
      </c>
      <c r="P530" s="344">
        <f t="shared" si="62"/>
        <v>345.43</v>
      </c>
      <c r="Q530" s="510"/>
      <c r="R530" s="672" t="b">
        <v>0</v>
      </c>
      <c r="S530" s="318"/>
      <c r="T530" s="319"/>
      <c r="U530" s="315"/>
      <c r="V530" s="144" t="s">
        <v>584</v>
      </c>
      <c r="W530" s="148"/>
      <c r="X530" s="163"/>
      <c r="Y530" s="144" t="s">
        <v>584</v>
      </c>
      <c r="Z530" s="164"/>
      <c r="AA530" s="116"/>
      <c r="AB530" s="116"/>
      <c r="AC530" s="165"/>
      <c r="AD530" s="675" t="str">
        <f t="shared" si="66"/>
        <v>FEBRERO</v>
      </c>
      <c r="AE530" s="144" t="s">
        <v>1636</v>
      </c>
      <c r="AF530" s="149" t="b">
        <v>1</v>
      </c>
      <c r="AG530" s="144" t="s">
        <v>1817</v>
      </c>
      <c r="AH530" s="149" t="b">
        <v>0</v>
      </c>
      <c r="AI530" s="162"/>
      <c r="AJ530" s="143"/>
      <c r="AK530" s="143"/>
      <c r="AL530" s="143"/>
      <c r="AM530" s="143"/>
      <c r="AN530" s="143"/>
      <c r="AO530" s="143"/>
      <c r="AP530" s="143"/>
      <c r="AQ530" s="143"/>
    </row>
    <row r="531" ht="22.5" customHeight="1">
      <c r="A531" s="144" t="s">
        <v>162</v>
      </c>
      <c r="B531" s="145">
        <v>46064.0</v>
      </c>
      <c r="C531" s="149" t="s">
        <v>1152</v>
      </c>
      <c r="D531" s="208" t="s">
        <v>1879</v>
      </c>
      <c r="E531" s="148" t="s">
        <v>28</v>
      </c>
      <c r="F531" s="149" t="s">
        <v>1880</v>
      </c>
      <c r="G531" s="149" t="s">
        <v>1881</v>
      </c>
      <c r="H531" s="148" t="s">
        <v>257</v>
      </c>
      <c r="I531" s="150">
        <v>0.2</v>
      </c>
      <c r="J531" s="168">
        <v>1379.0</v>
      </c>
      <c r="K531" s="169">
        <f t="shared" si="68"/>
        <v>5630</v>
      </c>
      <c r="L531" s="170">
        <v>7009.0</v>
      </c>
      <c r="M531" s="239">
        <v>6650.66</v>
      </c>
      <c r="N531" s="155">
        <v>1549.99</v>
      </c>
      <c r="O531" s="315">
        <f t="shared" si="65"/>
        <v>358.34</v>
      </c>
      <c r="P531" s="344">
        <f t="shared" si="62"/>
        <v>38.34</v>
      </c>
      <c r="Q531" s="510">
        <v>270.0</v>
      </c>
      <c r="R531" s="672" t="b">
        <v>1</v>
      </c>
      <c r="S531" s="318"/>
      <c r="T531" s="347"/>
      <c r="U531" s="315"/>
      <c r="V531" s="144" t="s">
        <v>584</v>
      </c>
      <c r="W531" s="148" t="s">
        <v>584</v>
      </c>
      <c r="X531" s="149" t="s">
        <v>1882</v>
      </c>
      <c r="Y531" s="144" t="s">
        <v>584</v>
      </c>
      <c r="Z531" s="164"/>
      <c r="AA531" s="116"/>
      <c r="AB531" s="116"/>
      <c r="AC531" s="165"/>
      <c r="AD531" s="675" t="str">
        <f t="shared" si="66"/>
        <v>FEBRERO</v>
      </c>
      <c r="AE531" s="144" t="s">
        <v>1636</v>
      </c>
      <c r="AF531" s="149" t="b">
        <v>1</v>
      </c>
      <c r="AG531" s="144" t="s">
        <v>1636</v>
      </c>
      <c r="AH531" s="149" t="b">
        <v>0</v>
      </c>
      <c r="AI531" s="162"/>
      <c r="AJ531" s="143"/>
      <c r="AK531" s="143"/>
      <c r="AL531" s="143"/>
      <c r="AM531" s="143"/>
      <c r="AN531" s="143"/>
      <c r="AO531" s="143"/>
      <c r="AP531" s="143"/>
      <c r="AQ531" s="143"/>
    </row>
    <row r="532" ht="22.5" customHeight="1">
      <c r="A532" s="144" t="s">
        <v>162</v>
      </c>
      <c r="B532" s="145">
        <v>46064.0</v>
      </c>
      <c r="C532" s="353" t="s">
        <v>1336</v>
      </c>
      <c r="D532" s="208" t="s">
        <v>1883</v>
      </c>
      <c r="E532" s="148" t="s">
        <v>28</v>
      </c>
      <c r="F532" s="262" t="s">
        <v>1884</v>
      </c>
      <c r="G532" s="149" t="s">
        <v>1885</v>
      </c>
      <c r="H532" s="148" t="s">
        <v>257</v>
      </c>
      <c r="I532" s="150">
        <v>0.3</v>
      </c>
      <c r="J532" s="168">
        <v>2579.0</v>
      </c>
      <c r="K532" s="169">
        <f t="shared" si="68"/>
        <v>6020</v>
      </c>
      <c r="L532" s="170">
        <v>8599.0</v>
      </c>
      <c r="M532" s="239">
        <v>7960.34</v>
      </c>
      <c r="N532" s="155">
        <v>1799.99</v>
      </c>
      <c r="O532" s="315">
        <f t="shared" si="65"/>
        <v>638.66</v>
      </c>
      <c r="P532" s="344">
        <f t="shared" si="62"/>
        <v>333.66</v>
      </c>
      <c r="Q532" s="510">
        <v>305.0</v>
      </c>
      <c r="R532" s="672" t="b">
        <v>0</v>
      </c>
      <c r="S532" s="318"/>
      <c r="T532" s="319"/>
      <c r="U532" s="315"/>
      <c r="V532" s="144" t="s">
        <v>584</v>
      </c>
      <c r="W532" s="148" t="s">
        <v>584</v>
      </c>
      <c r="X532" s="163"/>
      <c r="Y532" s="144" t="s">
        <v>584</v>
      </c>
      <c r="Z532" s="164"/>
      <c r="AA532" s="116"/>
      <c r="AB532" s="116"/>
      <c r="AC532" s="165"/>
      <c r="AD532" s="675" t="str">
        <f t="shared" si="66"/>
        <v>FEBRERO</v>
      </c>
      <c r="AE532" s="144" t="s">
        <v>1636</v>
      </c>
      <c r="AF532" s="149" t="b">
        <v>1</v>
      </c>
      <c r="AG532" s="144" t="s">
        <v>1636</v>
      </c>
      <c r="AH532" s="149" t="b">
        <v>0</v>
      </c>
      <c r="AI532" s="162"/>
      <c r="AJ532" s="143"/>
      <c r="AK532" s="143"/>
      <c r="AL532" s="143"/>
      <c r="AM532" s="143"/>
      <c r="AN532" s="143"/>
      <c r="AO532" s="143"/>
      <c r="AP532" s="143"/>
      <c r="AQ532" s="143"/>
    </row>
    <row r="533" ht="22.5" hidden="1" customHeight="1">
      <c r="A533" s="144" t="s">
        <v>34</v>
      </c>
      <c r="B533" s="145">
        <v>46064.0</v>
      </c>
      <c r="C533" s="592" t="s">
        <v>1886</v>
      </c>
      <c r="D533" s="922" t="s">
        <v>1887</v>
      </c>
      <c r="E533" s="148" t="s">
        <v>28</v>
      </c>
      <c r="F533" s="262" t="s">
        <v>1888</v>
      </c>
      <c r="G533" s="149">
        <v>5.1938225343E10</v>
      </c>
      <c r="H533" s="148" t="s">
        <v>257</v>
      </c>
      <c r="I533" s="150">
        <v>0.2</v>
      </c>
      <c r="J533" s="168">
        <v>1173.75</v>
      </c>
      <c r="K533" s="169">
        <f t="shared" si="68"/>
        <v>4694.99</v>
      </c>
      <c r="L533" s="170">
        <v>5868.74</v>
      </c>
      <c r="M533" s="239">
        <v>5668.74</v>
      </c>
      <c r="N533" s="155">
        <v>1299.99</v>
      </c>
      <c r="O533" s="315">
        <f t="shared" si="65"/>
        <v>200</v>
      </c>
      <c r="P533" s="344">
        <f t="shared" si="62"/>
        <v>50</v>
      </c>
      <c r="Q533" s="510">
        <v>100.0</v>
      </c>
      <c r="R533" s="672" t="b">
        <v>1</v>
      </c>
      <c r="S533" s="318"/>
      <c r="T533" s="319"/>
      <c r="U533" s="315"/>
      <c r="V533" s="144" t="s">
        <v>584</v>
      </c>
      <c r="W533" s="148"/>
      <c r="X533" s="163"/>
      <c r="Y533" s="144" t="s">
        <v>584</v>
      </c>
      <c r="Z533" s="164"/>
      <c r="AA533" s="116"/>
      <c r="AB533" s="116"/>
      <c r="AC533" s="165"/>
      <c r="AD533" s="675" t="str">
        <f t="shared" si="66"/>
        <v>FEBRERO</v>
      </c>
      <c r="AE533" s="144" t="s">
        <v>1636</v>
      </c>
      <c r="AF533" s="149" t="b">
        <v>1</v>
      </c>
      <c r="AG533" s="144" t="s">
        <v>1817</v>
      </c>
      <c r="AH533" s="149" t="b">
        <v>0</v>
      </c>
      <c r="AI533" s="162"/>
      <c r="AJ533" s="143"/>
      <c r="AK533" s="143"/>
      <c r="AL533" s="143"/>
      <c r="AM533" s="143"/>
      <c r="AN533" s="143"/>
      <c r="AO533" s="143"/>
      <c r="AP533" s="143"/>
      <c r="AQ533" s="143"/>
    </row>
    <row r="534" ht="22.5" customHeight="1">
      <c r="A534" s="144" t="s">
        <v>162</v>
      </c>
      <c r="B534" s="145">
        <v>46065.0</v>
      </c>
      <c r="C534" s="721" t="s">
        <v>1152</v>
      </c>
      <c r="D534" s="208" t="s">
        <v>1889</v>
      </c>
      <c r="E534" s="148" t="s">
        <v>28</v>
      </c>
      <c r="F534" s="149" t="s">
        <v>1890</v>
      </c>
      <c r="G534" s="149" t="s">
        <v>1891</v>
      </c>
      <c r="H534" s="148" t="s">
        <v>257</v>
      </c>
      <c r="I534" s="150">
        <v>0.2</v>
      </c>
      <c r="J534" s="168">
        <v>1340.0</v>
      </c>
      <c r="K534" s="169">
        <f t="shared" si="68"/>
        <v>5559</v>
      </c>
      <c r="L534" s="170">
        <v>6899.0</v>
      </c>
      <c r="M534" s="239">
        <v>6328.49</v>
      </c>
      <c r="N534" s="155">
        <v>1469.99</v>
      </c>
      <c r="O534" s="315">
        <f t="shared" si="65"/>
        <v>570.51</v>
      </c>
      <c r="P534" s="344">
        <f t="shared" si="62"/>
        <v>265.51</v>
      </c>
      <c r="Q534" s="510">
        <v>305.0</v>
      </c>
      <c r="R534" s="672" t="b">
        <v>0</v>
      </c>
      <c r="S534" s="318"/>
      <c r="T534" s="319"/>
      <c r="U534" s="315"/>
      <c r="V534" s="144" t="s">
        <v>584</v>
      </c>
      <c r="W534" s="148"/>
      <c r="X534" s="163"/>
      <c r="Y534" s="144" t="s">
        <v>584</v>
      </c>
      <c r="Z534" s="164"/>
      <c r="AA534" s="116"/>
      <c r="AB534" s="116"/>
      <c r="AC534" s="165"/>
      <c r="AD534" s="675" t="str">
        <f t="shared" si="66"/>
        <v>FEBRERO</v>
      </c>
      <c r="AE534" s="144" t="s">
        <v>1636</v>
      </c>
      <c r="AF534" s="149" t="b">
        <v>1</v>
      </c>
      <c r="AG534" s="144" t="s">
        <v>1636</v>
      </c>
      <c r="AH534" s="149" t="b">
        <v>0</v>
      </c>
      <c r="AI534" s="162"/>
      <c r="AJ534" s="143"/>
      <c r="AK534" s="143"/>
      <c r="AL534" s="143"/>
      <c r="AM534" s="143"/>
      <c r="AN534" s="143"/>
      <c r="AO534" s="143"/>
      <c r="AP534" s="143"/>
      <c r="AQ534" s="143"/>
    </row>
    <row r="535" ht="22.5" customHeight="1">
      <c r="A535" s="144" t="s">
        <v>1833</v>
      </c>
      <c r="B535" s="145">
        <v>46066.0</v>
      </c>
      <c r="C535" s="565" t="s">
        <v>1892</v>
      </c>
      <c r="D535" s="923" t="s">
        <v>1893</v>
      </c>
      <c r="E535" s="148" t="s">
        <v>28</v>
      </c>
      <c r="F535" s="924" t="s">
        <v>1894</v>
      </c>
      <c r="G535" s="149">
        <v>9.81088879E8</v>
      </c>
      <c r="H535" s="148" t="s">
        <v>257</v>
      </c>
      <c r="I535" s="150">
        <v>0.3</v>
      </c>
      <c r="J535" s="168">
        <v>3419.7</v>
      </c>
      <c r="K535" s="169">
        <f t="shared" si="68"/>
        <v>7979.3</v>
      </c>
      <c r="L535" s="170">
        <v>11399.0</v>
      </c>
      <c r="M535" s="239">
        <v>10634.34</v>
      </c>
      <c r="N535" s="155">
        <v>2579.99</v>
      </c>
      <c r="O535" s="315">
        <f t="shared" si="65"/>
        <v>764.66</v>
      </c>
      <c r="P535" s="344">
        <f t="shared" si="62"/>
        <v>624.66</v>
      </c>
      <c r="Q535" s="510">
        <v>140.0</v>
      </c>
      <c r="R535" s="672" t="b">
        <v>0</v>
      </c>
      <c r="S535" s="318"/>
      <c r="T535" s="319"/>
      <c r="U535" s="315"/>
      <c r="V535" s="144" t="s">
        <v>584</v>
      </c>
      <c r="W535" s="148"/>
      <c r="X535" s="163"/>
      <c r="Y535" s="144" t="s">
        <v>584</v>
      </c>
      <c r="Z535" s="164"/>
      <c r="AA535" s="116"/>
      <c r="AB535" s="116"/>
      <c r="AC535" s="165"/>
      <c r="AD535" s="675" t="str">
        <f t="shared" si="66"/>
        <v>FEBRERO</v>
      </c>
      <c r="AE535" s="144" t="s">
        <v>1636</v>
      </c>
      <c r="AF535" s="149" t="b">
        <v>1</v>
      </c>
      <c r="AG535" s="144" t="s">
        <v>1817</v>
      </c>
      <c r="AH535" s="149" t="b">
        <v>0</v>
      </c>
      <c r="AI535" s="162"/>
      <c r="AJ535" s="143"/>
      <c r="AK535" s="143"/>
      <c r="AL535" s="143"/>
      <c r="AM535" s="143"/>
      <c r="AN535" s="143"/>
      <c r="AO535" s="143"/>
      <c r="AP535" s="143"/>
      <c r="AQ535" s="143"/>
    </row>
    <row r="536" ht="22.5" hidden="1" customHeight="1">
      <c r="A536" s="144" t="s">
        <v>34</v>
      </c>
      <c r="B536" s="145">
        <v>46066.0</v>
      </c>
      <c r="C536" s="149" t="s">
        <v>1152</v>
      </c>
      <c r="D536" s="922" t="s">
        <v>1895</v>
      </c>
      <c r="E536" s="148" t="s">
        <v>28</v>
      </c>
      <c r="F536" s="925" t="s">
        <v>1896</v>
      </c>
      <c r="G536" s="149">
        <v>5.1963590292E10</v>
      </c>
      <c r="H536" s="148" t="s">
        <v>257</v>
      </c>
      <c r="I536" s="150">
        <v>0.2</v>
      </c>
      <c r="J536" s="168">
        <v>1399.0</v>
      </c>
      <c r="K536" s="169">
        <f t="shared" si="68"/>
        <v>5600</v>
      </c>
      <c r="L536" s="170">
        <v>6999.0</v>
      </c>
      <c r="M536" s="239">
        <v>6650.66</v>
      </c>
      <c r="N536" s="155">
        <v>1549.99</v>
      </c>
      <c r="O536" s="315">
        <f t="shared" si="65"/>
        <v>348.34</v>
      </c>
      <c r="P536" s="344">
        <f t="shared" si="62"/>
        <v>88.34</v>
      </c>
      <c r="Q536" s="510">
        <v>210.0</v>
      </c>
      <c r="R536" s="672" t="b">
        <v>1</v>
      </c>
      <c r="S536" s="318"/>
      <c r="T536" s="319"/>
      <c r="U536" s="315"/>
      <c r="V536" s="144" t="s">
        <v>584</v>
      </c>
      <c r="W536" s="148"/>
      <c r="X536" s="163"/>
      <c r="Y536" s="144" t="s">
        <v>584</v>
      </c>
      <c r="Z536" s="164"/>
      <c r="AA536" s="116"/>
      <c r="AB536" s="116"/>
      <c r="AC536" s="165"/>
      <c r="AD536" s="675" t="str">
        <f t="shared" si="66"/>
        <v>FEBRERO</v>
      </c>
      <c r="AE536" s="144" t="s">
        <v>1636</v>
      </c>
      <c r="AF536" s="149" t="b">
        <v>1</v>
      </c>
      <c r="AG536" s="144" t="s">
        <v>1817</v>
      </c>
      <c r="AH536" s="149" t="b">
        <v>0</v>
      </c>
      <c r="AI536" s="162"/>
      <c r="AJ536" s="143"/>
      <c r="AK536" s="143"/>
      <c r="AL536" s="143"/>
      <c r="AM536" s="143"/>
      <c r="AN536" s="143"/>
      <c r="AO536" s="143"/>
      <c r="AP536" s="143"/>
      <c r="AQ536" s="143"/>
    </row>
    <row r="537" ht="22.5" customHeight="1">
      <c r="A537" s="144" t="s">
        <v>1833</v>
      </c>
      <c r="B537" s="145">
        <v>46066.0</v>
      </c>
      <c r="C537" s="581" t="s">
        <v>1897</v>
      </c>
      <c r="D537" s="208" t="s">
        <v>1898</v>
      </c>
      <c r="E537" s="148" t="s">
        <v>28</v>
      </c>
      <c r="F537" s="149" t="s">
        <v>1899</v>
      </c>
      <c r="G537" s="149">
        <v>5.1972769094E10</v>
      </c>
      <c r="H537" s="148" t="s">
        <v>257</v>
      </c>
      <c r="I537" s="150">
        <v>0.2</v>
      </c>
      <c r="J537" s="168">
        <v>1439.8</v>
      </c>
      <c r="K537" s="169">
        <f t="shared" si="68"/>
        <v>5759.2</v>
      </c>
      <c r="L537" s="170">
        <v>7199.0</v>
      </c>
      <c r="M537" s="239">
        <v>6647.09</v>
      </c>
      <c r="N537" s="155">
        <v>1549.99</v>
      </c>
      <c r="O537" s="315">
        <f t="shared" si="65"/>
        <v>551.91</v>
      </c>
      <c r="P537" s="344">
        <f t="shared" si="62"/>
        <v>451.91</v>
      </c>
      <c r="Q537" s="510">
        <v>100.0</v>
      </c>
      <c r="R537" s="672" t="b">
        <v>0</v>
      </c>
      <c r="S537" s="318"/>
      <c r="T537" s="319"/>
      <c r="U537" s="315"/>
      <c r="V537" s="144" t="s">
        <v>584</v>
      </c>
      <c r="W537" s="148"/>
      <c r="X537" s="163"/>
      <c r="Y537" s="144" t="s">
        <v>584</v>
      </c>
      <c r="Z537" s="164"/>
      <c r="AA537" s="116"/>
      <c r="AB537" s="116"/>
      <c r="AC537" s="165"/>
      <c r="AD537" s="675" t="str">
        <f t="shared" si="66"/>
        <v>FEBRERO</v>
      </c>
      <c r="AE537" s="144" t="s">
        <v>1636</v>
      </c>
      <c r="AF537" s="149" t="b">
        <v>1</v>
      </c>
      <c r="AG537" s="144" t="s">
        <v>1817</v>
      </c>
      <c r="AH537" s="149" t="b">
        <v>0</v>
      </c>
      <c r="AI537" s="162"/>
      <c r="AJ537" s="143"/>
      <c r="AK537" s="143"/>
      <c r="AL537" s="143"/>
      <c r="AM537" s="143"/>
      <c r="AN537" s="143"/>
      <c r="AO537" s="143"/>
      <c r="AP537" s="143"/>
      <c r="AQ537" s="143"/>
    </row>
    <row r="538" ht="22.5" hidden="1" customHeight="1">
      <c r="A538" s="144" t="s">
        <v>34</v>
      </c>
      <c r="B538" s="145">
        <v>46066.0</v>
      </c>
      <c r="C538" s="353" t="s">
        <v>1171</v>
      </c>
      <c r="D538" s="922" t="s">
        <v>1900</v>
      </c>
      <c r="E538" s="148" t="s">
        <v>28</v>
      </c>
      <c r="F538" s="246" t="s">
        <v>1901</v>
      </c>
      <c r="G538" s="149">
        <v>5.1954722769E10</v>
      </c>
      <c r="H538" s="148" t="s">
        <v>257</v>
      </c>
      <c r="I538" s="150">
        <v>0.3</v>
      </c>
      <c r="J538" s="168">
        <v>2879.7</v>
      </c>
      <c r="K538" s="169">
        <f t="shared" si="68"/>
        <v>6719.3</v>
      </c>
      <c r="L538" s="170">
        <v>9599.0</v>
      </c>
      <c r="M538" s="239">
        <v>9133.66</v>
      </c>
      <c r="N538" s="155">
        <v>2099.99</v>
      </c>
      <c r="O538" s="315">
        <f t="shared" si="65"/>
        <v>465.34</v>
      </c>
      <c r="P538" s="344">
        <f t="shared" si="62"/>
        <v>10.34</v>
      </c>
      <c r="Q538" s="510">
        <v>405.0</v>
      </c>
      <c r="R538" s="672" t="b">
        <v>1</v>
      </c>
      <c r="S538" s="318"/>
      <c r="T538" s="319"/>
      <c r="U538" s="315"/>
      <c r="V538" s="144" t="s">
        <v>584</v>
      </c>
      <c r="W538" s="148"/>
      <c r="X538" s="163"/>
      <c r="Y538" s="144"/>
      <c r="Z538" s="164"/>
      <c r="AA538" s="116"/>
      <c r="AB538" s="116"/>
      <c r="AC538" s="165"/>
      <c r="AD538" s="675" t="str">
        <f t="shared" si="66"/>
        <v>FEBRERO</v>
      </c>
      <c r="AE538" s="144" t="s">
        <v>1636</v>
      </c>
      <c r="AF538" s="149" t="b">
        <v>1</v>
      </c>
      <c r="AG538" s="144" t="s">
        <v>1636</v>
      </c>
      <c r="AH538" s="149" t="b">
        <v>0</v>
      </c>
      <c r="AI538" s="162"/>
      <c r="AJ538" s="143"/>
      <c r="AK538" s="143"/>
      <c r="AL538" s="143"/>
      <c r="AM538" s="143"/>
      <c r="AN538" s="143"/>
      <c r="AO538" s="143"/>
      <c r="AP538" s="143"/>
      <c r="AQ538" s="143"/>
    </row>
    <row r="539" ht="22.5" customHeight="1">
      <c r="A539" s="144" t="s">
        <v>162</v>
      </c>
      <c r="B539" s="145">
        <v>46067.0</v>
      </c>
      <c r="C539" s="149" t="s">
        <v>1685</v>
      </c>
      <c r="D539" s="208" t="s">
        <v>1902</v>
      </c>
      <c r="E539" s="148" t="s">
        <v>28</v>
      </c>
      <c r="F539" s="149" t="s">
        <v>1903</v>
      </c>
      <c r="G539" s="149" t="s">
        <v>1904</v>
      </c>
      <c r="H539" s="148" t="s">
        <v>257</v>
      </c>
      <c r="I539" s="150">
        <v>1.0</v>
      </c>
      <c r="J539" s="168">
        <v>7299.0</v>
      </c>
      <c r="K539" s="169">
        <f t="shared" si="68"/>
        <v>0</v>
      </c>
      <c r="L539" s="170">
        <v>7299.0</v>
      </c>
      <c r="M539" s="239">
        <v>6773.0</v>
      </c>
      <c r="N539" s="155">
        <v>1599.99</v>
      </c>
      <c r="O539" s="315">
        <f t="shared" si="65"/>
        <v>526</v>
      </c>
      <c r="P539" s="344">
        <f t="shared" si="62"/>
        <v>261</v>
      </c>
      <c r="Q539" s="510">
        <v>210.0</v>
      </c>
      <c r="R539" s="672" t="b">
        <v>0</v>
      </c>
      <c r="S539" s="318"/>
      <c r="T539" s="319"/>
      <c r="U539" s="343">
        <v>55.0</v>
      </c>
      <c r="V539" s="144" t="s">
        <v>584</v>
      </c>
      <c r="W539" s="148"/>
      <c r="X539" s="163"/>
      <c r="Y539" s="162"/>
      <c r="Z539" s="164"/>
      <c r="AA539" s="116"/>
      <c r="AB539" s="116"/>
      <c r="AC539" s="165"/>
      <c r="AD539" s="675" t="str">
        <f t="shared" si="66"/>
        <v>FEBRERO</v>
      </c>
      <c r="AE539" s="144" t="s">
        <v>1636</v>
      </c>
      <c r="AF539" s="149" t="b">
        <v>1</v>
      </c>
      <c r="AG539" s="144" t="s">
        <v>1636</v>
      </c>
      <c r="AH539" s="149" t="b">
        <v>0</v>
      </c>
      <c r="AI539" s="162"/>
      <c r="AJ539" s="143"/>
      <c r="AK539" s="143"/>
      <c r="AL539" s="143"/>
      <c r="AM539" s="143"/>
      <c r="AN539" s="143"/>
      <c r="AO539" s="143"/>
      <c r="AP539" s="143"/>
      <c r="AQ539" s="143"/>
    </row>
    <row r="540" ht="22.5" customHeight="1">
      <c r="A540" s="144" t="s">
        <v>1833</v>
      </c>
      <c r="B540" s="145">
        <v>46067.0</v>
      </c>
      <c r="C540" s="149" t="s">
        <v>1905</v>
      </c>
      <c r="D540" s="208" t="s">
        <v>1906</v>
      </c>
      <c r="E540" s="148" t="s">
        <v>28</v>
      </c>
      <c r="F540" s="906" t="s">
        <v>1907</v>
      </c>
      <c r="G540" s="149">
        <v>9.69155016E8</v>
      </c>
      <c r="H540" s="148" t="s">
        <v>257</v>
      </c>
      <c r="I540" s="148" t="s">
        <v>61</v>
      </c>
      <c r="J540" s="168">
        <v>300.0</v>
      </c>
      <c r="K540" s="557">
        <f t="shared" si="68"/>
        <v>4599</v>
      </c>
      <c r="L540" s="170">
        <v>4899.0</v>
      </c>
      <c r="M540" s="239">
        <v>4702.0</v>
      </c>
      <c r="N540" s="155">
        <v>1039.99</v>
      </c>
      <c r="O540" s="315">
        <f t="shared" si="65"/>
        <v>197</v>
      </c>
      <c r="P540" s="344">
        <f t="shared" si="62"/>
        <v>57</v>
      </c>
      <c r="Q540" s="510">
        <v>140.0</v>
      </c>
      <c r="R540" s="672" t="b">
        <v>0</v>
      </c>
      <c r="S540" s="318"/>
      <c r="T540" s="319"/>
      <c r="U540" s="315"/>
      <c r="V540" s="144" t="s">
        <v>584</v>
      </c>
      <c r="W540" s="148" t="s">
        <v>584</v>
      </c>
      <c r="X540" s="163"/>
      <c r="Y540" s="144" t="s">
        <v>584</v>
      </c>
      <c r="Z540" s="164"/>
      <c r="AA540" s="116"/>
      <c r="AB540" s="116"/>
      <c r="AC540" s="165"/>
      <c r="AD540" s="675" t="str">
        <f t="shared" si="66"/>
        <v>FEBRERO</v>
      </c>
      <c r="AE540" s="144" t="s">
        <v>1636</v>
      </c>
      <c r="AF540" s="149" t="b">
        <v>1</v>
      </c>
      <c r="AG540" s="144" t="s">
        <v>1636</v>
      </c>
      <c r="AH540" s="149" t="b">
        <v>0</v>
      </c>
      <c r="AI540" s="162"/>
      <c r="AJ540" s="143"/>
      <c r="AK540" s="143"/>
      <c r="AL540" s="143"/>
      <c r="AM540" s="143"/>
      <c r="AN540" s="143"/>
      <c r="AO540" s="143"/>
      <c r="AP540" s="143"/>
      <c r="AQ540" s="143"/>
    </row>
    <row r="541" ht="22.5" customHeight="1">
      <c r="A541" s="144" t="s">
        <v>1833</v>
      </c>
      <c r="B541" s="145">
        <v>46067.0</v>
      </c>
      <c r="C541" s="149" t="s">
        <v>1908</v>
      </c>
      <c r="D541" s="208" t="s">
        <v>1909</v>
      </c>
      <c r="E541" s="148" t="s">
        <v>28</v>
      </c>
      <c r="F541" s="766" t="s">
        <v>1910</v>
      </c>
      <c r="G541" s="149">
        <v>9.97897246E8</v>
      </c>
      <c r="H541" s="148" t="s">
        <v>257</v>
      </c>
      <c r="I541" s="150">
        <v>0.2</v>
      </c>
      <c r="J541" s="168">
        <v>1459.8</v>
      </c>
      <c r="K541" s="169">
        <f t="shared" si="68"/>
        <v>5739.2</v>
      </c>
      <c r="L541" s="170">
        <v>7199.0</v>
      </c>
      <c r="M541" s="239">
        <v>6647.0</v>
      </c>
      <c r="N541" s="155">
        <v>1549.99</v>
      </c>
      <c r="O541" s="315">
        <f t="shared" si="65"/>
        <v>552</v>
      </c>
      <c r="P541" s="344">
        <f t="shared" si="62"/>
        <v>522</v>
      </c>
      <c r="Q541" s="510">
        <v>30.0</v>
      </c>
      <c r="R541" s="672" t="b">
        <v>0</v>
      </c>
      <c r="S541" s="318"/>
      <c r="T541" s="319"/>
      <c r="U541" s="315"/>
      <c r="V541" s="144" t="s">
        <v>584</v>
      </c>
      <c r="W541" s="148"/>
      <c r="X541" s="163"/>
      <c r="Y541" s="144" t="s">
        <v>584</v>
      </c>
      <c r="Z541" s="164"/>
      <c r="AA541" s="116"/>
      <c r="AB541" s="116"/>
      <c r="AC541" s="165"/>
      <c r="AD541" s="675" t="str">
        <f t="shared" si="66"/>
        <v>FEBRERO</v>
      </c>
      <c r="AE541" s="144" t="s">
        <v>1636</v>
      </c>
      <c r="AF541" s="149" t="b">
        <v>1</v>
      </c>
      <c r="AG541" s="144" t="s">
        <v>1817</v>
      </c>
      <c r="AH541" s="149" t="b">
        <v>0</v>
      </c>
      <c r="AI541" s="162"/>
      <c r="AJ541" s="143"/>
      <c r="AK541" s="143"/>
      <c r="AL541" s="143"/>
      <c r="AM541" s="143"/>
      <c r="AN541" s="143"/>
      <c r="AO541" s="143"/>
      <c r="AP541" s="143"/>
      <c r="AQ541" s="143"/>
    </row>
    <row r="542" ht="22.5" customHeight="1">
      <c r="A542" s="144" t="s">
        <v>1833</v>
      </c>
      <c r="B542" s="145">
        <v>46067.0</v>
      </c>
      <c r="C542" s="207" t="s">
        <v>1911</v>
      </c>
      <c r="D542" s="208" t="s">
        <v>1909</v>
      </c>
      <c r="E542" s="148" t="s">
        <v>28</v>
      </c>
      <c r="F542" s="262" t="s">
        <v>1912</v>
      </c>
      <c r="G542" s="149">
        <v>9.97897246E8</v>
      </c>
      <c r="H542" s="148" t="s">
        <v>257</v>
      </c>
      <c r="I542" s="148" t="s">
        <v>61</v>
      </c>
      <c r="J542" s="168">
        <v>757.8</v>
      </c>
      <c r="K542" s="169">
        <f t="shared" si="68"/>
        <v>3131.2</v>
      </c>
      <c r="L542" s="170">
        <v>3889.0</v>
      </c>
      <c r="M542" s="239">
        <v>3853.0</v>
      </c>
      <c r="N542" s="155">
        <v>849.0</v>
      </c>
      <c r="O542" s="315">
        <f t="shared" si="65"/>
        <v>36</v>
      </c>
      <c r="P542" s="344">
        <f t="shared" si="62"/>
        <v>-64</v>
      </c>
      <c r="Q542" s="510">
        <v>100.0</v>
      </c>
      <c r="R542" s="672" t="b">
        <v>0</v>
      </c>
      <c r="S542" s="318"/>
      <c r="T542" s="319"/>
      <c r="U542" s="315"/>
      <c r="V542" s="144" t="s">
        <v>584</v>
      </c>
      <c r="W542" s="148"/>
      <c r="X542" s="163"/>
      <c r="Y542" s="144" t="s">
        <v>584</v>
      </c>
      <c r="Z542" s="10" t="s">
        <v>1913</v>
      </c>
      <c r="AA542" s="116"/>
      <c r="AB542" s="116"/>
      <c r="AC542" s="165"/>
      <c r="AD542" s="675" t="str">
        <f t="shared" si="66"/>
        <v>FEBRERO</v>
      </c>
      <c r="AE542" s="144" t="s">
        <v>1636</v>
      </c>
      <c r="AF542" s="149" t="b">
        <v>1</v>
      </c>
      <c r="AG542" s="144" t="s">
        <v>1817</v>
      </c>
      <c r="AH542" s="149" t="b">
        <v>0</v>
      </c>
      <c r="AI542" s="162"/>
      <c r="AJ542" s="143"/>
      <c r="AK542" s="143"/>
      <c r="AL542" s="143"/>
      <c r="AM542" s="143"/>
      <c r="AN542" s="143"/>
      <c r="AO542" s="143"/>
      <c r="AP542" s="143"/>
      <c r="AQ542" s="143"/>
    </row>
    <row r="543" ht="22.5" customHeight="1">
      <c r="A543" s="144" t="s">
        <v>1833</v>
      </c>
      <c r="B543" s="145">
        <v>46067.0</v>
      </c>
      <c r="C543" s="565" t="s">
        <v>1914</v>
      </c>
      <c r="D543" s="208" t="s">
        <v>1915</v>
      </c>
      <c r="E543" s="148" t="s">
        <v>28</v>
      </c>
      <c r="F543" s="246" t="s">
        <v>1916</v>
      </c>
      <c r="G543" s="149">
        <v>9.38118007E8</v>
      </c>
      <c r="H543" s="148" t="s">
        <v>257</v>
      </c>
      <c r="I543" s="150">
        <v>0.2</v>
      </c>
      <c r="J543" s="168">
        <v>1620.0</v>
      </c>
      <c r="K543" s="169">
        <f t="shared" si="68"/>
        <v>6479</v>
      </c>
      <c r="L543" s="170">
        <v>8099.0</v>
      </c>
      <c r="M543" s="239">
        <v>7728.0</v>
      </c>
      <c r="N543" s="155">
        <v>1849.0</v>
      </c>
      <c r="O543" s="315">
        <f t="shared" si="65"/>
        <v>371</v>
      </c>
      <c r="P543" s="344">
        <f t="shared" si="62"/>
        <v>271</v>
      </c>
      <c r="Q543" s="510">
        <v>100.0</v>
      </c>
      <c r="R543" s="672" t="b">
        <v>0</v>
      </c>
      <c r="S543" s="318"/>
      <c r="T543" s="319"/>
      <c r="U543" s="315"/>
      <c r="V543" s="144" t="s">
        <v>584</v>
      </c>
      <c r="W543" s="148" t="s">
        <v>584</v>
      </c>
      <c r="X543" s="163"/>
      <c r="Y543" s="144" t="s">
        <v>584</v>
      </c>
      <c r="Z543" s="164"/>
      <c r="AA543" s="116"/>
      <c r="AB543" s="116"/>
      <c r="AC543" s="165"/>
      <c r="AD543" s="675" t="str">
        <f t="shared" si="66"/>
        <v>FEBRERO</v>
      </c>
      <c r="AE543" s="144" t="s">
        <v>1636</v>
      </c>
      <c r="AF543" s="149" t="b">
        <v>1</v>
      </c>
      <c r="AG543" s="144" t="s">
        <v>1817</v>
      </c>
      <c r="AH543" s="149" t="b">
        <v>0</v>
      </c>
      <c r="AI543" s="162"/>
      <c r="AJ543" s="143"/>
      <c r="AK543" s="143"/>
      <c r="AL543" s="143"/>
      <c r="AM543" s="143"/>
      <c r="AN543" s="143"/>
      <c r="AO543" s="143"/>
      <c r="AP543" s="143"/>
      <c r="AQ543" s="143"/>
    </row>
    <row r="544" ht="22.5" customHeight="1">
      <c r="A544" s="144" t="s">
        <v>162</v>
      </c>
      <c r="B544" s="209">
        <v>46069.0</v>
      </c>
      <c r="C544" s="149" t="s">
        <v>1152</v>
      </c>
      <c r="D544" s="208" t="s">
        <v>1917</v>
      </c>
      <c r="E544" s="148" t="s">
        <v>28</v>
      </c>
      <c r="F544" s="149" t="s">
        <v>1918</v>
      </c>
      <c r="G544" s="149">
        <v>5.19264949E10</v>
      </c>
      <c r="H544" s="148" t="s">
        <v>257</v>
      </c>
      <c r="I544" s="150">
        <v>0.2</v>
      </c>
      <c r="J544" s="168">
        <v>1399.0</v>
      </c>
      <c r="K544" s="169">
        <f t="shared" si="68"/>
        <v>5600</v>
      </c>
      <c r="L544" s="170">
        <v>6999.0</v>
      </c>
      <c r="M544" s="239">
        <v>6745.92</v>
      </c>
      <c r="N544" s="155">
        <v>1549.99</v>
      </c>
      <c r="O544" s="315">
        <f t="shared" si="65"/>
        <v>253.08</v>
      </c>
      <c r="P544" s="344">
        <f t="shared" si="62"/>
        <v>28.08</v>
      </c>
      <c r="Q544" s="510">
        <v>225.0</v>
      </c>
      <c r="R544" s="672" t="b">
        <v>0</v>
      </c>
      <c r="S544" s="318"/>
      <c r="T544" s="319"/>
      <c r="U544" s="315"/>
      <c r="V544" s="144" t="s">
        <v>584</v>
      </c>
      <c r="W544" s="148"/>
      <c r="X544" s="163"/>
      <c r="Y544" s="144" t="s">
        <v>584</v>
      </c>
      <c r="Z544" s="164"/>
      <c r="AA544" s="116"/>
      <c r="AB544" s="116"/>
      <c r="AC544" s="165"/>
      <c r="AD544" s="675" t="str">
        <f t="shared" si="66"/>
        <v>FEBRERO</v>
      </c>
      <c r="AE544" s="144" t="s">
        <v>1636</v>
      </c>
      <c r="AF544" s="149" t="b">
        <v>1</v>
      </c>
      <c r="AG544" s="144" t="s">
        <v>1817</v>
      </c>
      <c r="AH544" s="149" t="b">
        <v>0</v>
      </c>
      <c r="AI544" s="162"/>
      <c r="AJ544" s="143"/>
      <c r="AK544" s="143"/>
      <c r="AL544" s="143"/>
      <c r="AM544" s="143"/>
      <c r="AN544" s="143"/>
      <c r="AO544" s="143"/>
      <c r="AP544" s="143"/>
      <c r="AQ544" s="143"/>
    </row>
    <row r="545" ht="22.5" customHeight="1">
      <c r="A545" s="144" t="s">
        <v>1833</v>
      </c>
      <c r="B545" s="145">
        <v>46069.0</v>
      </c>
      <c r="C545" s="565" t="s">
        <v>1919</v>
      </c>
      <c r="D545" s="926" t="s">
        <v>1920</v>
      </c>
      <c r="E545" s="148" t="s">
        <v>28</v>
      </c>
      <c r="F545" s="246" t="s">
        <v>1921</v>
      </c>
      <c r="G545" s="149">
        <v>9.074184E8</v>
      </c>
      <c r="H545" s="148" t="s">
        <v>257</v>
      </c>
      <c r="I545" s="150">
        <v>0.2</v>
      </c>
      <c r="J545" s="168">
        <v>859.8</v>
      </c>
      <c r="K545" s="169">
        <f t="shared" si="68"/>
        <v>3439.2</v>
      </c>
      <c r="L545" s="170">
        <v>4299.0</v>
      </c>
      <c r="M545" s="239">
        <v>3773.0</v>
      </c>
      <c r="N545" s="155">
        <v>799.0</v>
      </c>
      <c r="O545" s="315">
        <f t="shared" si="65"/>
        <v>526</v>
      </c>
      <c r="P545" s="344">
        <f t="shared" si="62"/>
        <v>426</v>
      </c>
      <c r="Q545" s="510">
        <v>100.0</v>
      </c>
      <c r="R545" s="672" t="b">
        <v>0</v>
      </c>
      <c r="S545" s="318"/>
      <c r="T545" s="319"/>
      <c r="U545" s="315"/>
      <c r="V545" s="144" t="s">
        <v>584</v>
      </c>
      <c r="W545" s="148"/>
      <c r="X545" s="163"/>
      <c r="Y545" s="144" t="s">
        <v>584</v>
      </c>
      <c r="Z545" s="164"/>
      <c r="AA545" s="116"/>
      <c r="AB545" s="116"/>
      <c r="AC545" s="165"/>
      <c r="AD545" s="675" t="str">
        <f t="shared" si="66"/>
        <v>FEBRERO</v>
      </c>
      <c r="AE545" s="144" t="s">
        <v>1636</v>
      </c>
      <c r="AF545" s="149" t="b">
        <v>1</v>
      </c>
      <c r="AG545" s="144" t="s">
        <v>1817</v>
      </c>
      <c r="AH545" s="149" t="b">
        <v>0</v>
      </c>
      <c r="AI545" s="162"/>
      <c r="AJ545" s="143"/>
      <c r="AK545" s="143"/>
      <c r="AL545" s="143"/>
      <c r="AM545" s="143"/>
      <c r="AN545" s="143"/>
      <c r="AO545" s="143"/>
      <c r="AP545" s="143"/>
      <c r="AQ545" s="143"/>
    </row>
    <row r="546" ht="22.5" hidden="1" customHeight="1">
      <c r="A546" s="144" t="s">
        <v>259</v>
      </c>
      <c r="B546" s="145">
        <v>46069.0</v>
      </c>
      <c r="C546" s="647" t="s">
        <v>1519</v>
      </c>
      <c r="D546" s="208" t="s">
        <v>1922</v>
      </c>
      <c r="E546" s="148" t="s">
        <v>28</v>
      </c>
      <c r="F546" s="907" t="s">
        <v>1923</v>
      </c>
      <c r="G546" s="165"/>
      <c r="H546" s="148" t="s">
        <v>257</v>
      </c>
      <c r="I546" s="150">
        <v>0.2</v>
      </c>
      <c r="J546" s="168">
        <v>1380.0</v>
      </c>
      <c r="K546" s="169">
        <f t="shared" si="68"/>
        <v>5519</v>
      </c>
      <c r="L546" s="170">
        <v>6899.0</v>
      </c>
      <c r="M546" s="239">
        <v>6613.0</v>
      </c>
      <c r="N546" s="155">
        <v>1549.0</v>
      </c>
      <c r="O546" s="315">
        <f t="shared" si="65"/>
        <v>286</v>
      </c>
      <c r="P546" s="344">
        <f t="shared" si="62"/>
        <v>286</v>
      </c>
      <c r="Q546" s="321"/>
      <c r="R546" s="672" t="b">
        <v>0</v>
      </c>
      <c r="S546" s="318"/>
      <c r="T546" s="319"/>
      <c r="U546" s="315"/>
      <c r="V546" s="144" t="s">
        <v>584</v>
      </c>
      <c r="W546" s="148"/>
      <c r="X546" s="163"/>
      <c r="Y546" s="144" t="s">
        <v>584</v>
      </c>
      <c r="Z546" s="164"/>
      <c r="AA546" s="116"/>
      <c r="AB546" s="116"/>
      <c r="AC546" s="165"/>
      <c r="AD546" s="675" t="str">
        <f t="shared" si="66"/>
        <v>FEBRERO</v>
      </c>
      <c r="AE546" s="144" t="s">
        <v>1636</v>
      </c>
      <c r="AF546" s="149" t="b">
        <v>1</v>
      </c>
      <c r="AG546" s="144" t="s">
        <v>1817</v>
      </c>
      <c r="AH546" s="149" t="b">
        <v>0</v>
      </c>
      <c r="AI546" s="162"/>
      <c r="AJ546" s="143"/>
      <c r="AK546" s="143"/>
      <c r="AL546" s="143"/>
      <c r="AM546" s="143"/>
      <c r="AN546" s="143"/>
      <c r="AO546" s="143"/>
      <c r="AP546" s="143"/>
      <c r="AQ546" s="143"/>
    </row>
    <row r="547" ht="22.5" customHeight="1">
      <c r="A547" s="144" t="s">
        <v>1824</v>
      </c>
      <c r="B547" s="209">
        <v>46064.0</v>
      </c>
      <c r="C547" s="149" t="s">
        <v>1924</v>
      </c>
      <c r="D547" s="208" t="s">
        <v>1925</v>
      </c>
      <c r="E547" s="148" t="s">
        <v>28</v>
      </c>
      <c r="F547" s="246" t="s">
        <v>1926</v>
      </c>
      <c r="G547" s="149">
        <v>5.1952475409E10</v>
      </c>
      <c r="H547" s="148" t="s">
        <v>257</v>
      </c>
      <c r="I547" s="150">
        <v>0.3</v>
      </c>
      <c r="J547" s="168">
        <v>3600.0</v>
      </c>
      <c r="K547" s="169">
        <f t="shared" si="68"/>
        <v>8199</v>
      </c>
      <c r="L547" s="170">
        <v>11799.0</v>
      </c>
      <c r="M547" s="239">
        <v>10342.0</v>
      </c>
      <c r="N547" s="155">
        <v>2499.0</v>
      </c>
      <c r="O547" s="315">
        <f t="shared" si="65"/>
        <v>1457</v>
      </c>
      <c r="P547" s="344">
        <f t="shared" si="62"/>
        <v>1457</v>
      </c>
      <c r="Q547" s="321"/>
      <c r="R547" s="672" t="b">
        <v>0</v>
      </c>
      <c r="S547" s="318"/>
      <c r="T547" s="319"/>
      <c r="U547" s="315"/>
      <c r="V547" s="144" t="s">
        <v>584</v>
      </c>
      <c r="W547" s="148"/>
      <c r="X547" s="163"/>
      <c r="Y547" s="144" t="s">
        <v>584</v>
      </c>
      <c r="Z547" s="164"/>
      <c r="AA547" s="116"/>
      <c r="AB547" s="116"/>
      <c r="AC547" s="165"/>
      <c r="AD547" s="675" t="str">
        <f t="shared" si="66"/>
        <v>FEBRERO</v>
      </c>
      <c r="AE547" s="144" t="s">
        <v>1636</v>
      </c>
      <c r="AF547" s="149" t="b">
        <v>1</v>
      </c>
      <c r="AG547" s="144" t="s">
        <v>1817</v>
      </c>
      <c r="AH547" s="149" t="b">
        <v>0</v>
      </c>
      <c r="AI547" s="162"/>
      <c r="AJ547" s="143"/>
      <c r="AK547" s="143"/>
      <c r="AL547" s="143"/>
      <c r="AM547" s="143"/>
      <c r="AN547" s="143"/>
      <c r="AO547" s="143"/>
      <c r="AP547" s="143"/>
      <c r="AQ547" s="143"/>
    </row>
    <row r="548" ht="22.5" customHeight="1">
      <c r="A548" s="144" t="s">
        <v>162</v>
      </c>
      <c r="B548" s="145">
        <v>46070.0</v>
      </c>
      <c r="C548" s="149" t="s">
        <v>1152</v>
      </c>
      <c r="D548" s="208" t="s">
        <v>1927</v>
      </c>
      <c r="E548" s="148" t="s">
        <v>28</v>
      </c>
      <c r="F548" s="149" t="s">
        <v>1928</v>
      </c>
      <c r="G548" s="149">
        <v>5.1957605564E10</v>
      </c>
      <c r="H548" s="148" t="s">
        <v>257</v>
      </c>
      <c r="I548" s="150">
        <v>0.2</v>
      </c>
      <c r="J548" s="168">
        <v>1399.0</v>
      </c>
      <c r="K548" s="169">
        <f t="shared" si="68"/>
        <v>5660</v>
      </c>
      <c r="L548" s="170">
        <v>7059.0</v>
      </c>
      <c r="M548" s="239">
        <v>6745.92</v>
      </c>
      <c r="N548" s="155">
        <v>1549.99</v>
      </c>
      <c r="O548" s="315">
        <f t="shared" si="65"/>
        <v>313.08</v>
      </c>
      <c r="P548" s="344">
        <f t="shared" si="62"/>
        <v>43.08</v>
      </c>
      <c r="Q548" s="510">
        <v>270.0</v>
      </c>
      <c r="R548" s="672" t="b">
        <v>0</v>
      </c>
      <c r="S548" s="318"/>
      <c r="T548" s="319"/>
      <c r="U548" s="315"/>
      <c r="V548" s="144" t="s">
        <v>584</v>
      </c>
      <c r="W548" s="148"/>
      <c r="X548" s="163"/>
      <c r="Y548" s="144" t="s">
        <v>584</v>
      </c>
      <c r="Z548" s="164"/>
      <c r="AA548" s="116"/>
      <c r="AB548" s="116"/>
      <c r="AC548" s="165"/>
      <c r="AD548" s="675" t="str">
        <f t="shared" si="66"/>
        <v>FEBRERO</v>
      </c>
      <c r="AE548" s="144" t="s">
        <v>1636</v>
      </c>
      <c r="AF548" s="149" t="b">
        <v>1</v>
      </c>
      <c r="AG548" s="144" t="s">
        <v>1636</v>
      </c>
      <c r="AH548" s="149" t="b">
        <v>0</v>
      </c>
      <c r="AI548" s="162"/>
      <c r="AJ548" s="143"/>
      <c r="AK548" s="143"/>
      <c r="AL548" s="143"/>
      <c r="AM548" s="143"/>
      <c r="AN548" s="143"/>
      <c r="AO548" s="143"/>
      <c r="AP548" s="143"/>
      <c r="AQ548" s="143"/>
    </row>
    <row r="549" ht="22.5" customHeight="1">
      <c r="A549" s="144" t="s">
        <v>162</v>
      </c>
      <c r="B549" s="145">
        <v>46070.0</v>
      </c>
      <c r="C549" s="721" t="s">
        <v>1599</v>
      </c>
      <c r="D549" s="43" t="s">
        <v>1929</v>
      </c>
      <c r="E549" s="148" t="s">
        <v>28</v>
      </c>
      <c r="F549" s="262" t="s">
        <v>1930</v>
      </c>
      <c r="G549" s="149">
        <v>5.1927095348E10</v>
      </c>
      <c r="H549" s="148" t="s">
        <v>257</v>
      </c>
      <c r="I549" s="150">
        <v>0.2</v>
      </c>
      <c r="J549" s="168">
        <v>1079.0</v>
      </c>
      <c r="K549" s="169">
        <f t="shared" si="68"/>
        <v>4320</v>
      </c>
      <c r="L549" s="170">
        <v>5399.0</v>
      </c>
      <c r="M549" s="239">
        <v>5024.85</v>
      </c>
      <c r="N549" s="155">
        <v>1149.99</v>
      </c>
      <c r="O549" s="315">
        <f t="shared" si="65"/>
        <v>374.15</v>
      </c>
      <c r="P549" s="344">
        <f t="shared" si="62"/>
        <v>149.15</v>
      </c>
      <c r="Q549" s="510">
        <v>225.0</v>
      </c>
      <c r="R549" s="672" t="b">
        <v>0</v>
      </c>
      <c r="S549" s="318"/>
      <c r="T549" s="319"/>
      <c r="U549" s="315"/>
      <c r="V549" s="144" t="s">
        <v>584</v>
      </c>
      <c r="W549" s="148"/>
      <c r="X549" s="163"/>
      <c r="Y549" s="144" t="s">
        <v>584</v>
      </c>
      <c r="Z549" s="164"/>
      <c r="AA549" s="116"/>
      <c r="AB549" s="116"/>
      <c r="AC549" s="165"/>
      <c r="AD549" s="675" t="str">
        <f t="shared" si="66"/>
        <v>FEBRERO</v>
      </c>
      <c r="AE549" s="144" t="s">
        <v>1636</v>
      </c>
      <c r="AF549" s="149" t="b">
        <v>1</v>
      </c>
      <c r="AG549" s="144" t="s">
        <v>1817</v>
      </c>
      <c r="AH549" s="149" t="b">
        <v>0</v>
      </c>
      <c r="AI549" s="162"/>
      <c r="AJ549" s="143"/>
      <c r="AK549" s="143"/>
      <c r="AL549" s="143"/>
      <c r="AM549" s="143"/>
      <c r="AN549" s="143"/>
      <c r="AO549" s="143"/>
      <c r="AP549" s="143"/>
      <c r="AQ549" s="143"/>
    </row>
    <row r="550" ht="22.5" customHeight="1">
      <c r="A550" s="144" t="s">
        <v>1824</v>
      </c>
      <c r="B550" s="209">
        <v>46071.0</v>
      </c>
      <c r="C550" s="149" t="s">
        <v>1931</v>
      </c>
      <c r="D550" s="208" t="s">
        <v>1932</v>
      </c>
      <c r="E550" s="148" t="s">
        <v>28</v>
      </c>
      <c r="F550" s="262" t="s">
        <v>1933</v>
      </c>
      <c r="G550" s="149">
        <v>5.1982935806E10</v>
      </c>
      <c r="H550" s="148" t="s">
        <v>257</v>
      </c>
      <c r="I550" s="150">
        <v>0.2</v>
      </c>
      <c r="J550" s="168">
        <v>2060.0</v>
      </c>
      <c r="K550" s="169">
        <f t="shared" si="68"/>
        <v>8239</v>
      </c>
      <c r="L550" s="170">
        <v>10299.0</v>
      </c>
      <c r="M550" s="239">
        <v>9691.84</v>
      </c>
      <c r="N550" s="155">
        <v>2199.99</v>
      </c>
      <c r="O550" s="315">
        <f t="shared" si="65"/>
        <v>607.16</v>
      </c>
      <c r="P550" s="344">
        <f t="shared" si="62"/>
        <v>607.16</v>
      </c>
      <c r="Q550" s="510"/>
      <c r="R550" s="672" t="b">
        <v>0</v>
      </c>
      <c r="S550" s="318"/>
      <c r="T550" s="319"/>
      <c r="U550" s="315"/>
      <c r="V550" s="144" t="s">
        <v>584</v>
      </c>
      <c r="W550" s="148" t="s">
        <v>584</v>
      </c>
      <c r="X550" s="163"/>
      <c r="Y550" s="144" t="s">
        <v>584</v>
      </c>
      <c r="Z550" s="164"/>
      <c r="AA550" s="116"/>
      <c r="AB550" s="116"/>
      <c r="AC550" s="165"/>
      <c r="AD550" s="675" t="str">
        <f t="shared" si="66"/>
        <v>FEBRERO</v>
      </c>
      <c r="AE550" s="144" t="s">
        <v>1636</v>
      </c>
      <c r="AF550" s="149" t="b">
        <v>1</v>
      </c>
      <c r="AG550" s="144" t="s">
        <v>1817</v>
      </c>
      <c r="AH550" s="149" t="b">
        <v>0</v>
      </c>
      <c r="AI550" s="162"/>
      <c r="AJ550" s="143"/>
      <c r="AK550" s="143"/>
      <c r="AL550" s="143"/>
      <c r="AM550" s="143"/>
      <c r="AN550" s="143"/>
      <c r="AO550" s="143"/>
      <c r="AP550" s="143"/>
      <c r="AQ550" s="143"/>
    </row>
    <row r="551" ht="22.5" hidden="1" customHeight="1">
      <c r="A551" s="144" t="s">
        <v>34</v>
      </c>
      <c r="B551" s="145">
        <v>46071.0</v>
      </c>
      <c r="C551" s="647" t="s">
        <v>1934</v>
      </c>
      <c r="D551" s="922" t="s">
        <v>1935</v>
      </c>
      <c r="E551" s="148" t="s">
        <v>28</v>
      </c>
      <c r="F551" s="906" t="s">
        <v>1936</v>
      </c>
      <c r="G551" s="149">
        <v>5.1954623653E10</v>
      </c>
      <c r="H551" s="148" t="s">
        <v>257</v>
      </c>
      <c r="I551" s="150">
        <v>0.2</v>
      </c>
      <c r="J551" s="168">
        <v>2609.07</v>
      </c>
      <c r="K551" s="169">
        <f t="shared" si="68"/>
        <v>6089.93</v>
      </c>
      <c r="L551" s="170">
        <v>8699.0</v>
      </c>
      <c r="M551" s="239">
        <v>7953.54</v>
      </c>
      <c r="N551" s="155">
        <v>1799.99</v>
      </c>
      <c r="O551" s="315">
        <f t="shared" si="65"/>
        <v>745.46</v>
      </c>
      <c r="P551" s="344">
        <f t="shared" si="62"/>
        <v>390.46</v>
      </c>
      <c r="Q551" s="343">
        <v>305.0</v>
      </c>
      <c r="R551" s="672" t="b">
        <v>1</v>
      </c>
      <c r="S551" s="318"/>
      <c r="T551" s="319"/>
      <c r="U551" s="315"/>
      <c r="V551" s="144" t="s">
        <v>584</v>
      </c>
      <c r="W551" s="148"/>
      <c r="X551" s="927" t="s">
        <v>1937</v>
      </c>
      <c r="Y551" s="144" t="s">
        <v>584</v>
      </c>
      <c r="Z551" s="164"/>
      <c r="AA551" s="116"/>
      <c r="AB551" s="116"/>
      <c r="AC551" s="165"/>
      <c r="AD551" s="675" t="str">
        <f t="shared" si="66"/>
        <v>FEBRERO</v>
      </c>
      <c r="AE551" s="144" t="s">
        <v>1636</v>
      </c>
      <c r="AF551" s="149" t="b">
        <v>1</v>
      </c>
      <c r="AG551" s="144" t="s">
        <v>1817</v>
      </c>
      <c r="AH551" s="149" t="b">
        <v>0</v>
      </c>
      <c r="AI551" s="162"/>
      <c r="AJ551" s="143"/>
      <c r="AK551" s="143"/>
      <c r="AL551" s="143"/>
      <c r="AM551" s="143"/>
      <c r="AN551" s="143"/>
      <c r="AO551" s="143"/>
      <c r="AP551" s="143"/>
      <c r="AQ551" s="143"/>
    </row>
    <row r="552" ht="22.5" customHeight="1">
      <c r="A552" s="144" t="s">
        <v>1833</v>
      </c>
      <c r="B552" s="145">
        <v>46072.0</v>
      </c>
      <c r="C552" s="565" t="s">
        <v>1938</v>
      </c>
      <c r="D552" s="928" t="s">
        <v>1939</v>
      </c>
      <c r="E552" s="148" t="s">
        <v>28</v>
      </c>
      <c r="F552" s="246" t="s">
        <v>1940</v>
      </c>
      <c r="G552" s="149">
        <v>9.30375417E8</v>
      </c>
      <c r="H552" s="148" t="s">
        <v>257</v>
      </c>
      <c r="I552" s="150">
        <v>0.2</v>
      </c>
      <c r="J552" s="168">
        <v>1079.8</v>
      </c>
      <c r="K552" s="169">
        <f t="shared" si="68"/>
        <v>4319.2</v>
      </c>
      <c r="L552" s="170">
        <v>5399.0</v>
      </c>
      <c r="M552" s="239">
        <v>5163.25</v>
      </c>
      <c r="N552" s="155">
        <v>1179.99</v>
      </c>
      <c r="O552" s="315">
        <f t="shared" si="65"/>
        <v>235.75</v>
      </c>
      <c r="P552" s="344">
        <f t="shared" si="62"/>
        <v>135.75</v>
      </c>
      <c r="Q552" s="510">
        <v>100.0</v>
      </c>
      <c r="R552" s="672" t="b">
        <v>0</v>
      </c>
      <c r="S552" s="318"/>
      <c r="T552" s="319"/>
      <c r="U552" s="315"/>
      <c r="V552" s="144" t="s">
        <v>584</v>
      </c>
      <c r="W552" s="148"/>
      <c r="X552" s="163"/>
      <c r="Y552" s="144" t="s">
        <v>584</v>
      </c>
      <c r="Z552" s="164"/>
      <c r="AA552" s="116"/>
      <c r="AB552" s="116"/>
      <c r="AC552" s="165"/>
      <c r="AD552" s="675" t="str">
        <f t="shared" si="66"/>
        <v>FEBRERO</v>
      </c>
      <c r="AE552" s="144" t="s">
        <v>1636</v>
      </c>
      <c r="AF552" s="149" t="b">
        <v>1</v>
      </c>
      <c r="AG552" s="144" t="s">
        <v>1817</v>
      </c>
      <c r="AH552" s="149" t="b">
        <v>0</v>
      </c>
      <c r="AI552" s="162"/>
      <c r="AJ552" s="143"/>
      <c r="AK552" s="143"/>
      <c r="AL552" s="143"/>
      <c r="AM552" s="143"/>
      <c r="AN552" s="143"/>
      <c r="AO552" s="143"/>
      <c r="AP552" s="143"/>
      <c r="AQ552" s="143"/>
    </row>
    <row r="553" ht="22.5" customHeight="1">
      <c r="A553" s="144" t="s">
        <v>162</v>
      </c>
      <c r="B553" s="145">
        <v>46072.0</v>
      </c>
      <c r="C553" s="904" t="s">
        <v>1934</v>
      </c>
      <c r="D553" s="929" t="s">
        <v>1941</v>
      </c>
      <c r="E553" s="148" t="s">
        <v>28</v>
      </c>
      <c r="F553" s="930" t="s">
        <v>1942</v>
      </c>
      <c r="G553" s="931" t="s">
        <v>1943</v>
      </c>
      <c r="H553" s="148" t="s">
        <v>257</v>
      </c>
      <c r="I553" s="150">
        <v>0.3</v>
      </c>
      <c r="J553" s="932">
        <v>2609.0</v>
      </c>
      <c r="K553" s="169">
        <f t="shared" si="68"/>
        <v>6090</v>
      </c>
      <c r="L553" s="170">
        <v>8699.0</v>
      </c>
      <c r="M553" s="933">
        <v>7983.96</v>
      </c>
      <c r="N553" s="155">
        <v>1799.99</v>
      </c>
      <c r="O553" s="315">
        <f t="shared" si="65"/>
        <v>715.04</v>
      </c>
      <c r="P553" s="344">
        <f t="shared" si="62"/>
        <v>490.04</v>
      </c>
      <c r="Q553" s="510">
        <v>225.0</v>
      </c>
      <c r="R553" s="672" t="b">
        <v>0</v>
      </c>
      <c r="S553" s="318"/>
      <c r="T553" s="319"/>
      <c r="U553" s="315"/>
      <c r="V553" s="144" t="s">
        <v>584</v>
      </c>
      <c r="W553" s="148"/>
      <c r="X553" s="163"/>
      <c r="Y553" s="144" t="s">
        <v>584</v>
      </c>
      <c r="Z553" s="164"/>
      <c r="AA553" s="116"/>
      <c r="AB553" s="116"/>
      <c r="AC553" s="165"/>
      <c r="AD553" s="675" t="str">
        <f t="shared" si="66"/>
        <v>FEBRERO</v>
      </c>
      <c r="AE553" s="144" t="s">
        <v>1636</v>
      </c>
      <c r="AF553" s="149" t="b">
        <v>1</v>
      </c>
      <c r="AG553" s="144" t="s">
        <v>1817</v>
      </c>
      <c r="AH553" s="149" t="b">
        <v>0</v>
      </c>
      <c r="AI553" s="162"/>
      <c r="AJ553" s="143"/>
      <c r="AK553" s="143"/>
      <c r="AL553" s="143"/>
      <c r="AM553" s="143"/>
      <c r="AN553" s="143"/>
      <c r="AO553" s="143"/>
      <c r="AP553" s="143"/>
      <c r="AQ553" s="143"/>
    </row>
    <row r="554" ht="22.5" customHeight="1">
      <c r="A554" s="144" t="s">
        <v>162</v>
      </c>
      <c r="B554" s="145">
        <v>46072.0</v>
      </c>
      <c r="C554" s="904" t="s">
        <v>1944</v>
      </c>
      <c r="D554" s="929" t="s">
        <v>1945</v>
      </c>
      <c r="E554" s="148" t="s">
        <v>28</v>
      </c>
      <c r="F554" s="910" t="s">
        <v>1946</v>
      </c>
      <c r="G554" s="910">
        <v>5.1990224782E10</v>
      </c>
      <c r="H554" s="148" t="s">
        <v>257</v>
      </c>
      <c r="I554" s="150">
        <v>1.0</v>
      </c>
      <c r="J554" s="932">
        <v>7399.0</v>
      </c>
      <c r="K554" s="169">
        <f t="shared" si="68"/>
        <v>0</v>
      </c>
      <c r="L554" s="170">
        <v>7399.0</v>
      </c>
      <c r="M554" s="933">
        <v>6773.0</v>
      </c>
      <c r="N554" s="155">
        <v>1599.99</v>
      </c>
      <c r="O554" s="315">
        <f t="shared" si="65"/>
        <v>626</v>
      </c>
      <c r="P554" s="344">
        <f t="shared" si="62"/>
        <v>323</v>
      </c>
      <c r="Q554" s="510">
        <v>210.0</v>
      </c>
      <c r="R554" s="672" t="b">
        <v>0</v>
      </c>
      <c r="S554" s="318"/>
      <c r="T554" s="934">
        <v>93.0</v>
      </c>
      <c r="U554" s="573"/>
      <c r="V554" s="144" t="s">
        <v>584</v>
      </c>
      <c r="W554" s="148"/>
      <c r="X554" s="163"/>
      <c r="Y554" s="162"/>
      <c r="Z554" s="164"/>
      <c r="AA554" s="116"/>
      <c r="AB554" s="116"/>
      <c r="AC554" s="165"/>
      <c r="AD554" s="675" t="str">
        <f t="shared" si="66"/>
        <v>FEBRERO</v>
      </c>
      <c r="AE554" s="144" t="s">
        <v>1636</v>
      </c>
      <c r="AF554" s="149" t="b">
        <v>1</v>
      </c>
      <c r="AG554" s="144" t="s">
        <v>1636</v>
      </c>
      <c r="AH554" s="149" t="b">
        <v>0</v>
      </c>
      <c r="AI554" s="162"/>
      <c r="AJ554" s="143"/>
      <c r="AK554" s="143"/>
      <c r="AL554" s="143"/>
      <c r="AM554" s="143"/>
      <c r="AN554" s="143"/>
      <c r="AO554" s="143"/>
      <c r="AP554" s="143"/>
      <c r="AQ554" s="143"/>
    </row>
    <row r="555" ht="22.5" customHeight="1">
      <c r="A555" s="144" t="s">
        <v>162</v>
      </c>
      <c r="B555" s="145">
        <v>46072.0</v>
      </c>
      <c r="C555" s="904" t="s">
        <v>1599</v>
      </c>
      <c r="D555" s="929" t="s">
        <v>889</v>
      </c>
      <c r="E555" s="148" t="s">
        <v>28</v>
      </c>
      <c r="F555" s="910" t="s">
        <v>1947</v>
      </c>
      <c r="G555" s="910">
        <v>5.194156237E10</v>
      </c>
      <c r="H555" s="148" t="s">
        <v>257</v>
      </c>
      <c r="I555" s="150">
        <v>1.0</v>
      </c>
      <c r="J555" s="932">
        <v>5699.0</v>
      </c>
      <c r="K555" s="169">
        <f t="shared" si="68"/>
        <v>0</v>
      </c>
      <c r="L555" s="170">
        <v>5699.0</v>
      </c>
      <c r="M555" s="933">
        <v>5560.0</v>
      </c>
      <c r="N555" s="155">
        <v>1299.99</v>
      </c>
      <c r="O555" s="315">
        <f t="shared" si="65"/>
        <v>139</v>
      </c>
      <c r="P555" s="344">
        <f t="shared" si="62"/>
        <v>9</v>
      </c>
      <c r="Q555" s="510">
        <v>100.0</v>
      </c>
      <c r="R555" s="672" t="b">
        <v>0</v>
      </c>
      <c r="S555" s="318"/>
      <c r="T555" s="319"/>
      <c r="U555" s="343">
        <v>30.0</v>
      </c>
      <c r="V555" s="144" t="s">
        <v>584</v>
      </c>
      <c r="W555" s="148"/>
      <c r="X555" s="163"/>
      <c r="Y555" s="144" t="s">
        <v>584</v>
      </c>
      <c r="Z555" s="164"/>
      <c r="AA555" s="116"/>
      <c r="AB555" s="116"/>
      <c r="AC555" s="165"/>
      <c r="AD555" s="675" t="str">
        <f t="shared" si="66"/>
        <v>FEBRERO</v>
      </c>
      <c r="AE555" s="144" t="s">
        <v>1636</v>
      </c>
      <c r="AF555" s="149" t="b">
        <v>1</v>
      </c>
      <c r="AG555" s="144" t="s">
        <v>1636</v>
      </c>
      <c r="AH555" s="149" t="b">
        <v>0</v>
      </c>
      <c r="AI555" s="162"/>
      <c r="AJ555" s="143"/>
      <c r="AK555" s="143"/>
      <c r="AL555" s="143"/>
      <c r="AM555" s="143"/>
      <c r="AN555" s="143"/>
      <c r="AO555" s="143"/>
      <c r="AP555" s="143"/>
      <c r="AQ555" s="143"/>
    </row>
    <row r="556" ht="22.5" customHeight="1">
      <c r="A556" s="144" t="s">
        <v>1824</v>
      </c>
      <c r="B556" s="209">
        <v>46072.0</v>
      </c>
      <c r="C556" s="149" t="s">
        <v>1948</v>
      </c>
      <c r="D556" s="208" t="s">
        <v>1949</v>
      </c>
      <c r="E556" s="148" t="s">
        <v>28</v>
      </c>
      <c r="F556" s="906" t="s">
        <v>1950</v>
      </c>
      <c r="G556" s="149" t="s">
        <v>1951</v>
      </c>
      <c r="H556" s="148" t="s">
        <v>257</v>
      </c>
      <c r="I556" s="150">
        <v>1.0</v>
      </c>
      <c r="J556" s="168">
        <v>6499.0</v>
      </c>
      <c r="K556" s="169">
        <f t="shared" si="68"/>
        <v>0</v>
      </c>
      <c r="L556" s="170">
        <v>6499.0</v>
      </c>
      <c r="M556" s="239">
        <v>5480.52</v>
      </c>
      <c r="N556" s="155">
        <v>1249.99</v>
      </c>
      <c r="O556" s="315">
        <f t="shared" si="65"/>
        <v>1018.48</v>
      </c>
      <c r="P556" s="344">
        <f>L556-M556-Q550-50*R556-S556-T556-U556</f>
        <v>569.48</v>
      </c>
      <c r="Q556" s="510">
        <v>140.0</v>
      </c>
      <c r="R556" s="672" t="b">
        <v>0</v>
      </c>
      <c r="S556" s="346">
        <v>449.0</v>
      </c>
      <c r="T556" s="319"/>
      <c r="U556" s="343"/>
      <c r="V556" s="144" t="s">
        <v>584</v>
      </c>
      <c r="W556" s="148" t="s">
        <v>584</v>
      </c>
      <c r="X556" s="163"/>
      <c r="Y556" s="162"/>
      <c r="Z556" s="164"/>
      <c r="AA556" s="116"/>
      <c r="AB556" s="116"/>
      <c r="AC556" s="165"/>
      <c r="AD556" s="675" t="str">
        <f t="shared" si="66"/>
        <v>FEBRERO</v>
      </c>
      <c r="AE556" s="144" t="s">
        <v>1636</v>
      </c>
      <c r="AF556" s="149" t="b">
        <v>1</v>
      </c>
      <c r="AG556" s="144" t="s">
        <v>1636</v>
      </c>
      <c r="AH556" s="149" t="b">
        <v>0</v>
      </c>
      <c r="AI556" s="162"/>
      <c r="AJ556" s="143"/>
      <c r="AK556" s="143"/>
      <c r="AL556" s="143"/>
      <c r="AM556" s="143"/>
      <c r="AN556" s="143"/>
      <c r="AO556" s="143"/>
      <c r="AP556" s="143"/>
      <c r="AQ556" s="143"/>
    </row>
    <row r="557" ht="22.5" customHeight="1">
      <c r="A557" s="144" t="s">
        <v>162</v>
      </c>
      <c r="B557" s="145">
        <v>46073.0</v>
      </c>
      <c r="C557" s="149" t="s">
        <v>1952</v>
      </c>
      <c r="D557" s="208" t="s">
        <v>1953</v>
      </c>
      <c r="E557" s="148" t="s">
        <v>28</v>
      </c>
      <c r="F557" s="262" t="s">
        <v>1954</v>
      </c>
      <c r="G557" s="149">
        <v>5.1951796986E10</v>
      </c>
      <c r="H557" s="148" t="s">
        <v>257</v>
      </c>
      <c r="I557" s="150">
        <v>0.3</v>
      </c>
      <c r="J557" s="168">
        <v>2729.0</v>
      </c>
      <c r="K557" s="169">
        <f t="shared" si="68"/>
        <v>6370</v>
      </c>
      <c r="L557" s="170">
        <v>9099.0</v>
      </c>
      <c r="M557" s="239">
        <v>8885.67</v>
      </c>
      <c r="N557" s="155">
        <v>2099.0</v>
      </c>
      <c r="O557" s="315">
        <f t="shared" si="65"/>
        <v>213.33</v>
      </c>
      <c r="P557" s="344">
        <f t="shared" ref="P557:P2005" si="69">L557-M557-Q557-50*R557-S557-T557-U557</f>
        <v>28.33</v>
      </c>
      <c r="Q557" s="510">
        <v>185.0</v>
      </c>
      <c r="R557" s="672" t="b">
        <v>0</v>
      </c>
      <c r="S557" s="318"/>
      <c r="T557" s="319"/>
      <c r="U557" s="315"/>
      <c r="V557" s="144" t="s">
        <v>584</v>
      </c>
      <c r="W557" s="148"/>
      <c r="X557" s="163"/>
      <c r="Y557" s="144" t="s">
        <v>584</v>
      </c>
      <c r="Z557" s="164"/>
      <c r="AA557" s="116"/>
      <c r="AB557" s="116"/>
      <c r="AC557" s="165"/>
      <c r="AD557" s="675" t="str">
        <f t="shared" si="66"/>
        <v>FEBRERO</v>
      </c>
      <c r="AE557" s="144" t="s">
        <v>1636</v>
      </c>
      <c r="AF557" s="149" t="b">
        <v>1</v>
      </c>
      <c r="AG557" s="144" t="s">
        <v>1817</v>
      </c>
      <c r="AH557" s="149" t="b">
        <v>0</v>
      </c>
      <c r="AI557" s="162"/>
      <c r="AJ557" s="143"/>
      <c r="AK557" s="143"/>
      <c r="AL557" s="143"/>
      <c r="AM557" s="143"/>
      <c r="AN557" s="143"/>
      <c r="AO557" s="143"/>
      <c r="AP557" s="143"/>
      <c r="AQ557" s="143"/>
    </row>
    <row r="558" ht="22.5" hidden="1" customHeight="1">
      <c r="A558" s="144" t="s">
        <v>34</v>
      </c>
      <c r="B558" s="145">
        <v>46073.0</v>
      </c>
      <c r="C558" s="353" t="s">
        <v>1955</v>
      </c>
      <c r="D558" s="922" t="s">
        <v>1956</v>
      </c>
      <c r="E558" s="148" t="s">
        <v>28</v>
      </c>
      <c r="F558" s="262" t="s">
        <v>1957</v>
      </c>
      <c r="G558" s="149">
        <v>5.1947552657E10</v>
      </c>
      <c r="H558" s="148" t="s">
        <v>257</v>
      </c>
      <c r="I558" s="150">
        <v>0.2</v>
      </c>
      <c r="J558" s="168">
        <v>1447.24</v>
      </c>
      <c r="K558" s="557">
        <f t="shared" si="68"/>
        <v>5788.97</v>
      </c>
      <c r="L558" s="170">
        <v>7236.21</v>
      </c>
      <c r="M558" s="239">
        <v>6836.21</v>
      </c>
      <c r="N558" s="155">
        <v>1499.99</v>
      </c>
      <c r="O558" s="315">
        <f t="shared" si="65"/>
        <v>400</v>
      </c>
      <c r="P558" s="344">
        <f t="shared" si="69"/>
        <v>45</v>
      </c>
      <c r="Q558" s="510">
        <v>305.0</v>
      </c>
      <c r="R558" s="672" t="b">
        <v>1</v>
      </c>
      <c r="S558" s="318"/>
      <c r="T558" s="319"/>
      <c r="U558" s="315"/>
      <c r="V558" s="144" t="s">
        <v>584</v>
      </c>
      <c r="W558" s="148"/>
      <c r="X558" s="819" t="s">
        <v>1958</v>
      </c>
      <c r="Y558" s="144" t="s">
        <v>584</v>
      </c>
      <c r="Z558" s="164"/>
      <c r="AA558" s="116"/>
      <c r="AB558" s="116"/>
      <c r="AC558" s="165"/>
      <c r="AD558" s="675" t="str">
        <f t="shared" si="66"/>
        <v>FEBRERO</v>
      </c>
      <c r="AE558" s="144" t="s">
        <v>1636</v>
      </c>
      <c r="AF558" s="149" t="b">
        <v>1</v>
      </c>
      <c r="AG558" s="144" t="s">
        <v>1817</v>
      </c>
      <c r="AH558" s="149" t="b">
        <v>0</v>
      </c>
      <c r="AI558" s="162"/>
      <c r="AJ558" s="143"/>
      <c r="AK558" s="143"/>
      <c r="AL558" s="143"/>
      <c r="AM558" s="143"/>
      <c r="AN558" s="143"/>
      <c r="AO558" s="143"/>
      <c r="AP558" s="143"/>
      <c r="AQ558" s="143"/>
    </row>
    <row r="559" ht="22.5" hidden="1" customHeight="1">
      <c r="A559" s="144" t="s">
        <v>34</v>
      </c>
      <c r="B559" s="145">
        <v>46073.0</v>
      </c>
      <c r="C559" s="353" t="s">
        <v>434</v>
      </c>
      <c r="D559" s="208" t="s">
        <v>1959</v>
      </c>
      <c r="E559" s="148" t="s">
        <v>28</v>
      </c>
      <c r="F559" s="246" t="s">
        <v>1960</v>
      </c>
      <c r="G559" s="149" t="s">
        <v>1961</v>
      </c>
      <c r="H559" s="148" t="s">
        <v>257</v>
      </c>
      <c r="I559" s="150">
        <v>0.2</v>
      </c>
      <c r="J559" s="168">
        <v>1692.07</v>
      </c>
      <c r="K559" s="557">
        <f t="shared" si="68"/>
        <v>6768.27</v>
      </c>
      <c r="L559" s="170">
        <v>8460.34</v>
      </c>
      <c r="M559" s="239">
        <v>7960.34</v>
      </c>
      <c r="N559" s="155">
        <v>1799.99</v>
      </c>
      <c r="O559" s="315">
        <f t="shared" si="65"/>
        <v>500</v>
      </c>
      <c r="P559" s="344">
        <f t="shared" si="69"/>
        <v>145</v>
      </c>
      <c r="Q559" s="510">
        <v>305.0</v>
      </c>
      <c r="R559" s="672" t="b">
        <v>1</v>
      </c>
      <c r="S559" s="318"/>
      <c r="T559" s="319"/>
      <c r="U559" s="315"/>
      <c r="V559" s="144" t="s">
        <v>584</v>
      </c>
      <c r="W559" s="148"/>
      <c r="X559" s="163"/>
      <c r="Y559" s="144" t="s">
        <v>584</v>
      </c>
      <c r="Z559" s="10" t="s">
        <v>1962</v>
      </c>
      <c r="AA559" s="116"/>
      <c r="AB559" s="116"/>
      <c r="AC559" s="165"/>
      <c r="AD559" s="675" t="str">
        <f t="shared" si="66"/>
        <v>FEBRERO</v>
      </c>
      <c r="AE559" s="144" t="s">
        <v>1636</v>
      </c>
      <c r="AF559" s="149" t="b">
        <v>1</v>
      </c>
      <c r="AG559" s="144" t="s">
        <v>1817</v>
      </c>
      <c r="AH559" s="149" t="b">
        <v>0</v>
      </c>
      <c r="AI559" s="162"/>
      <c r="AJ559" s="143"/>
      <c r="AK559" s="143"/>
      <c r="AL559" s="143"/>
      <c r="AM559" s="143"/>
      <c r="AN559" s="143"/>
      <c r="AO559" s="143"/>
      <c r="AP559" s="143"/>
      <c r="AQ559" s="143"/>
    </row>
    <row r="560" ht="22.5" hidden="1" customHeight="1">
      <c r="A560" s="144" t="s">
        <v>34</v>
      </c>
      <c r="B560" s="145">
        <v>46074.0</v>
      </c>
      <c r="C560" s="647" t="s">
        <v>1685</v>
      </c>
      <c r="D560" s="208" t="s">
        <v>1963</v>
      </c>
      <c r="E560" s="148" t="s">
        <v>28</v>
      </c>
      <c r="F560" s="907" t="s">
        <v>1964</v>
      </c>
      <c r="G560" s="149" t="s">
        <v>1965</v>
      </c>
      <c r="H560" s="148" t="s">
        <v>257</v>
      </c>
      <c r="I560" s="150">
        <v>1.0</v>
      </c>
      <c r="J560" s="168">
        <v>6999.99</v>
      </c>
      <c r="K560" s="169">
        <f t="shared" si="68"/>
        <v>0</v>
      </c>
      <c r="L560" s="170">
        <v>6999.99</v>
      </c>
      <c r="M560" s="239">
        <v>6773.0</v>
      </c>
      <c r="N560" s="155">
        <v>1599.99</v>
      </c>
      <c r="O560" s="315">
        <f t="shared" si="65"/>
        <v>226.99</v>
      </c>
      <c r="P560" s="344">
        <f t="shared" si="69"/>
        <v>6.99</v>
      </c>
      <c r="Q560" s="510">
        <v>170.0</v>
      </c>
      <c r="R560" s="672" t="b">
        <v>1</v>
      </c>
      <c r="S560" s="318"/>
      <c r="T560" s="319"/>
      <c r="U560" s="315"/>
      <c r="V560" s="144" t="s">
        <v>584</v>
      </c>
      <c r="W560" s="148"/>
      <c r="X560" s="819" t="s">
        <v>1966</v>
      </c>
      <c r="Y560" s="162"/>
      <c r="Z560" s="164"/>
      <c r="AA560" s="116"/>
      <c r="AB560" s="116"/>
      <c r="AC560" s="165"/>
      <c r="AD560" s="675" t="str">
        <f t="shared" si="66"/>
        <v>FEBRERO</v>
      </c>
      <c r="AE560" s="144" t="s">
        <v>1636</v>
      </c>
      <c r="AF560" s="149" t="b">
        <v>1</v>
      </c>
      <c r="AG560" s="144" t="s">
        <v>1636</v>
      </c>
      <c r="AH560" s="149" t="b">
        <v>0</v>
      </c>
      <c r="AI560" s="162"/>
      <c r="AJ560" s="143"/>
      <c r="AK560" s="143"/>
      <c r="AL560" s="143"/>
      <c r="AM560" s="143"/>
      <c r="AN560" s="143"/>
      <c r="AO560" s="143"/>
      <c r="AP560" s="143"/>
      <c r="AQ560" s="143"/>
    </row>
    <row r="561" ht="22.5" hidden="1" customHeight="1">
      <c r="A561" s="144" t="s">
        <v>259</v>
      </c>
      <c r="B561" s="145">
        <v>46074.0</v>
      </c>
      <c r="C561" s="565" t="s">
        <v>1967</v>
      </c>
      <c r="D561" s="208" t="s">
        <v>1968</v>
      </c>
      <c r="E561" s="148" t="s">
        <v>28</v>
      </c>
      <c r="F561" s="246" t="s">
        <v>1969</v>
      </c>
      <c r="G561" s="165"/>
      <c r="H561" s="148" t="s">
        <v>257</v>
      </c>
      <c r="I561" s="150">
        <v>0.2</v>
      </c>
      <c r="J561" s="168">
        <v>1379.8</v>
      </c>
      <c r="K561" s="169">
        <f t="shared" si="68"/>
        <v>5519.2</v>
      </c>
      <c r="L561" s="170">
        <v>6899.0</v>
      </c>
      <c r="M561" s="239">
        <v>6433.0</v>
      </c>
      <c r="N561" s="155">
        <v>1499.0</v>
      </c>
      <c r="O561" s="315">
        <f t="shared" si="65"/>
        <v>466</v>
      </c>
      <c r="P561" s="344">
        <f t="shared" si="69"/>
        <v>241</v>
      </c>
      <c r="Q561" s="510">
        <v>225.0</v>
      </c>
      <c r="R561" s="672" t="b">
        <v>0</v>
      </c>
      <c r="S561" s="318"/>
      <c r="T561" s="319"/>
      <c r="U561" s="315"/>
      <c r="V561" s="144" t="s">
        <v>584</v>
      </c>
      <c r="W561" s="148"/>
      <c r="X561" s="163"/>
      <c r="Y561" s="144" t="s">
        <v>584</v>
      </c>
      <c r="Z561" s="164"/>
      <c r="AA561" s="116"/>
      <c r="AB561" s="116"/>
      <c r="AC561" s="165"/>
      <c r="AD561" s="675" t="str">
        <f t="shared" si="66"/>
        <v>FEBRERO</v>
      </c>
      <c r="AE561" s="144" t="s">
        <v>1636</v>
      </c>
      <c r="AF561" s="149" t="b">
        <v>1</v>
      </c>
      <c r="AG561" s="144" t="s">
        <v>1817</v>
      </c>
      <c r="AH561" s="149" t="b">
        <v>0</v>
      </c>
      <c r="AI561" s="162"/>
      <c r="AJ561" s="143"/>
      <c r="AK561" s="143"/>
      <c r="AL561" s="143"/>
      <c r="AM561" s="143"/>
      <c r="AN561" s="143"/>
      <c r="AO561" s="143"/>
      <c r="AP561" s="143"/>
      <c r="AQ561" s="143"/>
    </row>
    <row r="562" ht="22.5" hidden="1" customHeight="1">
      <c r="A562" s="144" t="s">
        <v>259</v>
      </c>
      <c r="B562" s="145">
        <v>46074.0</v>
      </c>
      <c r="C562" s="647" t="s">
        <v>1685</v>
      </c>
      <c r="D562" s="208" t="s">
        <v>1970</v>
      </c>
      <c r="E562" s="148" t="s">
        <v>28</v>
      </c>
      <c r="F562" s="906" t="s">
        <v>1971</v>
      </c>
      <c r="G562" s="165"/>
      <c r="H562" s="148" t="s">
        <v>257</v>
      </c>
      <c r="I562" s="150">
        <v>1.0</v>
      </c>
      <c r="J562" s="168">
        <v>7299.0</v>
      </c>
      <c r="K562" s="169">
        <f t="shared" si="68"/>
        <v>0</v>
      </c>
      <c r="L562" s="170">
        <v>7299.0</v>
      </c>
      <c r="M562" s="239">
        <v>6773.0</v>
      </c>
      <c r="N562" s="155">
        <v>1599.99</v>
      </c>
      <c r="O562" s="315">
        <f t="shared" si="65"/>
        <v>526</v>
      </c>
      <c r="P562" s="344">
        <f t="shared" si="69"/>
        <v>341</v>
      </c>
      <c r="Q562" s="510">
        <v>140.0</v>
      </c>
      <c r="R562" s="672" t="b">
        <v>0</v>
      </c>
      <c r="S562" s="318"/>
      <c r="T562" s="319"/>
      <c r="U562" s="343">
        <v>45.0</v>
      </c>
      <c r="V562" s="144" t="s">
        <v>584</v>
      </c>
      <c r="W562" s="148" t="s">
        <v>584</v>
      </c>
      <c r="X562" s="163"/>
      <c r="Y562" s="162"/>
      <c r="Z562" s="164"/>
      <c r="AA562" s="116"/>
      <c r="AB562" s="116"/>
      <c r="AC562" s="165"/>
      <c r="AD562" s="675" t="str">
        <f t="shared" si="66"/>
        <v>FEBRERO</v>
      </c>
      <c r="AE562" s="144" t="s">
        <v>1636</v>
      </c>
      <c r="AF562" s="149" t="b">
        <v>1</v>
      </c>
      <c r="AG562" s="144" t="s">
        <v>1636</v>
      </c>
      <c r="AH562" s="149" t="b">
        <v>0</v>
      </c>
      <c r="AI562" s="162"/>
      <c r="AJ562" s="143"/>
      <c r="AK562" s="143"/>
      <c r="AL562" s="143"/>
      <c r="AM562" s="143"/>
      <c r="AN562" s="143"/>
      <c r="AO562" s="143"/>
      <c r="AP562" s="143"/>
      <c r="AQ562" s="143"/>
    </row>
    <row r="563" ht="22.5" customHeight="1">
      <c r="A563" s="144" t="s">
        <v>1833</v>
      </c>
      <c r="B563" s="145">
        <v>46074.0</v>
      </c>
      <c r="C563" s="565" t="s">
        <v>1972</v>
      </c>
      <c r="D563" s="923" t="s">
        <v>1973</v>
      </c>
      <c r="E563" s="148" t="s">
        <v>28</v>
      </c>
      <c r="F563" s="246" t="s">
        <v>1974</v>
      </c>
      <c r="G563" s="149">
        <v>9.35262454E8</v>
      </c>
      <c r="H563" s="148" t="s">
        <v>257</v>
      </c>
      <c r="I563" s="148" t="s">
        <v>61</v>
      </c>
      <c r="J563" s="168">
        <v>1159.8</v>
      </c>
      <c r="K563" s="169">
        <f t="shared" si="68"/>
        <v>5039.2</v>
      </c>
      <c r="L563" s="170">
        <v>6199.0</v>
      </c>
      <c r="M563" s="239">
        <v>6184.25</v>
      </c>
      <c r="N563" s="155">
        <v>1429.99</v>
      </c>
      <c r="O563" s="315">
        <f t="shared" si="65"/>
        <v>14.75</v>
      </c>
      <c r="P563" s="344">
        <f t="shared" si="69"/>
        <v>-85.25</v>
      </c>
      <c r="Q563" s="510">
        <v>100.0</v>
      </c>
      <c r="R563" s="672" t="b">
        <v>0</v>
      </c>
      <c r="S563" s="318"/>
      <c r="T563" s="319"/>
      <c r="U563" s="315"/>
      <c r="V563" s="144" t="s">
        <v>584</v>
      </c>
      <c r="W563" s="148"/>
      <c r="X563" s="163"/>
      <c r="Y563" s="144" t="s">
        <v>584</v>
      </c>
      <c r="Z563" s="164"/>
      <c r="AA563" s="116"/>
      <c r="AB563" s="116"/>
      <c r="AC563" s="165"/>
      <c r="AD563" s="675" t="str">
        <f t="shared" si="66"/>
        <v>FEBRERO</v>
      </c>
      <c r="AE563" s="144" t="s">
        <v>1636</v>
      </c>
      <c r="AF563" s="149" t="b">
        <v>1</v>
      </c>
      <c r="AG563" s="144" t="s">
        <v>1817</v>
      </c>
      <c r="AH563" s="149" t="b">
        <v>0</v>
      </c>
      <c r="AI563" s="162"/>
      <c r="AJ563" s="143"/>
      <c r="AK563" s="143"/>
      <c r="AL563" s="143"/>
      <c r="AM563" s="143"/>
      <c r="AN563" s="143"/>
      <c r="AO563" s="143"/>
      <c r="AP563" s="143"/>
      <c r="AQ563" s="143"/>
    </row>
    <row r="564" ht="22.5" customHeight="1">
      <c r="A564" s="144" t="s">
        <v>1833</v>
      </c>
      <c r="B564" s="145">
        <v>46076.0</v>
      </c>
      <c r="C564" s="565" t="s">
        <v>1892</v>
      </c>
      <c r="D564" s="208" t="s">
        <v>1975</v>
      </c>
      <c r="E564" s="148" t="s">
        <v>28</v>
      </c>
      <c r="F564" s="246" t="s">
        <v>1976</v>
      </c>
      <c r="G564" s="149">
        <v>9.77813686E8</v>
      </c>
      <c r="H564" s="148" t="s">
        <v>257</v>
      </c>
      <c r="I564" s="150">
        <v>0.3</v>
      </c>
      <c r="J564" s="168">
        <v>3419.7</v>
      </c>
      <c r="K564" s="169">
        <f t="shared" si="68"/>
        <v>7979.3</v>
      </c>
      <c r="L564" s="170">
        <v>11399.0</v>
      </c>
      <c r="M564" s="239">
        <v>10997.0</v>
      </c>
      <c r="N564" s="155">
        <v>2699.99</v>
      </c>
      <c r="O564" s="315">
        <f t="shared" si="65"/>
        <v>402</v>
      </c>
      <c r="P564" s="344">
        <f t="shared" si="69"/>
        <v>302</v>
      </c>
      <c r="Q564" s="510">
        <v>100.0</v>
      </c>
      <c r="R564" s="672" t="b">
        <v>0</v>
      </c>
      <c r="S564" s="318"/>
      <c r="T564" s="319"/>
      <c r="U564" s="315"/>
      <c r="V564" s="144" t="s">
        <v>584</v>
      </c>
      <c r="W564" s="148"/>
      <c r="X564" s="163"/>
      <c r="Y564" s="144" t="s">
        <v>584</v>
      </c>
      <c r="Z564" s="164"/>
      <c r="AA564" s="116"/>
      <c r="AB564" s="116"/>
      <c r="AC564" s="165"/>
      <c r="AD564" s="675" t="str">
        <f t="shared" si="66"/>
        <v>FEBRERO</v>
      </c>
      <c r="AE564" s="144" t="s">
        <v>1636</v>
      </c>
      <c r="AF564" s="149" t="b">
        <v>1</v>
      </c>
      <c r="AG564" s="144" t="s">
        <v>1817</v>
      </c>
      <c r="AH564" s="149" t="b">
        <v>0</v>
      </c>
      <c r="AI564" s="162"/>
      <c r="AJ564" s="143"/>
      <c r="AK564" s="143"/>
      <c r="AL564" s="143"/>
      <c r="AM564" s="143"/>
      <c r="AN564" s="143"/>
      <c r="AO564" s="143"/>
      <c r="AP564" s="143"/>
      <c r="AQ564" s="143"/>
    </row>
    <row r="565" ht="22.5" hidden="1" customHeight="1">
      <c r="A565" s="144" t="s">
        <v>34</v>
      </c>
      <c r="B565" s="145">
        <v>46076.0</v>
      </c>
      <c r="C565" s="647" t="s">
        <v>677</v>
      </c>
      <c r="D565" s="922" t="s">
        <v>1977</v>
      </c>
      <c r="E565" s="148" t="s">
        <v>28</v>
      </c>
      <c r="F565" s="907" t="s">
        <v>1978</v>
      </c>
      <c r="G565" s="149">
        <v>5.1922444883E10</v>
      </c>
      <c r="H565" s="148" t="s">
        <v>257</v>
      </c>
      <c r="I565" s="148" t="s">
        <v>61</v>
      </c>
      <c r="J565" s="168">
        <v>300.0</v>
      </c>
      <c r="K565" s="169">
        <f t="shared" si="68"/>
        <v>7199</v>
      </c>
      <c r="L565" s="170">
        <v>7499.0</v>
      </c>
      <c r="M565" s="239">
        <v>7077.0</v>
      </c>
      <c r="N565" s="155">
        <v>1499.0</v>
      </c>
      <c r="O565" s="315">
        <f t="shared" si="65"/>
        <v>422</v>
      </c>
      <c r="P565" s="344">
        <f t="shared" si="69"/>
        <v>67</v>
      </c>
      <c r="Q565" s="510">
        <v>305.0</v>
      </c>
      <c r="R565" s="672" t="b">
        <v>1</v>
      </c>
      <c r="S565" s="318"/>
      <c r="T565" s="319"/>
      <c r="U565" s="315"/>
      <c r="V565" s="144" t="s">
        <v>584</v>
      </c>
      <c r="W565" s="148"/>
      <c r="X565" s="927" t="s">
        <v>1979</v>
      </c>
      <c r="Y565" s="162"/>
      <c r="Z565" s="164"/>
      <c r="AA565" s="116"/>
      <c r="AB565" s="116"/>
      <c r="AC565" s="165"/>
      <c r="AD565" s="675" t="str">
        <f t="shared" si="66"/>
        <v>FEBRERO</v>
      </c>
      <c r="AE565" s="144" t="s">
        <v>1636</v>
      </c>
      <c r="AF565" s="149" t="b">
        <v>1</v>
      </c>
      <c r="AG565" s="144" t="s">
        <v>1636</v>
      </c>
      <c r="AH565" s="149" t="b">
        <v>0</v>
      </c>
      <c r="AI565" s="162"/>
      <c r="AJ565" s="143"/>
      <c r="AK565" s="143"/>
      <c r="AL565" s="143"/>
      <c r="AM565" s="143"/>
      <c r="AN565" s="143"/>
      <c r="AO565" s="143"/>
      <c r="AP565" s="143"/>
      <c r="AQ565" s="143"/>
    </row>
    <row r="566" ht="22.5" customHeight="1">
      <c r="A566" s="144" t="s">
        <v>162</v>
      </c>
      <c r="B566" s="145">
        <v>46078.0</v>
      </c>
      <c r="C566" s="817" t="s">
        <v>1397</v>
      </c>
      <c r="D566" s="208" t="s">
        <v>1980</v>
      </c>
      <c r="E566" s="148" t="s">
        <v>28</v>
      </c>
      <c r="F566" s="262" t="s">
        <v>1981</v>
      </c>
      <c r="G566" s="149">
        <v>9.1422886E8</v>
      </c>
      <c r="H566" s="148" t="s">
        <v>257</v>
      </c>
      <c r="I566" s="148" t="s">
        <v>61</v>
      </c>
      <c r="J566" s="168">
        <v>4599.0</v>
      </c>
      <c r="K566" s="169">
        <f t="shared" si="68"/>
        <v>3400</v>
      </c>
      <c r="L566" s="170">
        <v>7999.0</v>
      </c>
      <c r="M566" s="239">
        <v>7508.54</v>
      </c>
      <c r="N566" s="155">
        <v>1599.99</v>
      </c>
      <c r="O566" s="315">
        <f t="shared" si="65"/>
        <v>490.46</v>
      </c>
      <c r="P566" s="344">
        <f t="shared" si="69"/>
        <v>265.46</v>
      </c>
      <c r="Q566" s="510">
        <v>225.0</v>
      </c>
      <c r="R566" s="672" t="b">
        <v>0</v>
      </c>
      <c r="S566" s="318"/>
      <c r="T566" s="319"/>
      <c r="U566" s="315"/>
      <c r="V566" s="144" t="s">
        <v>584</v>
      </c>
      <c r="W566" s="148"/>
      <c r="X566" s="163"/>
      <c r="Y566" s="144" t="s">
        <v>584</v>
      </c>
      <c r="Z566" s="164"/>
      <c r="AA566" s="116"/>
      <c r="AB566" s="116"/>
      <c r="AC566" s="165"/>
      <c r="AD566" s="675" t="str">
        <f t="shared" si="66"/>
        <v>FEBRERO</v>
      </c>
      <c r="AE566" s="144" t="s">
        <v>1817</v>
      </c>
      <c r="AF566" s="149" t="b">
        <v>1</v>
      </c>
      <c r="AG566" s="144" t="s">
        <v>1817</v>
      </c>
      <c r="AH566" s="149" t="b">
        <v>0</v>
      </c>
      <c r="AI566" s="162"/>
      <c r="AJ566" s="143"/>
      <c r="AK566" s="143"/>
      <c r="AL566" s="143"/>
      <c r="AM566" s="143"/>
      <c r="AN566" s="143"/>
      <c r="AO566" s="143"/>
      <c r="AP566" s="143"/>
      <c r="AQ566" s="143"/>
    </row>
    <row r="567" ht="22.5" customHeight="1">
      <c r="A567" s="144" t="s">
        <v>1824</v>
      </c>
      <c r="B567" s="209">
        <v>46078.0</v>
      </c>
      <c r="C567" s="149" t="s">
        <v>1982</v>
      </c>
      <c r="D567" s="208" t="s">
        <v>1983</v>
      </c>
      <c r="E567" s="148" t="s">
        <v>28</v>
      </c>
      <c r="F567" s="149" t="s">
        <v>1984</v>
      </c>
      <c r="G567" s="149">
        <v>5.1900738006E10</v>
      </c>
      <c r="H567" s="148" t="s">
        <v>257</v>
      </c>
      <c r="I567" s="150">
        <v>0.2</v>
      </c>
      <c r="J567" s="168">
        <v>1460.0</v>
      </c>
      <c r="K567" s="169">
        <f t="shared" si="68"/>
        <v>5839</v>
      </c>
      <c r="L567" s="170">
        <v>7299.0</v>
      </c>
      <c r="M567" s="239">
        <v>6630.93</v>
      </c>
      <c r="N567" s="155">
        <v>1549.99</v>
      </c>
      <c r="O567" s="315">
        <f t="shared" si="65"/>
        <v>668.07</v>
      </c>
      <c r="P567" s="344">
        <f t="shared" si="69"/>
        <v>343.07</v>
      </c>
      <c r="Q567" s="510">
        <v>290.0</v>
      </c>
      <c r="R567" s="672" t="b">
        <v>0</v>
      </c>
      <c r="S567" s="318"/>
      <c r="T567" s="319"/>
      <c r="U567" s="343">
        <v>35.0</v>
      </c>
      <c r="V567" s="144" t="s">
        <v>584</v>
      </c>
      <c r="W567" s="148"/>
      <c r="X567" s="163"/>
      <c r="Y567" s="162"/>
      <c r="Z567" s="164"/>
      <c r="AA567" s="116"/>
      <c r="AB567" s="116"/>
      <c r="AC567" s="165"/>
      <c r="AD567" s="675" t="str">
        <f t="shared" si="66"/>
        <v>FEBRERO</v>
      </c>
      <c r="AE567" s="144" t="s">
        <v>1636</v>
      </c>
      <c r="AF567" s="149" t="b">
        <v>1</v>
      </c>
      <c r="AG567" s="144" t="s">
        <v>1817</v>
      </c>
      <c r="AH567" s="149" t="b">
        <v>0</v>
      </c>
      <c r="AI567" s="162"/>
      <c r="AJ567" s="143"/>
      <c r="AK567" s="143"/>
      <c r="AL567" s="143"/>
      <c r="AM567" s="143"/>
      <c r="AN567" s="143"/>
      <c r="AO567" s="143"/>
      <c r="AP567" s="143"/>
      <c r="AQ567" s="143"/>
    </row>
    <row r="568" ht="22.5" customHeight="1">
      <c r="A568" s="144" t="s">
        <v>1824</v>
      </c>
      <c r="B568" s="145">
        <v>46079.0</v>
      </c>
      <c r="C568" s="149" t="s">
        <v>1985</v>
      </c>
      <c r="D568" s="208" t="s">
        <v>1986</v>
      </c>
      <c r="E568" s="148" t="s">
        <v>28</v>
      </c>
      <c r="F568" s="262" t="s">
        <v>1987</v>
      </c>
      <c r="G568" s="149" t="s">
        <v>1988</v>
      </c>
      <c r="H568" s="148" t="s">
        <v>257</v>
      </c>
      <c r="I568" s="150">
        <v>0.2</v>
      </c>
      <c r="J568" s="168">
        <v>1600.0</v>
      </c>
      <c r="K568" s="169">
        <f t="shared" si="68"/>
        <v>6399</v>
      </c>
      <c r="L568" s="170">
        <v>7999.0</v>
      </c>
      <c r="M568" s="239">
        <v>7359.08</v>
      </c>
      <c r="N568" s="155">
        <v>1599.99</v>
      </c>
      <c r="O568" s="315">
        <f t="shared" si="65"/>
        <v>639.92</v>
      </c>
      <c r="P568" s="344">
        <f t="shared" si="69"/>
        <v>399.92</v>
      </c>
      <c r="Q568" s="510">
        <v>240.0</v>
      </c>
      <c r="R568" s="672" t="b">
        <v>0</v>
      </c>
      <c r="S568" s="318"/>
      <c r="T568" s="319"/>
      <c r="U568" s="315"/>
      <c r="V568" s="144" t="s">
        <v>584</v>
      </c>
      <c r="W568" s="148"/>
      <c r="X568" s="163"/>
      <c r="Y568" s="144" t="s">
        <v>584</v>
      </c>
      <c r="Z568" s="164"/>
      <c r="AA568" s="116"/>
      <c r="AB568" s="116"/>
      <c r="AC568" s="165"/>
      <c r="AD568" s="675" t="str">
        <f t="shared" si="66"/>
        <v>FEBRERO</v>
      </c>
      <c r="AE568" s="144" t="s">
        <v>1817</v>
      </c>
      <c r="AF568" s="149" t="b">
        <v>1</v>
      </c>
      <c r="AG568" s="144" t="s">
        <v>1817</v>
      </c>
      <c r="AH568" s="149" t="b">
        <v>0</v>
      </c>
      <c r="AI568" s="162"/>
      <c r="AJ568" s="143"/>
      <c r="AK568" s="143"/>
      <c r="AL568" s="143"/>
      <c r="AM568" s="143"/>
      <c r="AN568" s="143"/>
      <c r="AO568" s="143"/>
      <c r="AP568" s="143"/>
      <c r="AQ568" s="143"/>
    </row>
    <row r="569" ht="22.5" hidden="1" customHeight="1">
      <c r="A569" s="144" t="s">
        <v>34</v>
      </c>
      <c r="B569" s="145">
        <v>46079.0</v>
      </c>
      <c r="C569" s="647" t="s">
        <v>1685</v>
      </c>
      <c r="D569" s="922" t="s">
        <v>1989</v>
      </c>
      <c r="E569" s="148" t="s">
        <v>28</v>
      </c>
      <c r="F569" s="906" t="s">
        <v>1990</v>
      </c>
      <c r="G569" s="819">
        <v>9.35291423E8</v>
      </c>
      <c r="H569" s="148" t="s">
        <v>257</v>
      </c>
      <c r="I569" s="150">
        <v>1.0</v>
      </c>
      <c r="J569" s="168">
        <v>7499.0</v>
      </c>
      <c r="K569" s="169">
        <f t="shared" si="68"/>
        <v>0</v>
      </c>
      <c r="L569" s="170">
        <v>7499.0</v>
      </c>
      <c r="M569" s="239">
        <v>6773.0</v>
      </c>
      <c r="N569" s="155">
        <v>1599.99</v>
      </c>
      <c r="O569" s="315">
        <f t="shared" si="65"/>
        <v>726</v>
      </c>
      <c r="P569" s="344">
        <f t="shared" si="69"/>
        <v>107</v>
      </c>
      <c r="Q569" s="510">
        <v>170.0</v>
      </c>
      <c r="R569" s="672" t="b">
        <v>0</v>
      </c>
      <c r="S569" s="346">
        <v>449.0</v>
      </c>
      <c r="T569" s="319"/>
      <c r="U569" s="315"/>
      <c r="V569" s="144" t="s">
        <v>584</v>
      </c>
      <c r="W569" s="148" t="s">
        <v>584</v>
      </c>
      <c r="X569" s="819" t="s">
        <v>1991</v>
      </c>
      <c r="Y569" s="162"/>
      <c r="Z569" s="164"/>
      <c r="AA569" s="116"/>
      <c r="AB569" s="116"/>
      <c r="AC569" s="165"/>
      <c r="AD569" s="675" t="str">
        <f t="shared" si="66"/>
        <v>FEBRERO</v>
      </c>
      <c r="AE569" s="144" t="s">
        <v>1636</v>
      </c>
      <c r="AF569" s="149" t="b">
        <v>1</v>
      </c>
      <c r="AG569" s="144" t="s">
        <v>1636</v>
      </c>
      <c r="AH569" s="149" t="b">
        <v>0</v>
      </c>
      <c r="AI569" s="162"/>
      <c r="AJ569" s="143"/>
      <c r="AK569" s="143"/>
      <c r="AL569" s="143"/>
      <c r="AM569" s="143"/>
      <c r="AN569" s="143"/>
      <c r="AO569" s="143"/>
      <c r="AP569" s="143"/>
      <c r="AQ569" s="143"/>
    </row>
    <row r="570" ht="22.5" customHeight="1">
      <c r="A570" s="144" t="s">
        <v>1833</v>
      </c>
      <c r="B570" s="145">
        <v>46079.0</v>
      </c>
      <c r="C570" s="581" t="s">
        <v>1992</v>
      </c>
      <c r="D570" s="928" t="s">
        <v>1993</v>
      </c>
      <c r="E570" s="148" t="s">
        <v>28</v>
      </c>
      <c r="F570" s="262" t="s">
        <v>1994</v>
      </c>
      <c r="G570" s="149">
        <v>9.53707114E8</v>
      </c>
      <c r="H570" s="148" t="s">
        <v>257</v>
      </c>
      <c r="I570" s="150">
        <v>0.2</v>
      </c>
      <c r="J570" s="168">
        <v>1419.8</v>
      </c>
      <c r="K570" s="169">
        <f t="shared" si="68"/>
        <v>5679.2</v>
      </c>
      <c r="L570" s="170">
        <v>7099.0</v>
      </c>
      <c r="M570" s="239">
        <v>6650.66</v>
      </c>
      <c r="N570" s="155">
        <v>1549.99</v>
      </c>
      <c r="O570" s="315">
        <f t="shared" si="65"/>
        <v>448.34</v>
      </c>
      <c r="P570" s="344">
        <f t="shared" si="69"/>
        <v>348.34</v>
      </c>
      <c r="Q570" s="510">
        <v>100.0</v>
      </c>
      <c r="R570" s="672" t="b">
        <v>0</v>
      </c>
      <c r="S570" s="318"/>
      <c r="T570" s="319"/>
      <c r="U570" s="315"/>
      <c r="V570" s="144" t="s">
        <v>584</v>
      </c>
      <c r="W570" s="148"/>
      <c r="X570" s="163"/>
      <c r="Y570" s="144" t="s">
        <v>584</v>
      </c>
      <c r="Z570" s="164"/>
      <c r="AA570" s="116"/>
      <c r="AB570" s="116"/>
      <c r="AC570" s="165"/>
      <c r="AD570" s="675" t="str">
        <f t="shared" si="66"/>
        <v>FEBRERO</v>
      </c>
      <c r="AE570" s="144" t="s">
        <v>1636</v>
      </c>
      <c r="AF570" s="149" t="b">
        <v>1</v>
      </c>
      <c r="AG570" s="144" t="s">
        <v>1817</v>
      </c>
      <c r="AH570" s="149" t="b">
        <v>0</v>
      </c>
      <c r="AI570" s="162"/>
      <c r="AJ570" s="143"/>
      <c r="AK570" s="143"/>
      <c r="AL570" s="143"/>
      <c r="AM570" s="143"/>
      <c r="AN570" s="143"/>
      <c r="AO570" s="143"/>
      <c r="AP570" s="143"/>
      <c r="AQ570" s="143"/>
    </row>
    <row r="571" ht="22.5" hidden="1" customHeight="1">
      <c r="A571" s="144" t="s">
        <v>34</v>
      </c>
      <c r="B571" s="145">
        <v>46079.0</v>
      </c>
      <c r="C571" s="647" t="s">
        <v>1995</v>
      </c>
      <c r="D571" s="922" t="s">
        <v>1996</v>
      </c>
      <c r="E571" s="148" t="s">
        <v>28</v>
      </c>
      <c r="F571" s="825" t="s">
        <v>1997</v>
      </c>
      <c r="G571" s="149">
        <v>5.1981716115E10</v>
      </c>
      <c r="H571" s="148" t="s">
        <v>257</v>
      </c>
      <c r="I571" s="150">
        <v>0.2</v>
      </c>
      <c r="J571" s="168">
        <v>1380.0</v>
      </c>
      <c r="K571" s="169">
        <f t="shared" si="68"/>
        <v>5519</v>
      </c>
      <c r="L571" s="170">
        <v>6899.0</v>
      </c>
      <c r="M571" s="239">
        <v>6433.0</v>
      </c>
      <c r="N571" s="155">
        <v>1499.0</v>
      </c>
      <c r="O571" s="315">
        <f t="shared" si="65"/>
        <v>466</v>
      </c>
      <c r="P571" s="344">
        <f t="shared" si="69"/>
        <v>111</v>
      </c>
      <c r="Q571" s="510">
        <v>305.0</v>
      </c>
      <c r="R571" s="672" t="b">
        <v>1</v>
      </c>
      <c r="S571" s="318"/>
      <c r="T571" s="319"/>
      <c r="U571" s="315"/>
      <c r="V571" s="144" t="s">
        <v>584</v>
      </c>
      <c r="W571" s="148"/>
      <c r="X571" s="163"/>
      <c r="Y571" s="144" t="s">
        <v>584</v>
      </c>
      <c r="Z571" s="164"/>
      <c r="AA571" s="116"/>
      <c r="AB571" s="116"/>
      <c r="AC571" s="165"/>
      <c r="AD571" s="675" t="str">
        <f t="shared" si="66"/>
        <v>FEBRERO</v>
      </c>
      <c r="AE571" s="144" t="s">
        <v>1636</v>
      </c>
      <c r="AF571" s="149" t="b">
        <v>1</v>
      </c>
      <c r="AG571" s="144" t="s">
        <v>1817</v>
      </c>
      <c r="AH571" s="149" t="b">
        <v>0</v>
      </c>
      <c r="AI571" s="162"/>
      <c r="AJ571" s="143"/>
      <c r="AK571" s="143"/>
      <c r="AL571" s="143"/>
      <c r="AM571" s="143"/>
      <c r="AN571" s="143"/>
      <c r="AO571" s="143"/>
      <c r="AP571" s="143"/>
      <c r="AQ571" s="143"/>
    </row>
    <row r="572" ht="22.5" customHeight="1">
      <c r="A572" s="144" t="s">
        <v>162</v>
      </c>
      <c r="B572" s="145">
        <v>46079.0</v>
      </c>
      <c r="C572" s="149" t="s">
        <v>1152</v>
      </c>
      <c r="D572" s="208" t="s">
        <v>1998</v>
      </c>
      <c r="E572" s="148" t="s">
        <v>28</v>
      </c>
      <c r="F572" s="149" t="s">
        <v>1999</v>
      </c>
      <c r="G572" s="149" t="s">
        <v>2000</v>
      </c>
      <c r="H572" s="148" t="s">
        <v>257</v>
      </c>
      <c r="I572" s="148" t="s">
        <v>61</v>
      </c>
      <c r="J572" s="168">
        <v>1379.0</v>
      </c>
      <c r="K572" s="169">
        <f t="shared" si="68"/>
        <v>5520</v>
      </c>
      <c r="L572" s="170">
        <v>6899.0</v>
      </c>
      <c r="M572" s="239">
        <v>6613.0</v>
      </c>
      <c r="N572" s="155">
        <v>1549.99</v>
      </c>
      <c r="O572" s="315">
        <f t="shared" si="65"/>
        <v>286</v>
      </c>
      <c r="P572" s="344">
        <f t="shared" si="69"/>
        <v>61</v>
      </c>
      <c r="Q572" s="510">
        <v>225.0</v>
      </c>
      <c r="R572" s="672" t="b">
        <v>0</v>
      </c>
      <c r="S572" s="318"/>
      <c r="T572" s="319"/>
      <c r="U572" s="315"/>
      <c r="V572" s="144" t="s">
        <v>584</v>
      </c>
      <c r="W572" s="148"/>
      <c r="X572" s="163"/>
      <c r="Y572" s="144" t="s">
        <v>584</v>
      </c>
      <c r="Z572" s="164"/>
      <c r="AA572" s="116"/>
      <c r="AB572" s="116"/>
      <c r="AC572" s="165"/>
      <c r="AD572" s="675" t="str">
        <f t="shared" si="66"/>
        <v>FEBRERO</v>
      </c>
      <c r="AE572" s="144" t="s">
        <v>1636</v>
      </c>
      <c r="AF572" s="149" t="b">
        <v>1</v>
      </c>
      <c r="AG572" s="144" t="s">
        <v>1817</v>
      </c>
      <c r="AH572" s="149" t="b">
        <v>0</v>
      </c>
      <c r="AI572" s="162"/>
      <c r="AJ572" s="143"/>
      <c r="AK572" s="143"/>
      <c r="AL572" s="143"/>
      <c r="AM572" s="143"/>
      <c r="AN572" s="143"/>
      <c r="AO572" s="143"/>
      <c r="AP572" s="143"/>
      <c r="AQ572" s="143"/>
    </row>
    <row r="573" ht="22.5" customHeight="1">
      <c r="A573" s="144" t="s">
        <v>1833</v>
      </c>
      <c r="B573" s="145">
        <v>46080.0</v>
      </c>
      <c r="C573" s="581" t="s">
        <v>1992</v>
      </c>
      <c r="D573" s="935" t="s">
        <v>2001</v>
      </c>
      <c r="E573" s="148" t="s">
        <v>28</v>
      </c>
      <c r="F573" s="246" t="s">
        <v>2002</v>
      </c>
      <c r="G573" s="149">
        <v>9.40745828E8</v>
      </c>
      <c r="H573" s="148" t="s">
        <v>257</v>
      </c>
      <c r="I573" s="150">
        <v>0.2</v>
      </c>
      <c r="J573" s="168">
        <v>1419.8</v>
      </c>
      <c r="K573" s="169">
        <f t="shared" si="68"/>
        <v>5679.2</v>
      </c>
      <c r="L573" s="170">
        <v>7099.0</v>
      </c>
      <c r="M573" s="239">
        <v>6650.66</v>
      </c>
      <c r="N573" s="155">
        <v>1549.99</v>
      </c>
      <c r="O573" s="315">
        <f t="shared" si="65"/>
        <v>448.34</v>
      </c>
      <c r="P573" s="344">
        <f t="shared" si="69"/>
        <v>418.34</v>
      </c>
      <c r="Q573" s="510">
        <v>30.0</v>
      </c>
      <c r="R573" s="672" t="b">
        <v>0</v>
      </c>
      <c r="S573" s="318"/>
      <c r="T573" s="319"/>
      <c r="U573" s="315"/>
      <c r="V573" s="144" t="s">
        <v>584</v>
      </c>
      <c r="W573" s="148"/>
      <c r="X573" s="163"/>
      <c r="Y573" s="144" t="s">
        <v>584</v>
      </c>
      <c r="Z573" s="164"/>
      <c r="AA573" s="116"/>
      <c r="AB573" s="116"/>
      <c r="AC573" s="165"/>
      <c r="AD573" s="675" t="str">
        <f t="shared" si="66"/>
        <v>FEBRERO</v>
      </c>
      <c r="AE573" s="144" t="s">
        <v>1636</v>
      </c>
      <c r="AF573" s="149" t="b">
        <v>1</v>
      </c>
      <c r="AG573" s="144" t="s">
        <v>1817</v>
      </c>
      <c r="AH573" s="149" t="b">
        <v>0</v>
      </c>
      <c r="AI573" s="162"/>
      <c r="AJ573" s="143"/>
      <c r="AK573" s="143"/>
      <c r="AL573" s="143"/>
      <c r="AM573" s="143"/>
      <c r="AN573" s="143"/>
      <c r="AO573" s="143"/>
      <c r="AP573" s="143"/>
      <c r="AQ573" s="143"/>
    </row>
    <row r="574" ht="22.5" hidden="1" customHeight="1">
      <c r="A574" s="144" t="s">
        <v>259</v>
      </c>
      <c r="B574" s="145">
        <v>45715.0</v>
      </c>
      <c r="C574" s="327" t="s">
        <v>2003</v>
      </c>
      <c r="D574" s="208" t="s">
        <v>2004</v>
      </c>
      <c r="E574" s="148" t="s">
        <v>28</v>
      </c>
      <c r="F574" s="246" t="s">
        <v>2005</v>
      </c>
      <c r="G574" s="165"/>
      <c r="H574" s="148" t="s">
        <v>257</v>
      </c>
      <c r="I574" s="150">
        <v>0.3</v>
      </c>
      <c r="J574" s="168">
        <v>4109.0</v>
      </c>
      <c r="K574" s="169">
        <f t="shared" si="68"/>
        <v>9590</v>
      </c>
      <c r="L574" s="170">
        <v>13699.0</v>
      </c>
      <c r="M574" s="239">
        <v>13209.0</v>
      </c>
      <c r="N574" s="155">
        <v>3099.0</v>
      </c>
      <c r="O574" s="315">
        <f t="shared" si="65"/>
        <v>490</v>
      </c>
      <c r="P574" s="344">
        <f t="shared" si="69"/>
        <v>350</v>
      </c>
      <c r="Q574" s="510">
        <v>140.0</v>
      </c>
      <c r="R574" s="672" t="b">
        <v>0</v>
      </c>
      <c r="S574" s="318"/>
      <c r="T574" s="319"/>
      <c r="U574" s="315"/>
      <c r="V574" s="144" t="s">
        <v>584</v>
      </c>
      <c r="W574" s="148"/>
      <c r="X574" s="163"/>
      <c r="Y574" s="144" t="s">
        <v>968</v>
      </c>
      <c r="Z574" s="164"/>
      <c r="AA574" s="116"/>
      <c r="AB574" s="116"/>
      <c r="AC574" s="165"/>
      <c r="AD574" s="675" t="str">
        <f t="shared" si="66"/>
        <v>FEBRERO</v>
      </c>
      <c r="AE574" s="144" t="s">
        <v>1817</v>
      </c>
      <c r="AF574" s="149" t="b">
        <v>1</v>
      </c>
      <c r="AG574" s="144" t="s">
        <v>1817</v>
      </c>
      <c r="AH574" s="149" t="b">
        <v>0</v>
      </c>
      <c r="AI574" s="162"/>
      <c r="AJ574" s="143"/>
      <c r="AK574" s="143"/>
      <c r="AL574" s="143"/>
      <c r="AM574" s="143"/>
      <c r="AN574" s="143"/>
      <c r="AO574" s="143"/>
      <c r="AP574" s="143"/>
      <c r="AQ574" s="143"/>
    </row>
    <row r="575" ht="22.5" hidden="1" customHeight="1">
      <c r="A575" s="144" t="s">
        <v>34</v>
      </c>
      <c r="B575" s="145">
        <v>46081.0</v>
      </c>
      <c r="C575" s="647" t="s">
        <v>1152</v>
      </c>
      <c r="D575" s="922" t="s">
        <v>2006</v>
      </c>
      <c r="E575" s="148" t="s">
        <v>28</v>
      </c>
      <c r="F575" s="246" t="s">
        <v>2007</v>
      </c>
      <c r="G575" s="819">
        <v>9.30475339E8</v>
      </c>
      <c r="H575" s="148" t="s">
        <v>257</v>
      </c>
      <c r="I575" s="148" t="s">
        <v>61</v>
      </c>
      <c r="J575" s="168">
        <v>1419.8</v>
      </c>
      <c r="K575" s="169">
        <f t="shared" si="68"/>
        <v>5679.2</v>
      </c>
      <c r="L575" s="170">
        <v>7099.0</v>
      </c>
      <c r="M575" s="239">
        <v>6630.93</v>
      </c>
      <c r="N575" s="155">
        <v>1549.99</v>
      </c>
      <c r="O575" s="315">
        <f t="shared" si="65"/>
        <v>468.07</v>
      </c>
      <c r="P575" s="344">
        <f t="shared" si="69"/>
        <v>113.07</v>
      </c>
      <c r="Q575" s="510">
        <v>305.0</v>
      </c>
      <c r="R575" s="672" t="b">
        <v>1</v>
      </c>
      <c r="S575" s="318"/>
      <c r="T575" s="319"/>
      <c r="U575" s="315"/>
      <c r="V575" s="144" t="s">
        <v>584</v>
      </c>
      <c r="W575" s="148"/>
      <c r="X575" s="819" t="s">
        <v>2008</v>
      </c>
      <c r="Y575" s="144" t="s">
        <v>584</v>
      </c>
      <c r="Z575" s="164"/>
      <c r="AA575" s="116"/>
      <c r="AB575" s="116"/>
      <c r="AC575" s="165"/>
      <c r="AD575" s="675" t="str">
        <f t="shared" si="66"/>
        <v>FEBRERO</v>
      </c>
      <c r="AE575" s="144" t="s">
        <v>1636</v>
      </c>
      <c r="AF575" s="149" t="b">
        <v>1</v>
      </c>
      <c r="AG575" s="144" t="s">
        <v>1817</v>
      </c>
      <c r="AH575" s="149" t="b">
        <v>0</v>
      </c>
      <c r="AI575" s="162"/>
      <c r="AJ575" s="143"/>
      <c r="AK575" s="143"/>
      <c r="AL575" s="143"/>
      <c r="AM575" s="143"/>
      <c r="AN575" s="143"/>
      <c r="AO575" s="143"/>
      <c r="AP575" s="143"/>
      <c r="AQ575" s="143"/>
    </row>
    <row r="576" ht="22.5" customHeight="1">
      <c r="A576" s="144" t="s">
        <v>162</v>
      </c>
      <c r="B576" s="145">
        <v>46081.0</v>
      </c>
      <c r="C576" s="817" t="s">
        <v>2009</v>
      </c>
      <c r="D576" s="208" t="s">
        <v>2010</v>
      </c>
      <c r="E576" s="148" t="s">
        <v>28</v>
      </c>
      <c r="F576" s="246" t="s">
        <v>2011</v>
      </c>
      <c r="G576" s="149" t="s">
        <v>2012</v>
      </c>
      <c r="H576" s="148" t="s">
        <v>257</v>
      </c>
      <c r="I576" s="148" t="s">
        <v>61</v>
      </c>
      <c r="J576" s="168">
        <v>1600.0</v>
      </c>
      <c r="K576" s="169">
        <f t="shared" si="68"/>
        <v>6806</v>
      </c>
      <c r="L576" s="170">
        <v>8406.0</v>
      </c>
      <c r="M576" s="239">
        <v>7855.43</v>
      </c>
      <c r="N576" s="155">
        <v>1699.99</v>
      </c>
      <c r="O576" s="315">
        <f t="shared" si="65"/>
        <v>550.57</v>
      </c>
      <c r="P576" s="344">
        <f t="shared" si="69"/>
        <v>0.57</v>
      </c>
      <c r="Q576" s="510">
        <v>100.0</v>
      </c>
      <c r="R576" s="672" t="b">
        <v>0</v>
      </c>
      <c r="S576" s="346">
        <v>450.0</v>
      </c>
      <c r="T576" s="319"/>
      <c r="U576" s="315"/>
      <c r="V576" s="144" t="s">
        <v>584</v>
      </c>
      <c r="W576" s="148"/>
      <c r="X576" s="163"/>
      <c r="Y576" s="144" t="s">
        <v>584</v>
      </c>
      <c r="Z576" s="164"/>
      <c r="AA576" s="116"/>
      <c r="AB576" s="116"/>
      <c r="AC576" s="165"/>
      <c r="AD576" s="675" t="str">
        <f t="shared" si="66"/>
        <v>FEBRERO</v>
      </c>
      <c r="AE576" s="144" t="s">
        <v>1817</v>
      </c>
      <c r="AF576" s="149" t="b">
        <v>1</v>
      </c>
      <c r="AG576" s="144" t="s">
        <v>1817</v>
      </c>
      <c r="AH576" s="149" t="b">
        <v>0</v>
      </c>
      <c r="AI576" s="162"/>
      <c r="AJ576" s="143"/>
      <c r="AK576" s="143"/>
      <c r="AL576" s="143"/>
      <c r="AM576" s="143"/>
      <c r="AN576" s="143"/>
      <c r="AO576" s="143"/>
      <c r="AP576" s="143"/>
      <c r="AQ576" s="143"/>
    </row>
    <row r="577" ht="22.5" customHeight="1">
      <c r="A577" s="144" t="s">
        <v>162</v>
      </c>
      <c r="B577" s="145">
        <v>46081.0</v>
      </c>
      <c r="C577" s="353" t="s">
        <v>1336</v>
      </c>
      <c r="D577" s="208" t="s">
        <v>2013</v>
      </c>
      <c r="E577" s="148" t="s">
        <v>28</v>
      </c>
      <c r="F577" s="262" t="s">
        <v>2014</v>
      </c>
      <c r="G577" s="149" t="s">
        <v>2015</v>
      </c>
      <c r="H577" s="148" t="s">
        <v>257</v>
      </c>
      <c r="I577" s="148" t="s">
        <v>61</v>
      </c>
      <c r="J577" s="168">
        <v>5169.0</v>
      </c>
      <c r="K577" s="169">
        <f t="shared" si="68"/>
        <v>3730</v>
      </c>
      <c r="L577" s="170">
        <v>8899.0</v>
      </c>
      <c r="M577" s="239">
        <v>8416.71</v>
      </c>
      <c r="N577" s="155">
        <v>1899.99</v>
      </c>
      <c r="O577" s="315">
        <f t="shared" si="65"/>
        <v>482.29</v>
      </c>
      <c r="P577" s="344">
        <f t="shared" si="69"/>
        <v>124.79</v>
      </c>
      <c r="Q577" s="510">
        <v>320.0</v>
      </c>
      <c r="R577" s="672" t="b">
        <v>0</v>
      </c>
      <c r="S577" s="318"/>
      <c r="T577" s="319"/>
      <c r="U577" s="343">
        <v>37.5</v>
      </c>
      <c r="V577" s="144" t="s">
        <v>584</v>
      </c>
      <c r="W577" s="148"/>
      <c r="X577" s="163"/>
      <c r="Y577" s="144" t="s">
        <v>584</v>
      </c>
      <c r="Z577" s="164"/>
      <c r="AA577" s="116"/>
      <c r="AB577" s="116"/>
      <c r="AC577" s="165"/>
      <c r="AD577" s="675" t="str">
        <f t="shared" si="66"/>
        <v>FEBRERO</v>
      </c>
      <c r="AE577" s="144" t="s">
        <v>1817</v>
      </c>
      <c r="AF577" s="149" t="b">
        <v>1</v>
      </c>
      <c r="AG577" s="144" t="s">
        <v>1817</v>
      </c>
      <c r="AH577" s="149" t="b">
        <v>0</v>
      </c>
      <c r="AI577" s="162"/>
      <c r="AJ577" s="143"/>
      <c r="AK577" s="143"/>
      <c r="AL577" s="143"/>
      <c r="AM577" s="143"/>
      <c r="AN577" s="143"/>
      <c r="AO577" s="143"/>
      <c r="AP577" s="143"/>
      <c r="AQ577" s="143"/>
    </row>
    <row r="578" ht="22.5" hidden="1" customHeight="1">
      <c r="A578" s="144" t="s">
        <v>34</v>
      </c>
      <c r="B578" s="145">
        <v>46081.0</v>
      </c>
      <c r="C578" s="647" t="s">
        <v>1944</v>
      </c>
      <c r="D578" s="936" t="s">
        <v>2016</v>
      </c>
      <c r="E578" s="148" t="s">
        <v>28</v>
      </c>
      <c r="F578" s="907" t="s">
        <v>2017</v>
      </c>
      <c r="G578" s="149">
        <v>5.1965677078E10</v>
      </c>
      <c r="H578" s="148" t="s">
        <v>257</v>
      </c>
      <c r="I578" s="148" t="s">
        <v>61</v>
      </c>
      <c r="J578" s="168">
        <v>300.0</v>
      </c>
      <c r="K578" s="169">
        <f t="shared" si="68"/>
        <v>6699</v>
      </c>
      <c r="L578" s="170">
        <v>6999.0</v>
      </c>
      <c r="M578" s="239">
        <v>6793.0</v>
      </c>
      <c r="N578" s="155">
        <v>1599.99</v>
      </c>
      <c r="O578" s="315">
        <f t="shared" si="65"/>
        <v>206</v>
      </c>
      <c r="P578" s="344">
        <f t="shared" si="69"/>
        <v>16</v>
      </c>
      <c r="Q578" s="510">
        <v>140.0</v>
      </c>
      <c r="R578" s="672" t="b">
        <v>1</v>
      </c>
      <c r="S578" s="318"/>
      <c r="T578" s="319"/>
      <c r="U578" s="315"/>
      <c r="V578" s="144" t="s">
        <v>584</v>
      </c>
      <c r="W578" s="148"/>
      <c r="X578" s="163"/>
      <c r="Y578" s="162"/>
      <c r="Z578" s="10" t="s">
        <v>2018</v>
      </c>
      <c r="AA578" s="116"/>
      <c r="AB578" s="116"/>
      <c r="AC578" s="165"/>
      <c r="AD578" s="675" t="str">
        <f t="shared" si="66"/>
        <v>FEBRERO</v>
      </c>
      <c r="AE578" s="144" t="s">
        <v>1636</v>
      </c>
      <c r="AF578" s="149" t="b">
        <v>1</v>
      </c>
      <c r="AG578" s="144" t="s">
        <v>1817</v>
      </c>
      <c r="AH578" s="149" t="b">
        <v>0</v>
      </c>
      <c r="AI578" s="162"/>
      <c r="AJ578" s="143"/>
      <c r="AK578" s="143"/>
      <c r="AL578" s="143"/>
      <c r="AM578" s="143"/>
      <c r="AN578" s="143"/>
      <c r="AO578" s="143"/>
      <c r="AP578" s="143"/>
      <c r="AQ578" s="143"/>
    </row>
    <row r="579" ht="22.5" customHeight="1">
      <c r="A579" s="937" t="s">
        <v>162</v>
      </c>
      <c r="B579" s="938">
        <v>46083.0</v>
      </c>
      <c r="C579" s="939" t="s">
        <v>1685</v>
      </c>
      <c r="D579" s="940" t="s">
        <v>2019</v>
      </c>
      <c r="E579" s="941" t="s">
        <v>28</v>
      </c>
      <c r="F579" s="939" t="s">
        <v>2020</v>
      </c>
      <c r="G579" s="939">
        <v>5.1960636375E10</v>
      </c>
      <c r="H579" s="941" t="s">
        <v>257</v>
      </c>
      <c r="I579" s="942">
        <v>0.2</v>
      </c>
      <c r="J579" s="943">
        <v>1379.0</v>
      </c>
      <c r="K579" s="557">
        <f t="shared" si="68"/>
        <v>5615</v>
      </c>
      <c r="L579" s="944">
        <v>6994.0</v>
      </c>
      <c r="M579" s="945">
        <v>6773.0</v>
      </c>
      <c r="N579" s="946">
        <v>1599.99</v>
      </c>
      <c r="O579" s="947">
        <f t="shared" si="65"/>
        <v>221</v>
      </c>
      <c r="P579" s="948">
        <f t="shared" si="69"/>
        <v>26</v>
      </c>
      <c r="Q579" s="948">
        <v>195.0</v>
      </c>
      <c r="R579" s="949" t="b">
        <v>0</v>
      </c>
      <c r="S579" s="947"/>
      <c r="T579" s="950"/>
      <c r="U579" s="947"/>
      <c r="V579" s="937" t="s">
        <v>584</v>
      </c>
      <c r="W579" s="941"/>
      <c r="X579" s="951"/>
      <c r="Y579" s="952"/>
      <c r="Z579" s="953"/>
      <c r="AA579" s="954"/>
      <c r="AB579" s="954"/>
      <c r="AC579" s="955"/>
      <c r="AD579" s="956" t="str">
        <f t="shared" si="66"/>
        <v>MARZO</v>
      </c>
      <c r="AE579" s="937" t="s">
        <v>1817</v>
      </c>
      <c r="AF579" s="939" t="b">
        <v>1</v>
      </c>
      <c r="AG579" s="937" t="s">
        <v>1817</v>
      </c>
      <c r="AH579" s="939" t="b">
        <v>0</v>
      </c>
      <c r="AI579" s="957"/>
      <c r="AJ579" s="958"/>
      <c r="AK579" s="958"/>
      <c r="AL579" s="958"/>
      <c r="AM579" s="958"/>
      <c r="AN579" s="958"/>
      <c r="AO579" s="958"/>
      <c r="AP579" s="958"/>
      <c r="AQ579" s="958"/>
    </row>
    <row r="580" ht="22.5" hidden="1" customHeight="1">
      <c r="A580" s="144" t="s">
        <v>259</v>
      </c>
      <c r="B580" s="209">
        <v>46084.0</v>
      </c>
      <c r="C580" s="959" t="s">
        <v>2021</v>
      </c>
      <c r="D580" s="208" t="s">
        <v>2022</v>
      </c>
      <c r="E580" s="148" t="s">
        <v>28</v>
      </c>
      <c r="F580" s="246" t="s">
        <v>2023</v>
      </c>
      <c r="G580" s="165"/>
      <c r="H580" s="148" t="s">
        <v>257</v>
      </c>
      <c r="I580" s="150">
        <v>1.0</v>
      </c>
      <c r="J580" s="168">
        <v>15199.0</v>
      </c>
      <c r="K580" s="169">
        <f t="shared" si="68"/>
        <v>0</v>
      </c>
      <c r="L580" s="170">
        <v>15199.0</v>
      </c>
      <c r="M580" s="239">
        <v>14672.0</v>
      </c>
      <c r="N580" s="155">
        <v>3599.0</v>
      </c>
      <c r="O580" s="315">
        <f t="shared" si="65"/>
        <v>527</v>
      </c>
      <c r="P580" s="344">
        <f t="shared" si="69"/>
        <v>427</v>
      </c>
      <c r="Q580" s="510">
        <v>100.0</v>
      </c>
      <c r="R580" s="672" t="b">
        <v>0</v>
      </c>
      <c r="S580" s="318"/>
      <c r="T580" s="319"/>
      <c r="U580" s="315"/>
      <c r="V580" s="144" t="s">
        <v>584</v>
      </c>
      <c r="W580" s="148" t="s">
        <v>584</v>
      </c>
      <c r="X580" s="163"/>
      <c r="Y580" s="162"/>
      <c r="Z580" s="10" t="s">
        <v>2024</v>
      </c>
      <c r="AA580" s="116"/>
      <c r="AB580" s="116"/>
      <c r="AC580" s="165"/>
      <c r="AD580" s="675" t="str">
        <f t="shared" si="66"/>
        <v>MARZO</v>
      </c>
      <c r="AE580" s="144" t="s">
        <v>1817</v>
      </c>
      <c r="AF580" s="149" t="b">
        <v>1</v>
      </c>
      <c r="AG580" s="144" t="s">
        <v>1817</v>
      </c>
      <c r="AH580" s="149" t="b">
        <v>0</v>
      </c>
      <c r="AI580" s="162"/>
      <c r="AJ580" s="143"/>
      <c r="AK580" s="143"/>
      <c r="AL580" s="143"/>
      <c r="AM580" s="143"/>
      <c r="AN580" s="143"/>
      <c r="AO580" s="143"/>
      <c r="AP580" s="143"/>
      <c r="AQ580" s="143"/>
    </row>
    <row r="581" ht="22.5" customHeight="1">
      <c r="A581" s="144" t="s">
        <v>162</v>
      </c>
      <c r="B581" s="145">
        <v>46084.0</v>
      </c>
      <c r="C581" s="149" t="s">
        <v>1152</v>
      </c>
      <c r="D581" s="208" t="s">
        <v>2025</v>
      </c>
      <c r="E581" s="148" t="s">
        <v>28</v>
      </c>
      <c r="F581" s="149" t="s">
        <v>2026</v>
      </c>
      <c r="G581" s="149" t="s">
        <v>2027</v>
      </c>
      <c r="H581" s="148" t="s">
        <v>257</v>
      </c>
      <c r="I581" s="148" t="s">
        <v>61</v>
      </c>
      <c r="J581" s="168">
        <v>300.0</v>
      </c>
      <c r="K581" s="169">
        <f t="shared" si="68"/>
        <v>7000</v>
      </c>
      <c r="L581" s="170">
        <v>7300.0</v>
      </c>
      <c r="M581" s="239">
        <v>6613.0</v>
      </c>
      <c r="N581" s="155">
        <v>1549.99</v>
      </c>
      <c r="O581" s="315">
        <f t="shared" si="65"/>
        <v>687</v>
      </c>
      <c r="P581" s="344">
        <f t="shared" si="69"/>
        <v>477</v>
      </c>
      <c r="Q581" s="510">
        <v>210.0</v>
      </c>
      <c r="R581" s="672" t="b">
        <v>0</v>
      </c>
      <c r="S581" s="318"/>
      <c r="T581" s="319"/>
      <c r="U581" s="315"/>
      <c r="V581" s="144" t="s">
        <v>584</v>
      </c>
      <c r="W581" s="148"/>
      <c r="X581" s="163"/>
      <c r="Y581" s="162"/>
      <c r="Z581" s="164"/>
      <c r="AA581" s="116"/>
      <c r="AB581" s="116"/>
      <c r="AC581" s="165"/>
      <c r="AD581" s="675" t="str">
        <f t="shared" si="66"/>
        <v>MARZO</v>
      </c>
      <c r="AE581" s="144" t="s">
        <v>1817</v>
      </c>
      <c r="AF581" s="149" t="b">
        <v>1</v>
      </c>
      <c r="AG581" s="144" t="s">
        <v>1817</v>
      </c>
      <c r="AH581" s="149" t="b">
        <v>0</v>
      </c>
      <c r="AI581" s="162"/>
      <c r="AJ581" s="143"/>
      <c r="AK581" s="143"/>
      <c r="AL581" s="143"/>
      <c r="AM581" s="143"/>
      <c r="AN581" s="143"/>
      <c r="AO581" s="143"/>
      <c r="AP581" s="143"/>
      <c r="AQ581" s="143"/>
    </row>
    <row r="582" ht="22.5" customHeight="1">
      <c r="A582" s="144" t="s">
        <v>1824</v>
      </c>
      <c r="B582" s="145">
        <v>46084.0</v>
      </c>
      <c r="C582" s="149" t="s">
        <v>1152</v>
      </c>
      <c r="D582" s="208" t="s">
        <v>2028</v>
      </c>
      <c r="E582" s="148" t="s">
        <v>28</v>
      </c>
      <c r="F582" s="149" t="s">
        <v>2029</v>
      </c>
      <c r="G582" s="149" t="s">
        <v>2030</v>
      </c>
      <c r="H582" s="148" t="s">
        <v>257</v>
      </c>
      <c r="I582" s="148" t="s">
        <v>61</v>
      </c>
      <c r="J582" s="168">
        <v>300.0</v>
      </c>
      <c r="K582" s="169">
        <f t="shared" si="68"/>
        <v>6899</v>
      </c>
      <c r="L582" s="170">
        <v>7199.0</v>
      </c>
      <c r="M582" s="239">
        <v>6613.0</v>
      </c>
      <c r="N582" s="155">
        <v>1549.99</v>
      </c>
      <c r="O582" s="315">
        <f t="shared" si="65"/>
        <v>586</v>
      </c>
      <c r="P582" s="344">
        <f t="shared" si="69"/>
        <v>486</v>
      </c>
      <c r="Q582" s="510">
        <v>100.0</v>
      </c>
      <c r="R582" s="672" t="b">
        <v>0</v>
      </c>
      <c r="S582" s="318"/>
      <c r="T582" s="319"/>
      <c r="U582" s="315"/>
      <c r="V582" s="144" t="s">
        <v>584</v>
      </c>
      <c r="W582" s="148"/>
      <c r="X582" s="163"/>
      <c r="Y582" s="162"/>
      <c r="Z582" s="164"/>
      <c r="AA582" s="116"/>
      <c r="AB582" s="116"/>
      <c r="AC582" s="165"/>
      <c r="AD582" s="675" t="str">
        <f t="shared" si="66"/>
        <v>MARZO</v>
      </c>
      <c r="AE582" s="144" t="s">
        <v>1817</v>
      </c>
      <c r="AF582" s="149" t="b">
        <v>1</v>
      </c>
      <c r="AG582" s="144" t="s">
        <v>1817</v>
      </c>
      <c r="AH582" s="149" t="b">
        <v>0</v>
      </c>
      <c r="AI582" s="162"/>
      <c r="AJ582" s="143"/>
      <c r="AK582" s="143"/>
      <c r="AL582" s="143"/>
      <c r="AM582" s="143"/>
      <c r="AN582" s="143"/>
      <c r="AO582" s="143"/>
      <c r="AP582" s="143"/>
      <c r="AQ582" s="143"/>
    </row>
    <row r="583" ht="22.5" customHeight="1">
      <c r="A583" s="144" t="s">
        <v>162</v>
      </c>
      <c r="B583" s="145">
        <v>46084.0</v>
      </c>
      <c r="C583" s="149" t="s">
        <v>1152</v>
      </c>
      <c r="D583" s="208" t="s">
        <v>2031</v>
      </c>
      <c r="E583" s="148" t="s">
        <v>28</v>
      </c>
      <c r="F583" s="149" t="s">
        <v>2032</v>
      </c>
      <c r="G583" s="149" t="s">
        <v>2033</v>
      </c>
      <c r="H583" s="148" t="s">
        <v>257</v>
      </c>
      <c r="I583" s="150">
        <v>1.0</v>
      </c>
      <c r="J583" s="168">
        <v>6999.0</v>
      </c>
      <c r="K583" s="169">
        <f t="shared" si="68"/>
        <v>0</v>
      </c>
      <c r="L583" s="170">
        <v>6999.0</v>
      </c>
      <c r="M583" s="239">
        <v>6613.0</v>
      </c>
      <c r="N583" s="155">
        <v>1549.99</v>
      </c>
      <c r="O583" s="315">
        <f t="shared" si="65"/>
        <v>386</v>
      </c>
      <c r="P583" s="344">
        <f t="shared" si="69"/>
        <v>176</v>
      </c>
      <c r="Q583" s="510">
        <v>210.0</v>
      </c>
      <c r="R583" s="672" t="b">
        <v>0</v>
      </c>
      <c r="S583" s="318"/>
      <c r="T583" s="319"/>
      <c r="U583" s="315"/>
      <c r="V583" s="144" t="s">
        <v>584</v>
      </c>
      <c r="W583" s="148"/>
      <c r="X583" s="163"/>
      <c r="Y583" s="162"/>
      <c r="Z583" s="164"/>
      <c r="AA583" s="116"/>
      <c r="AB583" s="116"/>
      <c r="AC583" s="165"/>
      <c r="AD583" s="675" t="str">
        <f t="shared" si="66"/>
        <v>MARZO</v>
      </c>
      <c r="AE583" s="144" t="s">
        <v>1817</v>
      </c>
      <c r="AF583" s="149" t="b">
        <v>1</v>
      </c>
      <c r="AG583" s="144" t="s">
        <v>1817</v>
      </c>
      <c r="AH583" s="149" t="b">
        <v>0</v>
      </c>
      <c r="AI583" s="162"/>
      <c r="AJ583" s="143"/>
      <c r="AK583" s="143"/>
      <c r="AL583" s="143"/>
      <c r="AM583" s="143"/>
      <c r="AN583" s="143"/>
      <c r="AO583" s="143"/>
      <c r="AP583" s="143"/>
      <c r="AQ583" s="143"/>
    </row>
    <row r="584" ht="22.5" customHeight="1">
      <c r="A584" s="144" t="s">
        <v>162</v>
      </c>
      <c r="B584" s="145">
        <v>46085.0</v>
      </c>
      <c r="C584" s="149" t="s">
        <v>1302</v>
      </c>
      <c r="D584" s="208" t="s">
        <v>2034</v>
      </c>
      <c r="E584" s="148" t="s">
        <v>28</v>
      </c>
      <c r="F584" s="149" t="s">
        <v>2035</v>
      </c>
      <c r="G584" s="149">
        <v>5.1936491915E10</v>
      </c>
      <c r="H584" s="148" t="s">
        <v>257</v>
      </c>
      <c r="I584" s="150">
        <v>1.0</v>
      </c>
      <c r="J584" s="168">
        <v>7600.0</v>
      </c>
      <c r="K584" s="169">
        <f t="shared" si="68"/>
        <v>0</v>
      </c>
      <c r="L584" s="170">
        <v>7600.0</v>
      </c>
      <c r="M584" s="239">
        <v>7283.0</v>
      </c>
      <c r="N584" s="155">
        <v>1699.99</v>
      </c>
      <c r="O584" s="315">
        <f t="shared" si="65"/>
        <v>317</v>
      </c>
      <c r="P584" s="344">
        <f t="shared" si="69"/>
        <v>107</v>
      </c>
      <c r="Q584" s="510">
        <v>210.0</v>
      </c>
      <c r="R584" s="672" t="b">
        <v>0</v>
      </c>
      <c r="S584" s="318"/>
      <c r="T584" s="319"/>
      <c r="U584" s="315"/>
      <c r="V584" s="144" t="s">
        <v>584</v>
      </c>
      <c r="W584" s="148" t="s">
        <v>584</v>
      </c>
      <c r="X584" s="163"/>
      <c r="Y584" s="162"/>
      <c r="Z584" s="164"/>
      <c r="AA584" s="116"/>
      <c r="AB584" s="116"/>
      <c r="AC584" s="165"/>
      <c r="AD584" s="675" t="str">
        <f t="shared" si="66"/>
        <v>MARZO</v>
      </c>
      <c r="AE584" s="144" t="s">
        <v>1817</v>
      </c>
      <c r="AF584" s="149" t="b">
        <v>1</v>
      </c>
      <c r="AG584" s="144" t="s">
        <v>1817</v>
      </c>
      <c r="AH584" s="149" t="b">
        <v>0</v>
      </c>
      <c r="AI584" s="162"/>
      <c r="AJ584" s="143"/>
      <c r="AK584" s="143"/>
      <c r="AL584" s="143"/>
      <c r="AM584" s="143"/>
      <c r="AN584" s="143"/>
      <c r="AO584" s="143"/>
      <c r="AP584" s="143"/>
      <c r="AQ584" s="143"/>
    </row>
    <row r="585" ht="22.5" customHeight="1">
      <c r="A585" s="144" t="s">
        <v>162</v>
      </c>
      <c r="B585" s="145">
        <v>46085.0</v>
      </c>
      <c r="C585" s="368" t="s">
        <v>2036</v>
      </c>
      <c r="D585" s="208" t="s">
        <v>2037</v>
      </c>
      <c r="E585" s="148" t="s">
        <v>28</v>
      </c>
      <c r="F585" s="246" t="s">
        <v>2038</v>
      </c>
      <c r="G585" s="149" t="s">
        <v>2039</v>
      </c>
      <c r="H585" s="148" t="s">
        <v>257</v>
      </c>
      <c r="I585" s="150">
        <v>0.5</v>
      </c>
      <c r="J585" s="168">
        <v>12500.0</v>
      </c>
      <c r="K585" s="169">
        <f t="shared" si="68"/>
        <v>12948</v>
      </c>
      <c r="L585" s="170">
        <v>25448.0</v>
      </c>
      <c r="M585" s="239">
        <v>24887.55</v>
      </c>
      <c r="N585" s="155">
        <v>6199.99</v>
      </c>
      <c r="O585" s="315">
        <f t="shared" si="65"/>
        <v>560.45</v>
      </c>
      <c r="P585" s="344">
        <f t="shared" si="69"/>
        <v>11.45</v>
      </c>
      <c r="Q585" s="510">
        <v>100.0</v>
      </c>
      <c r="R585" s="672" t="b">
        <v>0</v>
      </c>
      <c r="S585" s="346">
        <v>449.0</v>
      </c>
      <c r="T585" s="319"/>
      <c r="U585" s="315"/>
      <c r="V585" s="144" t="s">
        <v>584</v>
      </c>
      <c r="W585" s="148"/>
      <c r="X585" s="163"/>
      <c r="Y585" s="144" t="s">
        <v>584</v>
      </c>
      <c r="Z585" s="164"/>
      <c r="AA585" s="116"/>
      <c r="AB585" s="116"/>
      <c r="AC585" s="165"/>
      <c r="AD585" s="675" t="str">
        <f t="shared" si="66"/>
        <v>MARZO</v>
      </c>
      <c r="AE585" s="144" t="s">
        <v>1817</v>
      </c>
      <c r="AF585" s="149" t="b">
        <v>1</v>
      </c>
      <c r="AG585" s="144" t="s">
        <v>1817</v>
      </c>
      <c r="AH585" s="149" t="b">
        <v>0</v>
      </c>
      <c r="AI585" s="162"/>
      <c r="AJ585" s="143"/>
      <c r="AK585" s="143"/>
      <c r="AL585" s="143"/>
      <c r="AM585" s="143"/>
      <c r="AN585" s="143"/>
      <c r="AO585" s="143"/>
      <c r="AP585" s="143"/>
      <c r="AQ585" s="143"/>
    </row>
    <row r="586" ht="22.5" hidden="1" customHeight="1">
      <c r="A586" s="144" t="s">
        <v>259</v>
      </c>
      <c r="B586" s="209">
        <v>46085.0</v>
      </c>
      <c r="C586" s="378" t="s">
        <v>1336</v>
      </c>
      <c r="D586" s="208" t="s">
        <v>2040</v>
      </c>
      <c r="E586" s="148" t="s">
        <v>28</v>
      </c>
      <c r="F586" s="262" t="s">
        <v>2041</v>
      </c>
      <c r="G586" s="165"/>
      <c r="H586" s="148" t="s">
        <v>257</v>
      </c>
      <c r="I586" s="150">
        <v>0.2</v>
      </c>
      <c r="J586" s="168">
        <v>1780.0</v>
      </c>
      <c r="K586" s="169">
        <f t="shared" si="68"/>
        <v>7119</v>
      </c>
      <c r="L586" s="170">
        <v>8899.0</v>
      </c>
      <c r="M586" s="239">
        <v>8563.0</v>
      </c>
      <c r="N586" s="155">
        <v>1899.0</v>
      </c>
      <c r="O586" s="315">
        <f t="shared" si="65"/>
        <v>336</v>
      </c>
      <c r="P586" s="344">
        <f t="shared" si="69"/>
        <v>151</v>
      </c>
      <c r="Q586" s="510">
        <v>185.0</v>
      </c>
      <c r="R586" s="672" t="b">
        <v>0</v>
      </c>
      <c r="S586" s="318"/>
      <c r="T586" s="319"/>
      <c r="U586" s="315"/>
      <c r="V586" s="162"/>
      <c r="W586" s="148"/>
      <c r="X586" s="163"/>
      <c r="Y586" s="162"/>
      <c r="Z586" s="164"/>
      <c r="AA586" s="116"/>
      <c r="AB586" s="116"/>
      <c r="AC586" s="165"/>
      <c r="AD586" s="675" t="str">
        <f t="shared" si="66"/>
        <v>MARZO</v>
      </c>
      <c r="AE586" s="144" t="s">
        <v>1817</v>
      </c>
      <c r="AF586" s="149" t="b">
        <v>1</v>
      </c>
      <c r="AG586" s="144" t="s">
        <v>1817</v>
      </c>
      <c r="AH586" s="149" t="b">
        <v>0</v>
      </c>
      <c r="AI586" s="162"/>
      <c r="AJ586" s="143"/>
      <c r="AK586" s="143"/>
      <c r="AL586" s="143"/>
      <c r="AM586" s="143"/>
      <c r="AN586" s="143"/>
      <c r="AO586" s="143"/>
      <c r="AP586" s="143"/>
      <c r="AQ586" s="143"/>
    </row>
    <row r="587" ht="22.5" customHeight="1">
      <c r="A587" s="144" t="s">
        <v>162</v>
      </c>
      <c r="B587" s="145">
        <v>46086.0</v>
      </c>
      <c r="C587" s="149" t="s">
        <v>1152</v>
      </c>
      <c r="D587" s="208" t="s">
        <v>2042</v>
      </c>
      <c r="E587" s="148" t="s">
        <v>28</v>
      </c>
      <c r="F587" s="149" t="s">
        <v>2043</v>
      </c>
      <c r="G587" s="149" t="s">
        <v>2044</v>
      </c>
      <c r="H587" s="148" t="s">
        <v>257</v>
      </c>
      <c r="I587" s="150">
        <v>0.2</v>
      </c>
      <c r="J587" s="168">
        <v>1380.0</v>
      </c>
      <c r="K587" s="169">
        <f t="shared" si="68"/>
        <v>5520</v>
      </c>
      <c r="L587" s="170">
        <v>6900.0</v>
      </c>
      <c r="M587" s="239">
        <v>6613.0</v>
      </c>
      <c r="N587" s="155">
        <v>1549.99</v>
      </c>
      <c r="O587" s="315">
        <f t="shared" si="65"/>
        <v>287</v>
      </c>
      <c r="P587" s="344">
        <f t="shared" si="69"/>
        <v>62</v>
      </c>
      <c r="Q587" s="510">
        <v>225.0</v>
      </c>
      <c r="R587" s="672" t="b">
        <v>0</v>
      </c>
      <c r="S587" s="318"/>
      <c r="T587" s="319"/>
      <c r="U587" s="315"/>
      <c r="V587" s="144" t="s">
        <v>584</v>
      </c>
      <c r="W587" s="148"/>
      <c r="X587" s="163"/>
      <c r="Y587" s="162"/>
      <c r="Z587" s="164"/>
      <c r="AA587" s="116"/>
      <c r="AB587" s="116"/>
      <c r="AC587" s="165"/>
      <c r="AD587" s="675" t="str">
        <f t="shared" si="66"/>
        <v>MARZO</v>
      </c>
      <c r="AE587" s="144" t="s">
        <v>1817</v>
      </c>
      <c r="AF587" s="149" t="b">
        <v>1</v>
      </c>
      <c r="AG587" s="144" t="s">
        <v>1817</v>
      </c>
      <c r="AH587" s="149" t="b">
        <v>0</v>
      </c>
      <c r="AI587" s="162"/>
      <c r="AJ587" s="143"/>
      <c r="AK587" s="143"/>
      <c r="AL587" s="143"/>
      <c r="AM587" s="143"/>
      <c r="AN587" s="143"/>
      <c r="AO587" s="143"/>
      <c r="AP587" s="143"/>
      <c r="AQ587" s="143"/>
    </row>
    <row r="588" ht="22.5" customHeight="1">
      <c r="A588" s="144" t="s">
        <v>1824</v>
      </c>
      <c r="B588" s="145">
        <v>46087.0</v>
      </c>
      <c r="C588" s="149" t="s">
        <v>2045</v>
      </c>
      <c r="D588" s="208" t="s">
        <v>2046</v>
      </c>
      <c r="E588" s="148" t="s">
        <v>28</v>
      </c>
      <c r="F588" s="262" t="s">
        <v>2047</v>
      </c>
      <c r="G588" s="149" t="s">
        <v>2048</v>
      </c>
      <c r="H588" s="148" t="s">
        <v>257</v>
      </c>
      <c r="I588" s="150">
        <v>0.2</v>
      </c>
      <c r="J588" s="168">
        <v>1580.0</v>
      </c>
      <c r="K588" s="169">
        <f t="shared" si="68"/>
        <v>6319</v>
      </c>
      <c r="L588" s="170">
        <v>7899.0</v>
      </c>
      <c r="M588" s="239">
        <v>7555.61</v>
      </c>
      <c r="N588" s="155">
        <v>1599.99</v>
      </c>
      <c r="O588" s="315">
        <f t="shared" si="65"/>
        <v>343.39</v>
      </c>
      <c r="P588" s="344">
        <f t="shared" si="69"/>
        <v>203.39</v>
      </c>
      <c r="Q588" s="510">
        <v>140.0</v>
      </c>
      <c r="R588" s="672" t="b">
        <v>0</v>
      </c>
      <c r="S588" s="318"/>
      <c r="T588" s="319"/>
      <c r="U588" s="315"/>
      <c r="V588" s="144" t="s">
        <v>584</v>
      </c>
      <c r="W588" s="148"/>
      <c r="X588" s="163"/>
      <c r="Y588" s="144" t="s">
        <v>584</v>
      </c>
      <c r="Z588" s="164"/>
      <c r="AA588" s="116"/>
      <c r="AB588" s="116"/>
      <c r="AC588" s="165"/>
      <c r="AD588" s="675" t="str">
        <f t="shared" si="66"/>
        <v>MARZO</v>
      </c>
      <c r="AE588" s="144" t="s">
        <v>1817</v>
      </c>
      <c r="AF588" s="149" t="b">
        <v>1</v>
      </c>
      <c r="AG588" s="144" t="s">
        <v>1817</v>
      </c>
      <c r="AH588" s="149" t="b">
        <v>0</v>
      </c>
      <c r="AI588" s="162"/>
      <c r="AJ588" s="143"/>
      <c r="AK588" s="143"/>
      <c r="AL588" s="143"/>
      <c r="AM588" s="143"/>
      <c r="AN588" s="143"/>
      <c r="AO588" s="143"/>
      <c r="AP588" s="143"/>
      <c r="AQ588" s="143"/>
    </row>
    <row r="589" ht="22.5" customHeight="1">
      <c r="A589" s="144" t="s">
        <v>1833</v>
      </c>
      <c r="B589" s="145">
        <v>46087.0</v>
      </c>
      <c r="C589" s="591" t="s">
        <v>1944</v>
      </c>
      <c r="D589" s="208" t="s">
        <v>2049</v>
      </c>
      <c r="E589" s="148" t="s">
        <v>28</v>
      </c>
      <c r="F589" s="906" t="s">
        <v>2050</v>
      </c>
      <c r="G589" s="149">
        <v>5.19267847E10</v>
      </c>
      <c r="H589" s="148" t="s">
        <v>257</v>
      </c>
      <c r="I589" s="150">
        <v>1.0</v>
      </c>
      <c r="J589" s="168">
        <v>300.0</v>
      </c>
      <c r="K589" s="169">
        <f t="shared" si="68"/>
        <v>7099</v>
      </c>
      <c r="L589" s="170">
        <v>7399.0</v>
      </c>
      <c r="M589" s="239">
        <v>6793.0</v>
      </c>
      <c r="N589" s="155">
        <v>1599.99</v>
      </c>
      <c r="O589" s="315"/>
      <c r="P589" s="344">
        <f t="shared" si="69"/>
        <v>606</v>
      </c>
      <c r="Q589" s="321"/>
      <c r="R589" s="672" t="b">
        <v>0</v>
      </c>
      <c r="S589" s="318"/>
      <c r="T589" s="319"/>
      <c r="U589" s="315"/>
      <c r="V589" s="144" t="s">
        <v>584</v>
      </c>
      <c r="W589" s="148"/>
      <c r="X589" s="163"/>
      <c r="Y589" s="162"/>
      <c r="Z589" s="164"/>
      <c r="AA589" s="116"/>
      <c r="AB589" s="116"/>
      <c r="AC589" s="165"/>
      <c r="AD589" s="675" t="str">
        <f t="shared" si="66"/>
        <v>MARZO</v>
      </c>
      <c r="AE589" s="144" t="s">
        <v>1817</v>
      </c>
      <c r="AF589" s="149" t="b">
        <v>1</v>
      </c>
      <c r="AG589" s="144" t="s">
        <v>1817</v>
      </c>
      <c r="AH589" s="149" t="b">
        <v>0</v>
      </c>
      <c r="AI589" s="162"/>
      <c r="AJ589" s="143"/>
      <c r="AK589" s="143"/>
      <c r="AL589" s="143"/>
      <c r="AM589" s="143"/>
      <c r="AN589" s="143"/>
      <c r="AO589" s="143"/>
      <c r="AP589" s="143"/>
      <c r="AQ589" s="143"/>
    </row>
    <row r="590" ht="22.5" customHeight="1">
      <c r="A590" s="144" t="s">
        <v>1833</v>
      </c>
      <c r="B590" s="145">
        <v>46087.0</v>
      </c>
      <c r="C590" s="960" t="s">
        <v>2051</v>
      </c>
      <c r="D590" s="329" t="s">
        <v>2052</v>
      </c>
      <c r="E590" s="148" t="s">
        <v>28</v>
      </c>
      <c r="F590" s="961" t="s">
        <v>2053</v>
      </c>
      <c r="G590" s="149">
        <v>5.1970793443E10</v>
      </c>
      <c r="H590" s="148" t="s">
        <v>257</v>
      </c>
      <c r="I590" s="150">
        <v>0.3</v>
      </c>
      <c r="J590" s="168">
        <v>2993.0</v>
      </c>
      <c r="K590" s="169">
        <f t="shared" si="68"/>
        <v>6786</v>
      </c>
      <c r="L590" s="170">
        <v>9779.0</v>
      </c>
      <c r="M590" s="239">
        <v>8763.67</v>
      </c>
      <c r="N590" s="155">
        <v>1899.99</v>
      </c>
      <c r="O590" s="315">
        <f t="shared" ref="O590:O754" si="70">L590-M590</f>
        <v>1015.33</v>
      </c>
      <c r="P590" s="344">
        <f t="shared" si="69"/>
        <v>865.33</v>
      </c>
      <c r="Q590" s="510">
        <v>100.0</v>
      </c>
      <c r="R590" s="672" t="b">
        <v>1</v>
      </c>
      <c r="S590" s="318"/>
      <c r="T590" s="319"/>
      <c r="U590" s="315"/>
      <c r="V590" s="144" t="s">
        <v>584</v>
      </c>
      <c r="W590" s="148"/>
      <c r="X590" s="163"/>
      <c r="Y590" s="144" t="s">
        <v>584</v>
      </c>
      <c r="Z590" s="164"/>
      <c r="AA590" s="116"/>
      <c r="AB590" s="116"/>
      <c r="AC590" s="165"/>
      <c r="AD590" s="675" t="str">
        <f t="shared" si="66"/>
        <v>MARZO</v>
      </c>
      <c r="AE590" s="144" t="s">
        <v>1817</v>
      </c>
      <c r="AF590" s="149" t="b">
        <v>1</v>
      </c>
      <c r="AG590" s="144" t="s">
        <v>1817</v>
      </c>
      <c r="AH590" s="149" t="b">
        <v>0</v>
      </c>
      <c r="AI590" s="162"/>
      <c r="AJ590" s="143"/>
      <c r="AK590" s="143"/>
      <c r="AL590" s="143"/>
      <c r="AM590" s="143"/>
      <c r="AN590" s="143"/>
      <c r="AO590" s="143"/>
      <c r="AP590" s="143"/>
      <c r="AQ590" s="143"/>
    </row>
    <row r="591" ht="22.5" hidden="1" customHeight="1">
      <c r="A591" s="144" t="s">
        <v>259</v>
      </c>
      <c r="B591" s="209">
        <v>46088.0</v>
      </c>
      <c r="C591" s="959" t="s">
        <v>2051</v>
      </c>
      <c r="D591" s="208" t="s">
        <v>2054</v>
      </c>
      <c r="E591" s="148" t="s">
        <v>28</v>
      </c>
      <c r="F591" s="262" t="s">
        <v>2055</v>
      </c>
      <c r="G591" s="149">
        <v>9.51240001E8</v>
      </c>
      <c r="H591" s="148" t="s">
        <v>257</v>
      </c>
      <c r="I591" s="150">
        <v>0.2</v>
      </c>
      <c r="J591" s="168">
        <v>1759.8</v>
      </c>
      <c r="K591" s="169">
        <f t="shared" si="68"/>
        <v>7039.2</v>
      </c>
      <c r="L591" s="170">
        <v>8799.0</v>
      </c>
      <c r="M591" s="239">
        <v>8613.0</v>
      </c>
      <c r="N591" s="155">
        <v>1899.0</v>
      </c>
      <c r="O591" s="315">
        <f t="shared" si="70"/>
        <v>186</v>
      </c>
      <c r="P591" s="344">
        <f t="shared" si="69"/>
        <v>186</v>
      </c>
      <c r="Q591" s="321"/>
      <c r="R591" s="672" t="b">
        <v>0</v>
      </c>
      <c r="S591" s="318"/>
      <c r="T591" s="319"/>
      <c r="U591" s="315"/>
      <c r="V591" s="162"/>
      <c r="W591" s="148"/>
      <c r="X591" s="163"/>
      <c r="Y591" s="162"/>
      <c r="Z591" s="164"/>
      <c r="AA591" s="116"/>
      <c r="AB591" s="116"/>
      <c r="AC591" s="165"/>
      <c r="AD591" s="675" t="str">
        <f t="shared" si="66"/>
        <v>MARZO</v>
      </c>
      <c r="AE591" s="144" t="s">
        <v>1817</v>
      </c>
      <c r="AF591" s="149" t="b">
        <v>1</v>
      </c>
      <c r="AG591" s="144" t="s">
        <v>1817</v>
      </c>
      <c r="AH591" s="149" t="b">
        <v>0</v>
      </c>
      <c r="AI591" s="162"/>
      <c r="AJ591" s="143"/>
      <c r="AK591" s="143"/>
      <c r="AL591" s="143"/>
      <c r="AM591" s="143"/>
      <c r="AN591" s="143"/>
      <c r="AO591" s="143"/>
      <c r="AP591" s="143"/>
      <c r="AQ591" s="143"/>
    </row>
    <row r="592" ht="22.5" hidden="1" customHeight="1">
      <c r="A592" s="144" t="s">
        <v>259</v>
      </c>
      <c r="B592" s="145">
        <v>46088.0</v>
      </c>
      <c r="C592" s="631" t="s">
        <v>767</v>
      </c>
      <c r="D592" s="962" t="s">
        <v>2056</v>
      </c>
      <c r="E592" s="148" t="s">
        <v>28</v>
      </c>
      <c r="F592" s="860" t="s">
        <v>2057</v>
      </c>
      <c r="G592" s="149">
        <v>9.6578676E8</v>
      </c>
      <c r="H592" s="148" t="s">
        <v>257</v>
      </c>
      <c r="I592" s="150">
        <v>1.0</v>
      </c>
      <c r="J592" s="168">
        <v>7399.0</v>
      </c>
      <c r="K592" s="169">
        <f t="shared" si="68"/>
        <v>0</v>
      </c>
      <c r="L592" s="170">
        <v>7399.0</v>
      </c>
      <c r="M592" s="239">
        <v>6828.0</v>
      </c>
      <c r="N592" s="277"/>
      <c r="O592" s="315">
        <f t="shared" si="70"/>
        <v>571</v>
      </c>
      <c r="P592" s="344">
        <f t="shared" si="69"/>
        <v>571</v>
      </c>
      <c r="Q592" s="321"/>
      <c r="R592" s="672" t="b">
        <v>0</v>
      </c>
      <c r="S592" s="318"/>
      <c r="T592" s="319"/>
      <c r="U592" s="315"/>
      <c r="V592" s="144" t="s">
        <v>584</v>
      </c>
      <c r="W592" s="148"/>
      <c r="X592" s="163"/>
      <c r="Y592" s="162"/>
      <c r="Z592" s="164"/>
      <c r="AA592" s="116"/>
      <c r="AB592" s="116"/>
      <c r="AC592" s="165"/>
      <c r="AD592" s="675" t="str">
        <f t="shared" si="66"/>
        <v>MARZO</v>
      </c>
      <c r="AE592" s="144" t="s">
        <v>1817</v>
      </c>
      <c r="AF592" s="149" t="b">
        <v>1</v>
      </c>
      <c r="AG592" s="144" t="s">
        <v>1817</v>
      </c>
      <c r="AH592" s="149" t="b">
        <v>0</v>
      </c>
      <c r="AI592" s="162"/>
      <c r="AJ592" s="143"/>
      <c r="AK592" s="143"/>
      <c r="AL592" s="143"/>
      <c r="AM592" s="143"/>
      <c r="AN592" s="143"/>
      <c r="AO592" s="143"/>
      <c r="AP592" s="143"/>
      <c r="AQ592" s="143"/>
    </row>
    <row r="593" ht="22.5" hidden="1" customHeight="1">
      <c r="A593" s="144" t="s">
        <v>259</v>
      </c>
      <c r="B593" s="145">
        <v>46088.0</v>
      </c>
      <c r="C593" s="647" t="s">
        <v>1508</v>
      </c>
      <c r="D593" s="208" t="s">
        <v>2058</v>
      </c>
      <c r="E593" s="148" t="s">
        <v>28</v>
      </c>
      <c r="F593" s="906" t="s">
        <v>2059</v>
      </c>
      <c r="G593" s="149">
        <v>9.65675676E8</v>
      </c>
      <c r="H593" s="148" t="s">
        <v>257</v>
      </c>
      <c r="I593" s="150">
        <v>1.0</v>
      </c>
      <c r="J593" s="168">
        <v>6499.0</v>
      </c>
      <c r="K593" s="169">
        <f t="shared" si="68"/>
        <v>0</v>
      </c>
      <c r="L593" s="170">
        <v>6499.0</v>
      </c>
      <c r="M593" s="239">
        <v>5396.0</v>
      </c>
      <c r="N593" s="155">
        <v>1250.0</v>
      </c>
      <c r="O593" s="315">
        <f t="shared" si="70"/>
        <v>1103</v>
      </c>
      <c r="P593" s="344">
        <f t="shared" si="69"/>
        <v>993</v>
      </c>
      <c r="Q593" s="510">
        <v>40.0</v>
      </c>
      <c r="R593" s="672" t="b">
        <v>0</v>
      </c>
      <c r="S593" s="318"/>
      <c r="T593" s="319"/>
      <c r="U593" s="343">
        <v>70.0</v>
      </c>
      <c r="V593" s="144" t="s">
        <v>584</v>
      </c>
      <c r="W593" s="148"/>
      <c r="X593" s="163"/>
      <c r="Y593" s="162"/>
      <c r="Z593" s="164"/>
      <c r="AA593" s="116"/>
      <c r="AB593" s="116"/>
      <c r="AC593" s="165"/>
      <c r="AD593" s="675" t="str">
        <f t="shared" si="66"/>
        <v>MARZO</v>
      </c>
      <c r="AE593" s="144" t="s">
        <v>1817</v>
      </c>
      <c r="AF593" s="149" t="b">
        <v>1</v>
      </c>
      <c r="AG593" s="144" t="s">
        <v>1817</v>
      </c>
      <c r="AH593" s="149" t="b">
        <v>0</v>
      </c>
      <c r="AI593" s="162"/>
      <c r="AJ593" s="143"/>
      <c r="AK593" s="143"/>
      <c r="AL593" s="143"/>
      <c r="AM593" s="143"/>
      <c r="AN593" s="143"/>
      <c r="AO593" s="143"/>
      <c r="AP593" s="143"/>
      <c r="AQ593" s="143"/>
    </row>
    <row r="594" ht="22.5" customHeight="1">
      <c r="A594" s="144" t="s">
        <v>1824</v>
      </c>
      <c r="B594" s="963">
        <v>46090.0</v>
      </c>
      <c r="C594" s="149" t="s">
        <v>1302</v>
      </c>
      <c r="D594" s="208" t="s">
        <v>2060</v>
      </c>
      <c r="E594" s="148" t="s">
        <v>28</v>
      </c>
      <c r="F594" s="149" t="s">
        <v>2061</v>
      </c>
      <c r="G594" s="149" t="s">
        <v>2062</v>
      </c>
      <c r="H594" s="148" t="s">
        <v>257</v>
      </c>
      <c r="I594" s="150">
        <v>1.0</v>
      </c>
      <c r="J594" s="168">
        <v>7599.0</v>
      </c>
      <c r="K594" s="169">
        <f t="shared" si="68"/>
        <v>0</v>
      </c>
      <c r="L594" s="170">
        <v>7599.0</v>
      </c>
      <c r="M594" s="239">
        <v>7283.0</v>
      </c>
      <c r="N594" s="155">
        <v>1699.99</v>
      </c>
      <c r="O594" s="315">
        <f t="shared" si="70"/>
        <v>316</v>
      </c>
      <c r="P594" s="344">
        <f t="shared" si="69"/>
        <v>131</v>
      </c>
      <c r="Q594" s="510">
        <v>185.0</v>
      </c>
      <c r="R594" s="672" t="b">
        <v>0</v>
      </c>
      <c r="S594" s="318"/>
      <c r="T594" s="319"/>
      <c r="U594" s="315"/>
      <c r="V594" s="144" t="s">
        <v>584</v>
      </c>
      <c r="W594" s="148"/>
      <c r="X594" s="163"/>
      <c r="Y594" s="162"/>
      <c r="Z594" s="164"/>
      <c r="AA594" s="116"/>
      <c r="AB594" s="116"/>
      <c r="AC594" s="165"/>
      <c r="AD594" s="675" t="str">
        <f t="shared" si="66"/>
        <v>MARZO</v>
      </c>
      <c r="AE594" s="144" t="s">
        <v>1817</v>
      </c>
      <c r="AF594" s="149" t="b">
        <v>1</v>
      </c>
      <c r="AG594" s="144" t="s">
        <v>1817</v>
      </c>
      <c r="AH594" s="149" t="b">
        <v>0</v>
      </c>
      <c r="AI594" s="162"/>
      <c r="AJ594" s="143"/>
      <c r="AK594" s="143"/>
      <c r="AL594" s="143"/>
      <c r="AM594" s="143"/>
      <c r="AN594" s="143"/>
      <c r="AO594" s="143"/>
      <c r="AP594" s="143"/>
      <c r="AQ594" s="143"/>
    </row>
    <row r="595" ht="22.5" customHeight="1">
      <c r="A595" s="144" t="s">
        <v>1824</v>
      </c>
      <c r="B595" s="145">
        <v>46091.0</v>
      </c>
      <c r="C595" s="149" t="s">
        <v>2063</v>
      </c>
      <c r="D595" s="208" t="s">
        <v>2064</v>
      </c>
      <c r="E595" s="148" t="s">
        <v>28</v>
      </c>
      <c r="F595" s="262" t="s">
        <v>2065</v>
      </c>
      <c r="G595" s="368" t="s">
        <v>2066</v>
      </c>
      <c r="H595" s="148" t="s">
        <v>257</v>
      </c>
      <c r="I595" s="150">
        <v>0.2</v>
      </c>
      <c r="J595" s="168">
        <v>1436.0</v>
      </c>
      <c r="K595" s="169">
        <f t="shared" si="68"/>
        <v>5744</v>
      </c>
      <c r="L595" s="170">
        <v>7180.0</v>
      </c>
      <c r="M595" s="239">
        <v>6906.06</v>
      </c>
      <c r="N595" s="155">
        <v>1549.0</v>
      </c>
      <c r="O595" s="315">
        <f t="shared" si="70"/>
        <v>273.94</v>
      </c>
      <c r="P595" s="344">
        <f t="shared" si="69"/>
        <v>133.94</v>
      </c>
      <c r="Q595" s="510">
        <v>140.0</v>
      </c>
      <c r="R595" s="672" t="b">
        <v>0</v>
      </c>
      <c r="S595" s="318"/>
      <c r="T595" s="319"/>
      <c r="U595" s="315"/>
      <c r="V595" s="144" t="s">
        <v>584</v>
      </c>
      <c r="W595" s="148"/>
      <c r="X595" s="163"/>
      <c r="Y595" s="144" t="s">
        <v>584</v>
      </c>
      <c r="Z595" s="164"/>
      <c r="AA595" s="116"/>
      <c r="AB595" s="116"/>
      <c r="AC595" s="165"/>
      <c r="AD595" s="675" t="str">
        <f t="shared" si="66"/>
        <v>MARZO</v>
      </c>
      <c r="AE595" s="144" t="s">
        <v>1817</v>
      </c>
      <c r="AF595" s="149" t="b">
        <v>1</v>
      </c>
      <c r="AG595" s="144" t="s">
        <v>2067</v>
      </c>
      <c r="AH595" s="149" t="b">
        <v>0</v>
      </c>
      <c r="AI595" s="162"/>
      <c r="AJ595" s="143"/>
      <c r="AK595" s="143"/>
      <c r="AL595" s="143"/>
      <c r="AM595" s="143"/>
      <c r="AN595" s="143"/>
      <c r="AO595" s="143"/>
      <c r="AP595" s="143"/>
      <c r="AQ595" s="143"/>
    </row>
    <row r="596" ht="22.5" customHeight="1">
      <c r="A596" s="144" t="s">
        <v>162</v>
      </c>
      <c r="B596" s="145">
        <v>46091.0</v>
      </c>
      <c r="C596" s="149" t="s">
        <v>593</v>
      </c>
      <c r="D596" s="208" t="s">
        <v>2068</v>
      </c>
      <c r="E596" s="148" t="s">
        <v>28</v>
      </c>
      <c r="F596" s="149" t="s">
        <v>2069</v>
      </c>
      <c r="G596" s="368" t="s">
        <v>2070</v>
      </c>
      <c r="H596" s="148" t="s">
        <v>257</v>
      </c>
      <c r="I596" s="150">
        <v>0.2</v>
      </c>
      <c r="J596" s="168">
        <v>1179.0</v>
      </c>
      <c r="K596" s="169">
        <f t="shared" si="68"/>
        <v>4720</v>
      </c>
      <c r="L596" s="170">
        <v>5899.0</v>
      </c>
      <c r="M596" s="239">
        <v>5644.0</v>
      </c>
      <c r="N596" s="155">
        <v>1299.99</v>
      </c>
      <c r="O596" s="315">
        <f t="shared" si="70"/>
        <v>255</v>
      </c>
      <c r="P596" s="344">
        <f t="shared" si="69"/>
        <v>30</v>
      </c>
      <c r="Q596" s="510">
        <v>225.0</v>
      </c>
      <c r="R596" s="672" t="b">
        <v>0</v>
      </c>
      <c r="S596" s="318"/>
      <c r="T596" s="319"/>
      <c r="U596" s="315"/>
      <c r="V596" s="144" t="s">
        <v>584</v>
      </c>
      <c r="W596" s="148"/>
      <c r="X596" s="163"/>
      <c r="Y596" s="162"/>
      <c r="Z596" s="164"/>
      <c r="AA596" s="116"/>
      <c r="AB596" s="116"/>
      <c r="AC596" s="165"/>
      <c r="AD596" s="675" t="str">
        <f t="shared" si="66"/>
        <v>MARZO</v>
      </c>
      <c r="AE596" s="144" t="s">
        <v>1817</v>
      </c>
      <c r="AF596" s="149" t="b">
        <v>1</v>
      </c>
      <c r="AG596" s="144" t="s">
        <v>1817</v>
      </c>
      <c r="AH596" s="149" t="b">
        <v>0</v>
      </c>
      <c r="AI596" s="162"/>
      <c r="AJ596" s="143"/>
      <c r="AK596" s="143"/>
      <c r="AL596" s="143"/>
      <c r="AM596" s="143"/>
      <c r="AN596" s="143"/>
      <c r="AO596" s="143"/>
      <c r="AP596" s="143"/>
      <c r="AQ596" s="143"/>
    </row>
    <row r="597" ht="22.5" customHeight="1">
      <c r="A597" s="144" t="s">
        <v>1833</v>
      </c>
      <c r="B597" s="145">
        <v>46092.0</v>
      </c>
      <c r="C597" s="496" t="s">
        <v>888</v>
      </c>
      <c r="D597" s="208" t="s">
        <v>2071</v>
      </c>
      <c r="E597" s="148" t="s">
        <v>28</v>
      </c>
      <c r="F597" s="262" t="s">
        <v>2072</v>
      </c>
      <c r="G597" s="149" t="s">
        <v>2073</v>
      </c>
      <c r="H597" s="148" t="s">
        <v>257</v>
      </c>
      <c r="I597" s="150">
        <v>0.2</v>
      </c>
      <c r="J597" s="168">
        <v>1199.8</v>
      </c>
      <c r="K597" s="169">
        <f t="shared" si="68"/>
        <v>4799.2</v>
      </c>
      <c r="L597" s="170">
        <v>5999.0</v>
      </c>
      <c r="M597" s="239">
        <v>5588.29</v>
      </c>
      <c r="N597" s="155">
        <v>1274.99</v>
      </c>
      <c r="O597" s="315">
        <f t="shared" si="70"/>
        <v>410.71</v>
      </c>
      <c r="P597" s="344">
        <f t="shared" si="69"/>
        <v>310.71</v>
      </c>
      <c r="Q597" s="510">
        <v>100.0</v>
      </c>
      <c r="R597" s="672" t="b">
        <v>0</v>
      </c>
      <c r="S597" s="318"/>
      <c r="T597" s="319"/>
      <c r="U597" s="315"/>
      <c r="V597" s="144" t="s">
        <v>584</v>
      </c>
      <c r="W597" s="148"/>
      <c r="X597" s="163"/>
      <c r="Y597" s="144" t="s">
        <v>584</v>
      </c>
      <c r="Z597" s="164"/>
      <c r="AA597" s="116"/>
      <c r="AB597" s="116"/>
      <c r="AC597" s="165"/>
      <c r="AD597" s="675" t="str">
        <f t="shared" si="66"/>
        <v>MARZO</v>
      </c>
      <c r="AE597" s="144" t="s">
        <v>1817</v>
      </c>
      <c r="AF597" s="149" t="b">
        <v>1</v>
      </c>
      <c r="AG597" s="144" t="s">
        <v>1817</v>
      </c>
      <c r="AH597" s="149" t="b">
        <v>0</v>
      </c>
      <c r="AI597" s="162"/>
      <c r="AJ597" s="143"/>
      <c r="AK597" s="143"/>
      <c r="AL597" s="143"/>
      <c r="AM597" s="143"/>
      <c r="AN597" s="143"/>
      <c r="AO597" s="143"/>
      <c r="AP597" s="143"/>
      <c r="AQ597" s="143"/>
    </row>
    <row r="598" ht="22.5" customHeight="1">
      <c r="A598" s="144" t="s">
        <v>162</v>
      </c>
      <c r="B598" s="145">
        <v>46092.0</v>
      </c>
      <c r="C598" s="149" t="s">
        <v>1508</v>
      </c>
      <c r="D598" s="208" t="s">
        <v>2074</v>
      </c>
      <c r="E598" s="148" t="s">
        <v>28</v>
      </c>
      <c r="F598" s="149" t="s">
        <v>2075</v>
      </c>
      <c r="G598" s="149">
        <v>5.1916167904E10</v>
      </c>
      <c r="H598" s="148" t="s">
        <v>257</v>
      </c>
      <c r="I598" s="150">
        <v>1.0</v>
      </c>
      <c r="J598" s="168">
        <v>6100.0</v>
      </c>
      <c r="K598" s="169">
        <f t="shared" si="68"/>
        <v>0</v>
      </c>
      <c r="L598" s="170">
        <v>6100.0</v>
      </c>
      <c r="M598" s="239">
        <v>5775.0</v>
      </c>
      <c r="N598" s="155">
        <v>1349.99</v>
      </c>
      <c r="O598" s="315">
        <f t="shared" si="70"/>
        <v>325</v>
      </c>
      <c r="P598" s="344">
        <f t="shared" si="69"/>
        <v>100</v>
      </c>
      <c r="Q598" s="510">
        <v>225.0</v>
      </c>
      <c r="R598" s="672" t="b">
        <v>0</v>
      </c>
      <c r="S598" s="318"/>
      <c r="T598" s="319"/>
      <c r="U598" s="315"/>
      <c r="V598" s="144" t="s">
        <v>584</v>
      </c>
      <c r="W598" s="148"/>
      <c r="X598" s="163"/>
      <c r="Y598" s="162"/>
      <c r="Z598" s="164"/>
      <c r="AA598" s="116"/>
      <c r="AB598" s="116"/>
      <c r="AC598" s="165"/>
      <c r="AD598" s="675" t="str">
        <f t="shared" si="66"/>
        <v>MARZO</v>
      </c>
      <c r="AE598" s="144" t="s">
        <v>1817</v>
      </c>
      <c r="AF598" s="149" t="b">
        <v>1</v>
      </c>
      <c r="AG598" s="144" t="s">
        <v>1817</v>
      </c>
      <c r="AH598" s="149" t="b">
        <v>0</v>
      </c>
      <c r="AI598" s="162"/>
      <c r="AJ598" s="143"/>
      <c r="AK598" s="143"/>
      <c r="AL598" s="143"/>
      <c r="AM598" s="143"/>
      <c r="AN598" s="143"/>
      <c r="AO598" s="143"/>
      <c r="AP598" s="143"/>
      <c r="AQ598" s="143"/>
    </row>
    <row r="599" ht="24.0" customHeight="1">
      <c r="A599" s="144" t="s">
        <v>1824</v>
      </c>
      <c r="B599" s="145">
        <v>46093.0</v>
      </c>
      <c r="C599" s="149" t="s">
        <v>2076</v>
      </c>
      <c r="D599" s="208" t="s">
        <v>2077</v>
      </c>
      <c r="E599" s="148" t="s">
        <v>28</v>
      </c>
      <c r="F599" s="149" t="s">
        <v>2078</v>
      </c>
      <c r="G599" s="149" t="s">
        <v>2079</v>
      </c>
      <c r="H599" s="148" t="s">
        <v>257</v>
      </c>
      <c r="I599" s="150">
        <v>0.2</v>
      </c>
      <c r="J599" s="168">
        <v>1859.8</v>
      </c>
      <c r="K599" s="169">
        <f t="shared" si="68"/>
        <v>7439.2</v>
      </c>
      <c r="L599" s="170">
        <v>9299.0</v>
      </c>
      <c r="M599" s="239">
        <v>8592.06</v>
      </c>
      <c r="N599" s="155">
        <v>1899.99</v>
      </c>
      <c r="O599" s="315">
        <f t="shared" si="70"/>
        <v>706.94</v>
      </c>
      <c r="P599" s="344">
        <f t="shared" si="69"/>
        <v>446.94</v>
      </c>
      <c r="Q599" s="510">
        <v>225.0</v>
      </c>
      <c r="R599" s="672" t="b">
        <v>0</v>
      </c>
      <c r="S599" s="346"/>
      <c r="T599" s="319"/>
      <c r="U599" s="343">
        <v>35.0</v>
      </c>
      <c r="V599" s="144" t="s">
        <v>584</v>
      </c>
      <c r="W599" s="148"/>
      <c r="X599" s="163"/>
      <c r="Y599" s="162"/>
      <c r="Z599" s="164"/>
      <c r="AA599" s="116"/>
      <c r="AB599" s="116"/>
      <c r="AC599" s="165"/>
      <c r="AD599" s="675" t="str">
        <f t="shared" si="66"/>
        <v>MARZO</v>
      </c>
      <c r="AE599" s="144" t="s">
        <v>1817</v>
      </c>
      <c r="AF599" s="149" t="b">
        <v>1</v>
      </c>
      <c r="AG599" s="144" t="s">
        <v>2080</v>
      </c>
      <c r="AH599" s="149" t="b">
        <v>0</v>
      </c>
      <c r="AI599" s="162"/>
      <c r="AJ599" s="143"/>
      <c r="AK599" s="143"/>
      <c r="AL599" s="143"/>
      <c r="AM599" s="143"/>
      <c r="AN599" s="143"/>
      <c r="AO599" s="143"/>
      <c r="AP599" s="143"/>
      <c r="AQ599" s="143"/>
    </row>
    <row r="600" ht="22.5" customHeight="1">
      <c r="A600" s="144" t="s">
        <v>1833</v>
      </c>
      <c r="B600" s="145">
        <v>46093.0</v>
      </c>
      <c r="C600" s="353" t="s">
        <v>1349</v>
      </c>
      <c r="D600" s="43" t="s">
        <v>2081</v>
      </c>
      <c r="E600" s="148" t="s">
        <v>28</v>
      </c>
      <c r="F600" s="246" t="s">
        <v>2082</v>
      </c>
      <c r="G600" s="149">
        <v>5.1935244889E10</v>
      </c>
      <c r="H600" s="148" t="s">
        <v>257</v>
      </c>
      <c r="I600" s="150">
        <v>0.2</v>
      </c>
      <c r="J600" s="168">
        <v>979.8</v>
      </c>
      <c r="K600" s="169">
        <f t="shared" si="68"/>
        <v>3919.2</v>
      </c>
      <c r="L600" s="170">
        <v>4899.0</v>
      </c>
      <c r="M600" s="239">
        <v>4779.43</v>
      </c>
      <c r="N600" s="155">
        <v>949.99</v>
      </c>
      <c r="O600" s="315">
        <f t="shared" si="70"/>
        <v>119.57</v>
      </c>
      <c r="P600" s="344">
        <f t="shared" si="69"/>
        <v>19.57</v>
      </c>
      <c r="Q600" s="510">
        <v>100.0</v>
      </c>
      <c r="R600" s="672" t="b">
        <v>0</v>
      </c>
      <c r="S600" s="318"/>
      <c r="T600" s="319"/>
      <c r="U600" s="315"/>
      <c r="V600" s="144" t="s">
        <v>584</v>
      </c>
      <c r="W600" s="148"/>
      <c r="X600" s="163"/>
      <c r="Y600" s="144" t="s">
        <v>584</v>
      </c>
      <c r="Z600" s="164"/>
      <c r="AA600" s="116"/>
      <c r="AB600" s="116"/>
      <c r="AC600" s="165"/>
      <c r="AD600" s="675" t="str">
        <f t="shared" si="66"/>
        <v>MARZO</v>
      </c>
      <c r="AE600" s="144" t="s">
        <v>1817</v>
      </c>
      <c r="AF600" s="149" t="b">
        <v>1</v>
      </c>
      <c r="AG600" s="144" t="s">
        <v>2080</v>
      </c>
      <c r="AH600" s="149" t="b">
        <v>0</v>
      </c>
      <c r="AI600" s="162"/>
      <c r="AJ600" s="143"/>
      <c r="AK600" s="143"/>
      <c r="AL600" s="143"/>
      <c r="AM600" s="143"/>
      <c r="AN600" s="143"/>
      <c r="AO600" s="143"/>
      <c r="AP600" s="143"/>
      <c r="AQ600" s="143"/>
    </row>
    <row r="601" ht="22.5" customHeight="1">
      <c r="A601" s="144" t="s">
        <v>162</v>
      </c>
      <c r="B601" s="145">
        <v>46093.0</v>
      </c>
      <c r="C601" s="149" t="s">
        <v>2083</v>
      </c>
      <c r="D601" s="208" t="s">
        <v>2084</v>
      </c>
      <c r="E601" s="148" t="s">
        <v>28</v>
      </c>
      <c r="F601" s="149" t="s">
        <v>2085</v>
      </c>
      <c r="G601" s="149">
        <v>5.1903340861E10</v>
      </c>
      <c r="H601" s="148" t="s">
        <v>257</v>
      </c>
      <c r="I601" s="150">
        <v>0.3</v>
      </c>
      <c r="J601" s="168">
        <v>2789.0</v>
      </c>
      <c r="K601" s="169">
        <f t="shared" si="68"/>
        <v>6360</v>
      </c>
      <c r="L601" s="170">
        <v>9149.0</v>
      </c>
      <c r="M601" s="239">
        <v>8664.0</v>
      </c>
      <c r="N601" s="155">
        <v>1899.99</v>
      </c>
      <c r="O601" s="315">
        <f t="shared" si="70"/>
        <v>485</v>
      </c>
      <c r="P601" s="344">
        <f t="shared" si="69"/>
        <v>260</v>
      </c>
      <c r="Q601" s="510">
        <v>225.0</v>
      </c>
      <c r="R601" s="672" t="b">
        <v>0</v>
      </c>
      <c r="S601" s="318"/>
      <c r="T601" s="319"/>
      <c r="U601" s="315"/>
      <c r="V601" s="144" t="s">
        <v>584</v>
      </c>
      <c r="W601" s="148"/>
      <c r="X601" s="163"/>
      <c r="Y601" s="162"/>
      <c r="Z601" s="164"/>
      <c r="AA601" s="116"/>
      <c r="AB601" s="116"/>
      <c r="AC601" s="165"/>
      <c r="AD601" s="675" t="str">
        <f t="shared" si="66"/>
        <v>MARZO</v>
      </c>
      <c r="AE601" s="144" t="s">
        <v>1817</v>
      </c>
      <c r="AF601" s="149" t="b">
        <v>1</v>
      </c>
      <c r="AG601" s="144" t="s">
        <v>1817</v>
      </c>
      <c r="AH601" s="149" t="b">
        <v>0</v>
      </c>
      <c r="AI601" s="162"/>
      <c r="AJ601" s="143"/>
      <c r="AK601" s="143"/>
      <c r="AL601" s="143"/>
      <c r="AM601" s="143"/>
      <c r="AN601" s="143"/>
      <c r="AO601" s="143"/>
      <c r="AP601" s="143"/>
      <c r="AQ601" s="143"/>
    </row>
    <row r="602" ht="22.5" customHeight="1">
      <c r="A602" s="144" t="s">
        <v>162</v>
      </c>
      <c r="B602" s="145">
        <v>46094.0</v>
      </c>
      <c r="C602" s="149" t="s">
        <v>2086</v>
      </c>
      <c r="D602" s="909" t="s">
        <v>2087</v>
      </c>
      <c r="E602" s="148" t="s">
        <v>399</v>
      </c>
      <c r="F602" s="149" t="s">
        <v>2088</v>
      </c>
      <c r="G602" s="149">
        <v>5.1943450856E10</v>
      </c>
      <c r="H602" s="148" t="s">
        <v>257</v>
      </c>
      <c r="I602" s="150">
        <v>0.3</v>
      </c>
      <c r="J602" s="168">
        <v>1520.0</v>
      </c>
      <c r="K602" s="169">
        <f t="shared" si="68"/>
        <v>6079</v>
      </c>
      <c r="L602" s="170">
        <v>7599.0</v>
      </c>
      <c r="M602" s="239">
        <v>7294.0</v>
      </c>
      <c r="N602" s="155">
        <v>1499.99</v>
      </c>
      <c r="O602" s="315">
        <f t="shared" si="70"/>
        <v>305</v>
      </c>
      <c r="P602" s="344">
        <f t="shared" si="69"/>
        <v>305</v>
      </c>
      <c r="Q602" s="321"/>
      <c r="R602" s="672" t="b">
        <v>0</v>
      </c>
      <c r="S602" s="318"/>
      <c r="T602" s="319"/>
      <c r="U602" s="315"/>
      <c r="V602" s="144" t="s">
        <v>584</v>
      </c>
      <c r="W602" s="148"/>
      <c r="X602" s="163"/>
      <c r="Y602" s="162"/>
      <c r="Z602" s="10" t="s">
        <v>1838</v>
      </c>
      <c r="AA602" s="116"/>
      <c r="AB602" s="116"/>
      <c r="AC602" s="165"/>
      <c r="AD602" s="675" t="str">
        <f t="shared" si="66"/>
        <v>MARZO</v>
      </c>
      <c r="AE602" s="144" t="s">
        <v>1817</v>
      </c>
      <c r="AF602" s="149" t="b">
        <v>1</v>
      </c>
      <c r="AG602" s="162"/>
      <c r="AH602" s="149"/>
      <c r="AI602" s="162"/>
      <c r="AJ602" s="143"/>
      <c r="AK602" s="143"/>
      <c r="AL602" s="143"/>
      <c r="AM602" s="143"/>
      <c r="AN602" s="143"/>
      <c r="AO602" s="143"/>
      <c r="AP602" s="143"/>
      <c r="AQ602" s="143"/>
    </row>
    <row r="603" ht="22.5" customHeight="1">
      <c r="A603" s="144" t="s">
        <v>162</v>
      </c>
      <c r="B603" s="145">
        <v>46094.0</v>
      </c>
      <c r="C603" s="149" t="s">
        <v>2089</v>
      </c>
      <c r="D603" s="208" t="s">
        <v>2090</v>
      </c>
      <c r="E603" s="148" t="s">
        <v>28</v>
      </c>
      <c r="F603" s="964" t="s">
        <v>2091</v>
      </c>
      <c r="G603" s="149">
        <v>5.1990281782E10</v>
      </c>
      <c r="H603" s="148" t="s">
        <v>257</v>
      </c>
      <c r="I603" s="150">
        <v>0.3</v>
      </c>
      <c r="J603" s="168">
        <v>4700.0</v>
      </c>
      <c r="K603" s="169">
        <f t="shared" si="68"/>
        <v>4699</v>
      </c>
      <c r="L603" s="170">
        <v>9399.0</v>
      </c>
      <c r="M603" s="239">
        <v>9040.39</v>
      </c>
      <c r="N603" s="155">
        <v>1999.99</v>
      </c>
      <c r="O603" s="315">
        <f t="shared" si="70"/>
        <v>358.61</v>
      </c>
      <c r="P603" s="344">
        <f t="shared" si="69"/>
        <v>138.61</v>
      </c>
      <c r="Q603" s="510">
        <v>220.0</v>
      </c>
      <c r="R603" s="672" t="b">
        <v>0</v>
      </c>
      <c r="S603" s="318"/>
      <c r="T603" s="319"/>
      <c r="U603" s="315"/>
      <c r="V603" s="144" t="s">
        <v>584</v>
      </c>
      <c r="W603" s="148"/>
      <c r="X603" s="163"/>
      <c r="Y603" s="144" t="s">
        <v>584</v>
      </c>
      <c r="Z603" s="164"/>
      <c r="AA603" s="116"/>
      <c r="AB603" s="116"/>
      <c r="AC603" s="165"/>
      <c r="AD603" s="675" t="str">
        <f t="shared" si="66"/>
        <v>MARZO</v>
      </c>
      <c r="AE603" s="144" t="s">
        <v>1817</v>
      </c>
      <c r="AF603" s="149" t="b">
        <v>1</v>
      </c>
      <c r="AG603" s="144" t="s">
        <v>2080</v>
      </c>
      <c r="AH603" s="149" t="b">
        <v>0</v>
      </c>
      <c r="AI603" s="162"/>
      <c r="AJ603" s="143"/>
      <c r="AK603" s="143"/>
      <c r="AL603" s="143"/>
      <c r="AM603" s="143"/>
      <c r="AN603" s="143"/>
      <c r="AO603" s="143"/>
      <c r="AP603" s="143"/>
      <c r="AQ603" s="143"/>
    </row>
    <row r="604" ht="22.5" customHeight="1">
      <c r="A604" s="144" t="s">
        <v>1824</v>
      </c>
      <c r="B604" s="145">
        <v>46095.0</v>
      </c>
      <c r="C604" s="149" t="s">
        <v>2092</v>
      </c>
      <c r="D604" s="208" t="s">
        <v>2093</v>
      </c>
      <c r="E604" s="148" t="s">
        <v>28</v>
      </c>
      <c r="F604" s="149" t="s">
        <v>2094</v>
      </c>
      <c r="G604" s="149">
        <v>5.1980341904E10</v>
      </c>
      <c r="H604" s="148" t="s">
        <v>257</v>
      </c>
      <c r="I604" s="150">
        <v>1.0</v>
      </c>
      <c r="J604" s="168">
        <v>6299.0</v>
      </c>
      <c r="K604" s="169">
        <f t="shared" si="68"/>
        <v>0</v>
      </c>
      <c r="L604" s="170">
        <v>6299.0</v>
      </c>
      <c r="M604" s="239">
        <v>5775.0</v>
      </c>
      <c r="N604" s="155">
        <v>1349.99</v>
      </c>
      <c r="O604" s="315">
        <f t="shared" si="70"/>
        <v>524</v>
      </c>
      <c r="P604" s="344">
        <f t="shared" si="69"/>
        <v>384</v>
      </c>
      <c r="Q604" s="510">
        <v>140.0</v>
      </c>
      <c r="R604" s="672" t="b">
        <v>0</v>
      </c>
      <c r="S604" s="318"/>
      <c r="T604" s="319"/>
      <c r="U604" s="315"/>
      <c r="V604" s="144" t="s">
        <v>584</v>
      </c>
      <c r="W604" s="148"/>
      <c r="X604" s="163"/>
      <c r="Y604" s="162"/>
      <c r="Z604" s="164"/>
      <c r="AA604" s="116"/>
      <c r="AB604" s="116"/>
      <c r="AC604" s="165"/>
      <c r="AD604" s="675" t="str">
        <f t="shared" si="66"/>
        <v>MARZO</v>
      </c>
      <c r="AE604" s="144" t="s">
        <v>1817</v>
      </c>
      <c r="AF604" s="149" t="b">
        <v>1</v>
      </c>
      <c r="AG604" s="144" t="s">
        <v>1817</v>
      </c>
      <c r="AH604" s="149" t="b">
        <v>0</v>
      </c>
      <c r="AI604" s="162"/>
      <c r="AJ604" s="143"/>
      <c r="AK604" s="143"/>
      <c r="AL604" s="143"/>
      <c r="AM604" s="143"/>
      <c r="AN604" s="143"/>
      <c r="AO604" s="143"/>
      <c r="AP604" s="143"/>
      <c r="AQ604" s="143"/>
    </row>
    <row r="605" ht="22.5" customHeight="1">
      <c r="A605" s="144" t="s">
        <v>162</v>
      </c>
      <c r="B605" s="145">
        <v>46095.0</v>
      </c>
      <c r="C605" s="272" t="s">
        <v>2095</v>
      </c>
      <c r="D605" s="208" t="s">
        <v>2096</v>
      </c>
      <c r="E605" s="148" t="s">
        <v>28</v>
      </c>
      <c r="F605" s="262" t="s">
        <v>2097</v>
      </c>
      <c r="G605" s="149" t="s">
        <v>2098</v>
      </c>
      <c r="H605" s="148" t="s">
        <v>257</v>
      </c>
      <c r="I605" s="150">
        <v>0.3</v>
      </c>
      <c r="J605" s="168">
        <v>2600.0</v>
      </c>
      <c r="K605" s="169">
        <f t="shared" si="68"/>
        <v>6104</v>
      </c>
      <c r="L605" s="170">
        <v>8704.0</v>
      </c>
      <c r="M605" s="239">
        <v>8430.26</v>
      </c>
      <c r="N605" s="155">
        <v>1949.99</v>
      </c>
      <c r="O605" s="315">
        <f t="shared" si="70"/>
        <v>273.74</v>
      </c>
      <c r="P605" s="344">
        <f t="shared" si="69"/>
        <v>28.74</v>
      </c>
      <c r="Q605" s="510">
        <v>245.0</v>
      </c>
      <c r="R605" s="672" t="b">
        <v>0</v>
      </c>
      <c r="S605" s="318"/>
      <c r="T605" s="319"/>
      <c r="U605" s="315"/>
      <c r="V605" s="144" t="s">
        <v>584</v>
      </c>
      <c r="W605" s="148"/>
      <c r="X605" s="163"/>
      <c r="Y605" s="144" t="s">
        <v>584</v>
      </c>
      <c r="Z605" s="164"/>
      <c r="AA605" s="116"/>
      <c r="AB605" s="116"/>
      <c r="AC605" s="165"/>
      <c r="AD605" s="675" t="str">
        <f t="shared" si="66"/>
        <v>MARZO</v>
      </c>
      <c r="AE605" s="144" t="s">
        <v>1817</v>
      </c>
      <c r="AF605" s="149" t="b">
        <v>1</v>
      </c>
      <c r="AG605" s="144" t="s">
        <v>1817</v>
      </c>
      <c r="AH605" s="149" t="b">
        <v>0</v>
      </c>
      <c r="AI605" s="162"/>
      <c r="AJ605" s="143"/>
      <c r="AK605" s="143"/>
      <c r="AL605" s="143"/>
      <c r="AM605" s="143"/>
      <c r="AN605" s="143"/>
      <c r="AO605" s="143"/>
      <c r="AP605" s="143"/>
      <c r="AQ605" s="143"/>
    </row>
    <row r="606" ht="22.5" customHeight="1">
      <c r="A606" s="144" t="s">
        <v>162</v>
      </c>
      <c r="B606" s="145">
        <v>46095.0</v>
      </c>
      <c r="C606" s="149" t="s">
        <v>1508</v>
      </c>
      <c r="D606" s="324" t="s">
        <v>2099</v>
      </c>
      <c r="E606" s="148" t="s">
        <v>28</v>
      </c>
      <c r="F606" s="149" t="s">
        <v>2100</v>
      </c>
      <c r="G606" s="149">
        <v>5.1982917801E10</v>
      </c>
      <c r="H606" s="148" t="s">
        <v>257</v>
      </c>
      <c r="I606" s="150">
        <v>1.0</v>
      </c>
      <c r="J606" s="168">
        <v>5630.0</v>
      </c>
      <c r="K606" s="169">
        <f t="shared" si="68"/>
        <v>0</v>
      </c>
      <c r="L606" s="170">
        <v>5630.0</v>
      </c>
      <c r="M606" s="239">
        <v>5396.0</v>
      </c>
      <c r="N606" s="155">
        <v>1249.99</v>
      </c>
      <c r="O606" s="315">
        <f t="shared" si="70"/>
        <v>234</v>
      </c>
      <c r="P606" s="344">
        <f t="shared" si="69"/>
        <v>9</v>
      </c>
      <c r="Q606" s="510">
        <v>225.0</v>
      </c>
      <c r="R606" s="672" t="b">
        <v>0</v>
      </c>
      <c r="S606" s="318"/>
      <c r="T606" s="319"/>
      <c r="U606" s="315"/>
      <c r="V606" s="144" t="s">
        <v>584</v>
      </c>
      <c r="W606" s="148"/>
      <c r="X606" s="163"/>
      <c r="Y606" s="162"/>
      <c r="Z606" s="164"/>
      <c r="AA606" s="116"/>
      <c r="AB606" s="116"/>
      <c r="AC606" s="165"/>
      <c r="AD606" s="675" t="str">
        <f t="shared" si="66"/>
        <v>MARZO</v>
      </c>
      <c r="AE606" s="144" t="s">
        <v>1817</v>
      </c>
      <c r="AF606" s="149" t="b">
        <v>1</v>
      </c>
      <c r="AG606" s="144" t="s">
        <v>1817</v>
      </c>
      <c r="AH606" s="149" t="b">
        <v>0</v>
      </c>
      <c r="AI606" s="162"/>
      <c r="AJ606" s="143"/>
      <c r="AK606" s="143"/>
      <c r="AL606" s="143"/>
      <c r="AM606" s="143"/>
      <c r="AN606" s="143"/>
      <c r="AO606" s="143"/>
      <c r="AP606" s="143"/>
      <c r="AQ606" s="143"/>
    </row>
    <row r="607" ht="22.5" hidden="1" customHeight="1">
      <c r="A607" s="144" t="s">
        <v>259</v>
      </c>
      <c r="B607" s="209">
        <v>46097.0</v>
      </c>
      <c r="C607" s="965" t="s">
        <v>2101</v>
      </c>
      <c r="D607" s="208" t="s">
        <v>2102</v>
      </c>
      <c r="E607" s="148" t="s">
        <v>28</v>
      </c>
      <c r="F607" s="906" t="s">
        <v>2103</v>
      </c>
      <c r="G607" s="149" t="s">
        <v>2104</v>
      </c>
      <c r="H607" s="148" t="s">
        <v>257</v>
      </c>
      <c r="I607" s="150">
        <v>0.2</v>
      </c>
      <c r="J607" s="168">
        <v>1780.0</v>
      </c>
      <c r="K607" s="169">
        <f t="shared" si="68"/>
        <v>7119</v>
      </c>
      <c r="L607" s="170">
        <v>8899.0</v>
      </c>
      <c r="M607" s="239">
        <v>8794.0</v>
      </c>
      <c r="N607" s="155">
        <v>2000.0</v>
      </c>
      <c r="O607" s="315">
        <f t="shared" si="70"/>
        <v>105</v>
      </c>
      <c r="P607" s="344">
        <f t="shared" si="69"/>
        <v>5</v>
      </c>
      <c r="Q607" s="510">
        <v>100.0</v>
      </c>
      <c r="R607" s="672" t="b">
        <v>0</v>
      </c>
      <c r="S607" s="318"/>
      <c r="T607" s="319"/>
      <c r="U607" s="315"/>
      <c r="V607" s="144" t="s">
        <v>584</v>
      </c>
      <c r="W607" s="148"/>
      <c r="X607" s="163"/>
      <c r="Y607" s="162"/>
      <c r="Z607" s="164"/>
      <c r="AA607" s="116"/>
      <c r="AB607" s="116"/>
      <c r="AC607" s="165"/>
      <c r="AD607" s="675" t="str">
        <f t="shared" si="66"/>
        <v>MARZO</v>
      </c>
      <c r="AE607" s="144" t="s">
        <v>1817</v>
      </c>
      <c r="AF607" s="149" t="b">
        <v>1</v>
      </c>
      <c r="AG607" s="144" t="s">
        <v>1817</v>
      </c>
      <c r="AH607" s="149" t="b">
        <v>0</v>
      </c>
      <c r="AI607" s="162"/>
      <c r="AJ607" s="143"/>
      <c r="AK607" s="143"/>
      <c r="AL607" s="143"/>
      <c r="AM607" s="143"/>
      <c r="AN607" s="143"/>
      <c r="AO607" s="143"/>
      <c r="AP607" s="143"/>
      <c r="AQ607" s="143"/>
    </row>
    <row r="608" ht="22.5" customHeight="1">
      <c r="A608" s="144" t="s">
        <v>162</v>
      </c>
      <c r="B608" s="187">
        <v>46097.0</v>
      </c>
      <c r="C608" s="149" t="s">
        <v>879</v>
      </c>
      <c r="D608" s="966" t="s">
        <v>2105</v>
      </c>
      <c r="E608" s="148" t="s">
        <v>28</v>
      </c>
      <c r="F608" s="246" t="s">
        <v>2106</v>
      </c>
      <c r="G608" s="149">
        <v>5.1966600129E10</v>
      </c>
      <c r="H608" s="148" t="s">
        <v>257</v>
      </c>
      <c r="I608" s="150">
        <v>0.2</v>
      </c>
      <c r="J608" s="168">
        <v>1400.0</v>
      </c>
      <c r="K608" s="169">
        <f t="shared" si="68"/>
        <v>5298</v>
      </c>
      <c r="L608" s="170">
        <v>6698.0</v>
      </c>
      <c r="M608" s="757">
        <v>6339.0</v>
      </c>
      <c r="N608" s="155">
        <v>1329.97</v>
      </c>
      <c r="O608" s="315">
        <f t="shared" si="70"/>
        <v>359</v>
      </c>
      <c r="P608" s="344">
        <f t="shared" si="69"/>
        <v>-315</v>
      </c>
      <c r="Q608" s="510">
        <v>225.0</v>
      </c>
      <c r="R608" s="672" t="b">
        <v>0</v>
      </c>
      <c r="S608" s="346">
        <v>449.0</v>
      </c>
      <c r="T608" s="319"/>
      <c r="U608" s="315"/>
      <c r="V608" s="144" t="s">
        <v>584</v>
      </c>
      <c r="W608" s="148"/>
      <c r="X608" s="163"/>
      <c r="Y608" s="162"/>
      <c r="Z608" s="164"/>
      <c r="AA608" s="116"/>
      <c r="AB608" s="116"/>
      <c r="AC608" s="165"/>
      <c r="AD608" s="675" t="str">
        <f t="shared" si="66"/>
        <v>MARZO</v>
      </c>
      <c r="AE608" s="144" t="s">
        <v>1817</v>
      </c>
      <c r="AF608" s="149" t="b">
        <v>1</v>
      </c>
      <c r="AG608" s="144" t="s">
        <v>2080</v>
      </c>
      <c r="AH608" s="149" t="b">
        <v>0</v>
      </c>
      <c r="AI608" s="162"/>
      <c r="AJ608" s="143"/>
      <c r="AK608" s="143"/>
      <c r="AL608" s="143"/>
      <c r="AM608" s="143"/>
      <c r="AN608" s="143"/>
      <c r="AO608" s="143"/>
      <c r="AP608" s="143"/>
      <c r="AQ608" s="143"/>
    </row>
    <row r="609" ht="22.5" customHeight="1">
      <c r="A609" s="144" t="s">
        <v>1833</v>
      </c>
      <c r="B609" s="218">
        <v>46098.0</v>
      </c>
      <c r="C609" s="967" t="s">
        <v>2107</v>
      </c>
      <c r="D609" s="968" t="s">
        <v>2108</v>
      </c>
      <c r="E609" s="148" t="s">
        <v>399</v>
      </c>
      <c r="F609" s="246" t="s">
        <v>2109</v>
      </c>
      <c r="G609" s="149">
        <v>5.1931469854E10</v>
      </c>
      <c r="H609" s="148" t="s">
        <v>257</v>
      </c>
      <c r="I609" s="150">
        <v>0.5</v>
      </c>
      <c r="J609" s="168">
        <v>15000.0</v>
      </c>
      <c r="K609" s="169">
        <f t="shared" si="68"/>
        <v>14999</v>
      </c>
      <c r="L609" s="170">
        <v>29999.0</v>
      </c>
      <c r="M609" s="239">
        <v>26650.8</v>
      </c>
      <c r="N609" s="155">
        <v>6636.0</v>
      </c>
      <c r="O609" s="315">
        <f t="shared" si="70"/>
        <v>3348.2</v>
      </c>
      <c r="P609" s="344">
        <f t="shared" si="69"/>
        <v>3348.2</v>
      </c>
      <c r="Q609" s="321"/>
      <c r="R609" s="672" t="b">
        <v>0</v>
      </c>
      <c r="S609" s="318"/>
      <c r="T609" s="319"/>
      <c r="U609" s="315"/>
      <c r="V609" s="144" t="s">
        <v>584</v>
      </c>
      <c r="W609" s="148"/>
      <c r="X609" s="163"/>
      <c r="Y609" s="144" t="s">
        <v>584</v>
      </c>
      <c r="Z609" s="10" t="s">
        <v>1838</v>
      </c>
      <c r="AA609" s="116"/>
      <c r="AB609" s="116"/>
      <c r="AC609" s="165"/>
      <c r="AD609" s="675" t="str">
        <f t="shared" si="66"/>
        <v>MARZO</v>
      </c>
      <c r="AE609" s="162"/>
      <c r="AF609" s="149" t="b">
        <v>0</v>
      </c>
      <c r="AG609" s="166"/>
      <c r="AH609" s="149" t="b">
        <v>0</v>
      </c>
      <c r="AI609" s="162"/>
      <c r="AJ609" s="143"/>
      <c r="AK609" s="143"/>
      <c r="AL609" s="143"/>
      <c r="AM609" s="143"/>
      <c r="AN609" s="143"/>
      <c r="AO609" s="143"/>
      <c r="AP609" s="143"/>
      <c r="AQ609" s="143"/>
    </row>
    <row r="610" ht="22.5" customHeight="1">
      <c r="A610" s="144" t="s">
        <v>162</v>
      </c>
      <c r="B610" s="145">
        <v>46098.0</v>
      </c>
      <c r="C610" s="592" t="s">
        <v>2110</v>
      </c>
      <c r="D610" s="208" t="s">
        <v>2111</v>
      </c>
      <c r="E610" s="148" t="s">
        <v>28</v>
      </c>
      <c r="F610" s="262" t="s">
        <v>2112</v>
      </c>
      <c r="G610" s="149">
        <v>5.196315514E10</v>
      </c>
      <c r="H610" s="148" t="s">
        <v>257</v>
      </c>
      <c r="I610" s="150">
        <v>0.2</v>
      </c>
      <c r="J610" s="168">
        <v>939.0</v>
      </c>
      <c r="K610" s="169">
        <f t="shared" si="68"/>
        <v>3660</v>
      </c>
      <c r="L610" s="170">
        <v>4599.0</v>
      </c>
      <c r="M610" s="239">
        <v>4427.61</v>
      </c>
      <c r="N610" s="155">
        <v>949.99</v>
      </c>
      <c r="O610" s="315">
        <f t="shared" si="70"/>
        <v>171.39</v>
      </c>
      <c r="P610" s="344">
        <f t="shared" si="69"/>
        <v>71.39</v>
      </c>
      <c r="Q610" s="510">
        <v>100.0</v>
      </c>
      <c r="R610" s="672" t="b">
        <v>0</v>
      </c>
      <c r="S610" s="318"/>
      <c r="T610" s="319"/>
      <c r="U610" s="315"/>
      <c r="V610" s="144" t="s">
        <v>584</v>
      </c>
      <c r="W610" s="148"/>
      <c r="X610" s="163"/>
      <c r="Y610" s="144" t="s">
        <v>584</v>
      </c>
      <c r="Z610" s="164"/>
      <c r="AA610" s="116"/>
      <c r="AB610" s="116"/>
      <c r="AC610" s="165"/>
      <c r="AD610" s="675" t="str">
        <f t="shared" si="66"/>
        <v>MARZO</v>
      </c>
      <c r="AE610" s="144" t="s">
        <v>1817</v>
      </c>
      <c r="AF610" s="149" t="b">
        <v>1</v>
      </c>
      <c r="AG610" s="144" t="s">
        <v>1817</v>
      </c>
      <c r="AH610" s="149" t="b">
        <v>0</v>
      </c>
      <c r="AI610" s="162"/>
      <c r="AJ610" s="143"/>
      <c r="AK610" s="143"/>
      <c r="AL610" s="143"/>
      <c r="AM610" s="143"/>
      <c r="AN610" s="143"/>
      <c r="AO610" s="143"/>
      <c r="AP610" s="143"/>
      <c r="AQ610" s="143"/>
    </row>
    <row r="611" ht="22.5" customHeight="1">
      <c r="A611" s="144" t="s">
        <v>1833</v>
      </c>
      <c r="B611" s="145">
        <v>46098.0</v>
      </c>
      <c r="C611" s="496" t="s">
        <v>1508</v>
      </c>
      <c r="D611" s="208" t="s">
        <v>2113</v>
      </c>
      <c r="E611" s="148" t="s">
        <v>28</v>
      </c>
      <c r="F611" s="246" t="s">
        <v>2114</v>
      </c>
      <c r="G611" s="250">
        <v>5.1983882557E10</v>
      </c>
      <c r="H611" s="148" t="s">
        <v>257</v>
      </c>
      <c r="I611" s="150">
        <v>0.2</v>
      </c>
      <c r="J611" s="168">
        <v>1119.8</v>
      </c>
      <c r="K611" s="169">
        <f t="shared" si="68"/>
        <v>4479.2</v>
      </c>
      <c r="L611" s="170">
        <v>5599.0</v>
      </c>
      <c r="M611" s="239">
        <v>5473.71</v>
      </c>
      <c r="N611" s="155">
        <v>1219.99</v>
      </c>
      <c r="O611" s="315">
        <f t="shared" si="70"/>
        <v>125.29</v>
      </c>
      <c r="P611" s="344">
        <f t="shared" si="69"/>
        <v>25.29</v>
      </c>
      <c r="Q611" s="510">
        <v>100.0</v>
      </c>
      <c r="R611" s="672" t="b">
        <v>0</v>
      </c>
      <c r="S611" s="318"/>
      <c r="T611" s="319"/>
      <c r="U611" s="315"/>
      <c r="V611" s="144" t="s">
        <v>584</v>
      </c>
      <c r="W611" s="148"/>
      <c r="X611" s="163"/>
      <c r="Y611" s="144" t="s">
        <v>584</v>
      </c>
      <c r="Z611" s="164"/>
      <c r="AA611" s="116"/>
      <c r="AB611" s="116"/>
      <c r="AC611" s="165"/>
      <c r="AD611" s="675" t="str">
        <f t="shared" si="66"/>
        <v>MARZO</v>
      </c>
      <c r="AE611" s="144" t="s">
        <v>1817</v>
      </c>
      <c r="AF611" s="149" t="b">
        <v>1</v>
      </c>
      <c r="AG611" s="560" t="s">
        <v>2080</v>
      </c>
      <c r="AH611" s="149" t="b">
        <v>0</v>
      </c>
      <c r="AI611" s="162"/>
      <c r="AJ611" s="143"/>
      <c r="AK611" s="143"/>
      <c r="AL611" s="143"/>
      <c r="AM611" s="143"/>
      <c r="AN611" s="143"/>
      <c r="AO611" s="143"/>
      <c r="AP611" s="143"/>
      <c r="AQ611" s="143"/>
    </row>
    <row r="612" ht="22.5" customHeight="1">
      <c r="A612" s="144" t="s">
        <v>1824</v>
      </c>
      <c r="B612" s="145">
        <v>46098.0</v>
      </c>
      <c r="C612" s="149" t="s">
        <v>2115</v>
      </c>
      <c r="D612" s="208" t="s">
        <v>2116</v>
      </c>
      <c r="E612" s="148" t="s">
        <v>28</v>
      </c>
      <c r="F612" s="246" t="s">
        <v>2117</v>
      </c>
      <c r="G612" s="149">
        <v>5.1997027946E10</v>
      </c>
      <c r="H612" s="148" t="s">
        <v>257</v>
      </c>
      <c r="I612" s="148" t="s">
        <v>61</v>
      </c>
      <c r="J612" s="168">
        <v>2000.0</v>
      </c>
      <c r="K612" s="169">
        <f t="shared" si="68"/>
        <v>7399</v>
      </c>
      <c r="L612" s="170">
        <v>9399.0</v>
      </c>
      <c r="M612" s="239">
        <v>8907.68</v>
      </c>
      <c r="N612" s="155">
        <v>2099.99</v>
      </c>
      <c r="O612" s="315">
        <f t="shared" si="70"/>
        <v>491.32</v>
      </c>
      <c r="P612" s="344">
        <f t="shared" si="69"/>
        <v>351.32</v>
      </c>
      <c r="Q612" s="510">
        <v>140.0</v>
      </c>
      <c r="R612" s="672" t="b">
        <v>0</v>
      </c>
      <c r="S612" s="318"/>
      <c r="T612" s="319"/>
      <c r="U612" s="315"/>
      <c r="V612" s="144" t="s">
        <v>584</v>
      </c>
      <c r="W612" s="148"/>
      <c r="X612" s="163"/>
      <c r="Y612" s="144" t="s">
        <v>584</v>
      </c>
      <c r="Z612" s="164"/>
      <c r="AA612" s="116"/>
      <c r="AB612" s="116"/>
      <c r="AC612" s="165"/>
      <c r="AD612" s="675" t="str">
        <f t="shared" si="66"/>
        <v>MARZO</v>
      </c>
      <c r="AE612" s="144" t="s">
        <v>1817</v>
      </c>
      <c r="AF612" s="149" t="b">
        <v>1</v>
      </c>
      <c r="AG612" s="144" t="s">
        <v>1817</v>
      </c>
      <c r="AH612" s="149" t="b">
        <v>0</v>
      </c>
      <c r="AI612" s="162"/>
      <c r="AJ612" s="143"/>
      <c r="AK612" s="143"/>
      <c r="AL612" s="143"/>
      <c r="AM612" s="143"/>
      <c r="AN612" s="143"/>
      <c r="AO612" s="143"/>
      <c r="AP612" s="143"/>
      <c r="AQ612" s="143"/>
    </row>
    <row r="613" ht="22.5" customHeight="1">
      <c r="A613" s="144" t="s">
        <v>162</v>
      </c>
      <c r="B613" s="145">
        <v>46098.0</v>
      </c>
      <c r="C613" s="149" t="s">
        <v>1685</v>
      </c>
      <c r="D613" s="208" t="s">
        <v>2118</v>
      </c>
      <c r="E613" s="148" t="s">
        <v>28</v>
      </c>
      <c r="F613" s="149" t="s">
        <v>2119</v>
      </c>
      <c r="G613" s="149">
        <v>5.1923705734E10</v>
      </c>
      <c r="H613" s="148" t="s">
        <v>257</v>
      </c>
      <c r="I613" s="150">
        <v>0.2</v>
      </c>
      <c r="J613" s="168">
        <v>1559.99</v>
      </c>
      <c r="K613" s="169">
        <f t="shared" si="68"/>
        <v>6239.01</v>
      </c>
      <c r="L613" s="170">
        <v>7799.0</v>
      </c>
      <c r="M613" s="239">
        <v>7499.0</v>
      </c>
      <c r="N613" s="155">
        <v>1749.99</v>
      </c>
      <c r="O613" s="315">
        <f t="shared" si="70"/>
        <v>300</v>
      </c>
      <c r="P613" s="344">
        <f t="shared" si="69"/>
        <v>300</v>
      </c>
      <c r="Q613" s="321"/>
      <c r="R613" s="672" t="b">
        <v>0</v>
      </c>
      <c r="S613" s="318"/>
      <c r="T613" s="319"/>
      <c r="U613" s="315"/>
      <c r="V613" s="144" t="s">
        <v>584</v>
      </c>
      <c r="W613" s="148"/>
      <c r="X613" s="163"/>
      <c r="Y613" s="162"/>
      <c r="Z613" s="164"/>
      <c r="AA613" s="116"/>
      <c r="AB613" s="116"/>
      <c r="AC613" s="165"/>
      <c r="AD613" s="675" t="str">
        <f t="shared" si="66"/>
        <v>MARZO</v>
      </c>
      <c r="AE613" s="144" t="s">
        <v>1817</v>
      </c>
      <c r="AF613" s="149" t="b">
        <v>1</v>
      </c>
      <c r="AG613" s="144" t="s">
        <v>1817</v>
      </c>
      <c r="AH613" s="149" t="b">
        <v>0</v>
      </c>
      <c r="AI613" s="162"/>
      <c r="AJ613" s="143"/>
      <c r="AK613" s="143"/>
      <c r="AL613" s="143"/>
      <c r="AM613" s="143"/>
      <c r="AN613" s="143"/>
      <c r="AO613" s="143"/>
      <c r="AP613" s="143"/>
      <c r="AQ613" s="143"/>
    </row>
    <row r="614" ht="22.5" hidden="1" customHeight="1">
      <c r="A614" s="144" t="s">
        <v>259</v>
      </c>
      <c r="B614" s="145">
        <v>46098.0</v>
      </c>
      <c r="C614" s="149" t="s">
        <v>2115</v>
      </c>
      <c r="D614" s="208" t="s">
        <v>2120</v>
      </c>
      <c r="E614" s="148" t="s">
        <v>28</v>
      </c>
      <c r="F614" s="246" t="s">
        <v>2121</v>
      </c>
      <c r="G614" s="149">
        <v>5.197324545E10</v>
      </c>
      <c r="H614" s="148" t="s">
        <v>257</v>
      </c>
      <c r="I614" s="150">
        <v>0.2</v>
      </c>
      <c r="J614" s="168">
        <v>1879.0</v>
      </c>
      <c r="K614" s="169">
        <f t="shared" si="68"/>
        <v>7520</v>
      </c>
      <c r="L614" s="170">
        <v>9399.0</v>
      </c>
      <c r="M614" s="239">
        <v>8907.68</v>
      </c>
      <c r="N614" s="155">
        <v>2099.0</v>
      </c>
      <c r="O614" s="315">
        <f t="shared" si="70"/>
        <v>491.32</v>
      </c>
      <c r="P614" s="344">
        <f t="shared" si="69"/>
        <v>266.32</v>
      </c>
      <c r="Q614" s="510">
        <v>225.0</v>
      </c>
      <c r="R614" s="672" t="b">
        <v>0</v>
      </c>
      <c r="S614" s="318"/>
      <c r="T614" s="319"/>
      <c r="U614" s="315"/>
      <c r="V614" s="144" t="s">
        <v>584</v>
      </c>
      <c r="W614" s="148"/>
      <c r="X614" s="163"/>
      <c r="Y614" s="144" t="s">
        <v>584</v>
      </c>
      <c r="Z614" s="164"/>
      <c r="AA614" s="116"/>
      <c r="AB614" s="116"/>
      <c r="AC614" s="165"/>
      <c r="AD614" s="675" t="str">
        <f t="shared" si="66"/>
        <v>MARZO</v>
      </c>
      <c r="AE614" s="144" t="s">
        <v>1817</v>
      </c>
      <c r="AF614" s="149" t="b">
        <v>1</v>
      </c>
      <c r="AG614" s="144" t="s">
        <v>1817</v>
      </c>
      <c r="AH614" s="149" t="b">
        <v>0</v>
      </c>
      <c r="AI614" s="162"/>
      <c r="AJ614" s="143"/>
      <c r="AK614" s="143"/>
      <c r="AL614" s="143"/>
      <c r="AM614" s="143"/>
      <c r="AN614" s="143"/>
      <c r="AO614" s="143"/>
      <c r="AP614" s="143"/>
      <c r="AQ614" s="143"/>
    </row>
    <row r="615" ht="22.5" customHeight="1">
      <c r="A615" s="144" t="s">
        <v>1833</v>
      </c>
      <c r="B615" s="145">
        <v>46098.0</v>
      </c>
      <c r="C615" s="496" t="s">
        <v>1152</v>
      </c>
      <c r="D615" s="208" t="s">
        <v>2122</v>
      </c>
      <c r="E615" s="148" t="s">
        <v>28</v>
      </c>
      <c r="F615" s="246" t="s">
        <v>2123</v>
      </c>
      <c r="G615" s="149">
        <v>9.59489995E8</v>
      </c>
      <c r="H615" s="148" t="s">
        <v>257</v>
      </c>
      <c r="I615" s="150">
        <v>0.2</v>
      </c>
      <c r="J615" s="168">
        <v>1420.0</v>
      </c>
      <c r="K615" s="169">
        <f t="shared" si="68"/>
        <v>5679</v>
      </c>
      <c r="L615" s="170">
        <v>7099.0</v>
      </c>
      <c r="M615" s="239">
        <v>6866.03</v>
      </c>
      <c r="N615" s="155">
        <v>1549.99</v>
      </c>
      <c r="O615" s="315">
        <f t="shared" si="70"/>
        <v>232.97</v>
      </c>
      <c r="P615" s="344">
        <f t="shared" si="69"/>
        <v>132.97</v>
      </c>
      <c r="Q615" s="510">
        <v>100.0</v>
      </c>
      <c r="R615" s="672" t="b">
        <v>0</v>
      </c>
      <c r="S615" s="318"/>
      <c r="T615" s="319"/>
      <c r="U615" s="315"/>
      <c r="V615" s="144" t="s">
        <v>584</v>
      </c>
      <c r="W615" s="148"/>
      <c r="X615" s="163"/>
      <c r="Y615" s="144" t="s">
        <v>584</v>
      </c>
      <c r="Z615" s="164"/>
      <c r="AA615" s="116"/>
      <c r="AB615" s="116"/>
      <c r="AC615" s="165"/>
      <c r="AD615" s="675" t="str">
        <f t="shared" si="66"/>
        <v>MARZO</v>
      </c>
      <c r="AE615" s="144" t="s">
        <v>1817</v>
      </c>
      <c r="AF615" s="149" t="b">
        <v>1</v>
      </c>
      <c r="AG615" s="144" t="s">
        <v>2080</v>
      </c>
      <c r="AH615" s="149" t="b">
        <v>0</v>
      </c>
      <c r="AI615" s="162"/>
      <c r="AJ615" s="143"/>
      <c r="AK615" s="143"/>
      <c r="AL615" s="143"/>
      <c r="AM615" s="143"/>
      <c r="AN615" s="143"/>
      <c r="AO615" s="143"/>
      <c r="AP615" s="143"/>
      <c r="AQ615" s="143"/>
    </row>
    <row r="616" ht="22.5" customHeight="1">
      <c r="A616" s="144" t="s">
        <v>1833</v>
      </c>
      <c r="B616" s="145">
        <v>46098.0</v>
      </c>
      <c r="C616" s="777" t="s">
        <v>1367</v>
      </c>
      <c r="D616" s="396" t="s">
        <v>2124</v>
      </c>
      <c r="E616" s="148" t="s">
        <v>28</v>
      </c>
      <c r="F616" s="246" t="s">
        <v>2125</v>
      </c>
      <c r="G616" s="149">
        <v>5.1960327013E10</v>
      </c>
      <c r="H616" s="148" t="s">
        <v>257</v>
      </c>
      <c r="I616" s="150">
        <v>0.3</v>
      </c>
      <c r="J616" s="168">
        <v>2465.7</v>
      </c>
      <c r="K616" s="169">
        <f t="shared" si="68"/>
        <v>6102.3</v>
      </c>
      <c r="L616" s="170">
        <v>8568.0</v>
      </c>
      <c r="M616" s="239">
        <v>7975.87</v>
      </c>
      <c r="N616" s="155">
        <v>1849.99</v>
      </c>
      <c r="O616" s="315">
        <f t="shared" si="70"/>
        <v>592.13</v>
      </c>
      <c r="P616" s="344">
        <f t="shared" si="69"/>
        <v>143.13</v>
      </c>
      <c r="Q616" s="510">
        <v>100.0</v>
      </c>
      <c r="R616" s="672" t="b">
        <v>0</v>
      </c>
      <c r="S616" s="346">
        <v>349.0</v>
      </c>
      <c r="T616" s="319"/>
      <c r="U616" s="315"/>
      <c r="V616" s="144" t="s">
        <v>584</v>
      </c>
      <c r="W616" s="148"/>
      <c r="X616" s="163"/>
      <c r="Y616" s="144" t="s">
        <v>584</v>
      </c>
      <c r="Z616" s="164"/>
      <c r="AA616" s="116"/>
      <c r="AB616" s="116"/>
      <c r="AC616" s="165"/>
      <c r="AD616" s="675" t="str">
        <f t="shared" si="66"/>
        <v>MARZO</v>
      </c>
      <c r="AE616" s="144" t="s">
        <v>1817</v>
      </c>
      <c r="AF616" s="149" t="b">
        <v>1</v>
      </c>
      <c r="AG616" s="144" t="s">
        <v>2080</v>
      </c>
      <c r="AH616" s="149" t="b">
        <v>0</v>
      </c>
      <c r="AI616" s="162"/>
      <c r="AJ616" s="143"/>
      <c r="AK616" s="143"/>
      <c r="AL616" s="143"/>
      <c r="AM616" s="143"/>
      <c r="AN616" s="143"/>
      <c r="AO616" s="143"/>
      <c r="AP616" s="143"/>
      <c r="AQ616" s="143"/>
    </row>
    <row r="617" ht="22.5" customHeight="1">
      <c r="A617" s="144" t="s">
        <v>1824</v>
      </c>
      <c r="B617" s="145">
        <v>46098.0</v>
      </c>
      <c r="C617" s="149" t="s">
        <v>771</v>
      </c>
      <c r="D617" s="208" t="s">
        <v>2126</v>
      </c>
      <c r="E617" s="148" t="s">
        <v>28</v>
      </c>
      <c r="F617" s="907" t="s">
        <v>2127</v>
      </c>
      <c r="G617" s="149">
        <v>5.198305122E10</v>
      </c>
      <c r="H617" s="148" t="s">
        <v>257</v>
      </c>
      <c r="I617" s="150">
        <v>0.2</v>
      </c>
      <c r="J617" s="168">
        <v>1640.0</v>
      </c>
      <c r="K617" s="169">
        <f t="shared" si="68"/>
        <v>6560</v>
      </c>
      <c r="L617" s="170">
        <v>8200.0</v>
      </c>
      <c r="M617" s="239">
        <v>7465.0</v>
      </c>
      <c r="N617" s="277"/>
      <c r="O617" s="315">
        <f t="shared" si="70"/>
        <v>735</v>
      </c>
      <c r="P617" s="344">
        <f t="shared" si="69"/>
        <v>495</v>
      </c>
      <c r="Q617" s="510">
        <v>240.0</v>
      </c>
      <c r="R617" s="672" t="b">
        <v>0</v>
      </c>
      <c r="S617" s="318"/>
      <c r="T617" s="319"/>
      <c r="U617" s="315"/>
      <c r="V617" s="144" t="s">
        <v>584</v>
      </c>
      <c r="W617" s="148"/>
      <c r="X617" s="163"/>
      <c r="Y617" s="162"/>
      <c r="Z617" s="164"/>
      <c r="AA617" s="116"/>
      <c r="AB617" s="116"/>
      <c r="AC617" s="165"/>
      <c r="AD617" s="675" t="str">
        <f t="shared" si="66"/>
        <v>MARZO</v>
      </c>
      <c r="AE617" s="144" t="s">
        <v>1817</v>
      </c>
      <c r="AF617" s="149" t="b">
        <v>1</v>
      </c>
      <c r="AG617" s="144" t="s">
        <v>1817</v>
      </c>
      <c r="AH617" s="149" t="b">
        <v>0</v>
      </c>
      <c r="AI617" s="162"/>
      <c r="AJ617" s="143"/>
      <c r="AK617" s="143"/>
      <c r="AL617" s="143"/>
      <c r="AM617" s="143"/>
      <c r="AN617" s="143"/>
      <c r="AO617" s="143"/>
      <c r="AP617" s="143"/>
      <c r="AQ617" s="143"/>
    </row>
    <row r="618" ht="22.5" customHeight="1">
      <c r="A618" s="144" t="s">
        <v>162</v>
      </c>
      <c r="B618" s="145">
        <v>46099.0</v>
      </c>
      <c r="C618" s="149" t="s">
        <v>771</v>
      </c>
      <c r="D618" s="208" t="s">
        <v>2128</v>
      </c>
      <c r="E618" s="148" t="s">
        <v>28</v>
      </c>
      <c r="F618" s="149" t="s">
        <v>2129</v>
      </c>
      <c r="G618" s="149">
        <v>5.1955963006E10</v>
      </c>
      <c r="H618" s="148" t="s">
        <v>257</v>
      </c>
      <c r="I618" s="150">
        <v>0.3</v>
      </c>
      <c r="J618" s="168">
        <v>6997.0</v>
      </c>
      <c r="K618" s="169">
        <f t="shared" si="68"/>
        <v>1402</v>
      </c>
      <c r="L618" s="170">
        <v>8399.0</v>
      </c>
      <c r="M618" s="239">
        <v>7465.0</v>
      </c>
      <c r="N618" s="277"/>
      <c r="O618" s="315">
        <f t="shared" si="70"/>
        <v>934</v>
      </c>
      <c r="P618" s="344">
        <f t="shared" si="69"/>
        <v>709</v>
      </c>
      <c r="Q618" s="510">
        <v>225.0</v>
      </c>
      <c r="R618" s="672" t="b">
        <v>0</v>
      </c>
      <c r="S618" s="318"/>
      <c r="T618" s="319"/>
      <c r="U618" s="315"/>
      <c r="V618" s="144" t="s">
        <v>584</v>
      </c>
      <c r="W618" s="148"/>
      <c r="X618" s="163"/>
      <c r="Y618" s="162"/>
      <c r="Z618" s="164"/>
      <c r="AA618" s="116"/>
      <c r="AB618" s="116"/>
      <c r="AC618" s="165"/>
      <c r="AD618" s="675" t="str">
        <f t="shared" si="66"/>
        <v>MARZO</v>
      </c>
      <c r="AE618" s="144" t="s">
        <v>1817</v>
      </c>
      <c r="AF618" s="149" t="b">
        <v>1</v>
      </c>
      <c r="AG618" s="144" t="s">
        <v>1817</v>
      </c>
      <c r="AH618" s="149" t="b">
        <v>0</v>
      </c>
      <c r="AI618" s="162"/>
      <c r="AJ618" s="143"/>
      <c r="AK618" s="143"/>
      <c r="AL618" s="143"/>
      <c r="AM618" s="143"/>
      <c r="AN618" s="143"/>
      <c r="AO618" s="143"/>
      <c r="AP618" s="143"/>
      <c r="AQ618" s="143"/>
    </row>
    <row r="619" ht="22.5" customHeight="1">
      <c r="A619" s="144" t="s">
        <v>162</v>
      </c>
      <c r="B619" s="145">
        <v>46099.0</v>
      </c>
      <c r="C619" s="969" t="s">
        <v>2130</v>
      </c>
      <c r="D619" s="208" t="s">
        <v>2131</v>
      </c>
      <c r="E619" s="148" t="s">
        <v>28</v>
      </c>
      <c r="F619" s="262" t="s">
        <v>2132</v>
      </c>
      <c r="G619" s="149">
        <v>5.199173093E10</v>
      </c>
      <c r="H619" s="148" t="s">
        <v>257</v>
      </c>
      <c r="I619" s="150">
        <v>0.3</v>
      </c>
      <c r="J619" s="168">
        <v>4000.0</v>
      </c>
      <c r="K619" s="169">
        <f t="shared" si="68"/>
        <v>6599</v>
      </c>
      <c r="L619" s="170">
        <v>10599.0</v>
      </c>
      <c r="M619" s="239">
        <v>10420.22</v>
      </c>
      <c r="N619" s="155" t="s">
        <v>2133</v>
      </c>
      <c r="O619" s="315">
        <f t="shared" si="70"/>
        <v>178.78</v>
      </c>
      <c r="P619" s="344">
        <f t="shared" si="69"/>
        <v>38.78</v>
      </c>
      <c r="Q619" s="510">
        <v>140.0</v>
      </c>
      <c r="R619" s="672" t="b">
        <v>0</v>
      </c>
      <c r="S619" s="318"/>
      <c r="T619" s="319"/>
      <c r="U619" s="315"/>
      <c r="V619" s="144" t="s">
        <v>584</v>
      </c>
      <c r="W619" s="148"/>
      <c r="X619" s="163"/>
      <c r="Y619" s="162"/>
      <c r="Z619" s="164"/>
      <c r="AA619" s="116"/>
      <c r="AB619" s="116"/>
      <c r="AC619" s="165"/>
      <c r="AD619" s="675" t="str">
        <f t="shared" si="66"/>
        <v>MARZO</v>
      </c>
      <c r="AE619" s="144" t="s">
        <v>1817</v>
      </c>
      <c r="AF619" s="149" t="b">
        <v>1</v>
      </c>
      <c r="AG619" s="144" t="s">
        <v>1817</v>
      </c>
      <c r="AH619" s="149" t="b">
        <v>0</v>
      </c>
      <c r="AI619" s="162"/>
      <c r="AJ619" s="143"/>
      <c r="AK619" s="143"/>
      <c r="AL619" s="143"/>
      <c r="AM619" s="143"/>
      <c r="AN619" s="143"/>
      <c r="AO619" s="143"/>
      <c r="AP619" s="143"/>
      <c r="AQ619" s="143"/>
    </row>
    <row r="620" ht="22.5" hidden="1" customHeight="1">
      <c r="A620" s="144" t="s">
        <v>259</v>
      </c>
      <c r="B620" s="145">
        <v>46099.0</v>
      </c>
      <c r="C620" s="969" t="s">
        <v>2130</v>
      </c>
      <c r="D620" s="970" t="s">
        <v>2134</v>
      </c>
      <c r="E620" s="148" t="s">
        <v>28</v>
      </c>
      <c r="F620" s="249" t="s">
        <v>2135</v>
      </c>
      <c r="G620" s="149">
        <v>5.1947049826E10</v>
      </c>
      <c r="H620" s="148" t="s">
        <v>257</v>
      </c>
      <c r="I620" s="150">
        <v>0.3</v>
      </c>
      <c r="J620" s="168">
        <v>3659.0</v>
      </c>
      <c r="K620" s="169">
        <f t="shared" si="68"/>
        <v>8540</v>
      </c>
      <c r="L620" s="170">
        <v>12199.0</v>
      </c>
      <c r="M620" s="239">
        <v>11661.0</v>
      </c>
      <c r="N620" s="155">
        <v>2799.0</v>
      </c>
      <c r="O620" s="315">
        <f t="shared" si="70"/>
        <v>538</v>
      </c>
      <c r="P620" s="344">
        <f t="shared" si="69"/>
        <v>398</v>
      </c>
      <c r="Q620" s="510">
        <v>140.0</v>
      </c>
      <c r="R620" s="672" t="b">
        <v>0</v>
      </c>
      <c r="S620" s="318"/>
      <c r="T620" s="319"/>
      <c r="U620" s="315"/>
      <c r="V620" s="144" t="s">
        <v>584</v>
      </c>
      <c r="W620" s="148"/>
      <c r="X620" s="163"/>
      <c r="Y620" s="144" t="s">
        <v>584</v>
      </c>
      <c r="Z620" s="164"/>
      <c r="AA620" s="116"/>
      <c r="AB620" s="116"/>
      <c r="AC620" s="165"/>
      <c r="AD620" s="675" t="str">
        <f t="shared" si="66"/>
        <v>MARZO</v>
      </c>
      <c r="AE620" s="144" t="s">
        <v>1817</v>
      </c>
      <c r="AF620" s="149" t="b">
        <v>1</v>
      </c>
      <c r="AG620" s="144" t="s">
        <v>1817</v>
      </c>
      <c r="AH620" s="149" t="b">
        <v>0</v>
      </c>
      <c r="AI620" s="162"/>
      <c r="AJ620" s="143"/>
      <c r="AK620" s="143"/>
      <c r="AL620" s="143"/>
      <c r="AM620" s="143"/>
      <c r="AN620" s="143"/>
      <c r="AO620" s="143"/>
      <c r="AP620" s="143"/>
      <c r="AQ620" s="143"/>
    </row>
    <row r="621" ht="22.5" customHeight="1">
      <c r="A621" s="144" t="s">
        <v>1824</v>
      </c>
      <c r="B621" s="145">
        <v>46099.0</v>
      </c>
      <c r="C621" s="149" t="s">
        <v>2110</v>
      </c>
      <c r="D621" s="970" t="s">
        <v>2136</v>
      </c>
      <c r="E621" s="148" t="s">
        <v>28</v>
      </c>
      <c r="F621" s="262" t="s">
        <v>2137</v>
      </c>
      <c r="G621" s="149" t="s">
        <v>2138</v>
      </c>
      <c r="H621" s="148" t="s">
        <v>257</v>
      </c>
      <c r="I621" s="150">
        <v>0.2</v>
      </c>
      <c r="J621" s="168">
        <v>939.8</v>
      </c>
      <c r="K621" s="169">
        <f t="shared" si="68"/>
        <v>3759.2</v>
      </c>
      <c r="L621" s="170">
        <v>4699.0</v>
      </c>
      <c r="M621" s="239">
        <v>4453.5</v>
      </c>
      <c r="N621" s="155">
        <v>949.99</v>
      </c>
      <c r="O621" s="315">
        <f t="shared" si="70"/>
        <v>245.5</v>
      </c>
      <c r="P621" s="344">
        <f t="shared" si="69"/>
        <v>145.5</v>
      </c>
      <c r="Q621" s="510">
        <v>100.0</v>
      </c>
      <c r="R621" s="672" t="b">
        <v>0</v>
      </c>
      <c r="S621" s="318"/>
      <c r="T621" s="319"/>
      <c r="U621" s="315"/>
      <c r="V621" s="144" t="s">
        <v>584</v>
      </c>
      <c r="W621" s="148"/>
      <c r="X621" s="163"/>
      <c r="Y621" s="144" t="s">
        <v>584</v>
      </c>
      <c r="Z621" s="164"/>
      <c r="AA621" s="116"/>
      <c r="AB621" s="116"/>
      <c r="AC621" s="165"/>
      <c r="AD621" s="675" t="str">
        <f t="shared" si="66"/>
        <v>MARZO</v>
      </c>
      <c r="AE621" s="144" t="s">
        <v>1817</v>
      </c>
      <c r="AF621" s="149" t="b">
        <v>1</v>
      </c>
      <c r="AG621" s="144" t="s">
        <v>1817</v>
      </c>
      <c r="AH621" s="149" t="b">
        <v>0</v>
      </c>
      <c r="AI621" s="162"/>
      <c r="AJ621" s="143"/>
      <c r="AK621" s="143"/>
      <c r="AL621" s="143"/>
      <c r="AM621" s="143"/>
      <c r="AN621" s="143"/>
      <c r="AO621" s="143"/>
      <c r="AP621" s="143"/>
      <c r="AQ621" s="143"/>
    </row>
    <row r="622" ht="22.5" customHeight="1">
      <c r="A622" s="144" t="s">
        <v>162</v>
      </c>
      <c r="B622" s="145">
        <v>46099.0</v>
      </c>
      <c r="C622" s="149" t="s">
        <v>879</v>
      </c>
      <c r="D622" s="966" t="s">
        <v>2139</v>
      </c>
      <c r="E622" s="148" t="s">
        <v>28</v>
      </c>
      <c r="F622" s="149" t="s">
        <v>2140</v>
      </c>
      <c r="G622" s="149">
        <v>5.1936985681E10</v>
      </c>
      <c r="H622" s="148" t="s">
        <v>257</v>
      </c>
      <c r="I622" s="150">
        <v>0.2</v>
      </c>
      <c r="J622" s="168">
        <v>1279.0</v>
      </c>
      <c r="K622" s="169">
        <f t="shared" si="68"/>
        <v>5120</v>
      </c>
      <c r="L622" s="170">
        <v>6399.0</v>
      </c>
      <c r="M622" s="757">
        <v>6339.0</v>
      </c>
      <c r="N622" s="155">
        <v>1329.97</v>
      </c>
      <c r="O622" s="315">
        <f t="shared" si="70"/>
        <v>60</v>
      </c>
      <c r="P622" s="344">
        <f t="shared" si="69"/>
        <v>-165</v>
      </c>
      <c r="Q622" s="510">
        <v>225.0</v>
      </c>
      <c r="R622" s="672" t="b">
        <v>0</v>
      </c>
      <c r="S622" s="318"/>
      <c r="T622" s="319"/>
      <c r="U622" s="315"/>
      <c r="V622" s="144" t="s">
        <v>584</v>
      </c>
      <c r="W622" s="148"/>
      <c r="X622" s="163"/>
      <c r="Y622" s="162"/>
      <c r="Z622" s="164"/>
      <c r="AA622" s="116"/>
      <c r="AB622" s="116"/>
      <c r="AC622" s="165"/>
      <c r="AD622" s="675" t="str">
        <f t="shared" si="66"/>
        <v>MARZO</v>
      </c>
      <c r="AE622" s="144" t="s">
        <v>1817</v>
      </c>
      <c r="AF622" s="149" t="b">
        <v>1</v>
      </c>
      <c r="AG622" s="144" t="s">
        <v>2080</v>
      </c>
      <c r="AH622" s="149" t="b">
        <v>0</v>
      </c>
      <c r="AI622" s="162"/>
      <c r="AJ622" s="143"/>
      <c r="AK622" s="143"/>
      <c r="AL622" s="143"/>
      <c r="AM622" s="143"/>
      <c r="AN622" s="143"/>
      <c r="AO622" s="143"/>
      <c r="AP622" s="143"/>
      <c r="AQ622" s="143"/>
    </row>
    <row r="623" ht="22.5" customHeight="1">
      <c r="A623" s="144" t="s">
        <v>1833</v>
      </c>
      <c r="B623" s="145">
        <v>46100.0</v>
      </c>
      <c r="C623" s="971" t="s">
        <v>2141</v>
      </c>
      <c r="D623" s="208" t="s">
        <v>2142</v>
      </c>
      <c r="E623" s="148" t="s">
        <v>28</v>
      </c>
      <c r="F623" s="630" t="s">
        <v>2143</v>
      </c>
      <c r="G623" s="149" t="s">
        <v>2144</v>
      </c>
      <c r="H623" s="148" t="s">
        <v>257</v>
      </c>
      <c r="I623" s="150">
        <v>1.0</v>
      </c>
      <c r="J623" s="352"/>
      <c r="K623" s="271" t="str">
        <f t="shared" si="68"/>
        <v/>
      </c>
      <c r="L623" s="170">
        <v>8799.0</v>
      </c>
      <c r="M623" s="239">
        <v>7911.0</v>
      </c>
      <c r="N623" s="155">
        <v>1999.99</v>
      </c>
      <c r="O623" s="315">
        <f t="shared" si="70"/>
        <v>888</v>
      </c>
      <c r="P623" s="344">
        <f t="shared" si="69"/>
        <v>578</v>
      </c>
      <c r="Q623" s="510">
        <v>210.0</v>
      </c>
      <c r="R623" s="672" t="b">
        <v>0</v>
      </c>
      <c r="S623" s="318"/>
      <c r="T623" s="319"/>
      <c r="U623" s="343">
        <v>100.0</v>
      </c>
      <c r="V623" s="144" t="s">
        <v>584</v>
      </c>
      <c r="W623" s="148"/>
      <c r="X623" s="163"/>
      <c r="Y623" s="162"/>
      <c r="Z623" s="164"/>
      <c r="AA623" s="116"/>
      <c r="AB623" s="116"/>
      <c r="AC623" s="165"/>
      <c r="AD623" s="675" t="str">
        <f t="shared" si="66"/>
        <v>MARZO</v>
      </c>
      <c r="AE623" s="144" t="s">
        <v>1817</v>
      </c>
      <c r="AF623" s="149" t="b">
        <v>1</v>
      </c>
      <c r="AG623" s="144" t="s">
        <v>1817</v>
      </c>
      <c r="AH623" s="149" t="b">
        <v>0</v>
      </c>
      <c r="AI623" s="162"/>
      <c r="AJ623" s="143"/>
      <c r="AK623" s="143"/>
      <c r="AL623" s="143"/>
      <c r="AM623" s="143"/>
      <c r="AN623" s="143"/>
      <c r="AO623" s="143"/>
      <c r="AP623" s="143"/>
      <c r="AQ623" s="143"/>
    </row>
    <row r="624" ht="22.5" customHeight="1">
      <c r="A624" s="144" t="s">
        <v>162</v>
      </c>
      <c r="B624" s="145">
        <v>46100.0</v>
      </c>
      <c r="C624" s="149" t="s">
        <v>2083</v>
      </c>
      <c r="D624" s="208" t="s">
        <v>2145</v>
      </c>
      <c r="E624" s="148" t="s">
        <v>28</v>
      </c>
      <c r="F624" s="149" t="s">
        <v>2146</v>
      </c>
      <c r="G624" s="149">
        <v>5.1962227772E10</v>
      </c>
      <c r="H624" s="148" t="s">
        <v>257</v>
      </c>
      <c r="I624" s="150">
        <v>0.3</v>
      </c>
      <c r="J624" s="168">
        <v>2625.42</v>
      </c>
      <c r="K624" s="169">
        <f t="shared" si="68"/>
        <v>6213.58</v>
      </c>
      <c r="L624" s="170">
        <v>8839.0</v>
      </c>
      <c r="M624" s="239">
        <v>8664.0</v>
      </c>
      <c r="N624" s="155">
        <v>1900.0</v>
      </c>
      <c r="O624" s="315">
        <f t="shared" si="70"/>
        <v>175</v>
      </c>
      <c r="P624" s="344">
        <f t="shared" si="69"/>
        <v>15</v>
      </c>
      <c r="Q624" s="510">
        <v>140.0</v>
      </c>
      <c r="R624" s="672" t="b">
        <v>0</v>
      </c>
      <c r="S624" s="318"/>
      <c r="T624" s="319"/>
      <c r="U624" s="343">
        <v>20.0</v>
      </c>
      <c r="V624" s="144" t="s">
        <v>584</v>
      </c>
      <c r="W624" s="148"/>
      <c r="X624" s="163"/>
      <c r="Y624" s="162"/>
      <c r="Z624" s="164"/>
      <c r="AA624" s="116"/>
      <c r="AB624" s="116"/>
      <c r="AC624" s="165"/>
      <c r="AD624" s="675" t="str">
        <f t="shared" si="66"/>
        <v>MARZO</v>
      </c>
      <c r="AE624" s="144" t="s">
        <v>1817</v>
      </c>
      <c r="AF624" s="149" t="b">
        <v>1</v>
      </c>
      <c r="AG624" s="144" t="s">
        <v>2080</v>
      </c>
      <c r="AH624" s="149" t="b">
        <v>0</v>
      </c>
      <c r="AI624" s="162"/>
      <c r="AJ624" s="143"/>
      <c r="AK624" s="143"/>
      <c r="AL624" s="143"/>
      <c r="AM624" s="143"/>
      <c r="AN624" s="143"/>
      <c r="AO624" s="143"/>
      <c r="AP624" s="143"/>
      <c r="AQ624" s="143"/>
    </row>
    <row r="625" ht="22.5" customHeight="1">
      <c r="A625" s="144" t="s">
        <v>162</v>
      </c>
      <c r="B625" s="145">
        <v>46101.0</v>
      </c>
      <c r="C625" s="149" t="s">
        <v>1152</v>
      </c>
      <c r="D625" s="208" t="s">
        <v>2147</v>
      </c>
      <c r="E625" s="148" t="s">
        <v>28</v>
      </c>
      <c r="F625" s="149" t="s">
        <v>2148</v>
      </c>
      <c r="G625" s="149">
        <v>5.1914477175E10</v>
      </c>
      <c r="H625" s="148" t="s">
        <v>257</v>
      </c>
      <c r="I625" s="150">
        <v>0.2</v>
      </c>
      <c r="J625" s="168">
        <v>1459.0</v>
      </c>
      <c r="K625" s="169">
        <f t="shared" si="68"/>
        <v>5840</v>
      </c>
      <c r="L625" s="170">
        <v>7299.0</v>
      </c>
      <c r="M625" s="239">
        <v>6750.0</v>
      </c>
      <c r="N625" s="155">
        <v>1549.99</v>
      </c>
      <c r="O625" s="315">
        <f t="shared" si="70"/>
        <v>549</v>
      </c>
      <c r="P625" s="344">
        <f t="shared" si="69"/>
        <v>324</v>
      </c>
      <c r="Q625" s="510">
        <v>225.0</v>
      </c>
      <c r="R625" s="672" t="b">
        <v>0</v>
      </c>
      <c r="S625" s="318"/>
      <c r="T625" s="319"/>
      <c r="U625" s="315"/>
      <c r="V625" s="144" t="s">
        <v>584</v>
      </c>
      <c r="W625" s="148"/>
      <c r="X625" s="163"/>
      <c r="Y625" s="162"/>
      <c r="Z625" s="164"/>
      <c r="AA625" s="116"/>
      <c r="AB625" s="116"/>
      <c r="AC625" s="165"/>
      <c r="AD625" s="675" t="str">
        <f t="shared" si="66"/>
        <v>MARZO</v>
      </c>
      <c r="AE625" s="144" t="s">
        <v>1817</v>
      </c>
      <c r="AF625" s="149" t="b">
        <v>1</v>
      </c>
      <c r="AG625" s="144" t="s">
        <v>1817</v>
      </c>
      <c r="AH625" s="149" t="b">
        <v>0</v>
      </c>
      <c r="AI625" s="162"/>
      <c r="AJ625" s="143"/>
      <c r="AK625" s="143"/>
      <c r="AL625" s="143"/>
      <c r="AM625" s="143"/>
      <c r="AN625" s="143"/>
      <c r="AO625" s="143"/>
      <c r="AP625" s="143"/>
      <c r="AQ625" s="143"/>
    </row>
    <row r="626" ht="22.5" hidden="1" customHeight="1">
      <c r="A626" s="144" t="s">
        <v>259</v>
      </c>
      <c r="B626" s="145">
        <v>46102.0</v>
      </c>
      <c r="C626" s="972" t="s">
        <v>1508</v>
      </c>
      <c r="D626" s="208" t="s">
        <v>2149</v>
      </c>
      <c r="E626" s="148" t="s">
        <v>28</v>
      </c>
      <c r="F626" s="630" t="s">
        <v>2150</v>
      </c>
      <c r="G626" s="149" t="s">
        <v>2151</v>
      </c>
      <c r="H626" s="148" t="s">
        <v>257</v>
      </c>
      <c r="I626" s="150">
        <v>0.2</v>
      </c>
      <c r="J626" s="168">
        <v>1139.0</v>
      </c>
      <c r="K626" s="169">
        <f t="shared" si="68"/>
        <v>4560</v>
      </c>
      <c r="L626" s="170">
        <v>5699.0</v>
      </c>
      <c r="M626" s="239">
        <v>5492.0</v>
      </c>
      <c r="N626" s="155">
        <v>1250.0</v>
      </c>
      <c r="O626" s="315">
        <f t="shared" si="70"/>
        <v>207</v>
      </c>
      <c r="P626" s="344">
        <f t="shared" si="69"/>
        <v>107</v>
      </c>
      <c r="Q626" s="510">
        <v>100.0</v>
      </c>
      <c r="R626" s="672" t="b">
        <v>0</v>
      </c>
      <c r="S626" s="318"/>
      <c r="T626" s="319"/>
      <c r="U626" s="315"/>
      <c r="V626" s="144" t="s">
        <v>584</v>
      </c>
      <c r="W626" s="148"/>
      <c r="X626" s="163"/>
      <c r="Y626" s="162"/>
      <c r="Z626" s="164"/>
      <c r="AA626" s="116"/>
      <c r="AB626" s="116"/>
      <c r="AC626" s="165"/>
      <c r="AD626" s="675" t="str">
        <f t="shared" si="66"/>
        <v>MARZO</v>
      </c>
      <c r="AE626" s="144" t="s">
        <v>1817</v>
      </c>
      <c r="AF626" s="149" t="b">
        <v>1</v>
      </c>
      <c r="AG626" s="144" t="s">
        <v>1817</v>
      </c>
      <c r="AH626" s="149" t="b">
        <v>0</v>
      </c>
      <c r="AI626" s="162"/>
      <c r="AJ626" s="143"/>
      <c r="AK626" s="143"/>
      <c r="AL626" s="143"/>
      <c r="AM626" s="143"/>
      <c r="AN626" s="143"/>
      <c r="AO626" s="143"/>
      <c r="AP626" s="143"/>
      <c r="AQ626" s="143"/>
    </row>
    <row r="627" ht="22.5" hidden="1" customHeight="1">
      <c r="A627" s="144" t="s">
        <v>259</v>
      </c>
      <c r="B627" s="145">
        <v>46102.0</v>
      </c>
      <c r="C627" s="972" t="s">
        <v>1508</v>
      </c>
      <c r="D627" s="208" t="s">
        <v>2152</v>
      </c>
      <c r="E627" s="148" t="s">
        <v>28</v>
      </c>
      <c r="F627" s="630" t="s">
        <v>2153</v>
      </c>
      <c r="G627" s="149" t="s">
        <v>2154</v>
      </c>
      <c r="H627" s="148" t="s">
        <v>257</v>
      </c>
      <c r="I627" s="150">
        <v>0.2</v>
      </c>
      <c r="J627" s="168">
        <v>1119.8</v>
      </c>
      <c r="K627" s="557">
        <f t="shared" si="68"/>
        <v>4828.2</v>
      </c>
      <c r="L627" s="170">
        <v>5948.0</v>
      </c>
      <c r="M627" s="239">
        <v>5492.0</v>
      </c>
      <c r="N627" s="155">
        <v>1250.0</v>
      </c>
      <c r="O627" s="315">
        <f t="shared" si="70"/>
        <v>456</v>
      </c>
      <c r="P627" s="344">
        <f t="shared" si="69"/>
        <v>7</v>
      </c>
      <c r="Q627" s="510">
        <v>100.0</v>
      </c>
      <c r="R627" s="672" t="b">
        <v>0</v>
      </c>
      <c r="S627" s="346">
        <v>349.0</v>
      </c>
      <c r="T627" s="319"/>
      <c r="U627" s="315"/>
      <c r="V627" s="144" t="s">
        <v>584</v>
      </c>
      <c r="W627" s="148"/>
      <c r="X627" s="163"/>
      <c r="Y627" s="144" t="s">
        <v>584</v>
      </c>
      <c r="Z627" s="164"/>
      <c r="AA627" s="116"/>
      <c r="AB627" s="116"/>
      <c r="AC627" s="165"/>
      <c r="AD627" s="675" t="str">
        <f t="shared" si="66"/>
        <v>MARZO</v>
      </c>
      <c r="AE627" s="144" t="s">
        <v>1817</v>
      </c>
      <c r="AF627" s="149" t="b">
        <v>1</v>
      </c>
      <c r="AG627" s="144" t="s">
        <v>1817</v>
      </c>
      <c r="AH627" s="149" t="b">
        <v>0</v>
      </c>
      <c r="AI627" s="162"/>
      <c r="AJ627" s="143"/>
      <c r="AK627" s="143"/>
      <c r="AL627" s="143"/>
      <c r="AM627" s="143"/>
      <c r="AN627" s="143"/>
      <c r="AO627" s="143"/>
      <c r="AP627" s="143"/>
      <c r="AQ627" s="143"/>
    </row>
    <row r="628" ht="22.5" hidden="1" customHeight="1">
      <c r="A628" s="144" t="s">
        <v>259</v>
      </c>
      <c r="B628" s="145">
        <v>46102.0</v>
      </c>
      <c r="C628" s="973" t="s">
        <v>2155</v>
      </c>
      <c r="D628" s="208" t="s">
        <v>2156</v>
      </c>
      <c r="E628" s="148" t="s">
        <v>28</v>
      </c>
      <c r="F628" s="262" t="s">
        <v>2157</v>
      </c>
      <c r="G628" s="149" t="s">
        <v>2158</v>
      </c>
      <c r="H628" s="148" t="s">
        <v>257</v>
      </c>
      <c r="I628" s="150">
        <v>0.2</v>
      </c>
      <c r="J628" s="168">
        <v>1588.0</v>
      </c>
      <c r="K628" s="169">
        <f t="shared" si="68"/>
        <v>5610.39</v>
      </c>
      <c r="L628" s="170">
        <v>7198.39</v>
      </c>
      <c r="M628" s="239">
        <v>6188.79</v>
      </c>
      <c r="N628" s="155">
        <v>1394.0</v>
      </c>
      <c r="O628" s="315">
        <f t="shared" si="70"/>
        <v>1009.6</v>
      </c>
      <c r="P628" s="344">
        <f t="shared" si="69"/>
        <v>805.6</v>
      </c>
      <c r="Q628" s="510">
        <v>140.0</v>
      </c>
      <c r="R628" s="672" t="b">
        <v>0</v>
      </c>
      <c r="S628" s="318"/>
      <c r="T628" s="347">
        <v>64.0</v>
      </c>
      <c r="U628" s="315"/>
      <c r="V628" s="144" t="s">
        <v>584</v>
      </c>
      <c r="W628" s="148"/>
      <c r="X628" s="163"/>
      <c r="Y628" s="144" t="s">
        <v>584</v>
      </c>
      <c r="Z628" s="10" t="s">
        <v>2159</v>
      </c>
      <c r="AA628" s="116"/>
      <c r="AB628" s="116"/>
      <c r="AC628" s="165"/>
      <c r="AD628" s="675" t="str">
        <f t="shared" si="66"/>
        <v>MARZO</v>
      </c>
      <c r="AE628" s="144" t="s">
        <v>1817</v>
      </c>
      <c r="AF628" s="149" t="b">
        <v>1</v>
      </c>
      <c r="AG628" s="144" t="s">
        <v>2067</v>
      </c>
      <c r="AH628" s="149" t="b">
        <v>0</v>
      </c>
      <c r="AI628" s="162"/>
      <c r="AJ628" s="143"/>
      <c r="AK628" s="143"/>
      <c r="AL628" s="143"/>
      <c r="AM628" s="143"/>
      <c r="AN628" s="143"/>
      <c r="AO628" s="143"/>
      <c r="AP628" s="143"/>
      <c r="AQ628" s="143"/>
    </row>
    <row r="629" ht="22.5" hidden="1" customHeight="1">
      <c r="A629" s="144" t="s">
        <v>259</v>
      </c>
      <c r="B629" s="145">
        <v>46102.0</v>
      </c>
      <c r="C629" s="338" t="s">
        <v>2160</v>
      </c>
      <c r="D629" s="864" t="s">
        <v>2161</v>
      </c>
      <c r="E629" s="731" t="s">
        <v>28</v>
      </c>
      <c r="F629" s="262" t="s">
        <v>2162</v>
      </c>
      <c r="G629" s="149" t="s">
        <v>2163</v>
      </c>
      <c r="H629" s="148" t="s">
        <v>257</v>
      </c>
      <c r="I629" s="150">
        <v>0.2</v>
      </c>
      <c r="J629" s="168">
        <v>1977.0</v>
      </c>
      <c r="K629" s="169">
        <f t="shared" si="68"/>
        <v>7910.3</v>
      </c>
      <c r="L629" s="170">
        <v>9887.3</v>
      </c>
      <c r="M629" s="239">
        <v>9570.0</v>
      </c>
      <c r="N629" s="155">
        <v>1899.0</v>
      </c>
      <c r="O629" s="315">
        <f t="shared" si="70"/>
        <v>317.3</v>
      </c>
      <c r="P629" s="344">
        <f t="shared" si="69"/>
        <v>217.3</v>
      </c>
      <c r="Q629" s="510">
        <v>100.0</v>
      </c>
      <c r="R629" s="672" t="b">
        <v>0</v>
      </c>
      <c r="S629" s="318"/>
      <c r="T629" s="319"/>
      <c r="U629" s="315"/>
      <c r="V629" s="144" t="s">
        <v>584</v>
      </c>
      <c r="W629" s="148"/>
      <c r="X629" s="163"/>
      <c r="Y629" s="144" t="s">
        <v>584</v>
      </c>
      <c r="Z629" s="10" t="s">
        <v>2164</v>
      </c>
      <c r="AA629" s="116"/>
      <c r="AB629" s="116"/>
      <c r="AC629" s="165"/>
      <c r="AD629" s="675" t="str">
        <f t="shared" si="66"/>
        <v>MARZO</v>
      </c>
      <c r="AE629" s="144" t="s">
        <v>1817</v>
      </c>
      <c r="AF629" s="149" t="b">
        <v>1</v>
      </c>
      <c r="AG629" s="144" t="s">
        <v>2080</v>
      </c>
      <c r="AH629" s="149" t="b">
        <v>0</v>
      </c>
      <c r="AI629" s="162"/>
      <c r="AJ629" s="143"/>
      <c r="AK629" s="143"/>
      <c r="AL629" s="143"/>
      <c r="AM629" s="143"/>
      <c r="AN629" s="143"/>
      <c r="AO629" s="143"/>
      <c r="AP629" s="143"/>
      <c r="AQ629" s="143"/>
    </row>
    <row r="630" ht="22.5" customHeight="1">
      <c r="A630" s="144" t="s">
        <v>1833</v>
      </c>
      <c r="B630" s="145">
        <v>46102.0</v>
      </c>
      <c r="C630" s="488" t="s">
        <v>2165</v>
      </c>
      <c r="D630" s="43" t="s">
        <v>2166</v>
      </c>
      <c r="E630" s="148" t="s">
        <v>28</v>
      </c>
      <c r="F630" s="246" t="s">
        <v>2167</v>
      </c>
      <c r="G630" s="149">
        <v>5.1958113731E10</v>
      </c>
      <c r="H630" s="148" t="s">
        <v>257</v>
      </c>
      <c r="I630" s="150">
        <v>0.2</v>
      </c>
      <c r="J630" s="168">
        <v>2400.0</v>
      </c>
      <c r="K630" s="169">
        <f t="shared" si="68"/>
        <v>5600</v>
      </c>
      <c r="L630" s="170">
        <v>8000.0</v>
      </c>
      <c r="M630" s="239">
        <v>7881.75</v>
      </c>
      <c r="N630" s="155">
        <v>1799.99</v>
      </c>
      <c r="O630" s="315">
        <f t="shared" si="70"/>
        <v>118.25</v>
      </c>
      <c r="P630" s="344">
        <f t="shared" si="69"/>
        <v>118.25</v>
      </c>
      <c r="Q630" s="321"/>
      <c r="R630" s="672" t="b">
        <v>0</v>
      </c>
      <c r="S630" s="318"/>
      <c r="T630" s="319"/>
      <c r="U630" s="315"/>
      <c r="V630" s="144" t="s">
        <v>584</v>
      </c>
      <c r="W630" s="148"/>
      <c r="X630" s="163"/>
      <c r="Y630" s="144" t="s">
        <v>584</v>
      </c>
      <c r="Z630" s="164"/>
      <c r="AA630" s="116"/>
      <c r="AB630" s="116"/>
      <c r="AC630" s="165"/>
      <c r="AD630" s="675" t="str">
        <f t="shared" si="66"/>
        <v>MARZO</v>
      </c>
      <c r="AE630" s="144" t="s">
        <v>1817</v>
      </c>
      <c r="AF630" s="149" t="b">
        <v>1</v>
      </c>
      <c r="AG630" s="144" t="s">
        <v>2080</v>
      </c>
      <c r="AH630" s="149" t="b">
        <v>0</v>
      </c>
      <c r="AI630" s="162"/>
      <c r="AJ630" s="143"/>
      <c r="AK630" s="143"/>
      <c r="AL630" s="143"/>
      <c r="AM630" s="143"/>
      <c r="AN630" s="143"/>
      <c r="AO630" s="143"/>
      <c r="AP630" s="143"/>
      <c r="AQ630" s="143"/>
    </row>
    <row r="631" ht="22.5" hidden="1" customHeight="1">
      <c r="A631" s="144" t="s">
        <v>259</v>
      </c>
      <c r="B631" s="145">
        <v>46102.0</v>
      </c>
      <c r="C631" s="149" t="s">
        <v>2168</v>
      </c>
      <c r="D631" s="208" t="s">
        <v>2169</v>
      </c>
      <c r="E631" s="731" t="s">
        <v>28</v>
      </c>
      <c r="F631" s="246" t="s">
        <v>2170</v>
      </c>
      <c r="G631" s="149">
        <v>5.1965633252E10</v>
      </c>
      <c r="H631" s="148" t="s">
        <v>257</v>
      </c>
      <c r="I631" s="150">
        <v>0.2</v>
      </c>
      <c r="J631" s="168">
        <v>1799.0</v>
      </c>
      <c r="K631" s="169">
        <f t="shared" si="68"/>
        <v>7200</v>
      </c>
      <c r="L631" s="170">
        <v>8999.0</v>
      </c>
      <c r="M631" s="239">
        <v>8681.0</v>
      </c>
      <c r="N631" s="155">
        <v>1899.0</v>
      </c>
      <c r="O631" s="315">
        <f t="shared" si="70"/>
        <v>318</v>
      </c>
      <c r="P631" s="344">
        <f t="shared" si="69"/>
        <v>178</v>
      </c>
      <c r="Q631" s="510">
        <v>140.0</v>
      </c>
      <c r="R631" s="672" t="b">
        <v>0</v>
      </c>
      <c r="S631" s="318"/>
      <c r="T631" s="319"/>
      <c r="U631" s="315"/>
      <c r="V631" s="144" t="s">
        <v>584</v>
      </c>
      <c r="W631" s="148"/>
      <c r="X631" s="163"/>
      <c r="Y631" s="144" t="s">
        <v>584</v>
      </c>
      <c r="Z631" s="164"/>
      <c r="AA631" s="116"/>
      <c r="AB631" s="116"/>
      <c r="AC631" s="165"/>
      <c r="AD631" s="675" t="str">
        <f t="shared" si="66"/>
        <v>MARZO</v>
      </c>
      <c r="AE631" s="144" t="s">
        <v>1817</v>
      </c>
      <c r="AF631" s="149" t="b">
        <v>1</v>
      </c>
      <c r="AG631" s="144" t="s">
        <v>2067</v>
      </c>
      <c r="AH631" s="149" t="b">
        <v>0</v>
      </c>
      <c r="AI631" s="162"/>
      <c r="AJ631" s="143"/>
      <c r="AK631" s="143"/>
      <c r="AL631" s="143"/>
      <c r="AM631" s="143"/>
      <c r="AN631" s="143"/>
      <c r="AO631" s="143"/>
      <c r="AP631" s="143"/>
      <c r="AQ631" s="143"/>
    </row>
    <row r="632" ht="22.5" customHeight="1">
      <c r="A632" s="144" t="s">
        <v>1824</v>
      </c>
      <c r="B632" s="974">
        <v>46103.0</v>
      </c>
      <c r="C632" s="149" t="s">
        <v>2171</v>
      </c>
      <c r="D632" s="208" t="s">
        <v>2172</v>
      </c>
      <c r="E632" s="148" t="s">
        <v>28</v>
      </c>
      <c r="F632" s="262" t="s">
        <v>2173</v>
      </c>
      <c r="G632" s="149">
        <v>5.1921561149E10</v>
      </c>
      <c r="H632" s="148" t="s">
        <v>257</v>
      </c>
      <c r="I632" s="150">
        <v>0.5</v>
      </c>
      <c r="J632" s="168">
        <v>7800.0</v>
      </c>
      <c r="K632" s="169">
        <f t="shared" si="68"/>
        <v>7699</v>
      </c>
      <c r="L632" s="170">
        <v>15499.0</v>
      </c>
      <c r="M632" s="239">
        <v>15201.29</v>
      </c>
      <c r="N632" s="155">
        <v>3499.99</v>
      </c>
      <c r="O632" s="315">
        <f t="shared" si="70"/>
        <v>297.71</v>
      </c>
      <c r="P632" s="344">
        <f t="shared" si="69"/>
        <v>197.71</v>
      </c>
      <c r="Q632" s="510">
        <v>100.0</v>
      </c>
      <c r="R632" s="672" t="b">
        <v>0</v>
      </c>
      <c r="S632" s="318"/>
      <c r="T632" s="319"/>
      <c r="U632" s="315"/>
      <c r="V632" s="144" t="s">
        <v>584</v>
      </c>
      <c r="W632" s="148"/>
      <c r="X632" s="163"/>
      <c r="Y632" s="144" t="s">
        <v>584</v>
      </c>
      <c r="Z632" s="164"/>
      <c r="AA632" s="116"/>
      <c r="AB632" s="116"/>
      <c r="AC632" s="165"/>
      <c r="AD632" s="675" t="str">
        <f t="shared" si="66"/>
        <v>MARZO</v>
      </c>
      <c r="AE632" s="144" t="s">
        <v>1817</v>
      </c>
      <c r="AF632" s="149" t="b">
        <v>1</v>
      </c>
      <c r="AG632" s="144" t="s">
        <v>2067</v>
      </c>
      <c r="AH632" s="149" t="b">
        <v>0</v>
      </c>
      <c r="AI632" s="162"/>
      <c r="AJ632" s="143"/>
      <c r="AK632" s="143"/>
      <c r="AL632" s="143"/>
      <c r="AM632" s="143"/>
      <c r="AN632" s="143"/>
      <c r="AO632" s="143"/>
      <c r="AP632" s="143"/>
      <c r="AQ632" s="143"/>
    </row>
    <row r="633" ht="22.5" customHeight="1">
      <c r="A633" s="144" t="s">
        <v>162</v>
      </c>
      <c r="B633" s="145">
        <v>46104.0</v>
      </c>
      <c r="C633" s="975" t="s">
        <v>2174</v>
      </c>
      <c r="D633" s="571" t="s">
        <v>2175</v>
      </c>
      <c r="E633" s="731" t="s">
        <v>28</v>
      </c>
      <c r="F633" s="262" t="s">
        <v>2176</v>
      </c>
      <c r="G633" s="149">
        <v>5.1993138411E10</v>
      </c>
      <c r="H633" s="148" t="s">
        <v>257</v>
      </c>
      <c r="I633" s="148" t="s">
        <v>61</v>
      </c>
      <c r="J633" s="168">
        <v>6020.0</v>
      </c>
      <c r="K633" s="169">
        <f t="shared" si="68"/>
        <v>6079</v>
      </c>
      <c r="L633" s="170">
        <v>12099.0</v>
      </c>
      <c r="M633" s="239">
        <v>10170.48</v>
      </c>
      <c r="N633" s="155">
        <v>2294.96</v>
      </c>
      <c r="O633" s="315">
        <f t="shared" si="70"/>
        <v>1928.52</v>
      </c>
      <c r="P633" s="344">
        <f t="shared" si="69"/>
        <v>1583.52</v>
      </c>
      <c r="Q633" s="510">
        <v>295.0</v>
      </c>
      <c r="R633" s="672" t="b">
        <v>0</v>
      </c>
      <c r="S633" s="318"/>
      <c r="T633" s="319"/>
      <c r="U633" s="343">
        <v>50.0</v>
      </c>
      <c r="V633" s="144" t="s">
        <v>584</v>
      </c>
      <c r="W633" s="148"/>
      <c r="X633" s="163"/>
      <c r="Y633" s="144" t="s">
        <v>584</v>
      </c>
      <c r="Z633" s="10" t="s">
        <v>2177</v>
      </c>
      <c r="AA633" s="116"/>
      <c r="AB633" s="116"/>
      <c r="AC633" s="165"/>
      <c r="AD633" s="675" t="str">
        <f t="shared" si="66"/>
        <v>MARZO</v>
      </c>
      <c r="AE633" s="144" t="s">
        <v>1817</v>
      </c>
      <c r="AF633" s="149" t="b">
        <v>1</v>
      </c>
      <c r="AG633" s="144" t="s">
        <v>2080</v>
      </c>
      <c r="AH633" s="149" t="b">
        <v>0</v>
      </c>
      <c r="AI633" s="162"/>
      <c r="AJ633" s="143"/>
      <c r="AK633" s="143"/>
      <c r="AL633" s="143"/>
      <c r="AM633" s="143"/>
      <c r="AN633" s="143"/>
      <c r="AO633" s="143"/>
      <c r="AP633" s="143"/>
      <c r="AQ633" s="143"/>
    </row>
    <row r="634" ht="22.5" customHeight="1">
      <c r="A634" s="144" t="s">
        <v>162</v>
      </c>
      <c r="B634" s="145">
        <v>46104.0</v>
      </c>
      <c r="C634" s="353" t="s">
        <v>2178</v>
      </c>
      <c r="D634" s="208" t="s">
        <v>2179</v>
      </c>
      <c r="E634" s="731" t="s">
        <v>28</v>
      </c>
      <c r="F634" s="262" t="s">
        <v>2180</v>
      </c>
      <c r="G634" s="149" t="s">
        <v>2181</v>
      </c>
      <c r="H634" s="148" t="s">
        <v>257</v>
      </c>
      <c r="I634" s="150">
        <v>0.5</v>
      </c>
      <c r="J634" s="168">
        <v>7749.5</v>
      </c>
      <c r="K634" s="169">
        <f t="shared" si="68"/>
        <v>7749.5</v>
      </c>
      <c r="L634" s="170">
        <v>15499.0</v>
      </c>
      <c r="M634" s="239">
        <v>15201.29</v>
      </c>
      <c r="N634" s="155">
        <v>3499.99</v>
      </c>
      <c r="O634" s="315">
        <f t="shared" si="70"/>
        <v>297.71</v>
      </c>
      <c r="P634" s="344">
        <f t="shared" si="69"/>
        <v>57.71</v>
      </c>
      <c r="Q634" s="510">
        <v>240.0</v>
      </c>
      <c r="R634" s="672" t="b">
        <v>0</v>
      </c>
      <c r="S634" s="318"/>
      <c r="T634" s="319"/>
      <c r="U634" s="315"/>
      <c r="V634" s="144" t="s">
        <v>584</v>
      </c>
      <c r="W634" s="148"/>
      <c r="X634" s="163"/>
      <c r="Y634" s="144" t="s">
        <v>584</v>
      </c>
      <c r="Z634" s="164"/>
      <c r="AA634" s="116"/>
      <c r="AB634" s="116"/>
      <c r="AC634" s="165"/>
      <c r="AD634" s="675" t="str">
        <f t="shared" si="66"/>
        <v>MARZO</v>
      </c>
      <c r="AE634" s="144" t="s">
        <v>1817</v>
      </c>
      <c r="AF634" s="149" t="b">
        <v>1</v>
      </c>
      <c r="AG634" s="144" t="s">
        <v>2067</v>
      </c>
      <c r="AH634" s="149" t="b">
        <v>0</v>
      </c>
      <c r="AI634" s="162"/>
      <c r="AJ634" s="143"/>
      <c r="AK634" s="143"/>
      <c r="AL634" s="143"/>
      <c r="AM634" s="143"/>
      <c r="AN634" s="143"/>
      <c r="AO634" s="143"/>
      <c r="AP634" s="143"/>
      <c r="AQ634" s="143"/>
    </row>
    <row r="635" ht="22.5" customHeight="1">
      <c r="A635" s="144" t="s">
        <v>1833</v>
      </c>
      <c r="B635" s="145">
        <v>46104.0</v>
      </c>
      <c r="C635" s="149" t="s">
        <v>879</v>
      </c>
      <c r="D635" s="396" t="s">
        <v>2182</v>
      </c>
      <c r="E635" s="148" t="s">
        <v>28</v>
      </c>
      <c r="F635" s="262" t="s">
        <v>2183</v>
      </c>
      <c r="G635" s="149">
        <v>5.1945164387E10</v>
      </c>
      <c r="H635" s="148" t="s">
        <v>257</v>
      </c>
      <c r="I635" s="150">
        <v>0.2</v>
      </c>
      <c r="J635" s="168">
        <v>1319.8</v>
      </c>
      <c r="K635" s="169">
        <f t="shared" si="68"/>
        <v>5279.2</v>
      </c>
      <c r="L635" s="170">
        <v>6599.0</v>
      </c>
      <c r="M635" s="239">
        <v>6413.0</v>
      </c>
      <c r="N635" s="155">
        <v>1299.99</v>
      </c>
      <c r="O635" s="315">
        <f t="shared" si="70"/>
        <v>186</v>
      </c>
      <c r="P635" s="344">
        <f t="shared" si="69"/>
        <v>86</v>
      </c>
      <c r="Q635" s="510">
        <v>100.0</v>
      </c>
      <c r="R635" s="672" t="b">
        <v>0</v>
      </c>
      <c r="S635" s="318"/>
      <c r="T635" s="319"/>
      <c r="U635" s="315"/>
      <c r="V635" s="144" t="s">
        <v>584</v>
      </c>
      <c r="W635" s="148"/>
      <c r="X635" s="163"/>
      <c r="Y635" s="162"/>
      <c r="Z635" s="164"/>
      <c r="AA635" s="116"/>
      <c r="AB635" s="116"/>
      <c r="AC635" s="165"/>
      <c r="AD635" s="675" t="str">
        <f t="shared" si="66"/>
        <v>MARZO</v>
      </c>
      <c r="AE635" s="144" t="s">
        <v>1817</v>
      </c>
      <c r="AF635" s="149" t="b">
        <v>1</v>
      </c>
      <c r="AG635" s="144" t="s">
        <v>2080</v>
      </c>
      <c r="AH635" s="149" t="b">
        <v>0</v>
      </c>
      <c r="AI635" s="162"/>
      <c r="AJ635" s="143"/>
      <c r="AK635" s="143"/>
      <c r="AL635" s="143"/>
      <c r="AM635" s="143"/>
      <c r="AN635" s="143"/>
      <c r="AO635" s="143"/>
      <c r="AP635" s="143"/>
      <c r="AQ635" s="143"/>
    </row>
    <row r="636" ht="22.5" customHeight="1">
      <c r="A636" s="144" t="s">
        <v>1833</v>
      </c>
      <c r="B636" s="145">
        <v>46105.0</v>
      </c>
      <c r="C636" s="976" t="s">
        <v>879</v>
      </c>
      <c r="D636" s="968" t="s">
        <v>2184</v>
      </c>
      <c r="E636" s="148" t="s">
        <v>28</v>
      </c>
      <c r="F636" s="262" t="s">
        <v>2185</v>
      </c>
      <c r="G636" s="149">
        <v>5.1960167859E10</v>
      </c>
      <c r="H636" s="148" t="s">
        <v>257</v>
      </c>
      <c r="I636" s="150">
        <v>0.2</v>
      </c>
      <c r="J636" s="168">
        <v>1400.81</v>
      </c>
      <c r="K636" s="169">
        <f t="shared" si="68"/>
        <v>5703.21</v>
      </c>
      <c r="L636" s="170">
        <v>7104.02</v>
      </c>
      <c r="M636" s="239">
        <v>7004.02</v>
      </c>
      <c r="N636" s="155">
        <v>1299.99</v>
      </c>
      <c r="O636" s="315">
        <f t="shared" si="70"/>
        <v>100</v>
      </c>
      <c r="P636" s="344">
        <f t="shared" si="69"/>
        <v>0</v>
      </c>
      <c r="Q636" s="510">
        <v>100.0</v>
      </c>
      <c r="R636" s="672" t="b">
        <v>0</v>
      </c>
      <c r="S636" s="318"/>
      <c r="T636" s="319"/>
      <c r="U636" s="315"/>
      <c r="V636" s="144" t="s">
        <v>584</v>
      </c>
      <c r="W636" s="148"/>
      <c r="X636" s="163"/>
      <c r="Y636" s="144" t="s">
        <v>584</v>
      </c>
      <c r="Z636" s="10" t="s">
        <v>2186</v>
      </c>
      <c r="AA636" s="116"/>
      <c r="AB636" s="116"/>
      <c r="AC636" s="165"/>
      <c r="AD636" s="675" t="str">
        <f t="shared" si="66"/>
        <v>MARZO</v>
      </c>
      <c r="AE636" s="144" t="s">
        <v>1817</v>
      </c>
      <c r="AF636" s="149" t="b">
        <v>1</v>
      </c>
      <c r="AG636" s="144" t="s">
        <v>2080</v>
      </c>
      <c r="AH636" s="149" t="b">
        <v>0</v>
      </c>
      <c r="AI636" s="162"/>
      <c r="AJ636" s="143"/>
      <c r="AK636" s="143"/>
      <c r="AL636" s="143"/>
      <c r="AM636" s="143"/>
      <c r="AN636" s="143"/>
      <c r="AO636" s="143"/>
      <c r="AP636" s="143"/>
      <c r="AQ636" s="143"/>
    </row>
    <row r="637" ht="22.5" customHeight="1">
      <c r="A637" s="144" t="s">
        <v>1833</v>
      </c>
      <c r="B637" s="145">
        <v>46105.0</v>
      </c>
      <c r="C637" s="149" t="s">
        <v>2187</v>
      </c>
      <c r="D637" s="43" t="s">
        <v>2188</v>
      </c>
      <c r="E637" s="731" t="s">
        <v>28</v>
      </c>
      <c r="F637" s="262" t="s">
        <v>2189</v>
      </c>
      <c r="G637" s="149">
        <v>5.194393418E10</v>
      </c>
      <c r="H637" s="148" t="s">
        <v>257</v>
      </c>
      <c r="I637" s="148" t="s">
        <v>61</v>
      </c>
      <c r="J637" s="168">
        <v>2000.0</v>
      </c>
      <c r="K637" s="169">
        <f t="shared" si="68"/>
        <v>7399</v>
      </c>
      <c r="L637" s="170">
        <v>9399.0</v>
      </c>
      <c r="M637" s="239">
        <v>9135.0</v>
      </c>
      <c r="N637" s="155">
        <v>1999.99</v>
      </c>
      <c r="O637" s="315">
        <f t="shared" si="70"/>
        <v>264</v>
      </c>
      <c r="P637" s="344">
        <f t="shared" si="69"/>
        <v>164</v>
      </c>
      <c r="Q637" s="510">
        <v>100.0</v>
      </c>
      <c r="R637" s="672" t="b">
        <v>0</v>
      </c>
      <c r="S637" s="318"/>
      <c r="T637" s="319"/>
      <c r="U637" s="315"/>
      <c r="V637" s="144" t="s">
        <v>584</v>
      </c>
      <c r="W637" s="148"/>
      <c r="X637" s="163"/>
      <c r="Y637" s="144" t="s">
        <v>584</v>
      </c>
      <c r="Z637" s="164"/>
      <c r="AA637" s="116"/>
      <c r="AB637" s="116"/>
      <c r="AC637" s="165"/>
      <c r="AD637" s="675" t="str">
        <f t="shared" si="66"/>
        <v>MARZO</v>
      </c>
      <c r="AE637" s="144" t="s">
        <v>1817</v>
      </c>
      <c r="AF637" s="149" t="b">
        <v>1</v>
      </c>
      <c r="AG637" s="144" t="s">
        <v>2080</v>
      </c>
      <c r="AH637" s="149" t="b">
        <v>0</v>
      </c>
      <c r="AI637" s="162"/>
      <c r="AJ637" s="143"/>
      <c r="AK637" s="143"/>
      <c r="AL637" s="143"/>
      <c r="AM637" s="143"/>
      <c r="AN637" s="143"/>
      <c r="AO637" s="143"/>
      <c r="AP637" s="143"/>
      <c r="AQ637" s="143"/>
    </row>
    <row r="638" ht="22.5" customHeight="1">
      <c r="A638" s="144" t="s">
        <v>1833</v>
      </c>
      <c r="B638" s="145">
        <v>46106.0</v>
      </c>
      <c r="C638" s="149" t="s">
        <v>2190</v>
      </c>
      <c r="D638" s="396" t="s">
        <v>2191</v>
      </c>
      <c r="E638" s="148" t="s">
        <v>28</v>
      </c>
      <c r="F638" s="246" t="s">
        <v>2192</v>
      </c>
      <c r="G638" s="149">
        <v>5.1912509258E10</v>
      </c>
      <c r="H638" s="148" t="s">
        <v>257</v>
      </c>
      <c r="I638" s="150">
        <v>0.2</v>
      </c>
      <c r="J638" s="168">
        <v>1099.8</v>
      </c>
      <c r="K638" s="169">
        <f t="shared" si="68"/>
        <v>4399.2</v>
      </c>
      <c r="L638" s="170">
        <v>5499.0</v>
      </c>
      <c r="M638" s="239">
        <v>5132.0</v>
      </c>
      <c r="N638" s="155">
        <v>1099.0</v>
      </c>
      <c r="O638" s="315">
        <f t="shared" si="70"/>
        <v>367</v>
      </c>
      <c r="P638" s="344">
        <f t="shared" si="69"/>
        <v>367</v>
      </c>
      <c r="Q638" s="321"/>
      <c r="R638" s="672" t="b">
        <v>0</v>
      </c>
      <c r="S638" s="318"/>
      <c r="T638" s="319"/>
      <c r="U638" s="315"/>
      <c r="V638" s="144" t="s">
        <v>584</v>
      </c>
      <c r="W638" s="148"/>
      <c r="X638" s="163"/>
      <c r="Y638" s="144" t="s">
        <v>584</v>
      </c>
      <c r="Z638" s="164"/>
      <c r="AA638" s="116"/>
      <c r="AB638" s="116"/>
      <c r="AC638" s="165"/>
      <c r="AD638" s="675" t="str">
        <f t="shared" si="66"/>
        <v>MARZO</v>
      </c>
      <c r="AE638" s="144" t="s">
        <v>2080</v>
      </c>
      <c r="AF638" s="149" t="b">
        <v>1</v>
      </c>
      <c r="AG638" s="144" t="s">
        <v>2067</v>
      </c>
      <c r="AH638" s="149" t="b">
        <v>0</v>
      </c>
      <c r="AI638" s="162"/>
      <c r="AJ638" s="143"/>
      <c r="AK638" s="143"/>
      <c r="AL638" s="143"/>
      <c r="AM638" s="143"/>
      <c r="AN638" s="143"/>
      <c r="AO638" s="143"/>
      <c r="AP638" s="143"/>
      <c r="AQ638" s="143"/>
    </row>
    <row r="639" ht="22.5" customHeight="1">
      <c r="A639" s="144" t="s">
        <v>162</v>
      </c>
      <c r="B639" s="145">
        <v>46106.0</v>
      </c>
      <c r="C639" s="149" t="s">
        <v>2193</v>
      </c>
      <c r="D639" s="208" t="s">
        <v>2194</v>
      </c>
      <c r="E639" s="148" t="s">
        <v>28</v>
      </c>
      <c r="F639" s="149" t="s">
        <v>2195</v>
      </c>
      <c r="G639" s="149">
        <v>5.1976016405E10</v>
      </c>
      <c r="H639" s="148" t="s">
        <v>257</v>
      </c>
      <c r="I639" s="150">
        <v>0.2</v>
      </c>
      <c r="J639" s="168">
        <v>1160.0</v>
      </c>
      <c r="K639" s="169">
        <f t="shared" si="68"/>
        <v>4639</v>
      </c>
      <c r="L639" s="170">
        <v>5799.0</v>
      </c>
      <c r="M639" s="239">
        <v>5492.0</v>
      </c>
      <c r="N639" s="155">
        <v>1259.99</v>
      </c>
      <c r="O639" s="315">
        <f t="shared" si="70"/>
        <v>307</v>
      </c>
      <c r="P639" s="344">
        <f t="shared" si="69"/>
        <v>82</v>
      </c>
      <c r="Q639" s="510">
        <v>225.0</v>
      </c>
      <c r="R639" s="672" t="b">
        <v>0</v>
      </c>
      <c r="S639" s="318"/>
      <c r="T639" s="319"/>
      <c r="U639" s="315"/>
      <c r="V639" s="144" t="s">
        <v>584</v>
      </c>
      <c r="W639" s="148"/>
      <c r="X639" s="163"/>
      <c r="Y639" s="162"/>
      <c r="Z639" s="164"/>
      <c r="AA639" s="116"/>
      <c r="AB639" s="116"/>
      <c r="AC639" s="165"/>
      <c r="AD639" s="675" t="str">
        <f t="shared" si="66"/>
        <v>MARZO</v>
      </c>
      <c r="AE639" s="144" t="s">
        <v>1817</v>
      </c>
      <c r="AF639" s="149" t="b">
        <v>1</v>
      </c>
      <c r="AG639" s="144" t="s">
        <v>2080</v>
      </c>
      <c r="AH639" s="149" t="b">
        <v>0</v>
      </c>
      <c r="AI639" s="162"/>
      <c r="AJ639" s="143"/>
      <c r="AK639" s="143"/>
      <c r="AL639" s="143"/>
      <c r="AM639" s="143"/>
      <c r="AN639" s="143"/>
      <c r="AO639" s="143"/>
      <c r="AP639" s="143"/>
      <c r="AQ639" s="143"/>
    </row>
    <row r="640" ht="22.5" customHeight="1">
      <c r="A640" s="144" t="s">
        <v>162</v>
      </c>
      <c r="B640" s="145">
        <v>46107.0</v>
      </c>
      <c r="C640" s="488" t="s">
        <v>2196</v>
      </c>
      <c r="D640" s="208" t="s">
        <v>2197</v>
      </c>
      <c r="E640" s="148" t="s">
        <v>28</v>
      </c>
      <c r="F640" s="262" t="s">
        <v>2198</v>
      </c>
      <c r="G640" s="149">
        <v>5.1953764468E10</v>
      </c>
      <c r="H640" s="148" t="s">
        <v>257</v>
      </c>
      <c r="I640" s="150">
        <v>0.3</v>
      </c>
      <c r="J640" s="168">
        <v>3000.0</v>
      </c>
      <c r="K640" s="169">
        <f t="shared" si="68"/>
        <v>5199</v>
      </c>
      <c r="L640" s="170">
        <v>8199.0</v>
      </c>
      <c r="M640" s="239">
        <v>7776.24</v>
      </c>
      <c r="N640" s="155">
        <v>1799.99</v>
      </c>
      <c r="O640" s="315">
        <f t="shared" si="70"/>
        <v>422.76</v>
      </c>
      <c r="P640" s="344">
        <f t="shared" si="69"/>
        <v>182.76</v>
      </c>
      <c r="Q640" s="510">
        <v>240.0</v>
      </c>
      <c r="R640" s="672" t="b">
        <v>0</v>
      </c>
      <c r="S640" s="318"/>
      <c r="T640" s="319"/>
      <c r="U640" s="315"/>
      <c r="V640" s="144" t="s">
        <v>584</v>
      </c>
      <c r="W640" s="148"/>
      <c r="X640" s="163"/>
      <c r="Y640" s="144" t="s">
        <v>584</v>
      </c>
      <c r="Z640" s="10"/>
      <c r="AA640" s="116"/>
      <c r="AB640" s="116"/>
      <c r="AC640" s="165"/>
      <c r="AD640" s="675" t="str">
        <f t="shared" si="66"/>
        <v>MARZO</v>
      </c>
      <c r="AE640" s="144" t="s">
        <v>2080</v>
      </c>
      <c r="AF640" s="149" t="b">
        <v>1</v>
      </c>
      <c r="AG640" s="144" t="s">
        <v>2067</v>
      </c>
      <c r="AH640" s="149" t="b">
        <v>0</v>
      </c>
      <c r="AI640" s="162"/>
      <c r="AJ640" s="143"/>
      <c r="AK640" s="143"/>
      <c r="AL640" s="143"/>
      <c r="AM640" s="143"/>
      <c r="AN640" s="143"/>
      <c r="AO640" s="143"/>
      <c r="AP640" s="143"/>
      <c r="AQ640" s="143"/>
    </row>
    <row r="641" ht="24.0" customHeight="1">
      <c r="A641" s="144" t="s">
        <v>162</v>
      </c>
      <c r="B641" s="145">
        <v>46107.0</v>
      </c>
      <c r="C641" s="977" t="s">
        <v>2193</v>
      </c>
      <c r="D641" s="208" t="s">
        <v>2199</v>
      </c>
      <c r="E641" s="148" t="s">
        <v>28</v>
      </c>
      <c r="F641" s="149" t="s">
        <v>2200</v>
      </c>
      <c r="G641" s="149">
        <v>5.1956304099E10</v>
      </c>
      <c r="H641" s="148" t="s">
        <v>257</v>
      </c>
      <c r="I641" s="150">
        <v>0.2</v>
      </c>
      <c r="J641" s="168">
        <v>1129.0</v>
      </c>
      <c r="K641" s="169">
        <f t="shared" si="68"/>
        <v>4520</v>
      </c>
      <c r="L641" s="170">
        <v>5649.0</v>
      </c>
      <c r="M641" s="239">
        <v>5492.0</v>
      </c>
      <c r="N641" s="155">
        <v>1259.99</v>
      </c>
      <c r="O641" s="315">
        <f t="shared" si="70"/>
        <v>157</v>
      </c>
      <c r="P641" s="344">
        <f t="shared" si="69"/>
        <v>17</v>
      </c>
      <c r="Q641" s="510">
        <v>140.0</v>
      </c>
      <c r="R641" s="672" t="b">
        <v>0</v>
      </c>
      <c r="S641" s="318"/>
      <c r="T641" s="319"/>
      <c r="U641" s="315"/>
      <c r="V641" s="144" t="s">
        <v>584</v>
      </c>
      <c r="W641" s="148"/>
      <c r="X641" s="163"/>
      <c r="Y641" s="162"/>
      <c r="Z641" s="164"/>
      <c r="AA641" s="116"/>
      <c r="AB641" s="116"/>
      <c r="AC641" s="165"/>
      <c r="AD641" s="675" t="str">
        <f t="shared" si="66"/>
        <v>MARZO</v>
      </c>
      <c r="AE641" s="144" t="s">
        <v>1817</v>
      </c>
      <c r="AF641" s="149" t="b">
        <v>1</v>
      </c>
      <c r="AG641" s="144" t="s">
        <v>2080</v>
      </c>
      <c r="AH641" s="149" t="b">
        <v>0</v>
      </c>
      <c r="AI641" s="162"/>
      <c r="AJ641" s="143"/>
      <c r="AK641" s="143"/>
      <c r="AL641" s="143"/>
      <c r="AM641" s="143"/>
      <c r="AN641" s="143"/>
      <c r="AO641" s="143"/>
      <c r="AP641" s="143"/>
      <c r="AQ641" s="143"/>
    </row>
    <row r="642" ht="22.5" customHeight="1">
      <c r="A642" s="144" t="s">
        <v>1833</v>
      </c>
      <c r="B642" s="145">
        <v>46107.0</v>
      </c>
      <c r="C642" s="978" t="s">
        <v>2086</v>
      </c>
      <c r="D642" s="208" t="s">
        <v>2201</v>
      </c>
      <c r="E642" s="148" t="s">
        <v>28</v>
      </c>
      <c r="F642" s="489" t="s">
        <v>2202</v>
      </c>
      <c r="G642" s="149">
        <v>1.8082151349E10</v>
      </c>
      <c r="H642" s="148" t="s">
        <v>257</v>
      </c>
      <c r="I642" s="150">
        <v>0.2</v>
      </c>
      <c r="J642" s="168">
        <v>1519.8</v>
      </c>
      <c r="K642" s="169">
        <f t="shared" si="68"/>
        <v>6428.2</v>
      </c>
      <c r="L642" s="170">
        <v>7948.0</v>
      </c>
      <c r="M642" s="239">
        <v>7294.0</v>
      </c>
      <c r="N642" s="155">
        <v>1499.99</v>
      </c>
      <c r="O642" s="315">
        <f t="shared" si="70"/>
        <v>654</v>
      </c>
      <c r="P642" s="344">
        <f t="shared" si="69"/>
        <v>205</v>
      </c>
      <c r="Q642" s="510">
        <v>100.0</v>
      </c>
      <c r="R642" s="672" t="b">
        <v>0</v>
      </c>
      <c r="S642" s="346">
        <v>349.0</v>
      </c>
      <c r="T642" s="319"/>
      <c r="U642" s="315"/>
      <c r="V642" s="144" t="s">
        <v>584</v>
      </c>
      <c r="W642" s="148"/>
      <c r="X642" s="163"/>
      <c r="Y642" s="162"/>
      <c r="Z642" s="164"/>
      <c r="AA642" s="116"/>
      <c r="AB642" s="116"/>
      <c r="AC642" s="165"/>
      <c r="AD642" s="675" t="str">
        <f t="shared" si="66"/>
        <v>MARZO</v>
      </c>
      <c r="AE642" s="144" t="s">
        <v>1817</v>
      </c>
      <c r="AF642" s="149" t="b">
        <v>1</v>
      </c>
      <c r="AG642" s="144" t="s">
        <v>2067</v>
      </c>
      <c r="AH642" s="149" t="b">
        <v>0</v>
      </c>
      <c r="AI642" s="162"/>
      <c r="AJ642" s="143"/>
      <c r="AK642" s="143"/>
      <c r="AL642" s="143"/>
      <c r="AM642" s="143"/>
      <c r="AN642" s="143"/>
      <c r="AO642" s="143"/>
      <c r="AP642" s="143"/>
      <c r="AQ642" s="143"/>
    </row>
    <row r="643" ht="22.5" customHeight="1">
      <c r="A643" s="144" t="s">
        <v>1833</v>
      </c>
      <c r="B643" s="145">
        <v>46108.0</v>
      </c>
      <c r="C643" s="978" t="s">
        <v>2086</v>
      </c>
      <c r="D643" s="923" t="s">
        <v>2203</v>
      </c>
      <c r="E643" s="148" t="s">
        <v>28</v>
      </c>
      <c r="F643" s="246" t="s">
        <v>2204</v>
      </c>
      <c r="G643" s="149">
        <v>5.1989420411E10</v>
      </c>
      <c r="H643" s="148" t="s">
        <v>257</v>
      </c>
      <c r="I643" s="150">
        <v>0.2</v>
      </c>
      <c r="J643" s="168">
        <v>1499.8</v>
      </c>
      <c r="K643" s="169">
        <f t="shared" si="68"/>
        <v>5999.2</v>
      </c>
      <c r="L643" s="170">
        <v>7499.0</v>
      </c>
      <c r="M643" s="239">
        <v>7318.89</v>
      </c>
      <c r="N643" s="155">
        <v>1499.99</v>
      </c>
      <c r="O643" s="315">
        <f t="shared" si="70"/>
        <v>180.11</v>
      </c>
      <c r="P643" s="344">
        <f t="shared" si="69"/>
        <v>80.11</v>
      </c>
      <c r="Q643" s="510">
        <v>100.0</v>
      </c>
      <c r="R643" s="672" t="b">
        <v>0</v>
      </c>
      <c r="S643" s="318"/>
      <c r="T643" s="319"/>
      <c r="U643" s="315"/>
      <c r="V643" s="144" t="s">
        <v>584</v>
      </c>
      <c r="W643" s="148"/>
      <c r="X643" s="163"/>
      <c r="Y643" s="144" t="s">
        <v>584</v>
      </c>
      <c r="Z643" s="164"/>
      <c r="AA643" s="116"/>
      <c r="AB643" s="116"/>
      <c r="AC643" s="165"/>
      <c r="AD643" s="675" t="str">
        <f t="shared" si="66"/>
        <v>MARZO</v>
      </c>
      <c r="AE643" s="144" t="s">
        <v>2080</v>
      </c>
      <c r="AF643" s="149" t="b">
        <v>1</v>
      </c>
      <c r="AG643" s="144" t="s">
        <v>2067</v>
      </c>
      <c r="AH643" s="149" t="b">
        <v>0</v>
      </c>
      <c r="AI643" s="162"/>
      <c r="AJ643" s="143"/>
      <c r="AK643" s="143"/>
      <c r="AL643" s="143"/>
      <c r="AM643" s="143"/>
      <c r="AN643" s="143"/>
      <c r="AO643" s="143"/>
      <c r="AP643" s="143"/>
      <c r="AQ643" s="143"/>
    </row>
    <row r="644" ht="22.5" hidden="1" customHeight="1">
      <c r="A644" s="144" t="s">
        <v>259</v>
      </c>
      <c r="B644" s="145">
        <v>46108.0</v>
      </c>
      <c r="C644" s="979" t="s">
        <v>2193</v>
      </c>
      <c r="D644" s="980" t="s">
        <v>2205</v>
      </c>
      <c r="E644" s="148" t="s">
        <v>28</v>
      </c>
      <c r="F644" s="262" t="s">
        <v>2206</v>
      </c>
      <c r="G644" s="149">
        <v>5.1993670536E10</v>
      </c>
      <c r="H644" s="148" t="s">
        <v>257</v>
      </c>
      <c r="I644" s="150">
        <v>0.2</v>
      </c>
      <c r="J644" s="168">
        <v>1150.0</v>
      </c>
      <c r="K644" s="169">
        <f t="shared" si="68"/>
        <v>4649</v>
      </c>
      <c r="L644" s="170">
        <v>5799.0</v>
      </c>
      <c r="M644" s="239">
        <v>5556.0</v>
      </c>
      <c r="N644" s="155">
        <v>1259.99</v>
      </c>
      <c r="O644" s="315">
        <f t="shared" si="70"/>
        <v>243</v>
      </c>
      <c r="P644" s="344">
        <f t="shared" si="69"/>
        <v>143</v>
      </c>
      <c r="Q644" s="510">
        <v>100.0</v>
      </c>
      <c r="R644" s="672" t="b">
        <v>0</v>
      </c>
      <c r="S644" s="318"/>
      <c r="T644" s="319"/>
      <c r="U644" s="315"/>
      <c r="V644" s="144" t="s">
        <v>584</v>
      </c>
      <c r="W644" s="148"/>
      <c r="X644" s="163"/>
      <c r="Y644" s="162"/>
      <c r="Z644" s="164"/>
      <c r="AA644" s="116"/>
      <c r="AB644" s="116"/>
      <c r="AC644" s="165"/>
      <c r="AD644" s="675" t="str">
        <f t="shared" si="66"/>
        <v>MARZO</v>
      </c>
      <c r="AE644" s="144" t="s">
        <v>1817</v>
      </c>
      <c r="AF644" s="149" t="b">
        <v>1</v>
      </c>
      <c r="AG644" s="144" t="s">
        <v>2067</v>
      </c>
      <c r="AH644" s="149" t="b">
        <v>0</v>
      </c>
      <c r="AI644" s="162"/>
      <c r="AJ644" s="143"/>
      <c r="AK644" s="143"/>
      <c r="AL644" s="143"/>
      <c r="AM644" s="143"/>
      <c r="AN644" s="143"/>
      <c r="AO644" s="143"/>
      <c r="AP644" s="143"/>
      <c r="AQ644" s="143"/>
    </row>
    <row r="645" ht="22.5" customHeight="1">
      <c r="A645" s="144" t="s">
        <v>162</v>
      </c>
      <c r="B645" s="145">
        <v>46109.0</v>
      </c>
      <c r="C645" s="149" t="s">
        <v>918</v>
      </c>
      <c r="D645" s="208" t="s">
        <v>2207</v>
      </c>
      <c r="E645" s="148" t="s">
        <v>28</v>
      </c>
      <c r="F645" s="149" t="s">
        <v>2208</v>
      </c>
      <c r="G645" s="149">
        <v>5.1972759568E10</v>
      </c>
      <c r="H645" s="148" t="s">
        <v>257</v>
      </c>
      <c r="I645" s="148" t="s">
        <v>61</v>
      </c>
      <c r="J645" s="168">
        <v>300.0</v>
      </c>
      <c r="K645" s="169">
        <f t="shared" si="68"/>
        <v>5599</v>
      </c>
      <c r="L645" s="170">
        <v>5899.0</v>
      </c>
      <c r="M645" s="239">
        <v>5778.0</v>
      </c>
      <c r="N645" s="155">
        <v>1299.99</v>
      </c>
      <c r="O645" s="315">
        <f t="shared" si="70"/>
        <v>121</v>
      </c>
      <c r="P645" s="344">
        <f t="shared" si="69"/>
        <v>21</v>
      </c>
      <c r="Q645" s="510">
        <v>100.0</v>
      </c>
      <c r="R645" s="672" t="b">
        <v>0</v>
      </c>
      <c r="S645" s="318"/>
      <c r="T645" s="319"/>
      <c r="U645" s="315"/>
      <c r="V645" s="144" t="s">
        <v>584</v>
      </c>
      <c r="W645" s="148"/>
      <c r="X645" s="163"/>
      <c r="Y645" s="162"/>
      <c r="Z645" s="164"/>
      <c r="AA645" s="116"/>
      <c r="AB645" s="116"/>
      <c r="AC645" s="165"/>
      <c r="AD645" s="675" t="str">
        <f t="shared" si="66"/>
        <v>MARZO</v>
      </c>
      <c r="AE645" s="144" t="s">
        <v>1817</v>
      </c>
      <c r="AF645" s="149" t="b">
        <v>1</v>
      </c>
      <c r="AG645" s="144" t="s">
        <v>1817</v>
      </c>
      <c r="AH645" s="149" t="b">
        <v>0</v>
      </c>
      <c r="AI645" s="162"/>
      <c r="AJ645" s="143"/>
      <c r="AK645" s="143"/>
      <c r="AL645" s="143"/>
      <c r="AM645" s="143"/>
      <c r="AN645" s="143"/>
      <c r="AO645" s="143"/>
      <c r="AP645" s="143"/>
      <c r="AQ645" s="143"/>
    </row>
    <row r="646" ht="22.5" customHeight="1">
      <c r="A646" s="144" t="s">
        <v>162</v>
      </c>
      <c r="B646" s="145">
        <v>46111.0</v>
      </c>
      <c r="C646" s="721" t="s">
        <v>2209</v>
      </c>
      <c r="D646" s="208" t="s">
        <v>2210</v>
      </c>
      <c r="E646" s="148" t="s">
        <v>28</v>
      </c>
      <c r="F646" s="262" t="s">
        <v>2211</v>
      </c>
      <c r="G646" s="149" t="s">
        <v>2212</v>
      </c>
      <c r="H646" s="148" t="s">
        <v>257</v>
      </c>
      <c r="I646" s="150">
        <v>0.2</v>
      </c>
      <c r="J646" s="168">
        <v>2119.0</v>
      </c>
      <c r="K646" s="169">
        <f t="shared" si="68"/>
        <v>3480</v>
      </c>
      <c r="L646" s="170">
        <v>5599.0</v>
      </c>
      <c r="M646" s="239">
        <v>5436.95</v>
      </c>
      <c r="N646" s="155">
        <v>1199.99</v>
      </c>
      <c r="O646" s="315">
        <f t="shared" si="70"/>
        <v>162.05</v>
      </c>
      <c r="P646" s="344">
        <f t="shared" si="69"/>
        <v>22.05</v>
      </c>
      <c r="Q646" s="510">
        <v>140.0</v>
      </c>
      <c r="R646" s="672" t="b">
        <v>0</v>
      </c>
      <c r="S646" s="318"/>
      <c r="T646" s="319"/>
      <c r="U646" s="315"/>
      <c r="V646" s="144" t="s">
        <v>584</v>
      </c>
      <c r="W646" s="148"/>
      <c r="X646" s="163"/>
      <c r="Y646" s="144" t="s">
        <v>584</v>
      </c>
      <c r="Z646" s="164"/>
      <c r="AA646" s="116"/>
      <c r="AB646" s="116"/>
      <c r="AC646" s="165"/>
      <c r="AD646" s="675" t="str">
        <f t="shared" si="66"/>
        <v>MARZO</v>
      </c>
      <c r="AE646" s="144" t="s">
        <v>2080</v>
      </c>
      <c r="AF646" s="149" t="b">
        <v>1</v>
      </c>
      <c r="AG646" s="144" t="s">
        <v>2067</v>
      </c>
      <c r="AH646" s="149" t="b">
        <v>0</v>
      </c>
      <c r="AI646" s="162"/>
      <c r="AJ646" s="143"/>
      <c r="AK646" s="143"/>
      <c r="AL646" s="143"/>
      <c r="AM646" s="143"/>
      <c r="AN646" s="143"/>
      <c r="AO646" s="143"/>
      <c r="AP646" s="143"/>
      <c r="AQ646" s="143"/>
    </row>
    <row r="647" ht="22.5" hidden="1" customHeight="1">
      <c r="A647" s="144" t="s">
        <v>259</v>
      </c>
      <c r="B647" s="145">
        <v>46111.0</v>
      </c>
      <c r="C647" s="972" t="s">
        <v>1685</v>
      </c>
      <c r="D647" s="208" t="s">
        <v>2213</v>
      </c>
      <c r="E647" s="148" t="s">
        <v>28</v>
      </c>
      <c r="F647" s="630" t="s">
        <v>2214</v>
      </c>
      <c r="G647" s="149" t="s">
        <v>2215</v>
      </c>
      <c r="H647" s="148" t="s">
        <v>257</v>
      </c>
      <c r="I647" s="150">
        <v>1.0</v>
      </c>
      <c r="J647" s="168">
        <v>7799.0</v>
      </c>
      <c r="K647" s="169">
        <f t="shared" si="68"/>
        <v>0</v>
      </c>
      <c r="L647" s="170">
        <v>7799.0</v>
      </c>
      <c r="M647" s="239">
        <v>7499.0</v>
      </c>
      <c r="N647" s="155">
        <v>1750.0</v>
      </c>
      <c r="O647" s="315">
        <f t="shared" si="70"/>
        <v>300</v>
      </c>
      <c r="P647" s="344">
        <f t="shared" si="69"/>
        <v>160</v>
      </c>
      <c r="Q647" s="510">
        <v>140.0</v>
      </c>
      <c r="R647" s="672" t="b">
        <v>0</v>
      </c>
      <c r="S647" s="318"/>
      <c r="T647" s="319"/>
      <c r="U647" s="315"/>
      <c r="V647" s="144" t="s">
        <v>584</v>
      </c>
      <c r="W647" s="148"/>
      <c r="X647" s="163"/>
      <c r="Y647" s="162"/>
      <c r="Z647" s="164"/>
      <c r="AA647" s="116"/>
      <c r="AB647" s="116"/>
      <c r="AC647" s="165"/>
      <c r="AD647" s="675" t="str">
        <f t="shared" si="66"/>
        <v>MARZO</v>
      </c>
      <c r="AE647" s="144" t="s">
        <v>1817</v>
      </c>
      <c r="AF647" s="149" t="b">
        <v>1</v>
      </c>
      <c r="AG647" s="144" t="s">
        <v>1817</v>
      </c>
      <c r="AH647" s="149" t="b">
        <v>0</v>
      </c>
      <c r="AI647" s="162"/>
      <c r="AJ647" s="143"/>
      <c r="AK647" s="143"/>
      <c r="AL647" s="143"/>
      <c r="AM647" s="143"/>
      <c r="AN647" s="143"/>
      <c r="AO647" s="143"/>
      <c r="AP647" s="143"/>
      <c r="AQ647" s="143"/>
    </row>
    <row r="648" ht="22.5" customHeight="1">
      <c r="A648" s="144" t="s">
        <v>1824</v>
      </c>
      <c r="B648" s="145">
        <v>46112.0</v>
      </c>
      <c r="C648" s="149" t="s">
        <v>2216</v>
      </c>
      <c r="D648" s="208" t="s">
        <v>2116</v>
      </c>
      <c r="E648" s="148" t="s">
        <v>399</v>
      </c>
      <c r="F648" s="524"/>
      <c r="G648" s="149">
        <v>5.1997027946E10</v>
      </c>
      <c r="H648" s="148" t="s">
        <v>1076</v>
      </c>
      <c r="I648" s="150">
        <v>0.2</v>
      </c>
      <c r="J648" s="168">
        <v>1300.71</v>
      </c>
      <c r="K648" s="169">
        <f t="shared" si="68"/>
        <v>5202.84</v>
      </c>
      <c r="L648" s="170">
        <v>6503.55</v>
      </c>
      <c r="M648" s="239">
        <v>6429.44</v>
      </c>
      <c r="N648" s="155">
        <v>1349.99</v>
      </c>
      <c r="O648" s="315">
        <f t="shared" si="70"/>
        <v>74.11</v>
      </c>
      <c r="P648" s="344">
        <f t="shared" si="69"/>
        <v>74.11</v>
      </c>
      <c r="Q648" s="321"/>
      <c r="R648" s="672" t="b">
        <v>0</v>
      </c>
      <c r="S648" s="318"/>
      <c r="T648" s="319"/>
      <c r="U648" s="315"/>
      <c r="V648" s="144" t="s">
        <v>584</v>
      </c>
      <c r="W648" s="148"/>
      <c r="X648" s="163"/>
      <c r="Y648" s="162"/>
      <c r="Z648" s="10" t="s">
        <v>1838</v>
      </c>
      <c r="AA648" s="116"/>
      <c r="AB648" s="116"/>
      <c r="AC648" s="165"/>
      <c r="AD648" s="675"/>
      <c r="AE648" s="166"/>
      <c r="AF648" s="149" t="b">
        <v>0</v>
      </c>
      <c r="AG648" s="166"/>
      <c r="AH648" s="149" t="b">
        <v>0</v>
      </c>
      <c r="AI648" s="162"/>
      <c r="AJ648" s="143"/>
      <c r="AK648" s="143"/>
      <c r="AL648" s="143"/>
      <c r="AM648" s="143"/>
      <c r="AN648" s="143"/>
      <c r="AO648" s="143"/>
      <c r="AP648" s="143"/>
      <c r="AQ648" s="143"/>
    </row>
    <row r="649" ht="22.5" customHeight="1">
      <c r="A649" s="144" t="s">
        <v>1833</v>
      </c>
      <c r="B649" s="145">
        <v>46112.0</v>
      </c>
      <c r="C649" s="496" t="s">
        <v>2217</v>
      </c>
      <c r="D649" s="928" t="s">
        <v>2218</v>
      </c>
      <c r="E649" s="148" t="s">
        <v>28</v>
      </c>
      <c r="F649" s="246" t="s">
        <v>2219</v>
      </c>
      <c r="G649" s="149">
        <v>5.1955599157E10</v>
      </c>
      <c r="H649" s="148" t="s">
        <v>257</v>
      </c>
      <c r="I649" s="150">
        <v>0.2</v>
      </c>
      <c r="J649" s="783">
        <v>1139.8</v>
      </c>
      <c r="K649" s="169">
        <f t="shared" si="68"/>
        <v>4709.2</v>
      </c>
      <c r="L649" s="170">
        <v>5849.0</v>
      </c>
      <c r="M649" s="239">
        <v>5812.52</v>
      </c>
      <c r="N649" s="155">
        <v>1299.99</v>
      </c>
      <c r="O649" s="315">
        <f t="shared" si="70"/>
        <v>36.48</v>
      </c>
      <c r="P649" s="344">
        <f t="shared" si="69"/>
        <v>-342.52</v>
      </c>
      <c r="Q649" s="510">
        <v>30.0</v>
      </c>
      <c r="R649" s="672" t="b">
        <v>0</v>
      </c>
      <c r="S649" s="346">
        <v>349.0</v>
      </c>
      <c r="T649" s="319"/>
      <c r="U649" s="315"/>
      <c r="V649" s="144" t="s">
        <v>584</v>
      </c>
      <c r="W649" s="148"/>
      <c r="X649" s="163"/>
      <c r="Y649" s="144" t="s">
        <v>584</v>
      </c>
      <c r="Z649" s="164"/>
      <c r="AA649" s="116"/>
      <c r="AB649" s="116"/>
      <c r="AC649" s="165"/>
      <c r="AD649" s="675" t="str">
        <f t="shared" ref="AD649:AD722" si="71">UPPER(IF(B649="","",TEXT(B649,"mmmm")))</f>
        <v>MARZO</v>
      </c>
      <c r="AE649" s="560" t="s">
        <v>2080</v>
      </c>
      <c r="AF649" s="248" t="b">
        <v>1</v>
      </c>
      <c r="AG649" s="144" t="s">
        <v>2067</v>
      </c>
      <c r="AH649" s="149" t="b">
        <v>0</v>
      </c>
      <c r="AI649" s="162"/>
      <c r="AJ649" s="143"/>
      <c r="AK649" s="143"/>
      <c r="AL649" s="143"/>
      <c r="AM649" s="143"/>
      <c r="AN649" s="143"/>
      <c r="AO649" s="143"/>
      <c r="AP649" s="143"/>
      <c r="AQ649" s="143"/>
    </row>
    <row r="650" ht="22.5" hidden="1" customHeight="1">
      <c r="A650" s="144" t="s">
        <v>259</v>
      </c>
      <c r="B650" s="145">
        <v>46112.0</v>
      </c>
      <c r="C650" s="496" t="s">
        <v>2217</v>
      </c>
      <c r="D650" s="43" t="s">
        <v>2220</v>
      </c>
      <c r="E650" s="148" t="s">
        <v>28</v>
      </c>
      <c r="F650" s="246" t="s">
        <v>2221</v>
      </c>
      <c r="G650" s="149">
        <v>5.1992792618E10</v>
      </c>
      <c r="H650" s="148" t="s">
        <v>257</v>
      </c>
      <c r="I650" s="150">
        <v>0.2</v>
      </c>
      <c r="J650" s="168">
        <v>1139.0</v>
      </c>
      <c r="K650" s="169">
        <f t="shared" si="68"/>
        <v>4710</v>
      </c>
      <c r="L650" s="170">
        <v>5849.0</v>
      </c>
      <c r="M650" s="239">
        <v>5812.52</v>
      </c>
      <c r="N650" s="155">
        <v>1299.99</v>
      </c>
      <c r="O650" s="315">
        <f t="shared" si="70"/>
        <v>36.48</v>
      </c>
      <c r="P650" s="344">
        <f t="shared" si="69"/>
        <v>0</v>
      </c>
      <c r="Q650" s="510">
        <v>36.48</v>
      </c>
      <c r="R650" s="672" t="b">
        <v>0</v>
      </c>
      <c r="S650" s="318"/>
      <c r="T650" s="319"/>
      <c r="U650" s="315"/>
      <c r="V650" s="144" t="s">
        <v>584</v>
      </c>
      <c r="W650" s="148"/>
      <c r="X650" s="163"/>
      <c r="Y650" s="144" t="s">
        <v>584</v>
      </c>
      <c r="Z650" s="164"/>
      <c r="AA650" s="116"/>
      <c r="AB650" s="116"/>
      <c r="AC650" s="165"/>
      <c r="AD650" s="675" t="str">
        <f t="shared" si="71"/>
        <v>MARZO</v>
      </c>
      <c r="AE650" s="144" t="s">
        <v>2080</v>
      </c>
      <c r="AF650" s="149" t="b">
        <v>1</v>
      </c>
      <c r="AG650" s="144" t="s">
        <v>2067</v>
      </c>
      <c r="AH650" s="149" t="b">
        <v>0</v>
      </c>
      <c r="AI650" s="162"/>
      <c r="AJ650" s="143"/>
      <c r="AK650" s="143"/>
      <c r="AL650" s="143"/>
      <c r="AM650" s="143"/>
      <c r="AN650" s="143"/>
      <c r="AO650" s="143"/>
      <c r="AP650" s="143"/>
      <c r="AQ650" s="143"/>
    </row>
    <row r="651" ht="22.5" customHeight="1">
      <c r="A651" s="144" t="s">
        <v>1824</v>
      </c>
      <c r="B651" s="974">
        <v>46113.0</v>
      </c>
      <c r="C651" s="149" t="s">
        <v>1508</v>
      </c>
      <c r="D651" s="43" t="s">
        <v>2222</v>
      </c>
      <c r="E651" s="148" t="s">
        <v>28</v>
      </c>
      <c r="F651" s="149" t="s">
        <v>2223</v>
      </c>
      <c r="G651" s="149">
        <v>5.1938662812E10</v>
      </c>
      <c r="H651" s="148" t="s">
        <v>257</v>
      </c>
      <c r="I651" s="150">
        <v>0.2</v>
      </c>
      <c r="J651" s="168">
        <v>1119.0</v>
      </c>
      <c r="K651" s="169">
        <f t="shared" si="68"/>
        <v>4480</v>
      </c>
      <c r="L651" s="170">
        <v>5599.0</v>
      </c>
      <c r="M651" s="239">
        <v>5433.0</v>
      </c>
      <c r="N651" s="155">
        <v>1199.99</v>
      </c>
      <c r="O651" s="315">
        <f t="shared" si="70"/>
        <v>166</v>
      </c>
      <c r="P651" s="344">
        <f t="shared" si="69"/>
        <v>66</v>
      </c>
      <c r="Q651" s="510">
        <v>100.0</v>
      </c>
      <c r="R651" s="672" t="b">
        <v>0</v>
      </c>
      <c r="S651" s="318"/>
      <c r="T651" s="319"/>
      <c r="U651" s="315"/>
      <c r="V651" s="144" t="s">
        <v>584</v>
      </c>
      <c r="W651" s="148"/>
      <c r="X651" s="163"/>
      <c r="Y651" s="162"/>
      <c r="Z651" s="164"/>
      <c r="AA651" s="116"/>
      <c r="AB651" s="116"/>
      <c r="AC651" s="165"/>
      <c r="AD651" s="675" t="str">
        <f t="shared" si="71"/>
        <v>ABRIL</v>
      </c>
      <c r="AE651" s="144" t="s">
        <v>2080</v>
      </c>
      <c r="AF651" s="149" t="b">
        <v>1</v>
      </c>
      <c r="AG651" s="144" t="s">
        <v>2080</v>
      </c>
      <c r="AH651" s="149" t="b">
        <v>0</v>
      </c>
      <c r="AI651" s="162"/>
      <c r="AJ651" s="143"/>
      <c r="AK651" s="143"/>
      <c r="AL651" s="143"/>
      <c r="AM651" s="143"/>
      <c r="AN651" s="143"/>
      <c r="AO651" s="143"/>
      <c r="AP651" s="143"/>
      <c r="AQ651" s="143"/>
    </row>
    <row r="652" ht="22.5" customHeight="1">
      <c r="A652" s="144" t="s">
        <v>162</v>
      </c>
      <c r="B652" s="145">
        <v>46113.0</v>
      </c>
      <c r="C652" s="149" t="s">
        <v>1152</v>
      </c>
      <c r="D652" s="208" t="s">
        <v>2224</v>
      </c>
      <c r="E652" s="148" t="s">
        <v>28</v>
      </c>
      <c r="F652" s="248" t="s">
        <v>2225</v>
      </c>
      <c r="G652" s="149" t="s">
        <v>2226</v>
      </c>
      <c r="H652" s="148" t="s">
        <v>257</v>
      </c>
      <c r="I652" s="148" t="s">
        <v>61</v>
      </c>
      <c r="J652" s="168">
        <v>300.0</v>
      </c>
      <c r="K652" s="169">
        <f t="shared" si="68"/>
        <v>6799</v>
      </c>
      <c r="L652" s="170">
        <v>7099.0</v>
      </c>
      <c r="M652" s="239">
        <v>6750.0</v>
      </c>
      <c r="N652" s="155">
        <v>1549.99</v>
      </c>
      <c r="O652" s="315">
        <f t="shared" si="70"/>
        <v>349</v>
      </c>
      <c r="P652" s="344">
        <f t="shared" si="69"/>
        <v>124</v>
      </c>
      <c r="Q652" s="510">
        <v>225.0</v>
      </c>
      <c r="R652" s="672" t="b">
        <v>0</v>
      </c>
      <c r="S652" s="318"/>
      <c r="T652" s="319"/>
      <c r="U652" s="315"/>
      <c r="V652" s="144" t="s">
        <v>584</v>
      </c>
      <c r="W652" s="148"/>
      <c r="X652" s="163"/>
      <c r="Y652" s="162"/>
      <c r="Z652" s="164"/>
      <c r="AA652" s="116"/>
      <c r="AB652" s="116"/>
      <c r="AC652" s="165"/>
      <c r="AD652" s="675" t="str">
        <f t="shared" si="71"/>
        <v>ABRIL</v>
      </c>
      <c r="AE652" s="144" t="s">
        <v>2080</v>
      </c>
      <c r="AF652" s="149" t="b">
        <v>1</v>
      </c>
      <c r="AG652" s="144" t="s">
        <v>2080</v>
      </c>
      <c r="AH652" s="149" t="b">
        <v>0</v>
      </c>
      <c r="AI652" s="162"/>
      <c r="AJ652" s="143"/>
      <c r="AK652" s="143"/>
      <c r="AL652" s="143"/>
      <c r="AM652" s="143"/>
      <c r="AN652" s="143"/>
      <c r="AO652" s="143"/>
      <c r="AP652" s="143"/>
      <c r="AQ652" s="143"/>
    </row>
    <row r="653" ht="22.5" customHeight="1">
      <c r="A653" s="144" t="s">
        <v>1824</v>
      </c>
      <c r="B653" s="145">
        <v>46113.0</v>
      </c>
      <c r="C653" s="149" t="s">
        <v>1508</v>
      </c>
      <c r="D653" s="208" t="s">
        <v>2227</v>
      </c>
      <c r="E653" s="148" t="s">
        <v>28</v>
      </c>
      <c r="F653" s="149" t="s">
        <v>2228</v>
      </c>
      <c r="G653" s="149">
        <v>5.1986435847E10</v>
      </c>
      <c r="H653" s="148" t="s">
        <v>257</v>
      </c>
      <c r="I653" s="150">
        <v>0.2</v>
      </c>
      <c r="J653" s="168">
        <v>1120.0</v>
      </c>
      <c r="K653" s="169">
        <f t="shared" si="68"/>
        <v>4479</v>
      </c>
      <c r="L653" s="170">
        <v>5599.0</v>
      </c>
      <c r="M653" s="239">
        <v>5433.0</v>
      </c>
      <c r="N653" s="155">
        <v>1199.99</v>
      </c>
      <c r="O653" s="315">
        <f t="shared" si="70"/>
        <v>166</v>
      </c>
      <c r="P653" s="344">
        <f t="shared" si="69"/>
        <v>66</v>
      </c>
      <c r="Q653" s="510">
        <v>100.0</v>
      </c>
      <c r="R653" s="672" t="b">
        <v>0</v>
      </c>
      <c r="S653" s="318"/>
      <c r="T653" s="319"/>
      <c r="U653" s="315"/>
      <c r="V653" s="144" t="s">
        <v>584</v>
      </c>
      <c r="W653" s="148"/>
      <c r="X653" s="163"/>
      <c r="Y653" s="162"/>
      <c r="Z653" s="164"/>
      <c r="AA653" s="116"/>
      <c r="AB653" s="116"/>
      <c r="AC653" s="165"/>
      <c r="AD653" s="675" t="str">
        <f t="shared" si="71"/>
        <v>ABRIL</v>
      </c>
      <c r="AE653" s="144" t="s">
        <v>2080</v>
      </c>
      <c r="AF653" s="149" t="b">
        <v>1</v>
      </c>
      <c r="AG653" s="144" t="s">
        <v>2080</v>
      </c>
      <c r="AH653" s="149" t="b">
        <v>0</v>
      </c>
      <c r="AI653" s="162"/>
      <c r="AJ653" s="143"/>
      <c r="AK653" s="143"/>
      <c r="AL653" s="143"/>
      <c r="AM653" s="143"/>
      <c r="AN653" s="143"/>
      <c r="AO653" s="143"/>
      <c r="AP653" s="143"/>
      <c r="AQ653" s="143"/>
    </row>
    <row r="654" ht="22.5" customHeight="1">
      <c r="A654" s="144" t="s">
        <v>162</v>
      </c>
      <c r="B654" s="145">
        <v>46113.0</v>
      </c>
      <c r="C654" s="353" t="s">
        <v>2229</v>
      </c>
      <c r="D654" s="208" t="s">
        <v>2230</v>
      </c>
      <c r="E654" s="148" t="s">
        <v>28</v>
      </c>
      <c r="F654" s="262" t="s">
        <v>2231</v>
      </c>
      <c r="G654" s="149">
        <v>5.1929670531E10</v>
      </c>
      <c r="H654" s="148" t="s">
        <v>257</v>
      </c>
      <c r="I654" s="150">
        <v>0.3</v>
      </c>
      <c r="J654" s="168">
        <v>2849.0</v>
      </c>
      <c r="K654" s="169">
        <f t="shared" si="68"/>
        <v>6650</v>
      </c>
      <c r="L654" s="170">
        <v>9499.0</v>
      </c>
      <c r="M654" s="239">
        <v>9189.13</v>
      </c>
      <c r="N654" s="155" t="s">
        <v>2232</v>
      </c>
      <c r="O654" s="315">
        <f t="shared" si="70"/>
        <v>309.87</v>
      </c>
      <c r="P654" s="344">
        <f t="shared" si="69"/>
        <v>84.87</v>
      </c>
      <c r="Q654" s="510">
        <v>225.0</v>
      </c>
      <c r="R654" s="672" t="b">
        <v>0</v>
      </c>
      <c r="S654" s="318"/>
      <c r="T654" s="319"/>
      <c r="U654" s="315"/>
      <c r="V654" s="144" t="s">
        <v>584</v>
      </c>
      <c r="W654" s="148"/>
      <c r="X654" s="163"/>
      <c r="Y654" s="162"/>
      <c r="Z654" s="164"/>
      <c r="AA654" s="116"/>
      <c r="AB654" s="116"/>
      <c r="AC654" s="165"/>
      <c r="AD654" s="675" t="str">
        <f t="shared" si="71"/>
        <v>ABRIL</v>
      </c>
      <c r="AE654" s="144" t="s">
        <v>2080</v>
      </c>
      <c r="AF654" s="149" t="b">
        <v>1</v>
      </c>
      <c r="AG654" s="144" t="s">
        <v>2080</v>
      </c>
      <c r="AH654" s="149" t="b">
        <v>0</v>
      </c>
      <c r="AI654" s="162"/>
      <c r="AJ654" s="143"/>
      <c r="AK654" s="143"/>
      <c r="AL654" s="143"/>
      <c r="AM654" s="143"/>
      <c r="AN654" s="143"/>
      <c r="AO654" s="143"/>
      <c r="AP654" s="143"/>
      <c r="AQ654" s="143"/>
    </row>
    <row r="655" ht="24.0" customHeight="1">
      <c r="A655" s="144" t="s">
        <v>1833</v>
      </c>
      <c r="B655" s="145">
        <v>46116.0</v>
      </c>
      <c r="C655" s="309" t="s">
        <v>2233</v>
      </c>
      <c r="D655" s="923" t="s">
        <v>1361</v>
      </c>
      <c r="E655" s="148" t="s">
        <v>28</v>
      </c>
      <c r="F655" s="246" t="s">
        <v>2234</v>
      </c>
      <c r="G655" s="149">
        <v>5.194353933E10</v>
      </c>
      <c r="H655" s="148" t="s">
        <v>257</v>
      </c>
      <c r="I655" s="150">
        <v>0.2</v>
      </c>
      <c r="J655" s="168">
        <v>1429.0</v>
      </c>
      <c r="K655" s="557">
        <f t="shared" si="68"/>
        <v>5626.18</v>
      </c>
      <c r="L655" s="170">
        <v>7055.18</v>
      </c>
      <c r="M655" s="239">
        <v>6844.33</v>
      </c>
      <c r="N655" s="155">
        <v>1549.0</v>
      </c>
      <c r="O655" s="315">
        <f t="shared" si="70"/>
        <v>210.85</v>
      </c>
      <c r="P655" s="344">
        <f t="shared" si="69"/>
        <v>110.85</v>
      </c>
      <c r="Q655" s="510">
        <v>100.0</v>
      </c>
      <c r="R655" s="672" t="b">
        <v>0</v>
      </c>
      <c r="S655" s="318"/>
      <c r="T655" s="319"/>
      <c r="U655" s="315"/>
      <c r="V655" s="144" t="s">
        <v>584</v>
      </c>
      <c r="W655" s="148"/>
      <c r="X655" s="163"/>
      <c r="Y655" s="144" t="s">
        <v>584</v>
      </c>
      <c r="Z655" s="164"/>
      <c r="AA655" s="116"/>
      <c r="AB655" s="116"/>
      <c r="AC655" s="165"/>
      <c r="AD655" s="675" t="str">
        <f t="shared" si="71"/>
        <v>ABRIL</v>
      </c>
      <c r="AE655" s="144" t="s">
        <v>2080</v>
      </c>
      <c r="AF655" s="149" t="b">
        <v>1</v>
      </c>
      <c r="AG655" s="144" t="s">
        <v>2067</v>
      </c>
      <c r="AH655" s="149" t="b">
        <v>0</v>
      </c>
      <c r="AI655" s="162"/>
      <c r="AJ655" s="143"/>
      <c r="AK655" s="143"/>
      <c r="AL655" s="143"/>
      <c r="AM655" s="143"/>
      <c r="AN655" s="143"/>
      <c r="AO655" s="143"/>
      <c r="AP655" s="143"/>
      <c r="AQ655" s="143"/>
    </row>
    <row r="656" ht="22.5" customHeight="1">
      <c r="A656" s="144" t="s">
        <v>1833</v>
      </c>
      <c r="B656" s="981">
        <v>46116.0</v>
      </c>
      <c r="C656" s="982" t="s">
        <v>2235</v>
      </c>
      <c r="D656" s="208" t="s">
        <v>1361</v>
      </c>
      <c r="E656" s="148" t="s">
        <v>28</v>
      </c>
      <c r="F656" s="246" t="s">
        <v>2236</v>
      </c>
      <c r="G656" s="149">
        <v>5.194353933E10</v>
      </c>
      <c r="H656" s="148" t="s">
        <v>1076</v>
      </c>
      <c r="I656" s="148" t="s">
        <v>61</v>
      </c>
      <c r="J656" s="168">
        <v>70.8</v>
      </c>
      <c r="K656" s="169">
        <f t="shared" si="68"/>
        <v>373.02</v>
      </c>
      <c r="L656" s="170">
        <v>443.82</v>
      </c>
      <c r="M656" s="239">
        <v>443.82</v>
      </c>
      <c r="N656" s="155">
        <v>94.0</v>
      </c>
      <c r="O656" s="315">
        <f t="shared" si="70"/>
        <v>0</v>
      </c>
      <c r="P656" s="344">
        <f t="shared" si="69"/>
        <v>0</v>
      </c>
      <c r="Q656" s="321"/>
      <c r="R656" s="672" t="b">
        <v>0</v>
      </c>
      <c r="S656" s="318"/>
      <c r="T656" s="319"/>
      <c r="U656" s="315"/>
      <c r="V656" s="162"/>
      <c r="W656" s="148"/>
      <c r="X656" s="163"/>
      <c r="Y656" s="162"/>
      <c r="Z656" s="164"/>
      <c r="AA656" s="116"/>
      <c r="AB656" s="116"/>
      <c r="AC656" s="165"/>
      <c r="AD656" s="675" t="str">
        <f t="shared" si="71"/>
        <v>ABRIL</v>
      </c>
      <c r="AE656" s="144" t="s">
        <v>2080</v>
      </c>
      <c r="AF656" s="149" t="b">
        <v>1</v>
      </c>
      <c r="AG656" s="166"/>
      <c r="AH656" s="149" t="b">
        <v>0</v>
      </c>
      <c r="AI656" s="162"/>
      <c r="AJ656" s="143"/>
      <c r="AK656" s="143"/>
      <c r="AL656" s="143"/>
      <c r="AM656" s="143"/>
      <c r="AN656" s="143"/>
      <c r="AO656" s="143"/>
      <c r="AP656" s="143"/>
      <c r="AQ656" s="143"/>
    </row>
    <row r="657" ht="22.5" customHeight="1">
      <c r="A657" s="144" t="s">
        <v>162</v>
      </c>
      <c r="B657" s="145">
        <v>46116.0</v>
      </c>
      <c r="C657" s="149" t="s">
        <v>2193</v>
      </c>
      <c r="D657" s="208" t="s">
        <v>2237</v>
      </c>
      <c r="E657" s="148" t="s">
        <v>28</v>
      </c>
      <c r="F657" s="248" t="s">
        <v>2238</v>
      </c>
      <c r="G657" s="149">
        <v>5.1906290179E10</v>
      </c>
      <c r="H657" s="148" t="s">
        <v>257</v>
      </c>
      <c r="I657" s="150">
        <v>0.2</v>
      </c>
      <c r="J657" s="168">
        <v>1159.0</v>
      </c>
      <c r="K657" s="169">
        <f t="shared" si="68"/>
        <v>4640</v>
      </c>
      <c r="L657" s="170">
        <v>5799.0</v>
      </c>
      <c r="M657" s="239">
        <v>5556.0</v>
      </c>
      <c r="N657" s="155">
        <v>1259.99</v>
      </c>
      <c r="O657" s="315">
        <f t="shared" si="70"/>
        <v>243</v>
      </c>
      <c r="P657" s="344">
        <f t="shared" si="69"/>
        <v>18</v>
      </c>
      <c r="Q657" s="510">
        <v>225.0</v>
      </c>
      <c r="R657" s="672" t="b">
        <v>0</v>
      </c>
      <c r="S657" s="318"/>
      <c r="T657" s="319"/>
      <c r="U657" s="315"/>
      <c r="V657" s="144" t="s">
        <v>584</v>
      </c>
      <c r="W657" s="148"/>
      <c r="X657" s="163"/>
      <c r="Y657" s="144" t="s">
        <v>584</v>
      </c>
      <c r="Z657" s="164"/>
      <c r="AA657" s="116"/>
      <c r="AB657" s="116"/>
      <c r="AC657" s="165"/>
      <c r="AD657" s="675" t="str">
        <f t="shared" si="71"/>
        <v>ABRIL</v>
      </c>
      <c r="AE657" s="144" t="s">
        <v>2080</v>
      </c>
      <c r="AF657" s="149" t="b">
        <v>1</v>
      </c>
      <c r="AG657" s="144" t="s">
        <v>2067</v>
      </c>
      <c r="AH657" s="149" t="b">
        <v>0</v>
      </c>
      <c r="AI657" s="162"/>
      <c r="AJ657" s="143"/>
      <c r="AK657" s="143"/>
      <c r="AL657" s="143"/>
      <c r="AM657" s="143"/>
      <c r="AN657" s="143"/>
      <c r="AO657" s="143"/>
      <c r="AP657" s="143"/>
      <c r="AQ657" s="143"/>
    </row>
    <row r="658" ht="22.5" customHeight="1">
      <c r="A658" s="144" t="s">
        <v>1824</v>
      </c>
      <c r="B658" s="145">
        <v>46116.0</v>
      </c>
      <c r="C658" s="149" t="s">
        <v>2239</v>
      </c>
      <c r="D658" s="208" t="s">
        <v>2240</v>
      </c>
      <c r="E658" s="148" t="s">
        <v>28</v>
      </c>
      <c r="F658" s="630" t="s">
        <v>2241</v>
      </c>
      <c r="G658" s="149">
        <v>5.1970143999E10</v>
      </c>
      <c r="H658" s="148" t="s">
        <v>257</v>
      </c>
      <c r="I658" s="150">
        <v>0.2</v>
      </c>
      <c r="J658" s="168">
        <v>1779.8</v>
      </c>
      <c r="K658" s="169">
        <f t="shared" si="68"/>
        <v>7119.2</v>
      </c>
      <c r="L658" s="170">
        <v>8899.0</v>
      </c>
      <c r="M658" s="239">
        <v>8337.0</v>
      </c>
      <c r="N658" s="155">
        <v>1924.99</v>
      </c>
      <c r="O658" s="315">
        <f t="shared" si="70"/>
        <v>562</v>
      </c>
      <c r="P658" s="344">
        <f t="shared" si="69"/>
        <v>322</v>
      </c>
      <c r="Q658" s="510">
        <v>140.0</v>
      </c>
      <c r="R658" s="672" t="b">
        <v>0</v>
      </c>
      <c r="S658" s="318"/>
      <c r="T658" s="347">
        <v>100.0</v>
      </c>
      <c r="U658" s="315"/>
      <c r="V658" s="144" t="s">
        <v>584</v>
      </c>
      <c r="W658" s="148"/>
      <c r="X658" s="163"/>
      <c r="Y658" s="144" t="s">
        <v>968</v>
      </c>
      <c r="Z658" s="164"/>
      <c r="AA658" s="116"/>
      <c r="AB658" s="116"/>
      <c r="AC658" s="165"/>
      <c r="AD658" s="675" t="str">
        <f t="shared" si="71"/>
        <v>ABRIL</v>
      </c>
      <c r="AE658" s="144" t="s">
        <v>2080</v>
      </c>
      <c r="AF658" s="149" t="b">
        <v>1</v>
      </c>
      <c r="AG658" s="144" t="s">
        <v>2067</v>
      </c>
      <c r="AH658" s="149" t="b">
        <v>0</v>
      </c>
      <c r="AI658" s="162"/>
      <c r="AJ658" s="143"/>
      <c r="AK658" s="143"/>
      <c r="AL658" s="143"/>
      <c r="AM658" s="143"/>
      <c r="AN658" s="143"/>
      <c r="AO658" s="143"/>
      <c r="AP658" s="143"/>
      <c r="AQ658" s="143"/>
    </row>
    <row r="659" ht="22.5" customHeight="1">
      <c r="A659" s="144" t="s">
        <v>1833</v>
      </c>
      <c r="B659" s="145">
        <v>46116.0</v>
      </c>
      <c r="C659" s="496" t="s">
        <v>1152</v>
      </c>
      <c r="D659" s="208" t="s">
        <v>2242</v>
      </c>
      <c r="E659" s="148" t="s">
        <v>28</v>
      </c>
      <c r="F659" s="489" t="s">
        <v>2243</v>
      </c>
      <c r="G659" s="149">
        <v>5.1929300857E10</v>
      </c>
      <c r="H659" s="148" t="s">
        <v>257</v>
      </c>
      <c r="I659" s="150">
        <v>1.0</v>
      </c>
      <c r="J659" s="352"/>
      <c r="K659" s="271" t="str">
        <f t="shared" si="68"/>
        <v/>
      </c>
      <c r="L659" s="170">
        <v>7000.0</v>
      </c>
      <c r="M659" s="239">
        <v>6750.0</v>
      </c>
      <c r="N659" s="155">
        <v>1549.99</v>
      </c>
      <c r="O659" s="315">
        <f t="shared" si="70"/>
        <v>250</v>
      </c>
      <c r="P659" s="344">
        <f t="shared" si="69"/>
        <v>110</v>
      </c>
      <c r="Q659" s="510">
        <v>140.0</v>
      </c>
      <c r="R659" s="672" t="b">
        <v>0</v>
      </c>
      <c r="S659" s="318"/>
      <c r="T659" s="319"/>
      <c r="U659" s="315"/>
      <c r="V659" s="144" t="s">
        <v>584</v>
      </c>
      <c r="W659" s="148"/>
      <c r="X659" s="163"/>
      <c r="Y659" s="162"/>
      <c r="Z659" s="164"/>
      <c r="AA659" s="116"/>
      <c r="AB659" s="116"/>
      <c r="AC659" s="165"/>
      <c r="AD659" s="675" t="str">
        <f t="shared" si="71"/>
        <v>ABRIL</v>
      </c>
      <c r="AE659" s="144" t="s">
        <v>2080</v>
      </c>
      <c r="AF659" s="149" t="b">
        <v>1</v>
      </c>
      <c r="AG659" s="144" t="s">
        <v>2080</v>
      </c>
      <c r="AH659" s="149" t="b">
        <v>0</v>
      </c>
      <c r="AI659" s="162"/>
      <c r="AJ659" s="143"/>
      <c r="AK659" s="143"/>
      <c r="AL659" s="143"/>
      <c r="AM659" s="143"/>
      <c r="AN659" s="143"/>
      <c r="AO659" s="143"/>
      <c r="AP659" s="143"/>
      <c r="AQ659" s="143"/>
    </row>
    <row r="660" ht="22.5" customHeight="1">
      <c r="A660" s="144" t="s">
        <v>162</v>
      </c>
      <c r="B660" s="145">
        <v>46116.0</v>
      </c>
      <c r="C660" s="149" t="s">
        <v>1152</v>
      </c>
      <c r="D660" s="208" t="s">
        <v>2244</v>
      </c>
      <c r="E660" s="148" t="s">
        <v>28</v>
      </c>
      <c r="F660" s="248" t="s">
        <v>2245</v>
      </c>
      <c r="G660" s="149">
        <v>5.1967808721E10</v>
      </c>
      <c r="H660" s="148" t="s">
        <v>257</v>
      </c>
      <c r="I660" s="148" t="s">
        <v>61</v>
      </c>
      <c r="J660" s="168">
        <v>300.0</v>
      </c>
      <c r="K660" s="169">
        <f t="shared" si="68"/>
        <v>6799</v>
      </c>
      <c r="L660" s="170">
        <v>7099.0</v>
      </c>
      <c r="M660" s="239">
        <v>6750.0</v>
      </c>
      <c r="N660" s="155">
        <v>1549.99</v>
      </c>
      <c r="O660" s="315">
        <f t="shared" si="70"/>
        <v>349</v>
      </c>
      <c r="P660" s="344">
        <f t="shared" si="69"/>
        <v>124</v>
      </c>
      <c r="Q660" s="510">
        <v>225.0</v>
      </c>
      <c r="R660" s="672" t="b">
        <v>0</v>
      </c>
      <c r="S660" s="318"/>
      <c r="T660" s="319"/>
      <c r="U660" s="315"/>
      <c r="V660" s="144" t="s">
        <v>584</v>
      </c>
      <c r="W660" s="148"/>
      <c r="X660" s="163"/>
      <c r="Y660" s="162"/>
      <c r="Z660" s="164"/>
      <c r="AA660" s="116"/>
      <c r="AB660" s="116"/>
      <c r="AC660" s="165"/>
      <c r="AD660" s="675" t="str">
        <f t="shared" si="71"/>
        <v>ABRIL</v>
      </c>
      <c r="AE660" s="144" t="s">
        <v>2080</v>
      </c>
      <c r="AF660" s="149" t="b">
        <v>1</v>
      </c>
      <c r="AG660" s="144" t="s">
        <v>2080</v>
      </c>
      <c r="AH660" s="149" t="b">
        <v>0</v>
      </c>
      <c r="AI660" s="162"/>
      <c r="AJ660" s="143"/>
      <c r="AK660" s="143"/>
      <c r="AL660" s="143"/>
      <c r="AM660" s="143"/>
      <c r="AN660" s="143"/>
      <c r="AO660" s="143"/>
      <c r="AP660" s="143"/>
      <c r="AQ660" s="143"/>
    </row>
    <row r="661" ht="22.5" customHeight="1">
      <c r="A661" s="144" t="s">
        <v>1833</v>
      </c>
      <c r="B661" s="145">
        <v>46118.0</v>
      </c>
      <c r="C661" s="983" t="s">
        <v>2246</v>
      </c>
      <c r="D661" s="928" t="s">
        <v>2247</v>
      </c>
      <c r="E661" s="148" t="s">
        <v>28</v>
      </c>
      <c r="F661" s="262" t="s">
        <v>2248</v>
      </c>
      <c r="G661" s="149">
        <v>5.1974200582E10</v>
      </c>
      <c r="H661" s="148" t="s">
        <v>257</v>
      </c>
      <c r="I661" s="148" t="s">
        <v>61</v>
      </c>
      <c r="J661" s="168">
        <v>1900.0</v>
      </c>
      <c r="K661" s="169">
        <f t="shared" si="68"/>
        <v>7199</v>
      </c>
      <c r="L661" s="170">
        <v>9099.0</v>
      </c>
      <c r="M661" s="239">
        <v>8617.11</v>
      </c>
      <c r="N661" s="155">
        <v>1899.99</v>
      </c>
      <c r="O661" s="315">
        <f t="shared" si="70"/>
        <v>481.89</v>
      </c>
      <c r="P661" s="344">
        <f t="shared" si="69"/>
        <v>326.89</v>
      </c>
      <c r="Q661" s="510">
        <v>155.0</v>
      </c>
      <c r="R661" s="672" t="b">
        <v>0</v>
      </c>
      <c r="S661" s="318"/>
      <c r="T661" s="319"/>
      <c r="U661" s="315"/>
      <c r="V661" s="144" t="s">
        <v>584</v>
      </c>
      <c r="W661" s="148"/>
      <c r="X661" s="163"/>
      <c r="Y661" s="144" t="s">
        <v>584</v>
      </c>
      <c r="Z661" s="164"/>
      <c r="AA661" s="116"/>
      <c r="AB661" s="116"/>
      <c r="AC661" s="165"/>
      <c r="AD661" s="675" t="str">
        <f t="shared" si="71"/>
        <v>ABRIL</v>
      </c>
      <c r="AE661" s="144" t="s">
        <v>2080</v>
      </c>
      <c r="AF661" s="149" t="b">
        <v>1</v>
      </c>
      <c r="AG661" s="144" t="s">
        <v>2067</v>
      </c>
      <c r="AH661" s="149" t="b">
        <v>0</v>
      </c>
      <c r="AI661" s="162"/>
      <c r="AJ661" s="143"/>
      <c r="AK661" s="143"/>
      <c r="AL661" s="143"/>
      <c r="AM661" s="143"/>
      <c r="AN661" s="143"/>
      <c r="AO661" s="143"/>
      <c r="AP661" s="143"/>
      <c r="AQ661" s="143"/>
    </row>
    <row r="662" ht="22.5" customHeight="1">
      <c r="A662" s="144" t="s">
        <v>162</v>
      </c>
      <c r="B662" s="145">
        <v>46119.0</v>
      </c>
      <c r="C662" s="149" t="s">
        <v>1152</v>
      </c>
      <c r="D662" s="208" t="s">
        <v>2249</v>
      </c>
      <c r="E662" s="148" t="s">
        <v>28</v>
      </c>
      <c r="F662" s="248" t="s">
        <v>2250</v>
      </c>
      <c r="G662" s="149">
        <v>5.1979214624E10</v>
      </c>
      <c r="H662" s="148" t="s">
        <v>257</v>
      </c>
      <c r="I662" s="148" t="s">
        <v>61</v>
      </c>
      <c r="J662" s="168">
        <v>7099.0</v>
      </c>
      <c r="K662" s="169">
        <f t="shared" si="68"/>
        <v>0</v>
      </c>
      <c r="L662" s="170">
        <v>7099.0</v>
      </c>
      <c r="M662" s="239">
        <v>6750.0</v>
      </c>
      <c r="N662" s="155">
        <v>1549.99</v>
      </c>
      <c r="O662" s="315">
        <f t="shared" si="70"/>
        <v>349</v>
      </c>
      <c r="P662" s="344">
        <f t="shared" si="69"/>
        <v>224</v>
      </c>
      <c r="Q662" s="510">
        <v>125.0</v>
      </c>
      <c r="R662" s="672" t="b">
        <v>0</v>
      </c>
      <c r="S662" s="318"/>
      <c r="T662" s="319"/>
      <c r="U662" s="315"/>
      <c r="V662" s="144" t="s">
        <v>584</v>
      </c>
      <c r="W662" s="148"/>
      <c r="X662" s="163"/>
      <c r="Y662" s="162"/>
      <c r="Z662" s="164"/>
      <c r="AA662" s="116"/>
      <c r="AB662" s="116"/>
      <c r="AC662" s="165"/>
      <c r="AD662" s="675" t="str">
        <f t="shared" si="71"/>
        <v>ABRIL</v>
      </c>
      <c r="AE662" s="144" t="s">
        <v>2080</v>
      </c>
      <c r="AF662" s="149" t="b">
        <v>1</v>
      </c>
      <c r="AG662" s="144" t="s">
        <v>2080</v>
      </c>
      <c r="AH662" s="149" t="b">
        <v>0</v>
      </c>
      <c r="AI662" s="162"/>
      <c r="AJ662" s="143"/>
      <c r="AK662" s="143"/>
      <c r="AL662" s="143"/>
      <c r="AM662" s="143"/>
      <c r="AN662" s="143"/>
      <c r="AO662" s="143"/>
      <c r="AP662" s="143"/>
      <c r="AQ662" s="143"/>
    </row>
    <row r="663" ht="22.5" customHeight="1">
      <c r="A663" s="144" t="s">
        <v>162</v>
      </c>
      <c r="B663" s="145">
        <v>46119.0</v>
      </c>
      <c r="C663" s="149" t="s">
        <v>1508</v>
      </c>
      <c r="D663" s="984" t="s">
        <v>2251</v>
      </c>
      <c r="E663" s="148" t="s">
        <v>28</v>
      </c>
      <c r="F663" s="149" t="s">
        <v>2252</v>
      </c>
      <c r="G663" s="149">
        <v>5.195097937E10</v>
      </c>
      <c r="H663" s="148" t="s">
        <v>257</v>
      </c>
      <c r="I663" s="148" t="s">
        <v>61</v>
      </c>
      <c r="J663" s="168">
        <v>1110.0</v>
      </c>
      <c r="K663" s="169">
        <f t="shared" si="68"/>
        <v>4423</v>
      </c>
      <c r="L663" s="170">
        <v>5533.0</v>
      </c>
      <c r="M663" s="239">
        <v>5433.0</v>
      </c>
      <c r="N663" s="155" t="s">
        <v>2253</v>
      </c>
      <c r="O663" s="315">
        <f t="shared" si="70"/>
        <v>100</v>
      </c>
      <c r="P663" s="344">
        <f t="shared" si="69"/>
        <v>0</v>
      </c>
      <c r="Q663" s="510">
        <v>100.0</v>
      </c>
      <c r="R663" s="672" t="b">
        <v>0</v>
      </c>
      <c r="S663" s="318"/>
      <c r="T663" s="319"/>
      <c r="U663" s="315"/>
      <c r="V663" s="144" t="s">
        <v>584</v>
      </c>
      <c r="W663" s="148"/>
      <c r="X663" s="163"/>
      <c r="Y663" s="162"/>
      <c r="Z663" s="164"/>
      <c r="AA663" s="116"/>
      <c r="AB663" s="116"/>
      <c r="AC663" s="165"/>
      <c r="AD663" s="675" t="str">
        <f t="shared" si="71"/>
        <v>ABRIL</v>
      </c>
      <c r="AE663" s="144" t="s">
        <v>2080</v>
      </c>
      <c r="AF663" s="149" t="b">
        <v>1</v>
      </c>
      <c r="AG663" s="144" t="s">
        <v>2067</v>
      </c>
      <c r="AH663" s="149" t="b">
        <v>0</v>
      </c>
      <c r="AI663" s="162"/>
      <c r="AJ663" s="143"/>
      <c r="AK663" s="143"/>
      <c r="AL663" s="143"/>
      <c r="AM663" s="143"/>
      <c r="AN663" s="143"/>
      <c r="AO663" s="143"/>
      <c r="AP663" s="143"/>
      <c r="AQ663" s="143"/>
    </row>
    <row r="664" ht="22.5" customHeight="1">
      <c r="A664" s="144" t="s">
        <v>162</v>
      </c>
      <c r="B664" s="145">
        <v>46119.0</v>
      </c>
      <c r="C664" s="353" t="s">
        <v>2254</v>
      </c>
      <c r="D664" s="208" t="s">
        <v>2255</v>
      </c>
      <c r="E664" s="148" t="s">
        <v>28</v>
      </c>
      <c r="F664" s="262" t="s">
        <v>2256</v>
      </c>
      <c r="G664" s="149">
        <v>5.1935236506E10</v>
      </c>
      <c r="H664" s="148" t="s">
        <v>257</v>
      </c>
      <c r="I664" s="150">
        <v>0.3</v>
      </c>
      <c r="J664" s="168">
        <v>2730.0</v>
      </c>
      <c r="K664" s="169">
        <f t="shared" si="68"/>
        <v>6369</v>
      </c>
      <c r="L664" s="170">
        <v>9099.0</v>
      </c>
      <c r="M664" s="239">
        <v>8686.46</v>
      </c>
      <c r="N664" s="155">
        <v>1899.99</v>
      </c>
      <c r="O664" s="315">
        <f t="shared" si="70"/>
        <v>412.54</v>
      </c>
      <c r="P664" s="344">
        <f t="shared" si="69"/>
        <v>187.54</v>
      </c>
      <c r="Q664" s="510">
        <v>225.0</v>
      </c>
      <c r="R664" s="672" t="b">
        <v>0</v>
      </c>
      <c r="S664" s="318"/>
      <c r="T664" s="319"/>
      <c r="U664" s="315"/>
      <c r="V664" s="144" t="s">
        <v>584</v>
      </c>
      <c r="W664" s="148"/>
      <c r="X664" s="163"/>
      <c r="Y664" s="144" t="s">
        <v>584</v>
      </c>
      <c r="Z664" s="164"/>
      <c r="AA664" s="116"/>
      <c r="AB664" s="116"/>
      <c r="AC664" s="165"/>
      <c r="AD664" s="675" t="str">
        <f t="shared" si="71"/>
        <v>ABRIL</v>
      </c>
      <c r="AE664" s="144" t="s">
        <v>2080</v>
      </c>
      <c r="AF664" s="149" t="b">
        <v>1</v>
      </c>
      <c r="AG664" s="144" t="s">
        <v>2067</v>
      </c>
      <c r="AH664" s="149" t="b">
        <v>0</v>
      </c>
      <c r="AI664" s="162"/>
      <c r="AJ664" s="143"/>
      <c r="AK664" s="143"/>
      <c r="AL664" s="143"/>
      <c r="AM664" s="143"/>
      <c r="AN664" s="143"/>
      <c r="AO664" s="143"/>
      <c r="AP664" s="143"/>
      <c r="AQ664" s="143"/>
    </row>
    <row r="665" ht="22.5" customHeight="1">
      <c r="A665" s="144" t="s">
        <v>1824</v>
      </c>
      <c r="B665" s="145">
        <v>46119.0</v>
      </c>
      <c r="C665" s="149" t="s">
        <v>2095</v>
      </c>
      <c r="D665" s="208" t="s">
        <v>2257</v>
      </c>
      <c r="E665" s="148" t="s">
        <v>28</v>
      </c>
      <c r="F665" s="246" t="s">
        <v>2258</v>
      </c>
      <c r="G665" s="149" t="s">
        <v>2259</v>
      </c>
      <c r="H665" s="148" t="s">
        <v>257</v>
      </c>
      <c r="I665" s="148" t="s">
        <v>61</v>
      </c>
      <c r="J665" s="168">
        <v>1800.0</v>
      </c>
      <c r="K665" s="169">
        <f t="shared" si="68"/>
        <v>6899</v>
      </c>
      <c r="L665" s="170">
        <v>8699.0</v>
      </c>
      <c r="M665" s="239">
        <v>8491.45</v>
      </c>
      <c r="N665" s="155">
        <v>1979.99</v>
      </c>
      <c r="O665" s="315">
        <f t="shared" si="70"/>
        <v>207.55</v>
      </c>
      <c r="P665" s="344">
        <f t="shared" si="69"/>
        <v>107.55</v>
      </c>
      <c r="Q665" s="510">
        <v>100.0</v>
      </c>
      <c r="R665" s="672" t="b">
        <v>0</v>
      </c>
      <c r="S665" s="318"/>
      <c r="T665" s="319"/>
      <c r="U665" s="315"/>
      <c r="V665" s="144" t="s">
        <v>584</v>
      </c>
      <c r="W665" s="148"/>
      <c r="X665" s="163"/>
      <c r="Y665" s="144" t="s">
        <v>584</v>
      </c>
      <c r="Z665" s="164"/>
      <c r="AA665" s="116"/>
      <c r="AB665" s="116"/>
      <c r="AC665" s="165"/>
      <c r="AD665" s="675" t="str">
        <f t="shared" si="71"/>
        <v>ABRIL</v>
      </c>
      <c r="AE665" s="144" t="s">
        <v>2080</v>
      </c>
      <c r="AF665" s="149" t="b">
        <v>1</v>
      </c>
      <c r="AG665" s="144" t="s">
        <v>2067</v>
      </c>
      <c r="AH665" s="149" t="b">
        <v>0</v>
      </c>
      <c r="AI665" s="162"/>
      <c r="AJ665" s="143"/>
      <c r="AK665" s="143"/>
      <c r="AL665" s="143"/>
      <c r="AM665" s="143"/>
      <c r="AN665" s="143"/>
      <c r="AO665" s="143"/>
      <c r="AP665" s="143"/>
      <c r="AQ665" s="143"/>
    </row>
    <row r="666" ht="22.5" customHeight="1">
      <c r="A666" s="144" t="s">
        <v>1824</v>
      </c>
      <c r="B666" s="145">
        <v>46119.0</v>
      </c>
      <c r="C666" s="149" t="s">
        <v>1469</v>
      </c>
      <c r="D666" s="208" t="s">
        <v>2260</v>
      </c>
      <c r="E666" s="148" t="s">
        <v>28</v>
      </c>
      <c r="F666" s="262" t="s">
        <v>2261</v>
      </c>
      <c r="G666" s="149" t="s">
        <v>2262</v>
      </c>
      <c r="H666" s="148" t="s">
        <v>257</v>
      </c>
      <c r="I666" s="150">
        <v>0.2</v>
      </c>
      <c r="J666" s="168">
        <v>2360.0</v>
      </c>
      <c r="K666" s="169">
        <f t="shared" si="68"/>
        <v>9440</v>
      </c>
      <c r="L666" s="170">
        <v>11800.0</v>
      </c>
      <c r="M666" s="239">
        <v>11452.0</v>
      </c>
      <c r="N666" s="155">
        <v>2599.99</v>
      </c>
      <c r="O666" s="315">
        <f t="shared" si="70"/>
        <v>348</v>
      </c>
      <c r="P666" s="344">
        <f t="shared" si="69"/>
        <v>205</v>
      </c>
      <c r="Q666" s="321"/>
      <c r="R666" s="672" t="b">
        <v>0</v>
      </c>
      <c r="S666" s="318"/>
      <c r="T666" s="347">
        <v>143.0</v>
      </c>
      <c r="U666" s="315"/>
      <c r="V666" s="144" t="s">
        <v>584</v>
      </c>
      <c r="W666" s="148"/>
      <c r="X666" s="163"/>
      <c r="Y666" s="144" t="s">
        <v>584</v>
      </c>
      <c r="Z666" s="164"/>
      <c r="AA666" s="116"/>
      <c r="AB666" s="116"/>
      <c r="AC666" s="165"/>
      <c r="AD666" s="675" t="str">
        <f t="shared" si="71"/>
        <v>ABRIL</v>
      </c>
      <c r="AE666" s="144" t="s">
        <v>2080</v>
      </c>
      <c r="AF666" s="149" t="b">
        <v>1</v>
      </c>
      <c r="AG666" s="144" t="s">
        <v>2067</v>
      </c>
      <c r="AH666" s="149" t="b">
        <v>0</v>
      </c>
      <c r="AI666" s="162"/>
      <c r="AJ666" s="143"/>
      <c r="AK666" s="143"/>
      <c r="AL666" s="143"/>
      <c r="AM666" s="143"/>
      <c r="AN666" s="143"/>
      <c r="AO666" s="143"/>
      <c r="AP666" s="143"/>
      <c r="AQ666" s="143"/>
    </row>
    <row r="667" ht="22.5" customHeight="1">
      <c r="A667" s="144" t="s">
        <v>162</v>
      </c>
      <c r="B667" s="145">
        <v>46121.0</v>
      </c>
      <c r="C667" s="353" t="s">
        <v>2254</v>
      </c>
      <c r="D667" s="208" t="s">
        <v>2263</v>
      </c>
      <c r="E667" s="148" t="s">
        <v>28</v>
      </c>
      <c r="F667" s="262" t="s">
        <v>2264</v>
      </c>
      <c r="G667" s="149">
        <v>5.195317572E10</v>
      </c>
      <c r="H667" s="148" t="s">
        <v>257</v>
      </c>
      <c r="I667" s="150">
        <v>0.3</v>
      </c>
      <c r="J667" s="168">
        <v>2640.0</v>
      </c>
      <c r="K667" s="169">
        <f t="shared" si="68"/>
        <v>6209</v>
      </c>
      <c r="L667" s="170">
        <v>8849.0</v>
      </c>
      <c r="M667" s="239">
        <v>8590.25</v>
      </c>
      <c r="N667" s="155">
        <v>1899.99</v>
      </c>
      <c r="O667" s="315">
        <f t="shared" si="70"/>
        <v>258.75</v>
      </c>
      <c r="P667" s="344">
        <f t="shared" si="69"/>
        <v>23.75</v>
      </c>
      <c r="Q667" s="510">
        <v>185.0</v>
      </c>
      <c r="R667" s="672" t="b">
        <v>1</v>
      </c>
      <c r="S667" s="318"/>
      <c r="T667" s="319"/>
      <c r="U667" s="315"/>
      <c r="V667" s="144" t="s">
        <v>584</v>
      </c>
      <c r="W667" s="148"/>
      <c r="X667" s="163"/>
      <c r="Y667" s="144" t="s">
        <v>968</v>
      </c>
      <c r="Z667" s="164"/>
      <c r="AA667" s="116"/>
      <c r="AB667" s="116"/>
      <c r="AC667" s="165"/>
      <c r="AD667" s="675" t="str">
        <f t="shared" si="71"/>
        <v>ABRIL</v>
      </c>
      <c r="AE667" s="144" t="s">
        <v>2080</v>
      </c>
      <c r="AF667" s="149" t="b">
        <v>1</v>
      </c>
      <c r="AG667" s="144" t="s">
        <v>2067</v>
      </c>
      <c r="AH667" s="149" t="b">
        <v>0</v>
      </c>
      <c r="AI667" s="162"/>
      <c r="AJ667" s="143"/>
      <c r="AK667" s="143"/>
      <c r="AL667" s="143"/>
      <c r="AM667" s="143"/>
      <c r="AN667" s="143"/>
      <c r="AO667" s="143"/>
      <c r="AP667" s="143"/>
      <c r="AQ667" s="143"/>
    </row>
    <row r="668" ht="22.5" customHeight="1">
      <c r="A668" s="144" t="s">
        <v>162</v>
      </c>
      <c r="B668" s="145">
        <v>46121.0</v>
      </c>
      <c r="C668" s="353" t="s">
        <v>2265</v>
      </c>
      <c r="D668" s="984" t="s">
        <v>2266</v>
      </c>
      <c r="E668" s="148" t="s">
        <v>28</v>
      </c>
      <c r="F668" s="262" t="s">
        <v>2267</v>
      </c>
      <c r="G668" s="149">
        <v>5.1921157044E10</v>
      </c>
      <c r="H668" s="148" t="s">
        <v>257</v>
      </c>
      <c r="I668" s="150">
        <v>0.3</v>
      </c>
      <c r="J668" s="485">
        <v>2834.76</v>
      </c>
      <c r="K668" s="169">
        <f t="shared" si="68"/>
        <v>6630.92</v>
      </c>
      <c r="L668" s="170">
        <v>9465.68</v>
      </c>
      <c r="M668" s="239">
        <v>8956.96</v>
      </c>
      <c r="N668" s="155">
        <v>1999.99</v>
      </c>
      <c r="O668" s="315">
        <f t="shared" si="70"/>
        <v>508.72</v>
      </c>
      <c r="P668" s="344">
        <f t="shared" si="69"/>
        <v>0.72</v>
      </c>
      <c r="Q668" s="510">
        <v>240.0</v>
      </c>
      <c r="R668" s="672" t="b">
        <v>0</v>
      </c>
      <c r="S668" s="318"/>
      <c r="T668" s="347">
        <v>268.0</v>
      </c>
      <c r="U668" s="315"/>
      <c r="V668" s="144" t="s">
        <v>584</v>
      </c>
      <c r="W668" s="148"/>
      <c r="X668" s="163"/>
      <c r="Y668" s="144" t="s">
        <v>968</v>
      </c>
      <c r="Z668" s="164"/>
      <c r="AA668" s="116"/>
      <c r="AB668" s="116"/>
      <c r="AC668" s="165"/>
      <c r="AD668" s="675" t="str">
        <f t="shared" si="71"/>
        <v>ABRIL</v>
      </c>
      <c r="AE668" s="144" t="s">
        <v>2080</v>
      </c>
      <c r="AF668" s="149" t="b">
        <v>1</v>
      </c>
      <c r="AG668" s="144" t="s">
        <v>2067</v>
      </c>
      <c r="AH668" s="149" t="b">
        <v>0</v>
      </c>
      <c r="AI668" s="162"/>
      <c r="AJ668" s="143"/>
      <c r="AK668" s="143"/>
      <c r="AL668" s="143"/>
      <c r="AM668" s="143"/>
      <c r="AN668" s="143"/>
      <c r="AO668" s="143"/>
      <c r="AP668" s="143"/>
      <c r="AQ668" s="143"/>
    </row>
    <row r="669" ht="22.5" customHeight="1">
      <c r="A669" s="144" t="s">
        <v>162</v>
      </c>
      <c r="B669" s="145">
        <v>46121.0</v>
      </c>
      <c r="C669" s="353" t="s">
        <v>2254</v>
      </c>
      <c r="D669" s="208" t="s">
        <v>2268</v>
      </c>
      <c r="E669" s="148" t="s">
        <v>28</v>
      </c>
      <c r="F669" s="262" t="s">
        <v>2269</v>
      </c>
      <c r="G669" s="149">
        <v>5.1965227659E10</v>
      </c>
      <c r="H669" s="148" t="s">
        <v>257</v>
      </c>
      <c r="I669" s="148" t="s">
        <v>61</v>
      </c>
      <c r="J669" s="168">
        <v>1779.0</v>
      </c>
      <c r="K669" s="169">
        <f t="shared" si="68"/>
        <v>7120</v>
      </c>
      <c r="L669" s="170">
        <v>8899.0</v>
      </c>
      <c r="M669" s="239">
        <v>8590.25</v>
      </c>
      <c r="N669" s="155">
        <v>1899.99</v>
      </c>
      <c r="O669" s="315">
        <f t="shared" si="70"/>
        <v>308.75</v>
      </c>
      <c r="P669" s="344">
        <f t="shared" si="69"/>
        <v>41.75</v>
      </c>
      <c r="Q669" s="510">
        <v>225.0</v>
      </c>
      <c r="R669" s="672" t="b">
        <v>0</v>
      </c>
      <c r="S669" s="318"/>
      <c r="T669" s="319"/>
      <c r="U669" s="343">
        <v>42.0</v>
      </c>
      <c r="V669" s="144" t="s">
        <v>584</v>
      </c>
      <c r="W669" s="148"/>
      <c r="X669" s="163"/>
      <c r="Y669" s="144" t="s">
        <v>968</v>
      </c>
      <c r="Z669" s="164"/>
      <c r="AA669" s="116"/>
      <c r="AB669" s="116"/>
      <c r="AC669" s="165"/>
      <c r="AD669" s="675" t="str">
        <f t="shared" si="71"/>
        <v>ABRIL</v>
      </c>
      <c r="AE669" s="144" t="s">
        <v>2080</v>
      </c>
      <c r="AF669" s="149" t="b">
        <v>1</v>
      </c>
      <c r="AG669" s="144" t="s">
        <v>2067</v>
      </c>
      <c r="AH669" s="149" t="b">
        <v>0</v>
      </c>
      <c r="AI669" s="162"/>
      <c r="AJ669" s="143"/>
      <c r="AK669" s="143"/>
      <c r="AL669" s="143"/>
      <c r="AM669" s="143"/>
      <c r="AN669" s="143"/>
      <c r="AO669" s="143"/>
      <c r="AP669" s="143"/>
      <c r="AQ669" s="143"/>
    </row>
    <row r="670" ht="22.5" customHeight="1">
      <c r="A670" s="144" t="s">
        <v>1824</v>
      </c>
      <c r="B670" s="145">
        <v>46122.0</v>
      </c>
      <c r="C670" s="149" t="s">
        <v>771</v>
      </c>
      <c r="D670" s="208" t="s">
        <v>2270</v>
      </c>
      <c r="E670" s="148" t="s">
        <v>28</v>
      </c>
      <c r="F670" s="262" t="s">
        <v>2271</v>
      </c>
      <c r="G670" s="149">
        <v>5.1961539997E10</v>
      </c>
      <c r="H670" s="148" t="s">
        <v>257</v>
      </c>
      <c r="I670" s="150">
        <v>1.0</v>
      </c>
      <c r="J670" s="168">
        <v>7849.0</v>
      </c>
      <c r="K670" s="169">
        <f t="shared" si="68"/>
        <v>0</v>
      </c>
      <c r="L670" s="170">
        <v>7849.0</v>
      </c>
      <c r="M670" s="239">
        <v>7402.75</v>
      </c>
      <c r="N670" s="155">
        <v>1599.99</v>
      </c>
      <c r="O670" s="315">
        <f t="shared" si="70"/>
        <v>446.25</v>
      </c>
      <c r="P670" s="344">
        <f t="shared" si="69"/>
        <v>311.25</v>
      </c>
      <c r="Q670" s="321">
        <v>100.0</v>
      </c>
      <c r="R670" s="672" t="b">
        <v>0</v>
      </c>
      <c r="S670" s="318"/>
      <c r="T670" s="347">
        <v>35.0</v>
      </c>
      <c r="U670" s="315"/>
      <c r="V670" s="144" t="s">
        <v>584</v>
      </c>
      <c r="W670" s="148"/>
      <c r="X670" s="163"/>
      <c r="Y670" s="144" t="s">
        <v>584</v>
      </c>
      <c r="Z670" s="164"/>
      <c r="AA670" s="116"/>
      <c r="AB670" s="116"/>
      <c r="AC670" s="165"/>
      <c r="AD670" s="675" t="str">
        <f t="shared" si="71"/>
        <v>ABRIL</v>
      </c>
      <c r="AE670" s="144" t="s">
        <v>2080</v>
      </c>
      <c r="AF670" s="149" t="b">
        <v>1</v>
      </c>
      <c r="AG670" s="144" t="s">
        <v>2067</v>
      </c>
      <c r="AH670" s="149" t="b">
        <v>0</v>
      </c>
      <c r="AI670" s="162"/>
      <c r="AJ670" s="143"/>
      <c r="AK670" s="143"/>
      <c r="AL670" s="143"/>
      <c r="AM670" s="143"/>
      <c r="AN670" s="143"/>
      <c r="AO670" s="143"/>
      <c r="AP670" s="143"/>
      <c r="AQ670" s="143"/>
    </row>
    <row r="671" ht="22.5" customHeight="1">
      <c r="A671" s="144" t="s">
        <v>1833</v>
      </c>
      <c r="B671" s="145">
        <v>46122.0</v>
      </c>
      <c r="C671" s="149" t="s">
        <v>771</v>
      </c>
      <c r="D671" s="208" t="s">
        <v>2272</v>
      </c>
      <c r="E671" s="148" t="s">
        <v>28</v>
      </c>
      <c r="F671" s="262" t="s">
        <v>2273</v>
      </c>
      <c r="G671" s="149" t="s">
        <v>2274</v>
      </c>
      <c r="H671" s="148" t="s">
        <v>257</v>
      </c>
      <c r="I671" s="150">
        <v>0.3</v>
      </c>
      <c r="J671" s="168">
        <v>2534.0</v>
      </c>
      <c r="K671" s="169">
        <f t="shared" si="68"/>
        <v>5914</v>
      </c>
      <c r="L671" s="170">
        <v>8448.0</v>
      </c>
      <c r="M671" s="239">
        <v>7402.75</v>
      </c>
      <c r="N671" s="155">
        <v>1599.99</v>
      </c>
      <c r="O671" s="315">
        <f t="shared" si="70"/>
        <v>1045.25</v>
      </c>
      <c r="P671" s="344">
        <f t="shared" si="69"/>
        <v>596.25</v>
      </c>
      <c r="Q671" s="510">
        <v>100.0</v>
      </c>
      <c r="R671" s="672" t="b">
        <v>0</v>
      </c>
      <c r="S671" s="346">
        <v>349.0</v>
      </c>
      <c r="T671" s="319"/>
      <c r="U671" s="315"/>
      <c r="V671" s="144" t="s">
        <v>584</v>
      </c>
      <c r="W671" s="148"/>
      <c r="X671" s="163"/>
      <c r="Y671" s="162"/>
      <c r="Z671" s="164"/>
      <c r="AA671" s="116"/>
      <c r="AB671" s="116"/>
      <c r="AC671" s="165"/>
      <c r="AD671" s="675" t="str">
        <f t="shared" si="71"/>
        <v>ABRIL</v>
      </c>
      <c r="AE671" s="560" t="s">
        <v>2067</v>
      </c>
      <c r="AF671" s="248" t="b">
        <v>1</v>
      </c>
      <c r="AG671" s="144" t="s">
        <v>2067</v>
      </c>
      <c r="AH671" s="149" t="b">
        <v>0</v>
      </c>
      <c r="AI671" s="162"/>
      <c r="AJ671" s="143"/>
      <c r="AK671" s="143"/>
      <c r="AL671" s="143"/>
      <c r="AM671" s="143"/>
      <c r="AN671" s="143"/>
      <c r="AO671" s="143"/>
      <c r="AP671" s="143"/>
      <c r="AQ671" s="143"/>
    </row>
    <row r="672" ht="22.5" customHeight="1">
      <c r="A672" s="144" t="s">
        <v>1824</v>
      </c>
      <c r="B672" s="145">
        <v>46122.0</v>
      </c>
      <c r="C672" s="149" t="s">
        <v>2275</v>
      </c>
      <c r="D672" s="208" t="s">
        <v>2276</v>
      </c>
      <c r="E672" s="148" t="s">
        <v>28</v>
      </c>
      <c r="F672" s="246" t="s">
        <v>2277</v>
      </c>
      <c r="G672" s="149">
        <v>5.1949202367E10</v>
      </c>
      <c r="H672" s="148" t="s">
        <v>257</v>
      </c>
      <c r="I672" s="150">
        <v>0.2</v>
      </c>
      <c r="J672" s="168">
        <v>1420.0</v>
      </c>
      <c r="K672" s="557">
        <f t="shared" si="68"/>
        <v>5679</v>
      </c>
      <c r="L672" s="170">
        <v>7099.0</v>
      </c>
      <c r="M672" s="239">
        <v>6891.77</v>
      </c>
      <c r="N672" s="155">
        <v>1599.0</v>
      </c>
      <c r="O672" s="315">
        <f t="shared" si="70"/>
        <v>207.23</v>
      </c>
      <c r="P672" s="344">
        <f t="shared" si="69"/>
        <v>107.23</v>
      </c>
      <c r="Q672" s="321">
        <v>100.0</v>
      </c>
      <c r="R672" s="672" t="b">
        <v>0</v>
      </c>
      <c r="S672" s="318"/>
      <c r="T672" s="319"/>
      <c r="U672" s="315"/>
      <c r="V672" s="144" t="s">
        <v>584</v>
      </c>
      <c r="W672" s="148"/>
      <c r="X672" s="163"/>
      <c r="Y672" s="144" t="s">
        <v>584</v>
      </c>
      <c r="Z672" s="164"/>
      <c r="AA672" s="116"/>
      <c r="AB672" s="116"/>
      <c r="AC672" s="165"/>
      <c r="AD672" s="675" t="str">
        <f t="shared" si="71"/>
        <v>ABRIL</v>
      </c>
      <c r="AE672" s="144" t="s">
        <v>2080</v>
      </c>
      <c r="AF672" s="149" t="b">
        <v>1</v>
      </c>
      <c r="AG672" s="144" t="s">
        <v>2067</v>
      </c>
      <c r="AH672" s="149" t="b">
        <v>0</v>
      </c>
      <c r="AI672" s="162"/>
      <c r="AJ672" s="143"/>
      <c r="AK672" s="143"/>
      <c r="AL672" s="143"/>
      <c r="AM672" s="143"/>
      <c r="AN672" s="143"/>
      <c r="AO672" s="143"/>
      <c r="AP672" s="143"/>
      <c r="AQ672" s="143"/>
    </row>
    <row r="673" ht="22.5" customHeight="1">
      <c r="A673" s="144" t="s">
        <v>1824</v>
      </c>
      <c r="B673" s="145">
        <v>46122.0</v>
      </c>
      <c r="C673" s="149" t="s">
        <v>2278</v>
      </c>
      <c r="D673" s="208" t="s">
        <v>2279</v>
      </c>
      <c r="E673" s="148" t="s">
        <v>28</v>
      </c>
      <c r="F673" s="262" t="s">
        <v>2280</v>
      </c>
      <c r="G673" s="149">
        <v>5.1988361273E10</v>
      </c>
      <c r="H673" s="148" t="s">
        <v>257</v>
      </c>
      <c r="I673" s="150">
        <v>0.2</v>
      </c>
      <c r="J673" s="168">
        <v>1799.8</v>
      </c>
      <c r="K673" s="169">
        <f t="shared" si="68"/>
        <v>7199.2</v>
      </c>
      <c r="L673" s="170">
        <v>8999.0</v>
      </c>
      <c r="M673" s="239">
        <v>8590.25</v>
      </c>
      <c r="N673" s="155">
        <v>1899.99</v>
      </c>
      <c r="O673" s="315">
        <f t="shared" si="70"/>
        <v>408.75</v>
      </c>
      <c r="P673" s="344">
        <f t="shared" si="69"/>
        <v>268.75</v>
      </c>
      <c r="Q673" s="510">
        <v>140.0</v>
      </c>
      <c r="R673" s="672" t="b">
        <v>0</v>
      </c>
      <c r="S673" s="318"/>
      <c r="T673" s="319"/>
      <c r="U673" s="315"/>
      <c r="V673" s="144" t="s">
        <v>584</v>
      </c>
      <c r="W673" s="148"/>
      <c r="X673" s="163"/>
      <c r="Y673" s="162"/>
      <c r="Z673" s="164"/>
      <c r="AA673" s="116"/>
      <c r="AB673" s="116"/>
      <c r="AC673" s="165"/>
      <c r="AD673" s="675" t="str">
        <f t="shared" si="71"/>
        <v>ABRIL</v>
      </c>
      <c r="AE673" s="144" t="s">
        <v>2080</v>
      </c>
      <c r="AF673" s="149" t="b">
        <v>1</v>
      </c>
      <c r="AG673" s="144" t="s">
        <v>2080</v>
      </c>
      <c r="AH673" s="149" t="b">
        <v>0</v>
      </c>
      <c r="AI673" s="162"/>
      <c r="AJ673" s="143"/>
      <c r="AK673" s="143"/>
      <c r="AL673" s="143"/>
      <c r="AM673" s="143"/>
      <c r="AN673" s="143"/>
      <c r="AO673" s="143"/>
      <c r="AP673" s="143"/>
      <c r="AQ673" s="143"/>
    </row>
    <row r="674" ht="22.5" customHeight="1">
      <c r="A674" s="144" t="s">
        <v>162</v>
      </c>
      <c r="B674" s="145">
        <v>46122.0</v>
      </c>
      <c r="C674" s="149" t="s">
        <v>1685</v>
      </c>
      <c r="D674" s="208" t="s">
        <v>2281</v>
      </c>
      <c r="E674" s="148" t="s">
        <v>28</v>
      </c>
      <c r="F674" s="248" t="s">
        <v>2282</v>
      </c>
      <c r="G674" s="149" t="s">
        <v>2283</v>
      </c>
      <c r="H674" s="148" t="s">
        <v>257</v>
      </c>
      <c r="I674" s="150">
        <v>1.0</v>
      </c>
      <c r="J674" s="168">
        <v>7799.0</v>
      </c>
      <c r="K674" s="169">
        <f t="shared" si="68"/>
        <v>0</v>
      </c>
      <c r="L674" s="170">
        <v>7799.0</v>
      </c>
      <c r="M674" s="239">
        <v>7499.0</v>
      </c>
      <c r="N674" s="155">
        <v>1749.99</v>
      </c>
      <c r="O674" s="315">
        <f t="shared" si="70"/>
        <v>300</v>
      </c>
      <c r="P674" s="344">
        <f t="shared" si="69"/>
        <v>75</v>
      </c>
      <c r="Q674" s="510">
        <v>225.0</v>
      </c>
      <c r="R674" s="672" t="b">
        <v>0</v>
      </c>
      <c r="S674" s="318"/>
      <c r="T674" s="319"/>
      <c r="U674" s="315"/>
      <c r="V674" s="144" t="s">
        <v>584</v>
      </c>
      <c r="W674" s="148"/>
      <c r="X674" s="163"/>
      <c r="Y674" s="162"/>
      <c r="Z674" s="164"/>
      <c r="AA674" s="116"/>
      <c r="AB674" s="116"/>
      <c r="AC674" s="165"/>
      <c r="AD674" s="675" t="str">
        <f t="shared" si="71"/>
        <v>ABRIL</v>
      </c>
      <c r="AE674" s="144" t="s">
        <v>2080</v>
      </c>
      <c r="AF674" s="149" t="b">
        <v>1</v>
      </c>
      <c r="AG674" s="144" t="s">
        <v>2080</v>
      </c>
      <c r="AH674" s="149" t="b">
        <v>0</v>
      </c>
      <c r="AI674" s="162"/>
      <c r="AJ674" s="143"/>
      <c r="AK674" s="143"/>
      <c r="AL674" s="143"/>
      <c r="AM674" s="143"/>
      <c r="AN674" s="143"/>
      <c r="AO674" s="143"/>
      <c r="AP674" s="143"/>
      <c r="AQ674" s="143"/>
    </row>
    <row r="675" ht="22.5" hidden="1" customHeight="1">
      <c r="A675" s="144" t="s">
        <v>34</v>
      </c>
      <c r="B675" s="981">
        <v>46122.0</v>
      </c>
      <c r="C675" s="985" t="s">
        <v>2284</v>
      </c>
      <c r="D675" s="208" t="s">
        <v>1419</v>
      </c>
      <c r="E675" s="148" t="s">
        <v>28</v>
      </c>
      <c r="F675" s="262" t="s">
        <v>2285</v>
      </c>
      <c r="G675" s="149">
        <v>5.1967716761E10</v>
      </c>
      <c r="H675" s="148" t="s">
        <v>1076</v>
      </c>
      <c r="I675" s="150">
        <v>0.2</v>
      </c>
      <c r="J675" s="168">
        <v>656.46</v>
      </c>
      <c r="K675" s="169">
        <f t="shared" si="68"/>
        <v>2625.8</v>
      </c>
      <c r="L675" s="170">
        <v>3282.26</v>
      </c>
      <c r="M675" s="239">
        <v>3282.26</v>
      </c>
      <c r="N675" s="155">
        <v>649.99</v>
      </c>
      <c r="O675" s="315">
        <f t="shared" si="70"/>
        <v>0</v>
      </c>
      <c r="P675" s="344">
        <f t="shared" si="69"/>
        <v>0</v>
      </c>
      <c r="Q675" s="321"/>
      <c r="R675" s="672" t="b">
        <v>0</v>
      </c>
      <c r="S675" s="318"/>
      <c r="T675" s="319"/>
      <c r="U675" s="315"/>
      <c r="V675" s="144" t="s">
        <v>584</v>
      </c>
      <c r="W675" s="148"/>
      <c r="X675" s="163"/>
      <c r="Y675" s="162"/>
      <c r="Z675" s="10" t="s">
        <v>811</v>
      </c>
      <c r="AA675" s="116"/>
      <c r="AB675" s="116"/>
      <c r="AC675" s="165"/>
      <c r="AD675" s="675" t="str">
        <f t="shared" si="71"/>
        <v>ABRIL</v>
      </c>
      <c r="AE675" s="144" t="s">
        <v>2080</v>
      </c>
      <c r="AF675" s="149" t="b">
        <v>1</v>
      </c>
      <c r="AG675" s="144" t="s">
        <v>2080</v>
      </c>
      <c r="AH675" s="149" t="b">
        <v>0</v>
      </c>
      <c r="AI675" s="162"/>
      <c r="AJ675" s="143"/>
      <c r="AK675" s="143"/>
      <c r="AL675" s="143"/>
      <c r="AM675" s="143"/>
      <c r="AN675" s="143"/>
      <c r="AO675" s="143"/>
      <c r="AP675" s="143"/>
      <c r="AQ675" s="143"/>
    </row>
    <row r="676" ht="22.5" hidden="1" customHeight="1">
      <c r="A676" s="144" t="s">
        <v>259</v>
      </c>
      <c r="B676" s="145">
        <v>46122.0</v>
      </c>
      <c r="C676" s="979" t="s">
        <v>1508</v>
      </c>
      <c r="D676" s="928" t="s">
        <v>2286</v>
      </c>
      <c r="E676" s="148" t="s">
        <v>28</v>
      </c>
      <c r="F676" s="262" t="s">
        <v>2287</v>
      </c>
      <c r="G676" s="149">
        <v>5.1916025519E10</v>
      </c>
      <c r="H676" s="148" t="s">
        <v>257</v>
      </c>
      <c r="I676" s="150">
        <v>0.2</v>
      </c>
      <c r="J676" s="168">
        <v>1139.0</v>
      </c>
      <c r="K676" s="169">
        <f t="shared" si="68"/>
        <v>4560</v>
      </c>
      <c r="L676" s="170">
        <v>5699.0</v>
      </c>
      <c r="M676" s="239">
        <v>5433.0</v>
      </c>
      <c r="N676" s="155">
        <v>1199.99</v>
      </c>
      <c r="O676" s="315">
        <f t="shared" si="70"/>
        <v>266</v>
      </c>
      <c r="P676" s="344">
        <f t="shared" si="69"/>
        <v>166</v>
      </c>
      <c r="Q676" s="510">
        <v>100.0</v>
      </c>
      <c r="R676" s="672" t="b">
        <v>0</v>
      </c>
      <c r="S676" s="318"/>
      <c r="T676" s="319"/>
      <c r="U676" s="315"/>
      <c r="V676" s="144" t="s">
        <v>584</v>
      </c>
      <c r="W676" s="148"/>
      <c r="X676" s="163"/>
      <c r="Y676" s="162"/>
      <c r="Z676" s="164"/>
      <c r="AA676" s="116"/>
      <c r="AB676" s="116"/>
      <c r="AC676" s="165"/>
      <c r="AD676" s="675" t="str">
        <f t="shared" si="71"/>
        <v>ABRIL</v>
      </c>
      <c r="AE676" s="144" t="s">
        <v>2080</v>
      </c>
      <c r="AF676" s="149" t="b">
        <v>1</v>
      </c>
      <c r="AG676" s="144" t="s">
        <v>2067</v>
      </c>
      <c r="AH676" s="149" t="b">
        <v>0</v>
      </c>
      <c r="AI676" s="162"/>
      <c r="AJ676" s="143"/>
      <c r="AK676" s="143"/>
      <c r="AL676" s="143"/>
      <c r="AM676" s="143"/>
      <c r="AN676" s="143"/>
      <c r="AO676" s="143"/>
      <c r="AP676" s="143"/>
      <c r="AQ676" s="143"/>
    </row>
    <row r="677" ht="22.5" hidden="1" customHeight="1">
      <c r="A677" s="144" t="s">
        <v>34</v>
      </c>
      <c r="B677" s="187">
        <v>46123.0</v>
      </c>
      <c r="C677" s="353" t="s">
        <v>2288</v>
      </c>
      <c r="D677" s="928" t="s">
        <v>2289</v>
      </c>
      <c r="E677" s="148" t="s">
        <v>28</v>
      </c>
      <c r="F677" s="246" t="s">
        <v>2290</v>
      </c>
      <c r="G677" s="149">
        <v>5.1903503432E10</v>
      </c>
      <c r="H677" s="148" t="s">
        <v>257</v>
      </c>
      <c r="I677" s="150">
        <v>0.2</v>
      </c>
      <c r="J677" s="168">
        <v>998.7</v>
      </c>
      <c r="K677" s="169">
        <f t="shared" si="68"/>
        <v>3994.82</v>
      </c>
      <c r="L677" s="170">
        <v>4993.52</v>
      </c>
      <c r="M677" s="239">
        <v>4932.87</v>
      </c>
      <c r="N677" s="155">
        <v>999.99</v>
      </c>
      <c r="O677" s="315">
        <f t="shared" si="70"/>
        <v>60.65</v>
      </c>
      <c r="P677" s="344">
        <f t="shared" si="69"/>
        <v>60.65</v>
      </c>
      <c r="Q677" s="321"/>
      <c r="R677" s="672" t="b">
        <v>0</v>
      </c>
      <c r="S677" s="318"/>
      <c r="T677" s="319"/>
      <c r="U677" s="315"/>
      <c r="V677" s="144" t="s">
        <v>584</v>
      </c>
      <c r="W677" s="148"/>
      <c r="X677" s="163"/>
      <c r="Y677" s="144" t="s">
        <v>584</v>
      </c>
      <c r="Z677" s="164"/>
      <c r="AA677" s="116"/>
      <c r="AB677" s="116"/>
      <c r="AC677" s="165"/>
      <c r="AD677" s="675" t="str">
        <f t="shared" si="71"/>
        <v>ABRIL</v>
      </c>
      <c r="AE677" s="144" t="s">
        <v>2080</v>
      </c>
      <c r="AF677" s="149" t="b">
        <v>1</v>
      </c>
      <c r="AG677" s="144" t="s">
        <v>2080</v>
      </c>
      <c r="AH677" s="149" t="b">
        <v>0</v>
      </c>
      <c r="AI677" s="162"/>
      <c r="AJ677" s="143"/>
      <c r="AK677" s="143"/>
      <c r="AL677" s="143"/>
      <c r="AM677" s="143"/>
      <c r="AN677" s="143"/>
      <c r="AO677" s="143"/>
      <c r="AP677" s="143"/>
      <c r="AQ677" s="143"/>
    </row>
    <row r="678" ht="22.5" customHeight="1">
      <c r="A678" s="144" t="s">
        <v>162</v>
      </c>
      <c r="B678" s="145">
        <v>46123.0</v>
      </c>
      <c r="C678" s="188" t="s">
        <v>2291</v>
      </c>
      <c r="D678" s="208" t="s">
        <v>2292</v>
      </c>
      <c r="E678" s="148" t="s">
        <v>28</v>
      </c>
      <c r="F678" s="249" t="s">
        <v>2293</v>
      </c>
      <c r="G678" s="149">
        <v>5.1992737949E10</v>
      </c>
      <c r="H678" s="148" t="s">
        <v>257</v>
      </c>
      <c r="I678" s="150">
        <v>0.2</v>
      </c>
      <c r="J678" s="168">
        <v>1459.0</v>
      </c>
      <c r="K678" s="169">
        <f t="shared" si="68"/>
        <v>5840</v>
      </c>
      <c r="L678" s="170">
        <v>7299.0</v>
      </c>
      <c r="M678" s="239">
        <v>6944.61</v>
      </c>
      <c r="N678" s="155">
        <v>1599.0</v>
      </c>
      <c r="O678" s="315">
        <f t="shared" si="70"/>
        <v>354.39</v>
      </c>
      <c r="P678" s="344">
        <f t="shared" si="69"/>
        <v>134.39</v>
      </c>
      <c r="Q678" s="510">
        <v>220.0</v>
      </c>
      <c r="R678" s="672" t="b">
        <v>0</v>
      </c>
      <c r="S678" s="318"/>
      <c r="T678" s="319"/>
      <c r="U678" s="315"/>
      <c r="V678" s="144" t="s">
        <v>584</v>
      </c>
      <c r="W678" s="148"/>
      <c r="X678" s="163"/>
      <c r="Y678" s="144" t="s">
        <v>584</v>
      </c>
      <c r="Z678" s="164"/>
      <c r="AA678" s="116"/>
      <c r="AB678" s="116"/>
      <c r="AC678" s="165"/>
      <c r="AD678" s="675" t="str">
        <f t="shared" si="71"/>
        <v>ABRIL</v>
      </c>
      <c r="AE678" s="144" t="s">
        <v>2080</v>
      </c>
      <c r="AF678" s="149" t="b">
        <v>1</v>
      </c>
      <c r="AG678" s="144" t="s">
        <v>471</v>
      </c>
      <c r="AH678" s="149" t="b">
        <v>0</v>
      </c>
      <c r="AI678" s="162"/>
      <c r="AJ678" s="143"/>
      <c r="AK678" s="143"/>
      <c r="AL678" s="143"/>
      <c r="AM678" s="143"/>
      <c r="AN678" s="143"/>
      <c r="AO678" s="143"/>
      <c r="AP678" s="143"/>
      <c r="AQ678" s="143"/>
    </row>
    <row r="679" ht="22.5" customHeight="1">
      <c r="A679" s="144" t="s">
        <v>162</v>
      </c>
      <c r="B679" s="729">
        <v>46124.0</v>
      </c>
      <c r="C679" s="149" t="s">
        <v>2294</v>
      </c>
      <c r="D679" s="208" t="s">
        <v>2295</v>
      </c>
      <c r="E679" s="148" t="s">
        <v>28</v>
      </c>
      <c r="F679" s="246" t="s">
        <v>2296</v>
      </c>
      <c r="G679" s="149" t="s">
        <v>2297</v>
      </c>
      <c r="H679" s="148" t="s">
        <v>257</v>
      </c>
      <c r="I679" s="150">
        <v>0.2</v>
      </c>
      <c r="J679" s="168">
        <v>1299.8</v>
      </c>
      <c r="K679" s="169">
        <f t="shared" si="68"/>
        <v>5199.2</v>
      </c>
      <c r="L679" s="170">
        <v>6499.0</v>
      </c>
      <c r="M679" s="239">
        <v>6216.85</v>
      </c>
      <c r="N679" s="155">
        <v>1399.0</v>
      </c>
      <c r="O679" s="315">
        <f t="shared" si="70"/>
        <v>282.15</v>
      </c>
      <c r="P679" s="344">
        <f t="shared" si="69"/>
        <v>57.15</v>
      </c>
      <c r="Q679" s="510">
        <v>225.0</v>
      </c>
      <c r="R679" s="672" t="b">
        <v>0</v>
      </c>
      <c r="S679" s="318"/>
      <c r="T679" s="319"/>
      <c r="U679" s="315"/>
      <c r="V679" s="144" t="s">
        <v>584</v>
      </c>
      <c r="W679" s="148"/>
      <c r="X679" s="163"/>
      <c r="Y679" s="144" t="s">
        <v>584</v>
      </c>
      <c r="Z679" s="164"/>
      <c r="AA679" s="116"/>
      <c r="AB679" s="116"/>
      <c r="AC679" s="165"/>
      <c r="AD679" s="675" t="str">
        <f t="shared" si="71"/>
        <v>ABRIL</v>
      </c>
      <c r="AE679" s="144" t="s">
        <v>2080</v>
      </c>
      <c r="AF679" s="149" t="b">
        <v>1</v>
      </c>
      <c r="AG679" s="144" t="s">
        <v>471</v>
      </c>
      <c r="AH679" s="149" t="b">
        <v>0</v>
      </c>
      <c r="AI679" s="162"/>
      <c r="AJ679" s="143"/>
      <c r="AK679" s="143"/>
      <c r="AL679" s="143"/>
      <c r="AM679" s="143"/>
      <c r="AN679" s="143"/>
      <c r="AO679" s="143"/>
      <c r="AP679" s="143"/>
      <c r="AQ679" s="143"/>
    </row>
    <row r="680" ht="22.5" customHeight="1">
      <c r="A680" s="144" t="s">
        <v>162</v>
      </c>
      <c r="B680" s="145">
        <v>46125.0</v>
      </c>
      <c r="C680" s="817" t="s">
        <v>2298</v>
      </c>
      <c r="D680" s="208" t="s">
        <v>2299</v>
      </c>
      <c r="E680" s="148" t="s">
        <v>28</v>
      </c>
      <c r="F680" s="262" t="s">
        <v>2300</v>
      </c>
      <c r="G680" s="149" t="s">
        <v>2301</v>
      </c>
      <c r="H680" s="148" t="s">
        <v>257</v>
      </c>
      <c r="I680" s="150">
        <v>0.2</v>
      </c>
      <c r="J680" s="168">
        <v>1279.0</v>
      </c>
      <c r="K680" s="169">
        <f t="shared" si="68"/>
        <v>5120</v>
      </c>
      <c r="L680" s="170">
        <v>6399.0</v>
      </c>
      <c r="M680" s="239">
        <v>6288.12</v>
      </c>
      <c r="N680" s="155">
        <v>1299.99</v>
      </c>
      <c r="O680" s="315">
        <f t="shared" si="70"/>
        <v>110.88</v>
      </c>
      <c r="P680" s="344">
        <f t="shared" si="69"/>
        <v>10.88</v>
      </c>
      <c r="Q680" s="510">
        <v>100.0</v>
      </c>
      <c r="R680" s="672" t="b">
        <v>0</v>
      </c>
      <c r="S680" s="346"/>
      <c r="T680" s="319"/>
      <c r="U680" s="315"/>
      <c r="V680" s="144" t="s">
        <v>584</v>
      </c>
      <c r="W680" s="148"/>
      <c r="X680" s="163"/>
      <c r="Y680" s="144" t="s">
        <v>584</v>
      </c>
      <c r="Z680" s="164"/>
      <c r="AA680" s="116"/>
      <c r="AB680" s="116"/>
      <c r="AC680" s="165"/>
      <c r="AD680" s="675" t="str">
        <f t="shared" si="71"/>
        <v>ABRIL</v>
      </c>
      <c r="AE680" s="144" t="s">
        <v>2080</v>
      </c>
      <c r="AF680" s="149" t="b">
        <v>1</v>
      </c>
      <c r="AG680" s="144" t="s">
        <v>471</v>
      </c>
      <c r="AH680" s="149" t="b">
        <v>0</v>
      </c>
      <c r="AI680" s="162"/>
      <c r="AJ680" s="143"/>
      <c r="AK680" s="143"/>
      <c r="AL680" s="143"/>
      <c r="AM680" s="143"/>
      <c r="AN680" s="143"/>
      <c r="AO680" s="143"/>
      <c r="AP680" s="143"/>
      <c r="AQ680" s="143"/>
    </row>
    <row r="681" ht="22.5" customHeight="1">
      <c r="A681" s="144" t="s">
        <v>1824</v>
      </c>
      <c r="B681" s="145">
        <v>46125.0</v>
      </c>
      <c r="C681" s="149" t="s">
        <v>2302</v>
      </c>
      <c r="D681" s="208" t="s">
        <v>2303</v>
      </c>
      <c r="E681" s="148" t="s">
        <v>28</v>
      </c>
      <c r="F681" s="986" t="s">
        <v>2304</v>
      </c>
      <c r="G681" s="149">
        <v>5.1906382343E10</v>
      </c>
      <c r="H681" s="148" t="s">
        <v>257</v>
      </c>
      <c r="I681" s="150">
        <v>0.2</v>
      </c>
      <c r="J681" s="168">
        <v>1459.8</v>
      </c>
      <c r="K681" s="169">
        <f t="shared" si="68"/>
        <v>5839.2</v>
      </c>
      <c r="L681" s="170">
        <v>7299.0</v>
      </c>
      <c r="M681" s="239">
        <v>6945.0</v>
      </c>
      <c r="N681" s="155">
        <v>1599.0</v>
      </c>
      <c r="O681" s="315">
        <f t="shared" si="70"/>
        <v>354</v>
      </c>
      <c r="P681" s="344">
        <f t="shared" si="69"/>
        <v>304</v>
      </c>
      <c r="Q681" s="510">
        <v>50.0</v>
      </c>
      <c r="R681" s="672" t="b">
        <v>0</v>
      </c>
      <c r="S681" s="318"/>
      <c r="T681" s="319"/>
      <c r="U681" s="315"/>
      <c r="V681" s="144" t="s">
        <v>584</v>
      </c>
      <c r="W681" s="148"/>
      <c r="X681" s="163"/>
      <c r="Y681" s="162"/>
      <c r="Z681" s="164"/>
      <c r="AA681" s="116"/>
      <c r="AB681" s="116"/>
      <c r="AC681" s="165"/>
      <c r="AD681" s="675" t="str">
        <f t="shared" si="71"/>
        <v>ABRIL</v>
      </c>
      <c r="AE681" s="144" t="s">
        <v>2080</v>
      </c>
      <c r="AF681" s="149" t="b">
        <v>1</v>
      </c>
      <c r="AG681" s="144" t="s">
        <v>471</v>
      </c>
      <c r="AH681" s="149" t="b">
        <v>0</v>
      </c>
      <c r="AI681" s="162"/>
      <c r="AJ681" s="143"/>
      <c r="AK681" s="143"/>
      <c r="AL681" s="143"/>
      <c r="AM681" s="143"/>
      <c r="AN681" s="143"/>
      <c r="AO681" s="143"/>
      <c r="AP681" s="143"/>
      <c r="AQ681" s="143"/>
    </row>
    <row r="682" ht="22.5" hidden="1" customHeight="1">
      <c r="A682" s="144" t="s">
        <v>259</v>
      </c>
      <c r="B682" s="145">
        <v>46126.0</v>
      </c>
      <c r="C682" s="149" t="s">
        <v>2305</v>
      </c>
      <c r="D682" s="208" t="s">
        <v>2306</v>
      </c>
      <c r="E682" s="148" t="s">
        <v>28</v>
      </c>
      <c r="F682" s="262" t="s">
        <v>2307</v>
      </c>
      <c r="G682" s="149">
        <v>5.1902895432E10</v>
      </c>
      <c r="H682" s="148" t="s">
        <v>257</v>
      </c>
      <c r="I682" s="150">
        <v>1.0</v>
      </c>
      <c r="J682" s="168">
        <v>6100.0</v>
      </c>
      <c r="K682" s="169">
        <f t="shared" si="68"/>
        <v>0</v>
      </c>
      <c r="L682" s="170">
        <v>6100.0</v>
      </c>
      <c r="M682" s="239">
        <v>5903.22</v>
      </c>
      <c r="N682" s="155">
        <v>1374.99</v>
      </c>
      <c r="O682" s="315">
        <f t="shared" si="70"/>
        <v>196.78</v>
      </c>
      <c r="P682" s="344">
        <f t="shared" si="69"/>
        <v>96.78</v>
      </c>
      <c r="Q682" s="510">
        <v>100.0</v>
      </c>
      <c r="R682" s="672" t="b">
        <v>0</v>
      </c>
      <c r="S682" s="318"/>
      <c r="T682" s="319"/>
      <c r="U682" s="315"/>
      <c r="V682" s="144" t="s">
        <v>584</v>
      </c>
      <c r="W682" s="148"/>
      <c r="X682" s="163"/>
      <c r="Y682" s="144" t="s">
        <v>584</v>
      </c>
      <c r="Z682" s="164"/>
      <c r="AA682" s="116"/>
      <c r="AB682" s="116"/>
      <c r="AC682" s="165"/>
      <c r="AD682" s="675" t="str">
        <f t="shared" si="71"/>
        <v>ABRIL</v>
      </c>
      <c r="AE682" s="144" t="s">
        <v>2080</v>
      </c>
      <c r="AF682" s="149" t="b">
        <v>1</v>
      </c>
      <c r="AG682" s="144" t="s">
        <v>2067</v>
      </c>
      <c r="AH682" s="149" t="b">
        <v>0</v>
      </c>
      <c r="AI682" s="162"/>
      <c r="AJ682" s="143"/>
      <c r="AK682" s="143"/>
      <c r="AL682" s="143"/>
      <c r="AM682" s="143"/>
      <c r="AN682" s="143"/>
      <c r="AO682" s="143"/>
      <c r="AP682" s="143"/>
      <c r="AQ682" s="143"/>
    </row>
    <row r="683" ht="22.5" hidden="1" customHeight="1">
      <c r="A683" s="144" t="s">
        <v>34</v>
      </c>
      <c r="B683" s="145">
        <v>46127.0</v>
      </c>
      <c r="C683" s="149" t="s">
        <v>2308</v>
      </c>
      <c r="D683" s="928" t="s">
        <v>2309</v>
      </c>
      <c r="E683" s="148" t="s">
        <v>28</v>
      </c>
      <c r="F683" s="262" t="s">
        <v>2310</v>
      </c>
      <c r="G683" s="149">
        <v>5.1956103174E10</v>
      </c>
      <c r="H683" s="148" t="s">
        <v>257</v>
      </c>
      <c r="I683" s="150">
        <v>0.2</v>
      </c>
      <c r="J683" s="168">
        <v>1439.8</v>
      </c>
      <c r="K683" s="169">
        <f t="shared" si="68"/>
        <v>5759.2</v>
      </c>
      <c r="L683" s="170">
        <v>7199.0</v>
      </c>
      <c r="M683" s="239">
        <v>6891.77</v>
      </c>
      <c r="N683" s="155">
        <v>1599.99</v>
      </c>
      <c r="O683" s="315">
        <f t="shared" si="70"/>
        <v>307.23</v>
      </c>
      <c r="P683" s="344">
        <f t="shared" si="69"/>
        <v>32.23</v>
      </c>
      <c r="Q683" s="510">
        <v>225.0</v>
      </c>
      <c r="R683" s="672" t="b">
        <v>1</v>
      </c>
      <c r="S683" s="318"/>
      <c r="T683" s="319"/>
      <c r="U683" s="315"/>
      <c r="V683" s="144" t="s">
        <v>584</v>
      </c>
      <c r="W683" s="148"/>
      <c r="X683" s="104" t="s">
        <v>2311</v>
      </c>
      <c r="Y683" s="144" t="s">
        <v>584</v>
      </c>
      <c r="Z683" s="164"/>
      <c r="AA683" s="116"/>
      <c r="AB683" s="116"/>
      <c r="AC683" s="165"/>
      <c r="AD683" s="675" t="str">
        <f t="shared" si="71"/>
        <v>ABRIL</v>
      </c>
      <c r="AE683" s="144" t="s">
        <v>2080</v>
      </c>
      <c r="AF683" s="149" t="b">
        <v>1</v>
      </c>
      <c r="AG683" s="144" t="s">
        <v>2067</v>
      </c>
      <c r="AH683" s="149" t="b">
        <v>0</v>
      </c>
      <c r="AI683" s="162"/>
      <c r="AJ683" s="143"/>
      <c r="AK683" s="143"/>
      <c r="AL683" s="143"/>
      <c r="AM683" s="143"/>
      <c r="AN683" s="143"/>
      <c r="AO683" s="143"/>
      <c r="AP683" s="143"/>
      <c r="AQ683" s="143"/>
    </row>
    <row r="684" ht="22.5" customHeight="1">
      <c r="A684" s="144" t="s">
        <v>162</v>
      </c>
      <c r="B684" s="145">
        <v>46128.0</v>
      </c>
      <c r="C684" s="149" t="s">
        <v>1508</v>
      </c>
      <c r="D684" s="208" t="s">
        <v>2074</v>
      </c>
      <c r="E684" s="148" t="s">
        <v>28</v>
      </c>
      <c r="F684" s="149" t="s">
        <v>2312</v>
      </c>
      <c r="G684" s="149" t="s">
        <v>2313</v>
      </c>
      <c r="H684" s="148" t="s">
        <v>257</v>
      </c>
      <c r="I684" s="150">
        <v>0.2</v>
      </c>
      <c r="J684" s="168">
        <v>1119.0</v>
      </c>
      <c r="K684" s="169">
        <f t="shared" si="68"/>
        <v>4879</v>
      </c>
      <c r="L684" s="170">
        <v>5998.0</v>
      </c>
      <c r="M684" s="239">
        <v>5499.0</v>
      </c>
      <c r="N684" s="155" t="s">
        <v>2253</v>
      </c>
      <c r="O684" s="315">
        <f t="shared" si="70"/>
        <v>499</v>
      </c>
      <c r="P684" s="344">
        <f t="shared" si="69"/>
        <v>0</v>
      </c>
      <c r="Q684" s="510">
        <v>100.0</v>
      </c>
      <c r="R684" s="672" t="b">
        <v>0</v>
      </c>
      <c r="S684" s="346">
        <v>399.0</v>
      </c>
      <c r="T684" s="319"/>
      <c r="U684" s="315"/>
      <c r="V684" s="144" t="s">
        <v>584</v>
      </c>
      <c r="W684" s="148"/>
      <c r="X684" s="163"/>
      <c r="Y684" s="162"/>
      <c r="Z684" s="164"/>
      <c r="AA684" s="116"/>
      <c r="AB684" s="116"/>
      <c r="AC684" s="165"/>
      <c r="AD684" s="675" t="str">
        <f t="shared" si="71"/>
        <v>ABRIL</v>
      </c>
      <c r="AE684" s="144" t="s">
        <v>2080</v>
      </c>
      <c r="AF684" s="149" t="b">
        <v>1</v>
      </c>
      <c r="AG684" s="144" t="s">
        <v>2067</v>
      </c>
      <c r="AH684" s="149" t="b">
        <v>0</v>
      </c>
      <c r="AI684" s="162"/>
      <c r="AJ684" s="143"/>
      <c r="AK684" s="143"/>
      <c r="AL684" s="143"/>
      <c r="AM684" s="143"/>
      <c r="AN684" s="143"/>
      <c r="AO684" s="143"/>
      <c r="AP684" s="143"/>
      <c r="AQ684" s="143"/>
    </row>
    <row r="685" ht="22.5" hidden="1" customHeight="1">
      <c r="A685" s="144" t="s">
        <v>34</v>
      </c>
      <c r="B685" s="145">
        <v>46129.0</v>
      </c>
      <c r="C685" s="353" t="s">
        <v>434</v>
      </c>
      <c r="D685" s="928" t="s">
        <v>2314</v>
      </c>
      <c r="E685" s="148" t="s">
        <v>28</v>
      </c>
      <c r="F685" s="987" t="s">
        <v>2315</v>
      </c>
      <c r="G685" s="149" t="s">
        <v>2316</v>
      </c>
      <c r="H685" s="148" t="s">
        <v>257</v>
      </c>
      <c r="I685" s="150">
        <v>0.2</v>
      </c>
      <c r="J685" s="168">
        <v>2099.0</v>
      </c>
      <c r="K685" s="169">
        <f t="shared" si="68"/>
        <v>7000</v>
      </c>
      <c r="L685" s="170">
        <v>9099.0</v>
      </c>
      <c r="M685" s="239">
        <v>8708.03</v>
      </c>
      <c r="N685" s="155">
        <v>1899.0</v>
      </c>
      <c r="O685" s="315">
        <f t="shared" si="70"/>
        <v>390.97</v>
      </c>
      <c r="P685" s="344">
        <f t="shared" si="69"/>
        <v>115.97</v>
      </c>
      <c r="Q685" s="510">
        <v>225.0</v>
      </c>
      <c r="R685" s="672" t="b">
        <v>1</v>
      </c>
      <c r="S685" s="318"/>
      <c r="T685" s="319"/>
      <c r="U685" s="315"/>
      <c r="V685" s="144" t="s">
        <v>584</v>
      </c>
      <c r="W685" s="148"/>
      <c r="X685" s="163"/>
      <c r="Y685" s="144" t="s">
        <v>584</v>
      </c>
      <c r="Z685" s="164"/>
      <c r="AA685" s="116"/>
      <c r="AB685" s="116"/>
      <c r="AC685" s="165"/>
      <c r="AD685" s="675" t="str">
        <f t="shared" si="71"/>
        <v>ABRIL</v>
      </c>
      <c r="AE685" s="144" t="s">
        <v>2080</v>
      </c>
      <c r="AF685" s="149" t="b">
        <v>1</v>
      </c>
      <c r="AG685" s="144" t="s">
        <v>471</v>
      </c>
      <c r="AH685" s="149" t="b">
        <v>0</v>
      </c>
      <c r="AI685" s="162"/>
      <c r="AJ685" s="143"/>
      <c r="AK685" s="143"/>
      <c r="AL685" s="143"/>
      <c r="AM685" s="143"/>
      <c r="AN685" s="143"/>
      <c r="AO685" s="143"/>
      <c r="AP685" s="143"/>
      <c r="AQ685" s="143"/>
    </row>
    <row r="686" ht="22.5" customHeight="1">
      <c r="A686" s="144" t="s">
        <v>162</v>
      </c>
      <c r="B686" s="145">
        <v>46129.0</v>
      </c>
      <c r="C686" s="149" t="s">
        <v>2317</v>
      </c>
      <c r="D686" s="988" t="s">
        <v>2318</v>
      </c>
      <c r="E686" s="989" t="s">
        <v>28</v>
      </c>
      <c r="F686" s="262" t="s">
        <v>2319</v>
      </c>
      <c r="G686" s="149">
        <v>5.194884455E10</v>
      </c>
      <c r="H686" s="148" t="s">
        <v>257</v>
      </c>
      <c r="I686" s="150">
        <v>0.3</v>
      </c>
      <c r="J686" s="168">
        <v>2849.0</v>
      </c>
      <c r="K686" s="169">
        <f t="shared" si="68"/>
        <v>6650</v>
      </c>
      <c r="L686" s="170">
        <v>9499.0</v>
      </c>
      <c r="M686" s="239">
        <v>9088.68</v>
      </c>
      <c r="N686" s="155">
        <v>1999.99</v>
      </c>
      <c r="O686" s="315">
        <f t="shared" si="70"/>
        <v>410.32</v>
      </c>
      <c r="P686" s="990">
        <f t="shared" si="69"/>
        <v>185.32</v>
      </c>
      <c r="Q686" s="510">
        <v>225.0</v>
      </c>
      <c r="R686" s="672" t="b">
        <v>0</v>
      </c>
      <c r="S686" s="318"/>
      <c r="T686" s="319"/>
      <c r="U686" s="315"/>
      <c r="V686" s="144" t="s">
        <v>584</v>
      </c>
      <c r="W686" s="148"/>
      <c r="X686" s="163"/>
      <c r="Y686" s="144" t="s">
        <v>584</v>
      </c>
      <c r="Z686" s="164"/>
      <c r="AA686" s="116"/>
      <c r="AB686" s="116"/>
      <c r="AC686" s="165"/>
      <c r="AD686" s="675" t="str">
        <f t="shared" si="71"/>
        <v>ABRIL</v>
      </c>
      <c r="AE686" s="144" t="s">
        <v>2080</v>
      </c>
      <c r="AF686" s="149" t="b">
        <v>1</v>
      </c>
      <c r="AG686" s="144" t="s">
        <v>2067</v>
      </c>
      <c r="AH686" s="149" t="b">
        <v>0</v>
      </c>
      <c r="AI686" s="162"/>
      <c r="AJ686" s="143"/>
      <c r="AK686" s="143"/>
      <c r="AL686" s="143"/>
      <c r="AM686" s="143"/>
      <c r="AN686" s="143"/>
      <c r="AO686" s="143"/>
      <c r="AP686" s="143"/>
      <c r="AQ686" s="143"/>
    </row>
    <row r="687" ht="22.5" customHeight="1">
      <c r="A687" s="144" t="s">
        <v>162</v>
      </c>
      <c r="B687" s="145">
        <v>46129.0</v>
      </c>
      <c r="C687" s="353" t="s">
        <v>2254</v>
      </c>
      <c r="D687" s="991" t="s">
        <v>2320</v>
      </c>
      <c r="E687" s="148" t="s">
        <v>28</v>
      </c>
      <c r="F687" s="262" t="s">
        <v>2321</v>
      </c>
      <c r="G687" s="149">
        <v>5.1932942609E10</v>
      </c>
      <c r="H687" s="148" t="s">
        <v>257</v>
      </c>
      <c r="I687" s="150">
        <v>0.2</v>
      </c>
      <c r="J687" s="168">
        <v>1700.0</v>
      </c>
      <c r="K687" s="169">
        <f t="shared" si="68"/>
        <v>7065</v>
      </c>
      <c r="L687" s="170">
        <v>8765.0</v>
      </c>
      <c r="M687" s="239">
        <v>8711.71</v>
      </c>
      <c r="N687" s="155">
        <v>1899.99</v>
      </c>
      <c r="O687" s="315">
        <f t="shared" si="70"/>
        <v>53.29</v>
      </c>
      <c r="P687" s="344">
        <f t="shared" si="69"/>
        <v>3.29</v>
      </c>
      <c r="Q687" s="759">
        <v>50.0</v>
      </c>
      <c r="R687" s="672" t="b">
        <v>0</v>
      </c>
      <c r="S687" s="346"/>
      <c r="T687" s="319"/>
      <c r="U687" s="315"/>
      <c r="V687" s="144" t="s">
        <v>584</v>
      </c>
      <c r="W687" s="148"/>
      <c r="X687" s="163"/>
      <c r="Y687" s="144" t="s">
        <v>584</v>
      </c>
      <c r="Z687" s="164"/>
      <c r="AA687" s="116"/>
      <c r="AB687" s="116"/>
      <c r="AC687" s="165"/>
      <c r="AD687" s="675" t="str">
        <f t="shared" si="71"/>
        <v>ABRIL</v>
      </c>
      <c r="AE687" s="144" t="s">
        <v>2080</v>
      </c>
      <c r="AF687" s="149" t="b">
        <v>1</v>
      </c>
      <c r="AG687" s="144" t="s">
        <v>471</v>
      </c>
      <c r="AH687" s="149" t="b">
        <v>0</v>
      </c>
      <c r="AI687" s="162"/>
      <c r="AJ687" s="143"/>
      <c r="AK687" s="143"/>
      <c r="AL687" s="143"/>
      <c r="AM687" s="143"/>
      <c r="AN687" s="143"/>
      <c r="AO687" s="143"/>
      <c r="AP687" s="143"/>
      <c r="AQ687" s="143"/>
    </row>
    <row r="688" ht="22.5" hidden="1" customHeight="1">
      <c r="A688" s="144" t="s">
        <v>34</v>
      </c>
      <c r="B688" s="145">
        <v>46129.0</v>
      </c>
      <c r="C688" s="777" t="s">
        <v>2095</v>
      </c>
      <c r="D688" s="992" t="s">
        <v>2322</v>
      </c>
      <c r="E688" s="148" t="s">
        <v>28</v>
      </c>
      <c r="F688" s="246" t="s">
        <v>2323</v>
      </c>
      <c r="G688" s="993">
        <v>9.01516098E8</v>
      </c>
      <c r="H688" s="148" t="s">
        <v>257</v>
      </c>
      <c r="I688" s="150">
        <v>0.2</v>
      </c>
      <c r="J688" s="168">
        <v>1759.8</v>
      </c>
      <c r="K688" s="169">
        <f t="shared" si="68"/>
        <v>7039.2</v>
      </c>
      <c r="L688" s="170">
        <v>8799.0</v>
      </c>
      <c r="M688" s="239">
        <v>8516.64</v>
      </c>
      <c r="N688" s="155">
        <v>1979.99</v>
      </c>
      <c r="O688" s="315">
        <f t="shared" si="70"/>
        <v>282.36</v>
      </c>
      <c r="P688" s="344">
        <f t="shared" si="69"/>
        <v>7.36</v>
      </c>
      <c r="Q688" s="510">
        <v>225.0</v>
      </c>
      <c r="R688" s="672" t="b">
        <v>1</v>
      </c>
      <c r="S688" s="318"/>
      <c r="T688" s="319"/>
      <c r="U688" s="315"/>
      <c r="V688" s="144" t="s">
        <v>584</v>
      </c>
      <c r="W688" s="148"/>
      <c r="X688" s="163"/>
      <c r="Y688" s="144" t="s">
        <v>584</v>
      </c>
      <c r="Z688" s="164"/>
      <c r="AA688" s="116"/>
      <c r="AB688" s="116"/>
      <c r="AC688" s="165"/>
      <c r="AD688" s="675" t="str">
        <f t="shared" si="71"/>
        <v>ABRIL</v>
      </c>
      <c r="AE688" s="144" t="s">
        <v>2080</v>
      </c>
      <c r="AF688" s="149" t="b">
        <v>1</v>
      </c>
      <c r="AG688" s="144" t="s">
        <v>2067</v>
      </c>
      <c r="AH688" s="149" t="b">
        <v>0</v>
      </c>
      <c r="AI688" s="162"/>
      <c r="AJ688" s="143"/>
      <c r="AK688" s="143"/>
      <c r="AL688" s="143"/>
      <c r="AM688" s="143"/>
      <c r="AN688" s="143"/>
      <c r="AO688" s="143"/>
      <c r="AP688" s="143"/>
      <c r="AQ688" s="143"/>
    </row>
    <row r="689" ht="22.5" customHeight="1">
      <c r="A689" s="144" t="s">
        <v>162</v>
      </c>
      <c r="B689" s="145">
        <v>46130.0</v>
      </c>
      <c r="C689" s="149" t="s">
        <v>2317</v>
      </c>
      <c r="D689" s="208" t="s">
        <v>2324</v>
      </c>
      <c r="E689" s="989" t="s">
        <v>28</v>
      </c>
      <c r="F689" s="262" t="s">
        <v>2325</v>
      </c>
      <c r="G689" s="149">
        <v>5.1940782391E10</v>
      </c>
      <c r="H689" s="148" t="s">
        <v>257</v>
      </c>
      <c r="I689" s="150">
        <v>0.3</v>
      </c>
      <c r="J689" s="168">
        <v>2849.0</v>
      </c>
      <c r="K689" s="169">
        <f t="shared" si="68"/>
        <v>6700</v>
      </c>
      <c r="L689" s="170">
        <v>9549.0</v>
      </c>
      <c r="M689" s="239">
        <v>9149.63</v>
      </c>
      <c r="N689" s="155">
        <v>1999.99</v>
      </c>
      <c r="O689" s="315">
        <f t="shared" si="70"/>
        <v>399.37</v>
      </c>
      <c r="P689" s="990">
        <f t="shared" si="69"/>
        <v>109.37</v>
      </c>
      <c r="Q689" s="510">
        <v>240.0</v>
      </c>
      <c r="R689" s="672" t="b">
        <v>1</v>
      </c>
      <c r="S689" s="318"/>
      <c r="T689" s="319"/>
      <c r="U689" s="315"/>
      <c r="V689" s="144" t="s">
        <v>584</v>
      </c>
      <c r="W689" s="148"/>
      <c r="X689" s="163"/>
      <c r="Y689" s="144" t="s">
        <v>584</v>
      </c>
      <c r="Z689" s="164"/>
      <c r="AA689" s="116"/>
      <c r="AB689" s="116"/>
      <c r="AC689" s="165"/>
      <c r="AD689" s="675" t="str">
        <f t="shared" si="71"/>
        <v>ABRIL</v>
      </c>
      <c r="AE689" s="144" t="s">
        <v>2080</v>
      </c>
      <c r="AF689" s="149" t="b">
        <v>1</v>
      </c>
      <c r="AG689" s="144" t="s">
        <v>2067</v>
      </c>
      <c r="AH689" s="149" t="b">
        <v>0</v>
      </c>
      <c r="AI689" s="162"/>
      <c r="AJ689" s="143"/>
      <c r="AK689" s="143"/>
      <c r="AL689" s="143"/>
      <c r="AM689" s="143"/>
      <c r="AN689" s="143"/>
      <c r="AO689" s="143"/>
      <c r="AP689" s="143"/>
      <c r="AQ689" s="143"/>
    </row>
    <row r="690" ht="22.5" hidden="1" customHeight="1">
      <c r="A690" s="144" t="s">
        <v>34</v>
      </c>
      <c r="B690" s="145">
        <v>46132.0</v>
      </c>
      <c r="C690" s="353" t="s">
        <v>1171</v>
      </c>
      <c r="D690" s="928" t="s">
        <v>2326</v>
      </c>
      <c r="E690" s="989" t="s">
        <v>28</v>
      </c>
      <c r="F690" s="497" t="s">
        <v>2327</v>
      </c>
      <c r="G690" s="104">
        <v>9.28101186E8</v>
      </c>
      <c r="H690" s="148" t="s">
        <v>257</v>
      </c>
      <c r="I690" s="150">
        <v>0.2</v>
      </c>
      <c r="J690" s="168">
        <v>1899.8</v>
      </c>
      <c r="K690" s="169">
        <f t="shared" si="68"/>
        <v>7599.2</v>
      </c>
      <c r="L690" s="170">
        <v>9499.0</v>
      </c>
      <c r="M690" s="239">
        <v>9118.3</v>
      </c>
      <c r="N690" s="155">
        <v>1999.99</v>
      </c>
      <c r="O690" s="315">
        <f t="shared" si="70"/>
        <v>380.7</v>
      </c>
      <c r="P690" s="990">
        <f t="shared" si="69"/>
        <v>0</v>
      </c>
      <c r="Q690" s="510">
        <v>225.0</v>
      </c>
      <c r="R690" s="672" t="b">
        <v>1</v>
      </c>
      <c r="S690" s="318"/>
      <c r="T690" s="347">
        <v>105.7</v>
      </c>
      <c r="U690" s="315"/>
      <c r="V690" s="144" t="s">
        <v>584</v>
      </c>
      <c r="W690" s="148"/>
      <c r="X690" s="104" t="s">
        <v>2328</v>
      </c>
      <c r="Y690" s="144"/>
      <c r="Z690" s="164"/>
      <c r="AA690" s="116"/>
      <c r="AB690" s="116"/>
      <c r="AC690" s="165"/>
      <c r="AD690" s="675" t="str">
        <f t="shared" si="71"/>
        <v>ABRIL</v>
      </c>
      <c r="AE690" s="144" t="s">
        <v>2080</v>
      </c>
      <c r="AF690" s="149" t="b">
        <v>1</v>
      </c>
      <c r="AG690" s="144" t="s">
        <v>471</v>
      </c>
      <c r="AH690" s="149" t="b">
        <v>0</v>
      </c>
      <c r="AI690" s="162"/>
      <c r="AJ690" s="143"/>
      <c r="AK690" s="143"/>
      <c r="AL690" s="143"/>
      <c r="AM690" s="143"/>
      <c r="AN690" s="143"/>
      <c r="AO690" s="143"/>
      <c r="AP690" s="143"/>
      <c r="AQ690" s="143"/>
    </row>
    <row r="691" ht="22.5" customHeight="1">
      <c r="A691" s="365" t="s">
        <v>1824</v>
      </c>
      <c r="B691" s="218">
        <v>46132.0</v>
      </c>
      <c r="C691" s="338" t="s">
        <v>2329</v>
      </c>
      <c r="D691" s="864" t="s">
        <v>2330</v>
      </c>
      <c r="E691" s="337" t="s">
        <v>28</v>
      </c>
      <c r="F691" s="249" t="s">
        <v>2331</v>
      </c>
      <c r="G691" s="368" t="s">
        <v>2332</v>
      </c>
      <c r="H691" s="367" t="s">
        <v>257</v>
      </c>
      <c r="I691" s="369">
        <v>0.3</v>
      </c>
      <c r="J691" s="168">
        <v>3390.0</v>
      </c>
      <c r="K691" s="370">
        <f t="shared" si="68"/>
        <v>7910</v>
      </c>
      <c r="L691" s="750">
        <v>11300.0</v>
      </c>
      <c r="M691" s="994">
        <v>10751.0</v>
      </c>
      <c r="N691" s="155">
        <v>2499.0</v>
      </c>
      <c r="O691" s="371">
        <f t="shared" si="70"/>
        <v>549</v>
      </c>
      <c r="P691" s="512">
        <f t="shared" si="69"/>
        <v>379</v>
      </c>
      <c r="Q691" s="512">
        <v>140.0</v>
      </c>
      <c r="R691" s="995" t="b">
        <v>0</v>
      </c>
      <c r="S691" s="371"/>
      <c r="T691" s="372"/>
      <c r="U691" s="512">
        <v>30.0</v>
      </c>
      <c r="V691" s="365" t="s">
        <v>584</v>
      </c>
      <c r="W691" s="367"/>
      <c r="X691" s="576"/>
      <c r="Y691" s="375"/>
      <c r="Z691" s="373"/>
      <c r="AA691" s="374"/>
      <c r="AB691" s="374"/>
      <c r="AC691" s="388"/>
      <c r="AD691" s="791" t="str">
        <f t="shared" si="71"/>
        <v>ABRIL</v>
      </c>
      <c r="AE691" s="365" t="s">
        <v>2080</v>
      </c>
      <c r="AF691" s="368" t="b">
        <v>1</v>
      </c>
      <c r="AG691" s="365" t="s">
        <v>471</v>
      </c>
      <c r="AH691" s="368" t="b">
        <v>0</v>
      </c>
      <c r="AI691" s="996"/>
      <c r="AJ691" s="376"/>
      <c r="AK691" s="376"/>
      <c r="AL691" s="376"/>
      <c r="AM691" s="376"/>
      <c r="AN691" s="376"/>
      <c r="AO691" s="376"/>
      <c r="AP691" s="376"/>
      <c r="AQ691" s="376"/>
    </row>
    <row r="692" ht="22.5" customHeight="1">
      <c r="A692" s="144" t="s">
        <v>162</v>
      </c>
      <c r="B692" s="145">
        <v>46133.0</v>
      </c>
      <c r="C692" s="149" t="s">
        <v>1508</v>
      </c>
      <c r="D692" s="208" t="s">
        <v>2333</v>
      </c>
      <c r="E692" s="148" t="s">
        <v>28</v>
      </c>
      <c r="F692" s="149" t="s">
        <v>2334</v>
      </c>
      <c r="G692" s="149">
        <v>5.199696102E10</v>
      </c>
      <c r="H692" s="148" t="s">
        <v>257</v>
      </c>
      <c r="I692" s="150">
        <v>0.2</v>
      </c>
      <c r="J692" s="168">
        <v>1139.0</v>
      </c>
      <c r="K692" s="169">
        <f t="shared" si="68"/>
        <v>4560</v>
      </c>
      <c r="L692" s="170">
        <v>5699.0</v>
      </c>
      <c r="M692" s="239">
        <v>5433.0</v>
      </c>
      <c r="N692" s="155">
        <v>1199.99</v>
      </c>
      <c r="O692" s="315">
        <f t="shared" si="70"/>
        <v>266</v>
      </c>
      <c r="P692" s="344">
        <f t="shared" si="69"/>
        <v>26</v>
      </c>
      <c r="Q692" s="510">
        <v>240.0</v>
      </c>
      <c r="R692" s="672" t="b">
        <v>0</v>
      </c>
      <c r="S692" s="318"/>
      <c r="T692" s="319"/>
      <c r="U692" s="315"/>
      <c r="V692" s="144" t="s">
        <v>584</v>
      </c>
      <c r="W692" s="148"/>
      <c r="X692" s="163"/>
      <c r="Y692" s="162"/>
      <c r="Z692" s="164"/>
      <c r="AA692" s="116"/>
      <c r="AB692" s="116"/>
      <c r="AC692" s="165"/>
      <c r="AD692" s="675" t="str">
        <f t="shared" si="71"/>
        <v>ABRIL</v>
      </c>
      <c r="AE692" s="144" t="s">
        <v>2080</v>
      </c>
      <c r="AF692" s="149" t="b">
        <v>1</v>
      </c>
      <c r="AG692" s="144" t="s">
        <v>2067</v>
      </c>
      <c r="AH692" s="149" t="b">
        <v>0</v>
      </c>
      <c r="AI692" s="162"/>
      <c r="AJ692" s="143"/>
      <c r="AK692" s="143"/>
      <c r="AL692" s="143"/>
      <c r="AM692" s="143"/>
      <c r="AN692" s="143"/>
      <c r="AO692" s="143"/>
      <c r="AP692" s="143"/>
      <c r="AQ692" s="143"/>
    </row>
    <row r="693" ht="22.5" customHeight="1">
      <c r="A693" s="144" t="s">
        <v>1824</v>
      </c>
      <c r="B693" s="145">
        <v>46133.0</v>
      </c>
      <c r="C693" s="149" t="s">
        <v>2278</v>
      </c>
      <c r="D693" s="208" t="s">
        <v>2335</v>
      </c>
      <c r="E693" s="148" t="s">
        <v>28</v>
      </c>
      <c r="F693" s="987" t="s">
        <v>2336</v>
      </c>
      <c r="G693" s="149">
        <v>5.1913226578E10</v>
      </c>
      <c r="H693" s="148" t="s">
        <v>257</v>
      </c>
      <c r="I693" s="150">
        <v>0.2</v>
      </c>
      <c r="J693" s="168">
        <v>1790.0</v>
      </c>
      <c r="K693" s="169">
        <f t="shared" si="68"/>
        <v>7160</v>
      </c>
      <c r="L693" s="170">
        <v>8950.0</v>
      </c>
      <c r="M693" s="239">
        <v>8744.5</v>
      </c>
      <c r="N693" s="155">
        <v>1899.99</v>
      </c>
      <c r="O693" s="315">
        <f t="shared" si="70"/>
        <v>205.5</v>
      </c>
      <c r="P693" s="344">
        <f t="shared" si="69"/>
        <v>105.5</v>
      </c>
      <c r="Q693" s="510">
        <v>100.0</v>
      </c>
      <c r="R693" s="672" t="b">
        <v>0</v>
      </c>
      <c r="S693" s="318"/>
      <c r="T693" s="319"/>
      <c r="U693" s="315"/>
      <c r="V693" s="144" t="s">
        <v>584</v>
      </c>
      <c r="W693" s="148"/>
      <c r="X693" s="163"/>
      <c r="Y693" s="162"/>
      <c r="Z693" s="164"/>
      <c r="AA693" s="116"/>
      <c r="AB693" s="116"/>
      <c r="AC693" s="165"/>
      <c r="AD693" s="675" t="str">
        <f t="shared" si="71"/>
        <v>ABRIL</v>
      </c>
      <c r="AE693" s="144" t="s">
        <v>2080</v>
      </c>
      <c r="AF693" s="149" t="b">
        <v>1</v>
      </c>
      <c r="AG693" s="144" t="s">
        <v>471</v>
      </c>
      <c r="AH693" s="149" t="b">
        <v>0</v>
      </c>
      <c r="AI693" s="162"/>
      <c r="AJ693" s="143"/>
      <c r="AK693" s="143"/>
      <c r="AL693" s="143"/>
      <c r="AM693" s="143"/>
      <c r="AN693" s="143"/>
      <c r="AO693" s="143"/>
      <c r="AP693" s="143"/>
      <c r="AQ693" s="143"/>
    </row>
    <row r="694" ht="22.5" customHeight="1">
      <c r="A694" s="144" t="s">
        <v>1824</v>
      </c>
      <c r="B694" s="145">
        <v>46133.0</v>
      </c>
      <c r="C694" s="149" t="s">
        <v>2337</v>
      </c>
      <c r="D694" s="208" t="s">
        <v>2338</v>
      </c>
      <c r="E694" s="148" t="s">
        <v>28</v>
      </c>
      <c r="F694" s="149" t="s">
        <v>2339</v>
      </c>
      <c r="G694" s="149" t="s">
        <v>2340</v>
      </c>
      <c r="H694" s="148" t="s">
        <v>257</v>
      </c>
      <c r="I694" s="150">
        <v>0.2</v>
      </c>
      <c r="J694" s="168">
        <v>950.0</v>
      </c>
      <c r="K694" s="997" t="s">
        <v>2341</v>
      </c>
      <c r="L694" s="170">
        <v>4835.0</v>
      </c>
      <c r="M694" s="239">
        <v>4584.0</v>
      </c>
      <c r="N694" s="155">
        <v>999.99</v>
      </c>
      <c r="O694" s="315">
        <f t="shared" si="70"/>
        <v>251</v>
      </c>
      <c r="P694" s="344">
        <f t="shared" si="69"/>
        <v>66</v>
      </c>
      <c r="Q694" s="321">
        <v>150.0</v>
      </c>
      <c r="R694" s="672" t="b">
        <v>0</v>
      </c>
      <c r="S694" s="318"/>
      <c r="T694" s="347">
        <v>35.0</v>
      </c>
      <c r="U694" s="315"/>
      <c r="V694" s="144" t="s">
        <v>584</v>
      </c>
      <c r="W694" s="148"/>
      <c r="X694" s="163"/>
      <c r="Y694" s="162"/>
      <c r="Z694" s="164"/>
      <c r="AA694" s="116"/>
      <c r="AB694" s="116"/>
      <c r="AC694" s="165"/>
      <c r="AD694" s="675" t="str">
        <f t="shared" si="71"/>
        <v>ABRIL</v>
      </c>
      <c r="AE694" s="144" t="s">
        <v>2080</v>
      </c>
      <c r="AF694" s="149" t="b">
        <v>1</v>
      </c>
      <c r="AG694" s="144" t="s">
        <v>2067</v>
      </c>
      <c r="AH694" s="149" t="b">
        <v>0</v>
      </c>
      <c r="AI694" s="162"/>
      <c r="AJ694" s="143"/>
      <c r="AK694" s="143"/>
      <c r="AL694" s="143"/>
      <c r="AM694" s="143"/>
      <c r="AN694" s="143"/>
      <c r="AO694" s="143"/>
      <c r="AP694" s="143"/>
      <c r="AQ694" s="143"/>
    </row>
    <row r="695" ht="22.5" customHeight="1">
      <c r="A695" s="144" t="s">
        <v>162</v>
      </c>
      <c r="B695" s="145">
        <v>46133.0</v>
      </c>
      <c r="C695" s="149" t="s">
        <v>1508</v>
      </c>
      <c r="D695" s="208" t="s">
        <v>2342</v>
      </c>
      <c r="E695" s="148" t="s">
        <v>28</v>
      </c>
      <c r="F695" s="149" t="s">
        <v>2343</v>
      </c>
      <c r="G695" s="149">
        <v>5.1906853628E10</v>
      </c>
      <c r="H695" s="148" t="s">
        <v>257</v>
      </c>
      <c r="I695" s="150">
        <v>0.2</v>
      </c>
      <c r="J695" s="168">
        <v>1159.0</v>
      </c>
      <c r="K695" s="169">
        <f t="shared" ref="K695:K723" si="72">IF(J695="","",L695-J695)</f>
        <v>4640</v>
      </c>
      <c r="L695" s="170">
        <v>5799.0</v>
      </c>
      <c r="M695" s="239">
        <v>5433.0</v>
      </c>
      <c r="N695" s="155">
        <v>1199.99</v>
      </c>
      <c r="O695" s="315">
        <f t="shared" si="70"/>
        <v>366</v>
      </c>
      <c r="P695" s="344">
        <f t="shared" si="69"/>
        <v>11</v>
      </c>
      <c r="Q695" s="510">
        <v>100.0</v>
      </c>
      <c r="R695" s="672" t="b">
        <v>0</v>
      </c>
      <c r="S695" s="318"/>
      <c r="T695" s="347">
        <v>225.0</v>
      </c>
      <c r="U695" s="343">
        <v>30.0</v>
      </c>
      <c r="V695" s="144" t="s">
        <v>584</v>
      </c>
      <c r="W695" s="148"/>
      <c r="X695" s="163"/>
      <c r="Y695" s="162"/>
      <c r="Z695" s="164"/>
      <c r="AA695" s="116"/>
      <c r="AB695" s="116"/>
      <c r="AC695" s="165"/>
      <c r="AD695" s="675" t="str">
        <f t="shared" si="71"/>
        <v>ABRIL</v>
      </c>
      <c r="AE695" s="144" t="s">
        <v>2080</v>
      </c>
      <c r="AF695" s="149" t="b">
        <v>1</v>
      </c>
      <c r="AG695" s="144" t="s">
        <v>2067</v>
      </c>
      <c r="AH695" s="149" t="b">
        <v>0</v>
      </c>
      <c r="AI695" s="162"/>
      <c r="AJ695" s="143"/>
      <c r="AK695" s="143"/>
      <c r="AL695" s="143"/>
      <c r="AM695" s="143"/>
      <c r="AN695" s="143"/>
      <c r="AO695" s="143"/>
      <c r="AP695" s="143"/>
      <c r="AQ695" s="143"/>
    </row>
    <row r="696" ht="22.5" hidden="1" customHeight="1">
      <c r="A696" s="144" t="s">
        <v>34</v>
      </c>
      <c r="B696" s="145">
        <v>46133.0</v>
      </c>
      <c r="C696" s="149" t="s">
        <v>1508</v>
      </c>
      <c r="D696" s="928" t="s">
        <v>2344</v>
      </c>
      <c r="E696" s="148" t="s">
        <v>28</v>
      </c>
      <c r="F696" s="246" t="s">
        <v>2345</v>
      </c>
      <c r="G696" s="149">
        <v>5.1936086696E10</v>
      </c>
      <c r="H696" s="148" t="s">
        <v>257</v>
      </c>
      <c r="I696" s="150">
        <v>0.2</v>
      </c>
      <c r="J696" s="168">
        <v>1159.8</v>
      </c>
      <c r="K696" s="169">
        <f t="shared" si="72"/>
        <v>4639.2</v>
      </c>
      <c r="L696" s="170">
        <v>5799.0</v>
      </c>
      <c r="M696" s="239">
        <v>5433.0</v>
      </c>
      <c r="N696" s="155">
        <v>1199.99</v>
      </c>
      <c r="O696" s="315">
        <f t="shared" si="70"/>
        <v>366</v>
      </c>
      <c r="P696" s="344">
        <f t="shared" si="69"/>
        <v>91</v>
      </c>
      <c r="Q696" s="510">
        <v>225.0</v>
      </c>
      <c r="R696" s="672" t="b">
        <v>1</v>
      </c>
      <c r="S696" s="318"/>
      <c r="T696" s="319"/>
      <c r="U696" s="315"/>
      <c r="V696" s="144" t="s">
        <v>584</v>
      </c>
      <c r="W696" s="148"/>
      <c r="X696" s="163"/>
      <c r="Y696" s="162"/>
      <c r="Z696" s="164"/>
      <c r="AA696" s="116"/>
      <c r="AB696" s="116"/>
      <c r="AC696" s="165"/>
      <c r="AD696" s="675" t="str">
        <f t="shared" si="71"/>
        <v>ABRIL</v>
      </c>
      <c r="AE696" s="144" t="s">
        <v>2080</v>
      </c>
      <c r="AF696" s="149" t="b">
        <v>1</v>
      </c>
      <c r="AG696" s="144" t="s">
        <v>471</v>
      </c>
      <c r="AH696" s="149" t="b">
        <v>0</v>
      </c>
      <c r="AI696" s="162"/>
      <c r="AJ696" s="143"/>
      <c r="AK696" s="143"/>
      <c r="AL696" s="143"/>
      <c r="AM696" s="143"/>
      <c r="AN696" s="143"/>
      <c r="AO696" s="143"/>
      <c r="AP696" s="143"/>
      <c r="AQ696" s="143"/>
    </row>
    <row r="697" ht="22.5" hidden="1" customHeight="1">
      <c r="A697" s="144" t="s">
        <v>259</v>
      </c>
      <c r="B697" s="145">
        <v>46134.0</v>
      </c>
      <c r="C697" s="972" t="s">
        <v>2346</v>
      </c>
      <c r="D697" s="208" t="s">
        <v>2347</v>
      </c>
      <c r="E697" s="148" t="s">
        <v>28</v>
      </c>
      <c r="F697" s="489" t="s">
        <v>2348</v>
      </c>
      <c r="G697" s="149">
        <v>5.1991353981E10</v>
      </c>
      <c r="H697" s="148" t="s">
        <v>257</v>
      </c>
      <c r="I697" s="150">
        <v>1.0</v>
      </c>
      <c r="J697" s="168">
        <v>7199.0</v>
      </c>
      <c r="K697" s="169">
        <f t="shared" si="72"/>
        <v>0</v>
      </c>
      <c r="L697" s="170">
        <v>7199.0</v>
      </c>
      <c r="M697" s="239">
        <v>6930.0</v>
      </c>
      <c r="N697" s="155">
        <v>1549.0</v>
      </c>
      <c r="O697" s="315">
        <f t="shared" si="70"/>
        <v>269</v>
      </c>
      <c r="P697" s="344">
        <f t="shared" si="69"/>
        <v>84</v>
      </c>
      <c r="Q697" s="510">
        <v>185.0</v>
      </c>
      <c r="R697" s="672" t="b">
        <v>0</v>
      </c>
      <c r="S697" s="318"/>
      <c r="T697" s="319"/>
      <c r="U697" s="315"/>
      <c r="V697" s="144" t="s">
        <v>584</v>
      </c>
      <c r="W697" s="148"/>
      <c r="X697" s="163"/>
      <c r="Y697" s="162"/>
      <c r="Z697" s="164"/>
      <c r="AA697" s="116"/>
      <c r="AB697" s="116"/>
      <c r="AC697" s="165"/>
      <c r="AD697" s="675" t="str">
        <f t="shared" si="71"/>
        <v>ABRIL</v>
      </c>
      <c r="AE697" s="144" t="s">
        <v>2080</v>
      </c>
      <c r="AF697" s="149" t="b">
        <v>1</v>
      </c>
      <c r="AG697" s="144" t="s">
        <v>2080</v>
      </c>
      <c r="AH697" s="149" t="b">
        <v>0</v>
      </c>
      <c r="AI697" s="162"/>
      <c r="AJ697" s="143"/>
      <c r="AK697" s="143"/>
      <c r="AL697" s="143"/>
      <c r="AM697" s="143"/>
      <c r="AN697" s="143"/>
      <c r="AO697" s="143"/>
      <c r="AP697" s="143"/>
      <c r="AQ697" s="143"/>
    </row>
    <row r="698" ht="22.5" customHeight="1">
      <c r="A698" s="144" t="s">
        <v>162</v>
      </c>
      <c r="B698" s="145">
        <v>46134.0</v>
      </c>
      <c r="C698" s="149" t="s">
        <v>879</v>
      </c>
      <c r="D698" s="208" t="s">
        <v>2349</v>
      </c>
      <c r="E698" s="148" t="s">
        <v>28</v>
      </c>
      <c r="F698" s="249" t="s">
        <v>2350</v>
      </c>
      <c r="G698" s="149" t="s">
        <v>2351</v>
      </c>
      <c r="H698" s="148" t="s">
        <v>257</v>
      </c>
      <c r="I698" s="150">
        <v>0.2</v>
      </c>
      <c r="J698" s="168">
        <v>1339.0</v>
      </c>
      <c r="K698" s="169">
        <f t="shared" si="72"/>
        <v>5360</v>
      </c>
      <c r="L698" s="170">
        <v>6699.0</v>
      </c>
      <c r="M698" s="239">
        <v>6413.0</v>
      </c>
      <c r="N698" s="155">
        <v>1299.99</v>
      </c>
      <c r="O698" s="315">
        <f t="shared" si="70"/>
        <v>286</v>
      </c>
      <c r="P698" s="344">
        <f t="shared" si="69"/>
        <v>46</v>
      </c>
      <c r="Q698" s="510">
        <v>240.0</v>
      </c>
      <c r="R698" s="672" t="b">
        <v>0</v>
      </c>
      <c r="S698" s="318"/>
      <c r="T698" s="319"/>
      <c r="U698" s="315"/>
      <c r="V698" s="144" t="s">
        <v>584</v>
      </c>
      <c r="W698" s="148"/>
      <c r="X698" s="163"/>
      <c r="Y698" s="162"/>
      <c r="Z698" s="164"/>
      <c r="AA698" s="116"/>
      <c r="AB698" s="116"/>
      <c r="AC698" s="165"/>
      <c r="AD698" s="675" t="str">
        <f t="shared" si="71"/>
        <v>ABRIL</v>
      </c>
      <c r="AE698" s="144" t="s">
        <v>2080</v>
      </c>
      <c r="AF698" s="149" t="b">
        <v>1</v>
      </c>
      <c r="AG698" s="144" t="s">
        <v>2067</v>
      </c>
      <c r="AH698" s="149" t="b">
        <v>0</v>
      </c>
      <c r="AI698" s="162"/>
      <c r="AJ698" s="143"/>
      <c r="AK698" s="143"/>
      <c r="AL698" s="143"/>
      <c r="AM698" s="143"/>
      <c r="AN698" s="143"/>
      <c r="AO698" s="143"/>
      <c r="AP698" s="143"/>
      <c r="AQ698" s="143"/>
    </row>
    <row r="699" ht="22.5" customHeight="1">
      <c r="A699" s="144" t="s">
        <v>162</v>
      </c>
      <c r="B699" s="145">
        <v>46134.0</v>
      </c>
      <c r="C699" s="149" t="s">
        <v>1508</v>
      </c>
      <c r="D699" s="351" t="s">
        <v>2352</v>
      </c>
      <c r="E699" s="148" t="s">
        <v>28</v>
      </c>
      <c r="F699" s="246" t="s">
        <v>2353</v>
      </c>
      <c r="G699" s="149">
        <v>5.1927627289E10</v>
      </c>
      <c r="H699" s="148" t="s">
        <v>257</v>
      </c>
      <c r="I699" s="150">
        <v>0.2</v>
      </c>
      <c r="J699" s="168">
        <v>1139.0</v>
      </c>
      <c r="K699" s="169">
        <f t="shared" si="72"/>
        <v>4560</v>
      </c>
      <c r="L699" s="170">
        <v>5699.0</v>
      </c>
      <c r="M699" s="239">
        <v>5433.0</v>
      </c>
      <c r="N699" s="155">
        <v>1199.99</v>
      </c>
      <c r="O699" s="315">
        <f t="shared" si="70"/>
        <v>266</v>
      </c>
      <c r="P699" s="344">
        <f t="shared" si="69"/>
        <v>41</v>
      </c>
      <c r="Q699" s="510">
        <v>225.0</v>
      </c>
      <c r="R699" s="672" t="b">
        <v>0</v>
      </c>
      <c r="S699" s="318"/>
      <c r="T699" s="319"/>
      <c r="U699" s="315"/>
      <c r="V699" s="144" t="s">
        <v>584</v>
      </c>
      <c r="W699" s="148"/>
      <c r="X699" s="163"/>
      <c r="Y699" s="162"/>
      <c r="Z699" s="164"/>
      <c r="AA699" s="116"/>
      <c r="AB699" s="116"/>
      <c r="AC699" s="165"/>
      <c r="AD699" s="675" t="str">
        <f t="shared" si="71"/>
        <v>ABRIL</v>
      </c>
      <c r="AE699" s="144" t="s">
        <v>2080</v>
      </c>
      <c r="AF699" s="149" t="b">
        <v>1</v>
      </c>
      <c r="AG699" s="144" t="s">
        <v>2067</v>
      </c>
      <c r="AH699" s="149" t="b">
        <v>0</v>
      </c>
      <c r="AI699" s="162"/>
      <c r="AJ699" s="143"/>
      <c r="AK699" s="143"/>
      <c r="AL699" s="143"/>
      <c r="AM699" s="143"/>
      <c r="AN699" s="143"/>
      <c r="AO699" s="143"/>
      <c r="AP699" s="143"/>
      <c r="AQ699" s="143"/>
    </row>
    <row r="700" ht="22.5" hidden="1" customHeight="1">
      <c r="A700" s="144" t="s">
        <v>34</v>
      </c>
      <c r="B700" s="145">
        <v>46134.0</v>
      </c>
      <c r="C700" s="481" t="s">
        <v>1508</v>
      </c>
      <c r="D700" s="928" t="s">
        <v>2354</v>
      </c>
      <c r="E700" s="148" t="s">
        <v>28</v>
      </c>
      <c r="F700" s="246" t="s">
        <v>2355</v>
      </c>
      <c r="G700" s="149">
        <v>5.1928591853E10</v>
      </c>
      <c r="H700" s="148" t="s">
        <v>257</v>
      </c>
      <c r="I700" s="150">
        <v>0.2</v>
      </c>
      <c r="J700" s="168">
        <v>1160.0</v>
      </c>
      <c r="K700" s="169">
        <f t="shared" si="72"/>
        <v>4639</v>
      </c>
      <c r="L700" s="170">
        <v>5799.0</v>
      </c>
      <c r="M700" s="239">
        <v>5433.0</v>
      </c>
      <c r="N700" s="155">
        <v>1199.99</v>
      </c>
      <c r="O700" s="315">
        <f t="shared" si="70"/>
        <v>366</v>
      </c>
      <c r="P700" s="344">
        <f t="shared" si="69"/>
        <v>91</v>
      </c>
      <c r="Q700" s="510">
        <v>225.0</v>
      </c>
      <c r="R700" s="672" t="b">
        <v>1</v>
      </c>
      <c r="S700" s="318"/>
      <c r="T700" s="319"/>
      <c r="U700" s="315"/>
      <c r="V700" s="144" t="s">
        <v>584</v>
      </c>
      <c r="W700" s="148"/>
      <c r="X700" s="104" t="s">
        <v>2356</v>
      </c>
      <c r="Y700" s="162"/>
      <c r="Z700" s="164"/>
      <c r="AA700" s="116"/>
      <c r="AB700" s="116"/>
      <c r="AC700" s="165"/>
      <c r="AD700" s="675" t="str">
        <f t="shared" si="71"/>
        <v>ABRIL</v>
      </c>
      <c r="AE700" s="144" t="s">
        <v>2080</v>
      </c>
      <c r="AF700" s="149" t="b">
        <v>1</v>
      </c>
      <c r="AG700" s="144" t="s">
        <v>2067</v>
      </c>
      <c r="AH700" s="149" t="b">
        <v>0</v>
      </c>
      <c r="AI700" s="162"/>
      <c r="AJ700" s="143"/>
      <c r="AK700" s="143"/>
      <c r="AL700" s="143"/>
      <c r="AM700" s="143"/>
      <c r="AN700" s="143"/>
      <c r="AO700" s="143"/>
      <c r="AP700" s="143"/>
      <c r="AQ700" s="143"/>
    </row>
    <row r="701" ht="22.5" hidden="1" customHeight="1">
      <c r="A701" s="144" t="s">
        <v>34</v>
      </c>
      <c r="B701" s="145">
        <v>46134.0</v>
      </c>
      <c r="C701" s="998" t="s">
        <v>2357</v>
      </c>
      <c r="D701" s="928" t="s">
        <v>2358</v>
      </c>
      <c r="E701" s="989" t="s">
        <v>28</v>
      </c>
      <c r="F701" s="497" t="s">
        <v>2359</v>
      </c>
      <c r="G701" s="149">
        <v>5.195128467E10</v>
      </c>
      <c r="H701" s="148" t="s">
        <v>257</v>
      </c>
      <c r="I701" s="150">
        <v>0.2</v>
      </c>
      <c r="J701" s="168">
        <v>1899.8</v>
      </c>
      <c r="K701" s="169">
        <f t="shared" si="72"/>
        <v>7599.2</v>
      </c>
      <c r="L701" s="170">
        <v>9499.0</v>
      </c>
      <c r="M701" s="239">
        <v>9083.82</v>
      </c>
      <c r="N701" s="155">
        <v>1999.99</v>
      </c>
      <c r="O701" s="315">
        <f t="shared" si="70"/>
        <v>415.18</v>
      </c>
      <c r="P701" s="990">
        <f t="shared" si="69"/>
        <v>0</v>
      </c>
      <c r="Q701" s="510">
        <v>225.0</v>
      </c>
      <c r="R701" s="672" t="b">
        <v>1</v>
      </c>
      <c r="S701" s="318"/>
      <c r="T701" s="347">
        <v>140.18</v>
      </c>
      <c r="U701" s="315"/>
      <c r="V701" s="144" t="s">
        <v>584</v>
      </c>
      <c r="W701" s="148"/>
      <c r="X701" s="999" t="s">
        <v>2360</v>
      </c>
      <c r="Y701" s="144" t="s">
        <v>584</v>
      </c>
      <c r="Z701" s="10" t="s">
        <v>2361</v>
      </c>
      <c r="AA701" s="116"/>
      <c r="AB701" s="116"/>
      <c r="AC701" s="165"/>
      <c r="AD701" s="675" t="str">
        <f t="shared" si="71"/>
        <v>ABRIL</v>
      </c>
      <c r="AE701" s="144" t="s">
        <v>2067</v>
      </c>
      <c r="AF701" s="149" t="b">
        <v>1</v>
      </c>
      <c r="AG701" s="144" t="s">
        <v>471</v>
      </c>
      <c r="AH701" s="149" t="b">
        <v>0</v>
      </c>
      <c r="AI701" s="162"/>
      <c r="AJ701" s="143"/>
      <c r="AK701" s="143"/>
      <c r="AL701" s="143"/>
      <c r="AM701" s="143"/>
      <c r="AN701" s="143"/>
      <c r="AO701" s="143"/>
      <c r="AP701" s="143"/>
      <c r="AQ701" s="143"/>
    </row>
    <row r="702" ht="22.5" hidden="1" customHeight="1">
      <c r="A702" s="144" t="s">
        <v>259</v>
      </c>
      <c r="B702" s="145">
        <v>46134.0</v>
      </c>
      <c r="C702" s="353" t="s">
        <v>2254</v>
      </c>
      <c r="D702" s="208" t="s">
        <v>2362</v>
      </c>
      <c r="E702" s="148" t="s">
        <v>28</v>
      </c>
      <c r="F702" s="987" t="s">
        <v>2363</v>
      </c>
      <c r="G702" s="149">
        <v>5.192202621E10</v>
      </c>
      <c r="H702" s="148" t="s">
        <v>257</v>
      </c>
      <c r="I702" s="150">
        <v>0.2</v>
      </c>
      <c r="J702" s="168">
        <v>1819.0</v>
      </c>
      <c r="K702" s="169">
        <f t="shared" si="72"/>
        <v>7280</v>
      </c>
      <c r="L702" s="170">
        <v>9099.0</v>
      </c>
      <c r="M702" s="239">
        <v>8708.0</v>
      </c>
      <c r="N702" s="155">
        <v>1899.99</v>
      </c>
      <c r="O702" s="315">
        <f t="shared" si="70"/>
        <v>391</v>
      </c>
      <c r="P702" s="344">
        <f t="shared" si="69"/>
        <v>291</v>
      </c>
      <c r="Q702" s="510">
        <v>100.0</v>
      </c>
      <c r="R702" s="672" t="b">
        <v>0</v>
      </c>
      <c r="S702" s="318"/>
      <c r="T702" s="319"/>
      <c r="U702" s="315"/>
      <c r="V702" s="144" t="s">
        <v>584</v>
      </c>
      <c r="W702" s="148"/>
      <c r="X702" s="1000"/>
      <c r="Y702" s="144" t="s">
        <v>584</v>
      </c>
      <c r="Z702" s="164"/>
      <c r="AA702" s="116"/>
      <c r="AB702" s="116"/>
      <c r="AC702" s="165"/>
      <c r="AD702" s="675" t="str">
        <f t="shared" si="71"/>
        <v>ABRIL</v>
      </c>
      <c r="AE702" s="144" t="s">
        <v>2067</v>
      </c>
      <c r="AF702" s="149" t="b">
        <v>1</v>
      </c>
      <c r="AG702" s="144" t="s">
        <v>471</v>
      </c>
      <c r="AH702" s="149" t="b">
        <v>0</v>
      </c>
      <c r="AI702" s="162"/>
      <c r="AJ702" s="143"/>
      <c r="AK702" s="143"/>
      <c r="AL702" s="143"/>
      <c r="AM702" s="143"/>
      <c r="AN702" s="143"/>
      <c r="AO702" s="143"/>
      <c r="AP702" s="143"/>
      <c r="AQ702" s="143"/>
    </row>
    <row r="703" ht="22.5" customHeight="1">
      <c r="A703" s="144" t="s">
        <v>162</v>
      </c>
      <c r="B703" s="145">
        <v>46135.0</v>
      </c>
      <c r="C703" s="149" t="s">
        <v>2364</v>
      </c>
      <c r="D703" s="208" t="s">
        <v>2365</v>
      </c>
      <c r="E703" s="148" t="s">
        <v>28</v>
      </c>
      <c r="F703" s="583" t="s">
        <v>2366</v>
      </c>
      <c r="G703" s="149">
        <v>5.1999489266E10</v>
      </c>
      <c r="H703" s="148" t="s">
        <v>257</v>
      </c>
      <c r="I703" s="150">
        <v>0.2</v>
      </c>
      <c r="J703" s="168">
        <v>1300.0</v>
      </c>
      <c r="K703" s="169">
        <f t="shared" si="72"/>
        <v>5199</v>
      </c>
      <c r="L703" s="170">
        <v>6499.0</v>
      </c>
      <c r="M703" s="239">
        <v>6113.0</v>
      </c>
      <c r="N703" s="155" t="s">
        <v>2367</v>
      </c>
      <c r="O703" s="315">
        <f t="shared" si="70"/>
        <v>386</v>
      </c>
      <c r="P703" s="344">
        <f t="shared" si="69"/>
        <v>46</v>
      </c>
      <c r="Q703" s="321">
        <v>240.0</v>
      </c>
      <c r="R703" s="672" t="b">
        <v>0</v>
      </c>
      <c r="S703" s="318"/>
      <c r="T703" s="347">
        <v>100.0</v>
      </c>
      <c r="U703" s="315"/>
      <c r="V703" s="144" t="s">
        <v>584</v>
      </c>
      <c r="W703" s="148"/>
      <c r="X703" s="163"/>
      <c r="Y703" s="162"/>
      <c r="Z703" s="164"/>
      <c r="AA703" s="116"/>
      <c r="AB703" s="116"/>
      <c r="AC703" s="165"/>
      <c r="AD703" s="675" t="str">
        <f t="shared" si="71"/>
        <v>ABRIL</v>
      </c>
      <c r="AE703" s="144" t="s">
        <v>2080</v>
      </c>
      <c r="AF703" s="149" t="b">
        <v>1</v>
      </c>
      <c r="AG703" s="144" t="s">
        <v>2067</v>
      </c>
      <c r="AH703" s="149" t="b">
        <v>0</v>
      </c>
      <c r="AI703" s="162"/>
      <c r="AJ703" s="143"/>
      <c r="AK703" s="143"/>
      <c r="AL703" s="143"/>
      <c r="AM703" s="143"/>
      <c r="AN703" s="143"/>
      <c r="AO703" s="143"/>
      <c r="AP703" s="143"/>
      <c r="AQ703" s="143"/>
    </row>
    <row r="704" ht="22.5" hidden="1" customHeight="1">
      <c r="A704" s="144" t="s">
        <v>34</v>
      </c>
      <c r="B704" s="145">
        <v>46135.0</v>
      </c>
      <c r="C704" s="353" t="s">
        <v>2368</v>
      </c>
      <c r="D704" s="928" t="s">
        <v>2369</v>
      </c>
      <c r="E704" s="148" t="s">
        <v>28</v>
      </c>
      <c r="F704" s="1001" t="s">
        <v>2370</v>
      </c>
      <c r="G704" s="149">
        <v>5.1954758824E10</v>
      </c>
      <c r="H704" s="148" t="s">
        <v>257</v>
      </c>
      <c r="I704" s="150">
        <v>0.5</v>
      </c>
      <c r="J704" s="168">
        <v>3869.0</v>
      </c>
      <c r="K704" s="169">
        <f t="shared" si="72"/>
        <v>3869</v>
      </c>
      <c r="L704" s="170">
        <v>7738.0</v>
      </c>
      <c r="M704" s="239">
        <v>7229.0</v>
      </c>
      <c r="N704" s="155">
        <v>1599.99</v>
      </c>
      <c r="O704" s="315">
        <f t="shared" si="70"/>
        <v>509</v>
      </c>
      <c r="P704" s="344">
        <f t="shared" si="69"/>
        <v>-115</v>
      </c>
      <c r="Q704" s="510">
        <v>225.0</v>
      </c>
      <c r="R704" s="672" t="b">
        <v>0</v>
      </c>
      <c r="S704" s="346">
        <v>399.0</v>
      </c>
      <c r="T704" s="319"/>
      <c r="U704" s="315"/>
      <c r="V704" s="144" t="s">
        <v>584</v>
      </c>
      <c r="W704" s="148"/>
      <c r="X704" s="999" t="s">
        <v>2371</v>
      </c>
      <c r="Y704" s="162"/>
      <c r="Z704" s="10" t="s">
        <v>2372</v>
      </c>
      <c r="AA704" s="116"/>
      <c r="AB704" s="116"/>
      <c r="AC704" s="165"/>
      <c r="AD704" s="675" t="str">
        <f t="shared" si="71"/>
        <v>ABRIL</v>
      </c>
      <c r="AE704" s="144" t="s">
        <v>2080</v>
      </c>
      <c r="AF704" s="149" t="b">
        <v>1</v>
      </c>
      <c r="AG704" s="144" t="s">
        <v>2067</v>
      </c>
      <c r="AH704" s="149" t="b">
        <v>0</v>
      </c>
      <c r="AI704" s="162"/>
      <c r="AJ704" s="143"/>
      <c r="AK704" s="143"/>
      <c r="AL704" s="143"/>
      <c r="AM704" s="143"/>
      <c r="AN704" s="143"/>
      <c r="AO704" s="143"/>
      <c r="AP704" s="143"/>
      <c r="AQ704" s="143"/>
    </row>
    <row r="705" ht="22.5" customHeight="1">
      <c r="A705" s="144" t="s">
        <v>1824</v>
      </c>
      <c r="B705" s="145">
        <v>46135.0</v>
      </c>
      <c r="C705" s="149" t="s">
        <v>2373</v>
      </c>
      <c r="D705" s="208" t="s">
        <v>2374</v>
      </c>
      <c r="E705" s="989" t="s">
        <v>28</v>
      </c>
      <c r="F705" s="497" t="s">
        <v>2375</v>
      </c>
      <c r="G705" s="149" t="s">
        <v>2376</v>
      </c>
      <c r="H705" s="148" t="s">
        <v>257</v>
      </c>
      <c r="I705" s="150">
        <v>0.2</v>
      </c>
      <c r="J705" s="168">
        <v>1899.8</v>
      </c>
      <c r="K705" s="169">
        <f t="shared" si="72"/>
        <v>7599.2</v>
      </c>
      <c r="L705" s="170">
        <v>9499.0</v>
      </c>
      <c r="M705" s="239">
        <v>9074.0</v>
      </c>
      <c r="N705" s="155">
        <v>1999.99</v>
      </c>
      <c r="O705" s="315">
        <f t="shared" si="70"/>
        <v>425</v>
      </c>
      <c r="P705" s="990">
        <f t="shared" si="69"/>
        <v>0</v>
      </c>
      <c r="Q705" s="510">
        <v>155.0</v>
      </c>
      <c r="R705" s="672" t="b">
        <v>0</v>
      </c>
      <c r="S705" s="318"/>
      <c r="T705" s="347">
        <v>270.0</v>
      </c>
      <c r="U705" s="315"/>
      <c r="V705" s="162"/>
      <c r="W705" s="148"/>
      <c r="X705" s="163"/>
      <c r="Y705" s="144" t="s">
        <v>584</v>
      </c>
      <c r="Z705" s="164"/>
      <c r="AA705" s="116"/>
      <c r="AB705" s="116"/>
      <c r="AC705" s="165"/>
      <c r="AD705" s="675" t="str">
        <f t="shared" si="71"/>
        <v>ABRIL</v>
      </c>
      <c r="AE705" s="144" t="s">
        <v>2067</v>
      </c>
      <c r="AF705" s="149" t="b">
        <v>1</v>
      </c>
      <c r="AG705" s="144" t="s">
        <v>471</v>
      </c>
      <c r="AH705" s="149" t="b">
        <v>0</v>
      </c>
      <c r="AI705" s="162"/>
      <c r="AJ705" s="143"/>
      <c r="AK705" s="143"/>
      <c r="AL705" s="143"/>
      <c r="AM705" s="143"/>
      <c r="AN705" s="143"/>
      <c r="AO705" s="143"/>
      <c r="AP705" s="143"/>
      <c r="AQ705" s="143"/>
    </row>
    <row r="706" ht="22.5" hidden="1" customHeight="1">
      <c r="A706" s="144" t="s">
        <v>259</v>
      </c>
      <c r="B706" s="145">
        <v>46135.0</v>
      </c>
      <c r="C706" s="149" t="s">
        <v>2377</v>
      </c>
      <c r="D706" s="208" t="s">
        <v>2378</v>
      </c>
      <c r="E706" s="148" t="s">
        <v>28</v>
      </c>
      <c r="F706" s="262" t="s">
        <v>2379</v>
      </c>
      <c r="G706" s="149" t="s">
        <v>2380</v>
      </c>
      <c r="H706" s="148" t="s">
        <v>257</v>
      </c>
      <c r="I706" s="150">
        <v>0.5</v>
      </c>
      <c r="J706" s="168">
        <v>7599.0</v>
      </c>
      <c r="K706" s="169">
        <f t="shared" si="72"/>
        <v>7500</v>
      </c>
      <c r="L706" s="170">
        <v>15099.0</v>
      </c>
      <c r="M706" s="239">
        <v>14632.0</v>
      </c>
      <c r="N706" s="155">
        <v>3499.99</v>
      </c>
      <c r="O706" s="315">
        <f t="shared" si="70"/>
        <v>467</v>
      </c>
      <c r="P706" s="344">
        <f t="shared" si="69"/>
        <v>367</v>
      </c>
      <c r="Q706" s="510">
        <v>100.0</v>
      </c>
      <c r="R706" s="672" t="b">
        <v>0</v>
      </c>
      <c r="S706" s="318"/>
      <c r="T706" s="319"/>
      <c r="U706" s="315"/>
      <c r="V706" s="144" t="s">
        <v>584</v>
      </c>
      <c r="W706" s="148"/>
      <c r="X706" s="163"/>
      <c r="Y706" s="144" t="s">
        <v>584</v>
      </c>
      <c r="Z706" s="164"/>
      <c r="AA706" s="116"/>
      <c r="AB706" s="116"/>
      <c r="AC706" s="165"/>
      <c r="AD706" s="675" t="str">
        <f t="shared" si="71"/>
        <v>ABRIL</v>
      </c>
      <c r="AE706" s="144" t="s">
        <v>2067</v>
      </c>
      <c r="AF706" s="149" t="b">
        <v>1</v>
      </c>
      <c r="AG706" s="144" t="s">
        <v>471</v>
      </c>
      <c r="AH706" s="149" t="b">
        <v>0</v>
      </c>
      <c r="AI706" s="162"/>
      <c r="AJ706" s="143"/>
      <c r="AK706" s="143"/>
      <c r="AL706" s="143"/>
      <c r="AM706" s="143"/>
      <c r="AN706" s="143"/>
      <c r="AO706" s="143"/>
      <c r="AP706" s="143"/>
      <c r="AQ706" s="143"/>
    </row>
    <row r="707" ht="22.5" customHeight="1">
      <c r="A707" s="144" t="s">
        <v>162</v>
      </c>
      <c r="B707" s="145">
        <v>46136.0</v>
      </c>
      <c r="C707" s="149" t="s">
        <v>869</v>
      </c>
      <c r="D707" s="208" t="s">
        <v>2381</v>
      </c>
      <c r="E707" s="148" t="s">
        <v>28</v>
      </c>
      <c r="F707" s="1002" t="s">
        <v>2382</v>
      </c>
      <c r="G707" s="149" t="s">
        <v>2383</v>
      </c>
      <c r="H707" s="148" t="s">
        <v>257</v>
      </c>
      <c r="I707" s="150">
        <v>0.2</v>
      </c>
      <c r="J707" s="168">
        <v>1299.8</v>
      </c>
      <c r="K707" s="169">
        <f t="shared" si="72"/>
        <v>5199.2</v>
      </c>
      <c r="L707" s="170">
        <v>6499.0</v>
      </c>
      <c r="M707" s="239">
        <v>6113.0</v>
      </c>
      <c r="N707" s="155">
        <v>1399.99</v>
      </c>
      <c r="O707" s="315">
        <f t="shared" si="70"/>
        <v>386</v>
      </c>
      <c r="P707" s="344">
        <f t="shared" si="69"/>
        <v>61</v>
      </c>
      <c r="Q707" s="510">
        <v>225.0</v>
      </c>
      <c r="R707" s="672" t="b">
        <v>0</v>
      </c>
      <c r="S707" s="318"/>
      <c r="T707" s="347">
        <v>100.0</v>
      </c>
      <c r="U707" s="315"/>
      <c r="V707" s="144" t="s">
        <v>584</v>
      </c>
      <c r="W707" s="148"/>
      <c r="X707" s="163"/>
      <c r="Y707" s="162"/>
      <c r="Z707" s="164"/>
      <c r="AA707" s="116"/>
      <c r="AB707" s="116"/>
      <c r="AC707" s="165"/>
      <c r="AD707" s="675" t="str">
        <f t="shared" si="71"/>
        <v>ABRIL</v>
      </c>
      <c r="AE707" s="144" t="s">
        <v>2067</v>
      </c>
      <c r="AF707" s="149" t="b">
        <v>1</v>
      </c>
      <c r="AG707" s="144" t="s">
        <v>2067</v>
      </c>
      <c r="AH707" s="149" t="b">
        <v>0</v>
      </c>
      <c r="AI707" s="144" t="s">
        <v>2384</v>
      </c>
      <c r="AJ707" s="143"/>
      <c r="AK707" s="143"/>
      <c r="AL707" s="143"/>
      <c r="AM707" s="143"/>
      <c r="AN707" s="143"/>
      <c r="AO707" s="143"/>
      <c r="AP707" s="143"/>
      <c r="AQ707" s="143"/>
    </row>
    <row r="708" ht="22.5" customHeight="1">
      <c r="A708" s="144" t="s">
        <v>162</v>
      </c>
      <c r="B708" s="145">
        <v>46136.0</v>
      </c>
      <c r="C708" s="149" t="s">
        <v>2364</v>
      </c>
      <c r="D708" s="208" t="s">
        <v>2385</v>
      </c>
      <c r="E708" s="148" t="s">
        <v>28</v>
      </c>
      <c r="F708" s="583" t="s">
        <v>2386</v>
      </c>
      <c r="G708" s="149" t="s">
        <v>2387</v>
      </c>
      <c r="H708" s="148" t="s">
        <v>257</v>
      </c>
      <c r="I708" s="150">
        <v>0.2</v>
      </c>
      <c r="J708" s="168">
        <v>1252.0</v>
      </c>
      <c r="K708" s="169">
        <f t="shared" si="72"/>
        <v>5008</v>
      </c>
      <c r="L708" s="170">
        <v>6260.0</v>
      </c>
      <c r="M708" s="239">
        <v>6113.0</v>
      </c>
      <c r="N708" s="155">
        <v>1399.99</v>
      </c>
      <c r="O708" s="315">
        <f t="shared" si="70"/>
        <v>147</v>
      </c>
      <c r="P708" s="344">
        <f t="shared" si="69"/>
        <v>17</v>
      </c>
      <c r="Q708" s="510">
        <v>100.0</v>
      </c>
      <c r="R708" s="672" t="b">
        <v>0</v>
      </c>
      <c r="S708" s="318"/>
      <c r="T708" s="319"/>
      <c r="U708" s="343">
        <v>30.0</v>
      </c>
      <c r="V708" s="144" t="s">
        <v>584</v>
      </c>
      <c r="W708" s="148"/>
      <c r="X708" s="163"/>
      <c r="Y708" s="162"/>
      <c r="Z708" s="164"/>
      <c r="AA708" s="116"/>
      <c r="AB708" s="116"/>
      <c r="AC708" s="165"/>
      <c r="AD708" s="675" t="str">
        <f t="shared" si="71"/>
        <v>ABRIL</v>
      </c>
      <c r="AE708" s="144" t="s">
        <v>2080</v>
      </c>
      <c r="AF708" s="149" t="b">
        <v>1</v>
      </c>
      <c r="AG708" s="144" t="s">
        <v>2067</v>
      </c>
      <c r="AH708" s="149" t="b">
        <v>0</v>
      </c>
      <c r="AI708" s="162"/>
      <c r="AJ708" s="143"/>
      <c r="AK708" s="143"/>
      <c r="AL708" s="143"/>
      <c r="AM708" s="143"/>
      <c r="AN708" s="143"/>
      <c r="AO708" s="143"/>
      <c r="AP708" s="143"/>
      <c r="AQ708" s="143"/>
    </row>
    <row r="709" ht="22.5" hidden="1" customHeight="1">
      <c r="A709" s="144" t="s">
        <v>259</v>
      </c>
      <c r="B709" s="145">
        <v>46137.0</v>
      </c>
      <c r="C709" s="1003" t="s">
        <v>2364</v>
      </c>
      <c r="D709" s="43" t="s">
        <v>2388</v>
      </c>
      <c r="E709" s="148" t="s">
        <v>28</v>
      </c>
      <c r="F709" s="1004" t="s">
        <v>2389</v>
      </c>
      <c r="G709" s="149">
        <v>5.1973433933E10</v>
      </c>
      <c r="H709" s="148" t="s">
        <v>257</v>
      </c>
      <c r="I709" s="150">
        <v>0.2</v>
      </c>
      <c r="J709" s="168">
        <v>1299.0</v>
      </c>
      <c r="K709" s="169">
        <f t="shared" si="72"/>
        <v>5200</v>
      </c>
      <c r="L709" s="170">
        <v>6499.0</v>
      </c>
      <c r="M709" s="239">
        <v>6113.0</v>
      </c>
      <c r="N709" s="155">
        <v>1399.99</v>
      </c>
      <c r="O709" s="315">
        <f t="shared" si="70"/>
        <v>386</v>
      </c>
      <c r="P709" s="344">
        <f t="shared" si="69"/>
        <v>286</v>
      </c>
      <c r="Q709" s="510">
        <v>100.0</v>
      </c>
      <c r="R709" s="672" t="b">
        <v>0</v>
      </c>
      <c r="S709" s="318"/>
      <c r="T709" s="319"/>
      <c r="U709" s="315"/>
      <c r="V709" s="144" t="s">
        <v>584</v>
      </c>
      <c r="W709" s="148"/>
      <c r="X709" s="163"/>
      <c r="Y709" s="162"/>
      <c r="Z709" s="164"/>
      <c r="AA709" s="116"/>
      <c r="AB709" s="116"/>
      <c r="AC709" s="165"/>
      <c r="AD709" s="675" t="str">
        <f t="shared" si="71"/>
        <v>ABRIL</v>
      </c>
      <c r="AE709" s="144" t="s">
        <v>2067</v>
      </c>
      <c r="AF709" s="149" t="b">
        <v>1</v>
      </c>
      <c r="AG709" s="144" t="s">
        <v>471</v>
      </c>
      <c r="AH709" s="149" t="b">
        <v>0</v>
      </c>
      <c r="AI709" s="162"/>
      <c r="AJ709" s="143"/>
      <c r="AK709" s="143"/>
      <c r="AL709" s="143"/>
      <c r="AM709" s="143"/>
      <c r="AN709" s="143"/>
      <c r="AO709" s="143"/>
      <c r="AP709" s="143"/>
      <c r="AQ709" s="143"/>
    </row>
    <row r="710" ht="22.5" customHeight="1">
      <c r="A710" s="144" t="s">
        <v>162</v>
      </c>
      <c r="B710" s="145">
        <v>46137.0</v>
      </c>
      <c r="C710" s="353" t="s">
        <v>2265</v>
      </c>
      <c r="D710" s="43" t="s">
        <v>2390</v>
      </c>
      <c r="E710" s="989" t="s">
        <v>28</v>
      </c>
      <c r="F710" s="1005" t="s">
        <v>2391</v>
      </c>
      <c r="G710" s="149">
        <v>5.1966271043E10</v>
      </c>
      <c r="H710" s="148" t="s">
        <v>257</v>
      </c>
      <c r="I710" s="150">
        <v>0.3</v>
      </c>
      <c r="J710" s="168">
        <v>2849.0</v>
      </c>
      <c r="K710" s="169">
        <f t="shared" si="72"/>
        <v>6650</v>
      </c>
      <c r="L710" s="170">
        <v>9499.0</v>
      </c>
      <c r="M710" s="239">
        <v>9197.6</v>
      </c>
      <c r="N710" s="155">
        <v>1999.99</v>
      </c>
      <c r="O710" s="315">
        <f t="shared" si="70"/>
        <v>301.4</v>
      </c>
      <c r="P710" s="990">
        <f t="shared" si="69"/>
        <v>0</v>
      </c>
      <c r="Q710" s="510"/>
      <c r="R710" s="672" t="b">
        <v>0</v>
      </c>
      <c r="S710" s="318"/>
      <c r="T710" s="347">
        <v>301.4</v>
      </c>
      <c r="U710" s="315"/>
      <c r="V710" s="144" t="s">
        <v>584</v>
      </c>
      <c r="W710" s="148"/>
      <c r="X710" s="163"/>
      <c r="Y710" s="144"/>
      <c r="Z710" s="164"/>
      <c r="AA710" s="116"/>
      <c r="AB710" s="116"/>
      <c r="AC710" s="165"/>
      <c r="AD710" s="675" t="str">
        <f t="shared" si="71"/>
        <v>ABRIL</v>
      </c>
      <c r="AE710" s="144" t="s">
        <v>2067</v>
      </c>
      <c r="AF710" s="149" t="b">
        <v>1</v>
      </c>
      <c r="AG710" s="144" t="s">
        <v>471</v>
      </c>
      <c r="AH710" s="149" t="b">
        <v>0</v>
      </c>
      <c r="AI710" s="162"/>
      <c r="AJ710" s="143"/>
      <c r="AK710" s="143"/>
      <c r="AL710" s="143"/>
      <c r="AM710" s="143"/>
      <c r="AN710" s="143"/>
      <c r="AO710" s="143"/>
      <c r="AP710" s="143"/>
      <c r="AQ710" s="143"/>
    </row>
    <row r="711" ht="22.5" hidden="1" customHeight="1">
      <c r="A711" s="144" t="s">
        <v>34</v>
      </c>
      <c r="B711" s="145">
        <v>46137.0</v>
      </c>
      <c r="C711" s="353" t="s">
        <v>1171</v>
      </c>
      <c r="D711" s="208" t="s">
        <v>2392</v>
      </c>
      <c r="E711" s="554" t="s">
        <v>28</v>
      </c>
      <c r="F711" s="1006" t="s">
        <v>2393</v>
      </c>
      <c r="G711" s="149">
        <v>9.85541525E8</v>
      </c>
      <c r="H711" s="148" t="s">
        <v>257</v>
      </c>
      <c r="I711" s="150">
        <v>0.2</v>
      </c>
      <c r="J711" s="168">
        <v>1899.8</v>
      </c>
      <c r="K711" s="169">
        <f t="shared" si="72"/>
        <v>7599.2</v>
      </c>
      <c r="L711" s="170">
        <v>9499.0</v>
      </c>
      <c r="M711" s="239">
        <v>9197.6</v>
      </c>
      <c r="N711" s="155">
        <v>1999.99</v>
      </c>
      <c r="O711" s="315">
        <f t="shared" si="70"/>
        <v>301.4</v>
      </c>
      <c r="P711" s="344">
        <f t="shared" si="69"/>
        <v>26.4</v>
      </c>
      <c r="Q711" s="510">
        <v>225.0</v>
      </c>
      <c r="R711" s="672" t="b">
        <v>1</v>
      </c>
      <c r="S711" s="318"/>
      <c r="T711" s="319"/>
      <c r="U711" s="315"/>
      <c r="V711" s="144" t="s">
        <v>584</v>
      </c>
      <c r="W711" s="148"/>
      <c r="X711" s="149" t="s">
        <v>2394</v>
      </c>
      <c r="Y711" s="144"/>
      <c r="Z711" s="164"/>
      <c r="AA711" s="116"/>
      <c r="AB711" s="116"/>
      <c r="AC711" s="165"/>
      <c r="AD711" s="675" t="str">
        <f t="shared" si="71"/>
        <v>ABRIL</v>
      </c>
      <c r="AE711" s="144" t="s">
        <v>2067</v>
      </c>
      <c r="AF711" s="149" t="b">
        <v>1</v>
      </c>
      <c r="AG711" s="144" t="s">
        <v>471</v>
      </c>
      <c r="AH711" s="149" t="b">
        <v>0</v>
      </c>
      <c r="AI711" s="162"/>
      <c r="AJ711" s="143"/>
      <c r="AK711" s="143"/>
      <c r="AL711" s="143"/>
      <c r="AM711" s="143"/>
      <c r="AN711" s="143"/>
      <c r="AO711" s="143"/>
      <c r="AP711" s="143"/>
      <c r="AQ711" s="143"/>
    </row>
    <row r="712" ht="22.5" customHeight="1">
      <c r="A712" s="1007"/>
      <c r="B712" s="974"/>
      <c r="C712" s="1008" t="s">
        <v>2395</v>
      </c>
      <c r="D712" s="1009"/>
      <c r="E712" s="1010"/>
      <c r="F712" s="1011"/>
      <c r="G712" s="1012"/>
      <c r="H712" s="1010"/>
      <c r="I712" s="1010"/>
      <c r="J712" s="1013"/>
      <c r="K712" s="1014" t="str">
        <f t="shared" si="72"/>
        <v/>
      </c>
      <c r="L712" s="1015"/>
      <c r="M712" s="1016"/>
      <c r="N712" s="1017"/>
      <c r="O712" s="858">
        <f t="shared" si="70"/>
        <v>0</v>
      </c>
      <c r="P712" s="990">
        <f t="shared" si="69"/>
        <v>0</v>
      </c>
      <c r="Q712" s="990"/>
      <c r="R712" s="1018" t="b">
        <v>0</v>
      </c>
      <c r="S712" s="858"/>
      <c r="T712" s="1019"/>
      <c r="U712" s="858"/>
      <c r="V712" s="1007"/>
      <c r="W712" s="989"/>
      <c r="X712" s="1020"/>
      <c r="Y712" s="1007"/>
      <c r="Z712" s="1021"/>
      <c r="AA712" s="1022"/>
      <c r="AB712" s="1022"/>
      <c r="AC712" s="1023"/>
      <c r="AD712" s="1024" t="str">
        <f t="shared" si="71"/>
        <v/>
      </c>
      <c r="AE712" s="1025"/>
      <c r="AF712" s="383" t="b">
        <v>0</v>
      </c>
      <c r="AG712" s="1025"/>
      <c r="AH712" s="383" t="b">
        <v>0</v>
      </c>
      <c r="AI712" s="1026"/>
      <c r="AJ712" s="1027"/>
      <c r="AK712" s="1027"/>
      <c r="AL712" s="1027"/>
      <c r="AM712" s="1027"/>
      <c r="AN712" s="1027"/>
      <c r="AO712" s="1027"/>
      <c r="AP712" s="1027"/>
      <c r="AQ712" s="1027"/>
    </row>
    <row r="713" ht="22.5" hidden="1" customHeight="1">
      <c r="A713" s="144" t="s">
        <v>34</v>
      </c>
      <c r="B713" s="145">
        <v>46139.0</v>
      </c>
      <c r="C713" s="188" t="s">
        <v>2396</v>
      </c>
      <c r="D713" s="928" t="s">
        <v>2397</v>
      </c>
      <c r="E713" s="148" t="s">
        <v>28</v>
      </c>
      <c r="F713" s="262" t="s">
        <v>2398</v>
      </c>
      <c r="G713" s="102">
        <v>9.55403182E8</v>
      </c>
      <c r="H713" s="148" t="s">
        <v>257</v>
      </c>
      <c r="I713" s="150">
        <v>0.2</v>
      </c>
      <c r="J713" s="168">
        <v>1307.29</v>
      </c>
      <c r="K713" s="169">
        <f t="shared" si="72"/>
        <v>5229.17</v>
      </c>
      <c r="L713" s="170">
        <v>6536.46</v>
      </c>
      <c r="M713" s="239">
        <v>6236.46</v>
      </c>
      <c r="N713" s="155">
        <v>1299.0</v>
      </c>
      <c r="O713" s="315">
        <f t="shared" si="70"/>
        <v>300</v>
      </c>
      <c r="P713" s="344">
        <f t="shared" si="69"/>
        <v>25</v>
      </c>
      <c r="Q713" s="510">
        <v>225.0</v>
      </c>
      <c r="R713" s="672" t="b">
        <v>1</v>
      </c>
      <c r="S713" s="318"/>
      <c r="T713" s="319"/>
      <c r="U713" s="315"/>
      <c r="V713" s="144" t="s">
        <v>584</v>
      </c>
      <c r="W713" s="148"/>
      <c r="X713" s="149" t="s">
        <v>2399</v>
      </c>
      <c r="Y713" s="144" t="s">
        <v>584</v>
      </c>
      <c r="Z713" s="164"/>
      <c r="AA713" s="116"/>
      <c r="AB713" s="116"/>
      <c r="AC713" s="165"/>
      <c r="AD713" s="675" t="str">
        <f t="shared" si="71"/>
        <v>ABRIL</v>
      </c>
      <c r="AE713" s="144" t="s">
        <v>2067</v>
      </c>
      <c r="AF713" s="149" t="b">
        <v>1</v>
      </c>
      <c r="AG713" s="144" t="s">
        <v>471</v>
      </c>
      <c r="AH713" s="149" t="b">
        <v>0</v>
      </c>
      <c r="AI713" s="162"/>
      <c r="AJ713" s="143"/>
      <c r="AK713" s="143"/>
      <c r="AL713" s="143"/>
      <c r="AM713" s="143"/>
      <c r="AN713" s="143"/>
      <c r="AO713" s="143"/>
      <c r="AP713" s="143"/>
      <c r="AQ713" s="143"/>
    </row>
    <row r="714" ht="22.5" customHeight="1">
      <c r="A714" s="144" t="s">
        <v>162</v>
      </c>
      <c r="B714" s="145">
        <v>46140.0</v>
      </c>
      <c r="C714" s="149" t="s">
        <v>2364</v>
      </c>
      <c r="D714" s="208" t="s">
        <v>2400</v>
      </c>
      <c r="E714" s="148" t="s">
        <v>28</v>
      </c>
      <c r="F714" s="1028" t="s">
        <v>2401</v>
      </c>
      <c r="G714" s="106">
        <v>5.1956684916E10</v>
      </c>
      <c r="H714" s="148" t="s">
        <v>257</v>
      </c>
      <c r="I714" s="148" t="s">
        <v>61</v>
      </c>
      <c r="J714" s="168">
        <v>3000.0</v>
      </c>
      <c r="K714" s="169">
        <f t="shared" si="72"/>
        <v>3499</v>
      </c>
      <c r="L714" s="170">
        <v>6499.0</v>
      </c>
      <c r="M714" s="239">
        <v>6113.0</v>
      </c>
      <c r="N714" s="155">
        <v>1399.99</v>
      </c>
      <c r="O714" s="315">
        <f t="shared" si="70"/>
        <v>386</v>
      </c>
      <c r="P714" s="344">
        <f t="shared" si="69"/>
        <v>161</v>
      </c>
      <c r="Q714" s="510">
        <v>225.0</v>
      </c>
      <c r="R714" s="672" t="b">
        <v>0</v>
      </c>
      <c r="S714" s="318"/>
      <c r="T714" s="319"/>
      <c r="U714" s="315"/>
      <c r="V714" s="144" t="s">
        <v>584</v>
      </c>
      <c r="W714" s="148"/>
      <c r="X714" s="163"/>
      <c r="Y714" s="162"/>
      <c r="Z714" s="164"/>
      <c r="AA714" s="116"/>
      <c r="AB714" s="116"/>
      <c r="AC714" s="165"/>
      <c r="AD714" s="675" t="str">
        <f t="shared" si="71"/>
        <v>ABRIL</v>
      </c>
      <c r="AE714" s="144" t="s">
        <v>2067</v>
      </c>
      <c r="AF714" s="149" t="b">
        <v>1</v>
      </c>
      <c r="AG714" s="144" t="s">
        <v>471</v>
      </c>
      <c r="AH714" s="149" t="b">
        <v>0</v>
      </c>
      <c r="AI714" s="162"/>
      <c r="AJ714" s="143"/>
      <c r="AK714" s="143"/>
      <c r="AL714" s="143"/>
      <c r="AM714" s="143"/>
      <c r="AN714" s="143"/>
      <c r="AO714" s="143"/>
      <c r="AP714" s="143"/>
      <c r="AQ714" s="143"/>
    </row>
    <row r="715" ht="22.5" customHeight="1">
      <c r="A715" s="144" t="s">
        <v>162</v>
      </c>
      <c r="B715" s="145">
        <v>46140.0</v>
      </c>
      <c r="C715" s="353" t="s">
        <v>2265</v>
      </c>
      <c r="D715" s="208" t="s">
        <v>2402</v>
      </c>
      <c r="E715" s="148" t="s">
        <v>399</v>
      </c>
      <c r="F715" s="497" t="s">
        <v>2403</v>
      </c>
      <c r="G715" s="149" t="s">
        <v>2404</v>
      </c>
      <c r="H715" s="148" t="s">
        <v>257</v>
      </c>
      <c r="I715" s="150">
        <v>0.3</v>
      </c>
      <c r="J715" s="168">
        <v>3057.0</v>
      </c>
      <c r="K715" s="169">
        <f t="shared" si="72"/>
        <v>7135</v>
      </c>
      <c r="L715" s="170">
        <v>10192.0</v>
      </c>
      <c r="M715" s="239">
        <v>10091.22</v>
      </c>
      <c r="N715" s="155">
        <v>2199.99</v>
      </c>
      <c r="O715" s="315">
        <f t="shared" si="70"/>
        <v>100.78</v>
      </c>
      <c r="P715" s="344">
        <f t="shared" si="69"/>
        <v>100.78</v>
      </c>
      <c r="Q715" s="321"/>
      <c r="R715" s="672" t="b">
        <v>0</v>
      </c>
      <c r="S715" s="318"/>
      <c r="T715" s="319"/>
      <c r="U715" s="315"/>
      <c r="V715" s="144" t="s">
        <v>584</v>
      </c>
      <c r="W715" s="148"/>
      <c r="X715" s="163"/>
      <c r="Y715" s="144" t="s">
        <v>584</v>
      </c>
      <c r="Z715" s="10" t="s">
        <v>1838</v>
      </c>
      <c r="AA715" s="116"/>
      <c r="AB715" s="116"/>
      <c r="AC715" s="165"/>
      <c r="AD715" s="675" t="str">
        <f t="shared" si="71"/>
        <v>ABRIL</v>
      </c>
      <c r="AE715" s="144" t="s">
        <v>2067</v>
      </c>
      <c r="AF715" s="149" t="b">
        <v>1</v>
      </c>
      <c r="AG715" s="166"/>
      <c r="AH715" s="149" t="b">
        <v>0</v>
      </c>
      <c r="AI715" s="162"/>
      <c r="AJ715" s="143"/>
      <c r="AK715" s="143"/>
      <c r="AL715" s="143"/>
      <c r="AM715" s="143"/>
      <c r="AN715" s="143"/>
      <c r="AO715" s="143"/>
      <c r="AP715" s="143"/>
      <c r="AQ715" s="143"/>
    </row>
    <row r="716" ht="63.75" customHeight="1">
      <c r="A716" s="144" t="s">
        <v>162</v>
      </c>
      <c r="B716" s="145">
        <v>46141.0</v>
      </c>
      <c r="C716" s="353" t="s">
        <v>2405</v>
      </c>
      <c r="D716" s="208" t="s">
        <v>2406</v>
      </c>
      <c r="E716" s="148" t="s">
        <v>28</v>
      </c>
      <c r="F716" s="987" t="s">
        <v>2407</v>
      </c>
      <c r="G716" s="149">
        <v>5.199838252E10</v>
      </c>
      <c r="H716" s="148" t="s">
        <v>257</v>
      </c>
      <c r="I716" s="150">
        <v>0.3</v>
      </c>
      <c r="J716" s="168">
        <v>2700.0</v>
      </c>
      <c r="K716" s="169">
        <f t="shared" si="72"/>
        <v>6359</v>
      </c>
      <c r="L716" s="170">
        <v>9059.0</v>
      </c>
      <c r="M716" s="239">
        <v>8949.02</v>
      </c>
      <c r="N716" s="155">
        <v>1899.99</v>
      </c>
      <c r="O716" s="315">
        <f t="shared" si="70"/>
        <v>109.98</v>
      </c>
      <c r="P716" s="344">
        <f t="shared" si="69"/>
        <v>9.98</v>
      </c>
      <c r="Q716" s="510">
        <v>100.0</v>
      </c>
      <c r="R716" s="672" t="b">
        <v>0</v>
      </c>
      <c r="S716" s="318"/>
      <c r="T716" s="319"/>
      <c r="U716" s="315"/>
      <c r="V716" s="144" t="s">
        <v>584</v>
      </c>
      <c r="W716" s="148"/>
      <c r="X716" s="163"/>
      <c r="Y716" s="144" t="s">
        <v>584</v>
      </c>
      <c r="Z716" s="164"/>
      <c r="AA716" s="116"/>
      <c r="AB716" s="116"/>
      <c r="AC716" s="165"/>
      <c r="AD716" s="675" t="str">
        <f t="shared" si="71"/>
        <v>ABRIL</v>
      </c>
      <c r="AE716" s="144" t="s">
        <v>2067</v>
      </c>
      <c r="AF716" s="149" t="b">
        <v>1</v>
      </c>
      <c r="AG716" s="144" t="s">
        <v>471</v>
      </c>
      <c r="AH716" s="149" t="b">
        <v>0</v>
      </c>
      <c r="AI716" s="162"/>
      <c r="AJ716" s="143"/>
      <c r="AK716" s="143"/>
      <c r="AL716" s="143"/>
      <c r="AM716" s="143"/>
      <c r="AN716" s="143"/>
      <c r="AO716" s="143"/>
      <c r="AP716" s="143"/>
      <c r="AQ716" s="143"/>
    </row>
    <row r="717" ht="63.75" hidden="1" customHeight="1">
      <c r="A717" s="144" t="s">
        <v>259</v>
      </c>
      <c r="B717" s="145">
        <v>46141.0</v>
      </c>
      <c r="C717" s="353" t="s">
        <v>2408</v>
      </c>
      <c r="D717" s="208" t="s">
        <v>2409</v>
      </c>
      <c r="E717" s="148" t="s">
        <v>28</v>
      </c>
      <c r="F717" s="489" t="s">
        <v>2410</v>
      </c>
      <c r="G717" s="149" t="s">
        <v>2411</v>
      </c>
      <c r="H717" s="148" t="s">
        <v>257</v>
      </c>
      <c r="I717" s="150">
        <v>0.2</v>
      </c>
      <c r="J717" s="168">
        <v>1599.8</v>
      </c>
      <c r="K717" s="169">
        <f t="shared" si="72"/>
        <v>6399.2</v>
      </c>
      <c r="L717" s="170">
        <v>7999.0</v>
      </c>
      <c r="M717" s="239">
        <v>7662.0</v>
      </c>
      <c r="N717" s="155">
        <v>1599.0</v>
      </c>
      <c r="O717" s="315">
        <f t="shared" si="70"/>
        <v>337</v>
      </c>
      <c r="P717" s="344">
        <f t="shared" si="69"/>
        <v>337</v>
      </c>
      <c r="Q717" s="321"/>
      <c r="R717" s="672" t="b">
        <v>0</v>
      </c>
      <c r="S717" s="318"/>
      <c r="T717" s="319"/>
      <c r="U717" s="315"/>
      <c r="V717" s="144" t="s">
        <v>584</v>
      </c>
      <c r="W717" s="148"/>
      <c r="X717" s="163"/>
      <c r="Y717" s="144" t="s">
        <v>584</v>
      </c>
      <c r="Z717" s="164"/>
      <c r="AA717" s="116"/>
      <c r="AB717" s="116"/>
      <c r="AC717" s="165"/>
      <c r="AD717" s="675" t="str">
        <f t="shared" si="71"/>
        <v>ABRIL</v>
      </c>
      <c r="AE717" s="144" t="s">
        <v>2067</v>
      </c>
      <c r="AF717" s="149" t="b">
        <v>1</v>
      </c>
      <c r="AG717" s="144" t="s">
        <v>471</v>
      </c>
      <c r="AH717" s="149" t="b">
        <v>0</v>
      </c>
      <c r="AI717" s="162"/>
      <c r="AJ717" s="143"/>
      <c r="AK717" s="143"/>
      <c r="AL717" s="143"/>
      <c r="AM717" s="143"/>
      <c r="AN717" s="143"/>
      <c r="AO717" s="143"/>
      <c r="AP717" s="143"/>
      <c r="AQ717" s="143"/>
    </row>
    <row r="718" ht="22.5" hidden="1" customHeight="1">
      <c r="A718" s="144" t="s">
        <v>34</v>
      </c>
      <c r="B718" s="145">
        <v>46141.0</v>
      </c>
      <c r="C718" s="592" t="s">
        <v>2412</v>
      </c>
      <c r="D718" s="208" t="s">
        <v>2413</v>
      </c>
      <c r="E718" s="148" t="s">
        <v>2414</v>
      </c>
      <c r="F718" s="262" t="s">
        <v>2415</v>
      </c>
      <c r="G718" s="149" t="s">
        <v>2416</v>
      </c>
      <c r="H718" s="148" t="s">
        <v>257</v>
      </c>
      <c r="I718" s="150">
        <v>0.2</v>
      </c>
      <c r="J718" s="168">
        <v>3000.0</v>
      </c>
      <c r="K718" s="169">
        <f t="shared" si="72"/>
        <v>7820.12</v>
      </c>
      <c r="L718" s="170">
        <v>10820.12</v>
      </c>
      <c r="M718" s="239">
        <v>10620.12</v>
      </c>
      <c r="N718" s="155">
        <v>2399.99</v>
      </c>
      <c r="O718" s="315">
        <f t="shared" si="70"/>
        <v>200</v>
      </c>
      <c r="P718" s="344">
        <f t="shared" si="69"/>
        <v>50</v>
      </c>
      <c r="Q718" s="510">
        <v>100.0</v>
      </c>
      <c r="R718" s="672" t="b">
        <v>1</v>
      </c>
      <c r="S718" s="318"/>
      <c r="T718" s="319"/>
      <c r="U718" s="315"/>
      <c r="V718" s="144" t="s">
        <v>584</v>
      </c>
      <c r="W718" s="148"/>
      <c r="X718" s="149" t="s">
        <v>2417</v>
      </c>
      <c r="Y718" s="144" t="s">
        <v>584</v>
      </c>
      <c r="Z718" s="164"/>
      <c r="AA718" s="116"/>
      <c r="AB718" s="116"/>
      <c r="AC718" s="165"/>
      <c r="AD718" s="675" t="str">
        <f t="shared" si="71"/>
        <v>ABRIL</v>
      </c>
      <c r="AE718" s="144" t="s">
        <v>2067</v>
      </c>
      <c r="AF718" s="149" t="b">
        <v>1</v>
      </c>
      <c r="AG718" s="166"/>
      <c r="AH718" s="149" t="b">
        <v>0</v>
      </c>
      <c r="AI718" s="162"/>
      <c r="AJ718" s="143"/>
      <c r="AK718" s="143"/>
      <c r="AL718" s="143"/>
      <c r="AM718" s="143"/>
      <c r="AN718" s="143"/>
      <c r="AO718" s="143"/>
      <c r="AP718" s="143"/>
      <c r="AQ718" s="143"/>
    </row>
    <row r="719" ht="22.5" hidden="1" customHeight="1">
      <c r="A719" s="144" t="s">
        <v>34</v>
      </c>
      <c r="B719" s="145">
        <v>46141.0</v>
      </c>
      <c r="C719" s="1003" t="s">
        <v>869</v>
      </c>
      <c r="D719" s="928" t="s">
        <v>2418</v>
      </c>
      <c r="E719" s="148" t="s">
        <v>28</v>
      </c>
      <c r="F719" s="1028" t="s">
        <v>2419</v>
      </c>
      <c r="G719" s="149">
        <v>5.1973801247E10</v>
      </c>
      <c r="H719" s="148" t="s">
        <v>257</v>
      </c>
      <c r="I719" s="150">
        <v>0.2</v>
      </c>
      <c r="J719" s="168">
        <v>1300.0</v>
      </c>
      <c r="K719" s="169">
        <f t="shared" si="72"/>
        <v>5199</v>
      </c>
      <c r="L719" s="170">
        <v>6499.0</v>
      </c>
      <c r="M719" s="239">
        <v>6113.0</v>
      </c>
      <c r="N719" s="155">
        <v>1399.99</v>
      </c>
      <c r="O719" s="315">
        <f t="shared" si="70"/>
        <v>386</v>
      </c>
      <c r="P719" s="344">
        <f t="shared" si="69"/>
        <v>111</v>
      </c>
      <c r="Q719" s="510">
        <v>225.0</v>
      </c>
      <c r="R719" s="672" t="b">
        <v>1</v>
      </c>
      <c r="S719" s="318"/>
      <c r="T719" s="319"/>
      <c r="U719" s="315"/>
      <c r="V719" s="144" t="s">
        <v>584</v>
      </c>
      <c r="W719" s="148"/>
      <c r="X719" s="149" t="s">
        <v>2420</v>
      </c>
      <c r="Y719" s="162"/>
      <c r="Z719" s="164"/>
      <c r="AA719" s="116"/>
      <c r="AB719" s="116"/>
      <c r="AC719" s="165"/>
      <c r="AD719" s="675" t="str">
        <f t="shared" si="71"/>
        <v>ABRIL</v>
      </c>
      <c r="AE719" s="144" t="s">
        <v>2067</v>
      </c>
      <c r="AF719" s="149" t="b">
        <v>1</v>
      </c>
      <c r="AG719" s="144" t="s">
        <v>2067</v>
      </c>
      <c r="AH719" s="149" t="b">
        <v>0</v>
      </c>
      <c r="AI719" s="162"/>
      <c r="AJ719" s="143"/>
      <c r="AK719" s="143"/>
      <c r="AL719" s="143"/>
      <c r="AM719" s="143"/>
      <c r="AN719" s="143"/>
      <c r="AO719" s="143"/>
      <c r="AP719" s="143"/>
      <c r="AQ719" s="143"/>
    </row>
    <row r="720" ht="22.5" hidden="1" customHeight="1">
      <c r="A720" s="144" t="s">
        <v>34</v>
      </c>
      <c r="B720" s="145">
        <v>46141.0</v>
      </c>
      <c r="C720" s="1029" t="s">
        <v>2364</v>
      </c>
      <c r="D720" s="928" t="s">
        <v>2421</v>
      </c>
      <c r="E720" s="148" t="s">
        <v>28</v>
      </c>
      <c r="F720" s="489" t="s">
        <v>2422</v>
      </c>
      <c r="G720" s="149" t="s">
        <v>2423</v>
      </c>
      <c r="H720" s="148" t="s">
        <v>257</v>
      </c>
      <c r="I720" s="148" t="s">
        <v>61</v>
      </c>
      <c r="J720" s="168">
        <v>1300.0</v>
      </c>
      <c r="K720" s="169">
        <f t="shared" si="72"/>
        <v>5199</v>
      </c>
      <c r="L720" s="170">
        <v>6499.0</v>
      </c>
      <c r="M720" s="239">
        <v>6113.0</v>
      </c>
      <c r="N720" s="155">
        <v>1399.99</v>
      </c>
      <c r="O720" s="315">
        <f t="shared" si="70"/>
        <v>386</v>
      </c>
      <c r="P720" s="344">
        <f t="shared" si="69"/>
        <v>111</v>
      </c>
      <c r="Q720" s="510">
        <v>225.0</v>
      </c>
      <c r="R720" s="672" t="b">
        <v>1</v>
      </c>
      <c r="S720" s="318"/>
      <c r="T720" s="319"/>
      <c r="U720" s="315"/>
      <c r="V720" s="144" t="s">
        <v>584</v>
      </c>
      <c r="W720" s="148"/>
      <c r="X720" s="149" t="s">
        <v>2424</v>
      </c>
      <c r="Y720" s="144" t="s">
        <v>584</v>
      </c>
      <c r="Z720" s="164"/>
      <c r="AA720" s="116"/>
      <c r="AB720" s="116"/>
      <c r="AC720" s="165"/>
      <c r="AD720" s="675" t="str">
        <f t="shared" si="71"/>
        <v>ABRIL</v>
      </c>
      <c r="AE720" s="144" t="s">
        <v>2067</v>
      </c>
      <c r="AF720" s="149" t="b">
        <v>1</v>
      </c>
      <c r="AG720" s="144" t="s">
        <v>471</v>
      </c>
      <c r="AH720" s="149" t="b">
        <v>0</v>
      </c>
      <c r="AI720" s="162"/>
      <c r="AJ720" s="143"/>
      <c r="AK720" s="143"/>
      <c r="AL720" s="143"/>
      <c r="AM720" s="143"/>
      <c r="AN720" s="143"/>
      <c r="AO720" s="143"/>
      <c r="AP720" s="143"/>
      <c r="AQ720" s="143"/>
    </row>
    <row r="721" ht="22.5" hidden="1" customHeight="1">
      <c r="A721" s="144" t="s">
        <v>34</v>
      </c>
      <c r="B721" s="145">
        <v>46141.0</v>
      </c>
      <c r="C721" s="387" t="s">
        <v>2425</v>
      </c>
      <c r="D721" s="43" t="s">
        <v>2426</v>
      </c>
      <c r="E721" s="148" t="s">
        <v>2427</v>
      </c>
      <c r="F721" s="262" t="s">
        <v>2428</v>
      </c>
      <c r="G721" s="149">
        <v>5.1942104474E10</v>
      </c>
      <c r="H721" s="148" t="s">
        <v>257</v>
      </c>
      <c r="I721" s="150">
        <v>0.2</v>
      </c>
      <c r="J721" s="168">
        <v>1179.8</v>
      </c>
      <c r="K721" s="169">
        <f t="shared" si="72"/>
        <v>4719.2</v>
      </c>
      <c r="L721" s="170">
        <v>5899.0</v>
      </c>
      <c r="M721" s="239">
        <v>5879.9</v>
      </c>
      <c r="N721" s="155">
        <v>1299.99</v>
      </c>
      <c r="O721" s="315">
        <f t="shared" si="70"/>
        <v>19.1</v>
      </c>
      <c r="P721" s="344">
        <f t="shared" si="69"/>
        <v>19.1</v>
      </c>
      <c r="Q721" s="321"/>
      <c r="R721" s="672" t="b">
        <v>0</v>
      </c>
      <c r="S721" s="318"/>
      <c r="T721" s="319"/>
      <c r="U721" s="315"/>
      <c r="V721" s="144" t="s">
        <v>584</v>
      </c>
      <c r="W721" s="148"/>
      <c r="X721" s="149" t="s">
        <v>2429</v>
      </c>
      <c r="Y721" s="162"/>
      <c r="Z721" s="164"/>
      <c r="AA721" s="116"/>
      <c r="AB721" s="116"/>
      <c r="AC721" s="165"/>
      <c r="AD721" s="675" t="str">
        <f t="shared" si="71"/>
        <v>ABRIL</v>
      </c>
      <c r="AE721" s="144" t="s">
        <v>2067</v>
      </c>
      <c r="AF721" s="149" t="b">
        <v>1</v>
      </c>
      <c r="AG721" s="166"/>
      <c r="AH721" s="149" t="b">
        <v>0</v>
      </c>
      <c r="AI721" s="162"/>
      <c r="AJ721" s="143"/>
      <c r="AK721" s="143"/>
      <c r="AL721" s="143"/>
      <c r="AM721" s="143"/>
      <c r="AN721" s="143"/>
      <c r="AO721" s="143"/>
      <c r="AP721" s="143"/>
      <c r="AQ721" s="143"/>
    </row>
    <row r="722" ht="22.5" hidden="1" customHeight="1">
      <c r="A722" s="144" t="s">
        <v>34</v>
      </c>
      <c r="B722" s="145">
        <v>46141.0</v>
      </c>
      <c r="C722" s="262" t="s">
        <v>1685</v>
      </c>
      <c r="D722" s="928" t="s">
        <v>2430</v>
      </c>
      <c r="E722" s="148" t="s">
        <v>28</v>
      </c>
      <c r="F722" s="540" t="s">
        <v>2431</v>
      </c>
      <c r="G722" s="149">
        <v>5.1949247427E10</v>
      </c>
      <c r="H722" s="148" t="s">
        <v>257</v>
      </c>
      <c r="I722" s="150">
        <v>0.2</v>
      </c>
      <c r="J722" s="168">
        <v>1559.8</v>
      </c>
      <c r="K722" s="169">
        <f t="shared" si="72"/>
        <v>6239.2</v>
      </c>
      <c r="L722" s="170">
        <v>7799.0</v>
      </c>
      <c r="M722" s="239">
        <v>7070.0</v>
      </c>
      <c r="N722" s="155">
        <v>1649.99</v>
      </c>
      <c r="O722" s="315">
        <f t="shared" si="70"/>
        <v>729</v>
      </c>
      <c r="P722" s="344">
        <f t="shared" si="69"/>
        <v>454</v>
      </c>
      <c r="Q722" s="510">
        <v>225.0</v>
      </c>
      <c r="R722" s="672" t="b">
        <v>1</v>
      </c>
      <c r="S722" s="318"/>
      <c r="T722" s="319"/>
      <c r="U722" s="315"/>
      <c r="V722" s="144" t="s">
        <v>584</v>
      </c>
      <c r="W722" s="148"/>
      <c r="X722" s="104" t="s">
        <v>2432</v>
      </c>
      <c r="Y722" s="162"/>
      <c r="Z722" s="164"/>
      <c r="AA722" s="116"/>
      <c r="AB722" s="116"/>
      <c r="AC722" s="165"/>
      <c r="AD722" s="675" t="str">
        <f t="shared" si="71"/>
        <v>ABRIL</v>
      </c>
      <c r="AE722" s="144" t="s">
        <v>2067</v>
      </c>
      <c r="AF722" s="149" t="b">
        <v>1</v>
      </c>
      <c r="AG722" s="144" t="s">
        <v>2067</v>
      </c>
      <c r="AH722" s="149" t="b">
        <v>0</v>
      </c>
      <c r="AI722" s="162"/>
      <c r="AJ722" s="143"/>
      <c r="AK722" s="143"/>
      <c r="AL722" s="143"/>
      <c r="AM722" s="143"/>
      <c r="AN722" s="143"/>
      <c r="AO722" s="143"/>
      <c r="AP722" s="143"/>
      <c r="AQ722" s="143"/>
    </row>
    <row r="723" ht="22.5" customHeight="1">
      <c r="A723" s="144" t="s">
        <v>1824</v>
      </c>
      <c r="B723" s="187">
        <v>46132.0</v>
      </c>
      <c r="C723" s="1030" t="s">
        <v>1152</v>
      </c>
      <c r="D723" s="1031" t="s">
        <v>2433</v>
      </c>
      <c r="E723" s="1032" t="s">
        <v>399</v>
      </c>
      <c r="F723" s="149"/>
      <c r="G723" s="149">
        <v>5.1949963195E10</v>
      </c>
      <c r="H723" s="148" t="s">
        <v>257</v>
      </c>
      <c r="I723" s="148" t="s">
        <v>61</v>
      </c>
      <c r="J723" s="168">
        <v>1000.0</v>
      </c>
      <c r="K723" s="169">
        <f t="shared" si="72"/>
        <v>-1000</v>
      </c>
      <c r="L723" s="297"/>
      <c r="M723" s="334"/>
      <c r="N723" s="277"/>
      <c r="O723" s="315">
        <f t="shared" si="70"/>
        <v>0</v>
      </c>
      <c r="P723" s="344">
        <f t="shared" si="69"/>
        <v>0</v>
      </c>
      <c r="Q723" s="321"/>
      <c r="R723" s="672" t="b">
        <v>0</v>
      </c>
      <c r="S723" s="318"/>
      <c r="T723" s="319"/>
      <c r="U723" s="315"/>
      <c r="V723" s="144" t="s">
        <v>584</v>
      </c>
      <c r="W723" s="148"/>
      <c r="X723" s="163"/>
      <c r="Y723" s="144"/>
      <c r="Z723" s="10" t="s">
        <v>1838</v>
      </c>
      <c r="AA723" s="116"/>
      <c r="AB723" s="116"/>
      <c r="AC723" s="165"/>
      <c r="AD723" s="675"/>
      <c r="AE723" s="144"/>
      <c r="AF723" s="149" t="b">
        <v>0</v>
      </c>
      <c r="AG723" s="166"/>
      <c r="AH723" s="149" t="b">
        <v>0</v>
      </c>
      <c r="AI723" s="162"/>
      <c r="AJ723" s="143"/>
      <c r="AK723" s="143"/>
      <c r="AL723" s="143"/>
      <c r="AM723" s="143"/>
      <c r="AN723" s="143"/>
      <c r="AO723" s="143"/>
      <c r="AP723" s="143"/>
      <c r="AQ723" s="143"/>
    </row>
    <row r="724" ht="22.5" customHeight="1">
      <c r="A724" s="827" t="s">
        <v>1833</v>
      </c>
      <c r="B724" s="1033">
        <v>46142.0</v>
      </c>
      <c r="C724" s="960" t="s">
        <v>2434</v>
      </c>
      <c r="D724" s="43" t="s">
        <v>2435</v>
      </c>
      <c r="E724" s="1034" t="s">
        <v>28</v>
      </c>
      <c r="F724" s="987" t="s">
        <v>2436</v>
      </c>
      <c r="G724" s="106">
        <v>5.1927210396E10</v>
      </c>
      <c r="H724" s="148" t="s">
        <v>257</v>
      </c>
      <c r="I724" s="1034" t="s">
        <v>61</v>
      </c>
      <c r="J724" s="1035">
        <v>2500.0</v>
      </c>
      <c r="K724" s="106">
        <v>6398.0</v>
      </c>
      <c r="L724" s="1036">
        <v>9398.0</v>
      </c>
      <c r="M724" s="239">
        <v>8903.01</v>
      </c>
      <c r="N724" s="1037">
        <v>1899.99</v>
      </c>
      <c r="O724" s="315">
        <f t="shared" si="70"/>
        <v>494.99</v>
      </c>
      <c r="P724" s="344" t="str">
        <f t="shared" si="69"/>
        <v>#VALUE!</v>
      </c>
      <c r="Q724" s="510" t="s">
        <v>2437</v>
      </c>
      <c r="R724" s="672" t="b">
        <v>0</v>
      </c>
      <c r="S724" s="1038"/>
      <c r="T724" s="1039"/>
      <c r="U724" s="1039"/>
      <c r="V724" s="1034" t="s">
        <v>584</v>
      </c>
      <c r="W724" s="1038"/>
      <c r="X724" s="1038"/>
      <c r="Y724" s="1034" t="s">
        <v>584</v>
      </c>
      <c r="Z724" s="1038"/>
      <c r="AA724" s="311"/>
      <c r="AB724" s="311"/>
      <c r="AD724" s="675" t="str">
        <f t="shared" ref="AD724:AD804" si="73">UPPER(IF(B724="","",TEXT(B724,"mmmm")))</f>
        <v>ABRIL</v>
      </c>
      <c r="AE724" s="827" t="s">
        <v>2067</v>
      </c>
      <c r="AF724" s="763" t="b">
        <v>1</v>
      </c>
      <c r="AG724" s="311"/>
      <c r="AH724" s="1040"/>
      <c r="AI724" s="36" t="s">
        <v>2384</v>
      </c>
    </row>
    <row r="725" ht="22.5" customHeight="1">
      <c r="A725" s="144" t="s">
        <v>1833</v>
      </c>
      <c r="B725" s="209">
        <v>46144.0</v>
      </c>
      <c r="C725" s="998" t="s">
        <v>2438</v>
      </c>
      <c r="D725" s="928" t="s">
        <v>2439</v>
      </c>
      <c r="E725" s="148" t="s">
        <v>28</v>
      </c>
      <c r="F725" s="262" t="s">
        <v>2440</v>
      </c>
      <c r="G725" s="149">
        <v>5.1901971165E10</v>
      </c>
      <c r="H725" s="148" t="s">
        <v>257</v>
      </c>
      <c r="I725" s="150">
        <v>0.2</v>
      </c>
      <c r="J725" s="168">
        <v>1599.8</v>
      </c>
      <c r="K725" s="169">
        <f t="shared" ref="K725:K2005" si="74">IF(J725="","",L725-J725)</f>
        <v>6399.2</v>
      </c>
      <c r="L725" s="170">
        <v>7999.0</v>
      </c>
      <c r="M725" s="239">
        <v>7572.95</v>
      </c>
      <c r="N725" s="155">
        <v>1599.99</v>
      </c>
      <c r="O725" s="315">
        <f t="shared" si="70"/>
        <v>426.05</v>
      </c>
      <c r="P725" s="344">
        <f t="shared" si="69"/>
        <v>286.05</v>
      </c>
      <c r="Q725" s="510">
        <v>140.0</v>
      </c>
      <c r="R725" s="672" t="b">
        <v>0</v>
      </c>
      <c r="S725" s="318"/>
      <c r="T725" s="319"/>
      <c r="U725" s="315"/>
      <c r="V725" s="144" t="s">
        <v>584</v>
      </c>
      <c r="W725" s="148"/>
      <c r="X725" s="163"/>
      <c r="Y725" s="144" t="s">
        <v>584</v>
      </c>
      <c r="Z725" s="164"/>
      <c r="AA725" s="116"/>
      <c r="AB725" s="116"/>
      <c r="AC725" s="165"/>
      <c r="AD725" s="675" t="str">
        <f t="shared" si="73"/>
        <v>MAYO</v>
      </c>
      <c r="AE725" s="144" t="s">
        <v>2067</v>
      </c>
      <c r="AF725" s="149" t="b">
        <v>1</v>
      </c>
      <c r="AG725" s="144" t="s">
        <v>471</v>
      </c>
      <c r="AH725" s="149" t="b">
        <v>0</v>
      </c>
      <c r="AI725" s="144" t="s">
        <v>2384</v>
      </c>
      <c r="AJ725" s="143"/>
      <c r="AK725" s="143"/>
      <c r="AL725" s="143"/>
      <c r="AM725" s="143"/>
      <c r="AN725" s="143"/>
      <c r="AO725" s="143"/>
      <c r="AP725" s="143"/>
      <c r="AQ725" s="143"/>
    </row>
    <row r="726" ht="22.5" customHeight="1">
      <c r="A726" s="144" t="s">
        <v>162</v>
      </c>
      <c r="B726" s="145">
        <v>46144.0</v>
      </c>
      <c r="C726" s="149" t="s">
        <v>2364</v>
      </c>
      <c r="D726" s="208" t="s">
        <v>2441</v>
      </c>
      <c r="E726" s="148" t="s">
        <v>28</v>
      </c>
      <c r="F726" s="149" t="s">
        <v>2442</v>
      </c>
      <c r="G726" s="149" t="s">
        <v>2443</v>
      </c>
      <c r="H726" s="148" t="s">
        <v>257</v>
      </c>
      <c r="I726" s="150">
        <v>0.2</v>
      </c>
      <c r="J726" s="168">
        <v>1252.0</v>
      </c>
      <c r="K726" s="169">
        <f t="shared" si="74"/>
        <v>5093</v>
      </c>
      <c r="L726" s="170">
        <v>6345.0</v>
      </c>
      <c r="M726" s="239">
        <v>6184.0</v>
      </c>
      <c r="N726" s="155">
        <v>1399.99</v>
      </c>
      <c r="O726" s="315">
        <f t="shared" si="70"/>
        <v>161</v>
      </c>
      <c r="P726" s="344">
        <f t="shared" si="69"/>
        <v>24</v>
      </c>
      <c r="Q726" s="510">
        <v>40.0</v>
      </c>
      <c r="R726" s="672" t="b">
        <v>0</v>
      </c>
      <c r="S726" s="318"/>
      <c r="T726" s="319"/>
      <c r="U726" s="343">
        <v>97.0</v>
      </c>
      <c r="V726" s="144" t="s">
        <v>584</v>
      </c>
      <c r="W726" s="148"/>
      <c r="X726" s="163"/>
      <c r="Y726" s="162"/>
      <c r="Z726" s="164"/>
      <c r="AA726" s="116"/>
      <c r="AB726" s="116"/>
      <c r="AC726" s="165"/>
      <c r="AD726" s="675" t="str">
        <f t="shared" si="73"/>
        <v>MAYO</v>
      </c>
      <c r="AE726" s="144" t="s">
        <v>2067</v>
      </c>
      <c r="AF726" s="149" t="b">
        <v>1</v>
      </c>
      <c r="AG726" s="144" t="s">
        <v>471</v>
      </c>
      <c r="AH726" s="149" t="b">
        <v>0</v>
      </c>
      <c r="AI726" s="144" t="s">
        <v>2384</v>
      </c>
      <c r="AJ726" s="143"/>
      <c r="AK726" s="143"/>
      <c r="AL726" s="143"/>
      <c r="AM726" s="143"/>
      <c r="AN726" s="143"/>
      <c r="AO726" s="143"/>
      <c r="AP726" s="143"/>
      <c r="AQ726" s="143"/>
    </row>
    <row r="727" ht="22.5" customHeight="1">
      <c r="A727" s="144" t="s">
        <v>1824</v>
      </c>
      <c r="B727" s="145">
        <v>46144.0</v>
      </c>
      <c r="C727" s="149" t="s">
        <v>2444</v>
      </c>
      <c r="D727" s="208" t="s">
        <v>2445</v>
      </c>
      <c r="E727" s="148" t="s">
        <v>28</v>
      </c>
      <c r="F727" s="262" t="s">
        <v>2446</v>
      </c>
      <c r="G727" s="149" t="s">
        <v>2447</v>
      </c>
      <c r="H727" s="148" t="s">
        <v>257</v>
      </c>
      <c r="I727" s="150">
        <v>0.2</v>
      </c>
      <c r="J727" s="168">
        <v>1634.0</v>
      </c>
      <c r="K727" s="169">
        <f t="shared" si="74"/>
        <v>6536</v>
      </c>
      <c r="L727" s="170">
        <v>8170.0</v>
      </c>
      <c r="M727" s="239">
        <v>8023.0</v>
      </c>
      <c r="N727" s="155">
        <v>1699.99</v>
      </c>
      <c r="O727" s="315">
        <f t="shared" si="70"/>
        <v>147</v>
      </c>
      <c r="P727" s="344">
        <f t="shared" si="69"/>
        <v>47</v>
      </c>
      <c r="Q727" s="510">
        <v>100.0</v>
      </c>
      <c r="R727" s="672" t="b">
        <v>0</v>
      </c>
      <c r="S727" s="318"/>
      <c r="T727" s="319"/>
      <c r="U727" s="315"/>
      <c r="V727" s="144" t="s">
        <v>584</v>
      </c>
      <c r="W727" s="148"/>
      <c r="X727" s="163"/>
      <c r="Y727" s="144" t="s">
        <v>584</v>
      </c>
      <c r="Z727" s="164"/>
      <c r="AA727" s="116"/>
      <c r="AB727" s="116"/>
      <c r="AC727" s="165"/>
      <c r="AD727" s="675" t="str">
        <f t="shared" si="73"/>
        <v>MAYO</v>
      </c>
      <c r="AE727" s="144" t="s">
        <v>2067</v>
      </c>
      <c r="AF727" s="149" t="b">
        <v>1</v>
      </c>
      <c r="AG727" s="144" t="s">
        <v>471</v>
      </c>
      <c r="AH727" s="149" t="b">
        <v>0</v>
      </c>
      <c r="AI727" s="144" t="s">
        <v>2384</v>
      </c>
      <c r="AJ727" s="143"/>
      <c r="AK727" s="143"/>
      <c r="AL727" s="143"/>
      <c r="AM727" s="143"/>
      <c r="AN727" s="143"/>
      <c r="AO727" s="143"/>
      <c r="AP727" s="143"/>
      <c r="AQ727" s="143"/>
    </row>
    <row r="728" ht="22.5" customHeight="1">
      <c r="A728" s="144" t="s">
        <v>1824</v>
      </c>
      <c r="B728" s="145">
        <v>46144.0</v>
      </c>
      <c r="C728" s="149" t="s">
        <v>1788</v>
      </c>
      <c r="D728" s="1041" t="s">
        <v>2448</v>
      </c>
      <c r="E728" s="148" t="s">
        <v>28</v>
      </c>
      <c r="F728" s="262" t="s">
        <v>2449</v>
      </c>
      <c r="G728" s="149">
        <v>5.1971588899E10</v>
      </c>
      <c r="H728" s="148" t="s">
        <v>257</v>
      </c>
      <c r="I728" s="150">
        <v>0.2</v>
      </c>
      <c r="J728" s="168">
        <v>1639.8</v>
      </c>
      <c r="K728" s="169">
        <f t="shared" si="74"/>
        <v>6559.2</v>
      </c>
      <c r="L728" s="170">
        <v>8199.0</v>
      </c>
      <c r="M728" s="239">
        <v>8023.0</v>
      </c>
      <c r="N728" s="155">
        <v>1699.99</v>
      </c>
      <c r="O728" s="315">
        <f t="shared" si="70"/>
        <v>176</v>
      </c>
      <c r="P728" s="344">
        <f t="shared" si="69"/>
        <v>76</v>
      </c>
      <c r="Q728" s="510">
        <v>100.0</v>
      </c>
      <c r="R728" s="672" t="b">
        <v>0</v>
      </c>
      <c r="S728" s="318"/>
      <c r="T728" s="319"/>
      <c r="U728" s="315"/>
      <c r="V728" s="144" t="s">
        <v>584</v>
      </c>
      <c r="W728" s="148"/>
      <c r="X728" s="163"/>
      <c r="Y728" s="144" t="s">
        <v>584</v>
      </c>
      <c r="Z728" s="164"/>
      <c r="AA728" s="116"/>
      <c r="AB728" s="116"/>
      <c r="AC728" s="165"/>
      <c r="AD728" s="675" t="str">
        <f t="shared" si="73"/>
        <v>MAYO</v>
      </c>
      <c r="AE728" s="144" t="s">
        <v>2067</v>
      </c>
      <c r="AF728" s="149" t="b">
        <v>1</v>
      </c>
      <c r="AG728" s="144" t="s">
        <v>471</v>
      </c>
      <c r="AH728" s="149" t="b">
        <v>0</v>
      </c>
      <c r="AI728" s="144" t="s">
        <v>2384</v>
      </c>
      <c r="AJ728" s="143"/>
      <c r="AK728" s="143"/>
      <c r="AL728" s="143"/>
      <c r="AM728" s="143"/>
      <c r="AN728" s="143"/>
      <c r="AO728" s="143"/>
      <c r="AP728" s="143"/>
      <c r="AQ728" s="143"/>
    </row>
    <row r="729" ht="22.5" customHeight="1">
      <c r="A729" s="144" t="s">
        <v>1833</v>
      </c>
      <c r="B729" s="145">
        <v>46144.0</v>
      </c>
      <c r="C729" s="978" t="s">
        <v>879</v>
      </c>
      <c r="D729" s="928" t="s">
        <v>2450</v>
      </c>
      <c r="E729" s="148" t="s">
        <v>28</v>
      </c>
      <c r="F729" s="1042" t="s">
        <v>2451</v>
      </c>
      <c r="G729" s="149">
        <v>5.1999406494E10</v>
      </c>
      <c r="H729" s="148" t="s">
        <v>257</v>
      </c>
      <c r="I729" s="150">
        <v>0.2</v>
      </c>
      <c r="J729" s="168">
        <v>1299.8</v>
      </c>
      <c r="K729" s="169">
        <f t="shared" si="74"/>
        <v>5199.2</v>
      </c>
      <c r="L729" s="170">
        <v>6499.0</v>
      </c>
      <c r="M729" s="239">
        <v>6424.75</v>
      </c>
      <c r="N729" s="155">
        <v>1299.99</v>
      </c>
      <c r="O729" s="315">
        <f t="shared" si="70"/>
        <v>74.25</v>
      </c>
      <c r="P729" s="344">
        <f t="shared" si="69"/>
        <v>74.25</v>
      </c>
      <c r="Q729" s="321"/>
      <c r="R729" s="672" t="b">
        <v>0</v>
      </c>
      <c r="S729" s="318"/>
      <c r="T729" s="319"/>
      <c r="U729" s="315"/>
      <c r="V729" s="144" t="s">
        <v>584</v>
      </c>
      <c r="W729" s="149"/>
      <c r="X729" s="163"/>
      <c r="Y729" s="162"/>
      <c r="Z729" s="164"/>
      <c r="AA729" s="116"/>
      <c r="AB729" s="116"/>
      <c r="AC729" s="165"/>
      <c r="AD729" s="675" t="str">
        <f t="shared" si="73"/>
        <v>MAYO</v>
      </c>
      <c r="AE729" s="144" t="s">
        <v>2067</v>
      </c>
      <c r="AF729" s="149" t="b">
        <v>1</v>
      </c>
      <c r="AG729" s="144" t="s">
        <v>2067</v>
      </c>
      <c r="AH729" s="149" t="b">
        <v>0</v>
      </c>
      <c r="AI729" s="1043" t="s">
        <v>2384</v>
      </c>
      <c r="AJ729" s="143"/>
      <c r="AK729" s="143"/>
      <c r="AL729" s="143"/>
      <c r="AM729" s="143"/>
      <c r="AN729" s="143"/>
      <c r="AO729" s="143"/>
      <c r="AP729" s="143"/>
      <c r="AQ729" s="143"/>
    </row>
    <row r="730" ht="22.5" hidden="1" customHeight="1">
      <c r="A730" s="144" t="s">
        <v>259</v>
      </c>
      <c r="B730" s="145">
        <v>46144.0</v>
      </c>
      <c r="C730" s="149" t="s">
        <v>1152</v>
      </c>
      <c r="D730" s="208" t="s">
        <v>2452</v>
      </c>
      <c r="E730" s="148" t="s">
        <v>28</v>
      </c>
      <c r="F730" s="262" t="s">
        <v>2453</v>
      </c>
      <c r="G730" s="149">
        <v>5.1921033533E10</v>
      </c>
      <c r="H730" s="148" t="s">
        <v>257</v>
      </c>
      <c r="I730" s="150">
        <v>0.2</v>
      </c>
      <c r="J730" s="168">
        <v>1640.0</v>
      </c>
      <c r="K730" s="169">
        <f t="shared" si="74"/>
        <v>6559</v>
      </c>
      <c r="L730" s="170">
        <v>8199.0</v>
      </c>
      <c r="M730" s="239">
        <v>7902.0</v>
      </c>
      <c r="N730" s="155">
        <v>1799.0</v>
      </c>
      <c r="O730" s="315">
        <f t="shared" si="70"/>
        <v>297</v>
      </c>
      <c r="P730" s="344">
        <f t="shared" si="69"/>
        <v>297</v>
      </c>
      <c r="Q730" s="321"/>
      <c r="R730" s="672" t="b">
        <v>0</v>
      </c>
      <c r="S730" s="318"/>
      <c r="T730" s="319"/>
      <c r="U730" s="315"/>
      <c r="V730" s="144" t="s">
        <v>584</v>
      </c>
      <c r="W730" s="149"/>
      <c r="X730" s="163"/>
      <c r="Y730" s="162"/>
      <c r="Z730" s="164"/>
      <c r="AA730" s="116"/>
      <c r="AB730" s="116"/>
      <c r="AC730" s="165"/>
      <c r="AD730" s="675" t="str">
        <f t="shared" si="73"/>
        <v>MAYO</v>
      </c>
      <c r="AE730" s="144" t="s">
        <v>2067</v>
      </c>
      <c r="AF730" s="149" t="b">
        <v>1</v>
      </c>
      <c r="AG730" s="144" t="s">
        <v>2067</v>
      </c>
      <c r="AH730" s="149" t="b">
        <v>0</v>
      </c>
      <c r="AI730" s="144" t="s">
        <v>2384</v>
      </c>
      <c r="AJ730" s="143"/>
      <c r="AK730" s="143"/>
      <c r="AL730" s="143"/>
      <c r="AM730" s="143"/>
      <c r="AN730" s="143"/>
      <c r="AO730" s="143"/>
      <c r="AP730" s="143"/>
      <c r="AQ730" s="143"/>
    </row>
    <row r="731" ht="22.5" customHeight="1">
      <c r="A731" s="144" t="s">
        <v>1833</v>
      </c>
      <c r="B731" s="145">
        <v>46146.0</v>
      </c>
      <c r="C731" s="149" t="s">
        <v>2454</v>
      </c>
      <c r="D731" s="928" t="s">
        <v>2455</v>
      </c>
      <c r="E731" s="148" t="s">
        <v>28</v>
      </c>
      <c r="F731" s="149" t="s">
        <v>2456</v>
      </c>
      <c r="G731" s="149">
        <v>5.1991074496E10</v>
      </c>
      <c r="H731" s="148" t="s">
        <v>257</v>
      </c>
      <c r="I731" s="150">
        <v>0.2</v>
      </c>
      <c r="J731" s="168">
        <v>1299.8</v>
      </c>
      <c r="K731" s="169">
        <f t="shared" si="74"/>
        <v>5199.2</v>
      </c>
      <c r="L731" s="170">
        <v>6499.0</v>
      </c>
      <c r="M731" s="239">
        <v>6148.0</v>
      </c>
      <c r="N731" s="155">
        <v>1399.99</v>
      </c>
      <c r="O731" s="315">
        <f t="shared" si="70"/>
        <v>351</v>
      </c>
      <c r="P731" s="344">
        <f t="shared" si="69"/>
        <v>251</v>
      </c>
      <c r="Q731" s="510">
        <v>100.0</v>
      </c>
      <c r="R731" s="672" t="b">
        <v>0</v>
      </c>
      <c r="S731" s="318"/>
      <c r="T731" s="319"/>
      <c r="U731" s="315"/>
      <c r="V731" s="144" t="s">
        <v>584</v>
      </c>
      <c r="W731" s="149"/>
      <c r="X731" s="163"/>
      <c r="Y731" s="144" t="s">
        <v>584</v>
      </c>
      <c r="Z731" s="164"/>
      <c r="AA731" s="116"/>
      <c r="AB731" s="116"/>
      <c r="AC731" s="165"/>
      <c r="AD731" s="675" t="str">
        <f t="shared" si="73"/>
        <v>MAYO</v>
      </c>
      <c r="AE731" s="144" t="s">
        <v>2067</v>
      </c>
      <c r="AF731" s="149" t="b">
        <v>1</v>
      </c>
      <c r="AG731" s="144" t="s">
        <v>2067</v>
      </c>
      <c r="AH731" s="149" t="b">
        <v>0</v>
      </c>
      <c r="AI731" s="144" t="s">
        <v>2384</v>
      </c>
      <c r="AJ731" s="143"/>
      <c r="AK731" s="143"/>
      <c r="AL731" s="143"/>
      <c r="AM731" s="143"/>
      <c r="AN731" s="143"/>
      <c r="AO731" s="143"/>
      <c r="AP731" s="143"/>
      <c r="AQ731" s="143"/>
    </row>
    <row r="732" ht="22.5" customHeight="1">
      <c r="A732" s="144" t="s">
        <v>1833</v>
      </c>
      <c r="B732" s="145">
        <v>46146.0</v>
      </c>
      <c r="C732" s="188" t="s">
        <v>2457</v>
      </c>
      <c r="D732" s="928" t="s">
        <v>2458</v>
      </c>
      <c r="E732" s="148" t="s">
        <v>28</v>
      </c>
      <c r="F732" s="262" t="s">
        <v>2459</v>
      </c>
      <c r="G732" s="149">
        <v>5.1950499723E10</v>
      </c>
      <c r="H732" s="148" t="s">
        <v>257</v>
      </c>
      <c r="I732" s="150">
        <v>0.2</v>
      </c>
      <c r="J732" s="168">
        <v>1407.8</v>
      </c>
      <c r="K732" s="169">
        <f t="shared" si="74"/>
        <v>5631.2</v>
      </c>
      <c r="L732" s="170">
        <v>7039.0</v>
      </c>
      <c r="M732" s="239">
        <v>5934.89</v>
      </c>
      <c r="N732" s="155">
        <v>1299.0</v>
      </c>
      <c r="O732" s="315">
        <f t="shared" si="70"/>
        <v>1104.11</v>
      </c>
      <c r="P732" s="344">
        <f t="shared" si="69"/>
        <v>964.11</v>
      </c>
      <c r="Q732" s="510">
        <v>140.0</v>
      </c>
      <c r="R732" s="672" t="b">
        <v>0</v>
      </c>
      <c r="S732" s="318"/>
      <c r="T732" s="319"/>
      <c r="U732" s="315"/>
      <c r="V732" s="144" t="s">
        <v>584</v>
      </c>
      <c r="W732" s="149"/>
      <c r="X732" s="163"/>
      <c r="Y732" s="144" t="s">
        <v>584</v>
      </c>
      <c r="Z732" s="164"/>
      <c r="AA732" s="116"/>
      <c r="AB732" s="116"/>
      <c r="AC732" s="165"/>
      <c r="AD732" s="675" t="str">
        <f t="shared" si="73"/>
        <v>MAYO</v>
      </c>
      <c r="AE732" s="144" t="s">
        <v>2067</v>
      </c>
      <c r="AF732" s="149" t="b">
        <v>1</v>
      </c>
      <c r="AG732" s="144" t="s">
        <v>471</v>
      </c>
      <c r="AH732" s="149" t="b">
        <v>0</v>
      </c>
      <c r="AI732" s="144" t="s">
        <v>2384</v>
      </c>
      <c r="AJ732" s="143"/>
      <c r="AK732" s="143"/>
      <c r="AL732" s="143"/>
      <c r="AM732" s="143"/>
      <c r="AN732" s="143"/>
      <c r="AO732" s="143"/>
      <c r="AP732" s="143"/>
      <c r="AQ732" s="143"/>
    </row>
    <row r="733" ht="22.5" customHeight="1">
      <c r="A733" s="144" t="s">
        <v>1833</v>
      </c>
      <c r="B733" s="145">
        <v>46146.0</v>
      </c>
      <c r="C733" s="1044" t="s">
        <v>2460</v>
      </c>
      <c r="D733" s="43" t="s">
        <v>2458</v>
      </c>
      <c r="E733" s="148" t="s">
        <v>28</v>
      </c>
      <c r="F733" s="262" t="s">
        <v>2461</v>
      </c>
      <c r="G733" s="149">
        <v>5.1950499723E10</v>
      </c>
      <c r="H733" s="148" t="s">
        <v>257</v>
      </c>
      <c r="I733" s="150">
        <v>0.2</v>
      </c>
      <c r="J733" s="168">
        <v>1219.8</v>
      </c>
      <c r="K733" s="169">
        <f t="shared" si="74"/>
        <v>4879.2</v>
      </c>
      <c r="L733" s="170">
        <v>6099.0</v>
      </c>
      <c r="M733" s="239">
        <v>5938.66</v>
      </c>
      <c r="N733" s="155">
        <v>1299.99</v>
      </c>
      <c r="O733" s="315">
        <f t="shared" si="70"/>
        <v>160.34</v>
      </c>
      <c r="P733" s="344">
        <f t="shared" si="69"/>
        <v>-4.46</v>
      </c>
      <c r="Q733" s="510">
        <v>140.0</v>
      </c>
      <c r="R733" s="672" t="b">
        <v>0</v>
      </c>
      <c r="S733" s="318"/>
      <c r="T733" s="347">
        <v>24.8</v>
      </c>
      <c r="U733" s="315"/>
      <c r="V733" s="144" t="s">
        <v>584</v>
      </c>
      <c r="W733" s="149"/>
      <c r="X733" s="163"/>
      <c r="Y733" s="144" t="s">
        <v>584</v>
      </c>
      <c r="Z733" s="164"/>
      <c r="AA733" s="116"/>
      <c r="AB733" s="116"/>
      <c r="AC733" s="165"/>
      <c r="AD733" s="675" t="str">
        <f t="shared" si="73"/>
        <v>MAYO</v>
      </c>
      <c r="AE733" s="144" t="s">
        <v>2067</v>
      </c>
      <c r="AF733" s="149" t="b">
        <v>1</v>
      </c>
      <c r="AG733" s="144" t="s">
        <v>471</v>
      </c>
      <c r="AH733" s="149" t="b">
        <v>0</v>
      </c>
      <c r="AI733" s="144" t="s">
        <v>2384</v>
      </c>
      <c r="AJ733" s="143"/>
      <c r="AK733" s="143"/>
      <c r="AL733" s="143"/>
      <c r="AM733" s="143"/>
      <c r="AN733" s="143"/>
      <c r="AO733" s="143"/>
      <c r="AP733" s="143"/>
      <c r="AQ733" s="143"/>
    </row>
    <row r="734" ht="22.5" customHeight="1">
      <c r="A734" s="144" t="s">
        <v>1824</v>
      </c>
      <c r="B734" s="145">
        <v>46147.0</v>
      </c>
      <c r="C734" s="149" t="s">
        <v>2396</v>
      </c>
      <c r="D734" s="208" t="s">
        <v>2462</v>
      </c>
      <c r="E734" s="148" t="s">
        <v>28</v>
      </c>
      <c r="F734" s="262" t="s">
        <v>2463</v>
      </c>
      <c r="G734" s="149">
        <v>5.1931863268E10</v>
      </c>
      <c r="H734" s="148" t="s">
        <v>257</v>
      </c>
      <c r="I734" s="150">
        <v>0.2</v>
      </c>
      <c r="J734" s="168">
        <v>1280.0</v>
      </c>
      <c r="K734" s="169">
        <f t="shared" si="74"/>
        <v>5119</v>
      </c>
      <c r="L734" s="170">
        <v>6399.0</v>
      </c>
      <c r="M734" s="239">
        <v>5938.0</v>
      </c>
      <c r="N734" s="155">
        <v>1299.99</v>
      </c>
      <c r="O734" s="315">
        <f t="shared" si="70"/>
        <v>461</v>
      </c>
      <c r="P734" s="344">
        <f t="shared" si="69"/>
        <v>361</v>
      </c>
      <c r="Q734" s="510">
        <v>100.0</v>
      </c>
      <c r="R734" s="672" t="b">
        <v>0</v>
      </c>
      <c r="S734" s="318"/>
      <c r="T734" s="319"/>
      <c r="U734" s="315"/>
      <c r="V734" s="144" t="s">
        <v>584</v>
      </c>
      <c r="W734" s="149"/>
      <c r="X734" s="163"/>
      <c r="Y734" s="144" t="s">
        <v>584</v>
      </c>
      <c r="Z734" s="164"/>
      <c r="AA734" s="116"/>
      <c r="AB734" s="116"/>
      <c r="AC734" s="165"/>
      <c r="AD734" s="675" t="str">
        <f t="shared" si="73"/>
        <v>MAYO</v>
      </c>
      <c r="AE734" s="144" t="s">
        <v>2067</v>
      </c>
      <c r="AF734" s="149" t="b">
        <v>1</v>
      </c>
      <c r="AG734" s="144" t="s">
        <v>471</v>
      </c>
      <c r="AH734" s="149" t="b">
        <v>0</v>
      </c>
      <c r="AI734" s="144" t="s">
        <v>2384</v>
      </c>
      <c r="AJ734" s="143"/>
      <c r="AK734" s="143"/>
      <c r="AL734" s="143"/>
      <c r="AM734" s="143"/>
      <c r="AN734" s="143"/>
      <c r="AO734" s="143"/>
      <c r="AP734" s="143"/>
      <c r="AQ734" s="143"/>
    </row>
    <row r="735" ht="22.5" customHeight="1">
      <c r="A735" s="144" t="s">
        <v>1833</v>
      </c>
      <c r="B735" s="145">
        <v>46148.0</v>
      </c>
      <c r="C735" s="496" t="s">
        <v>2464</v>
      </c>
      <c r="D735" s="43" t="s">
        <v>2465</v>
      </c>
      <c r="E735" s="148" t="s">
        <v>28</v>
      </c>
      <c r="F735" s="262" t="s">
        <v>2466</v>
      </c>
      <c r="G735" s="149">
        <v>5.1990500634E10</v>
      </c>
      <c r="H735" s="148" t="s">
        <v>257</v>
      </c>
      <c r="I735" s="150">
        <v>0.2</v>
      </c>
      <c r="J735" s="168">
        <v>1219.8</v>
      </c>
      <c r="K735" s="169">
        <f t="shared" si="74"/>
        <v>4879.2</v>
      </c>
      <c r="L735" s="170">
        <v>6099.0</v>
      </c>
      <c r="M735" s="239">
        <v>5780.25</v>
      </c>
      <c r="N735" s="155">
        <v>1299.99</v>
      </c>
      <c r="O735" s="315">
        <f t="shared" si="70"/>
        <v>318.75</v>
      </c>
      <c r="P735" s="344">
        <f t="shared" si="69"/>
        <v>93.75</v>
      </c>
      <c r="Q735" s="510">
        <v>225.0</v>
      </c>
      <c r="R735" s="672" t="b">
        <v>0</v>
      </c>
      <c r="S735" s="318"/>
      <c r="T735" s="319"/>
      <c r="U735" s="315"/>
      <c r="V735" s="144" t="s">
        <v>584</v>
      </c>
      <c r="W735" s="149"/>
      <c r="X735" s="163"/>
      <c r="Y735" s="144" t="s">
        <v>584</v>
      </c>
      <c r="Z735" s="164"/>
      <c r="AA735" s="116"/>
      <c r="AB735" s="116"/>
      <c r="AC735" s="165"/>
      <c r="AD735" s="675" t="str">
        <f t="shared" si="73"/>
        <v>MAYO</v>
      </c>
      <c r="AE735" s="144" t="s">
        <v>2067</v>
      </c>
      <c r="AF735" s="149" t="b">
        <v>1</v>
      </c>
      <c r="AG735" s="144" t="s">
        <v>471</v>
      </c>
      <c r="AH735" s="149" t="b">
        <v>0</v>
      </c>
      <c r="AI735" s="144" t="s">
        <v>2384</v>
      </c>
      <c r="AJ735" s="143"/>
      <c r="AK735" s="143"/>
      <c r="AL735" s="143"/>
      <c r="AM735" s="143"/>
      <c r="AN735" s="143"/>
      <c r="AO735" s="143"/>
      <c r="AP735" s="143"/>
      <c r="AQ735" s="143"/>
    </row>
    <row r="736" ht="22.5" customHeight="1">
      <c r="A736" s="144" t="s">
        <v>1833</v>
      </c>
      <c r="B736" s="145">
        <v>46149.0</v>
      </c>
      <c r="C736" s="978" t="s">
        <v>2467</v>
      </c>
      <c r="D736" s="928" t="s">
        <v>1640</v>
      </c>
      <c r="E736" s="148" t="s">
        <v>28</v>
      </c>
      <c r="F736" s="149" t="s">
        <v>2468</v>
      </c>
      <c r="G736" s="149">
        <v>5.1959614737E10</v>
      </c>
      <c r="H736" s="148" t="s">
        <v>257</v>
      </c>
      <c r="I736" s="150">
        <v>0.2</v>
      </c>
      <c r="J736" s="168">
        <v>1320.0</v>
      </c>
      <c r="K736" s="169">
        <f t="shared" si="74"/>
        <v>5280</v>
      </c>
      <c r="L736" s="170">
        <v>6600.0</v>
      </c>
      <c r="M736" s="239">
        <v>6413.0</v>
      </c>
      <c r="N736" s="155">
        <v>1407.03</v>
      </c>
      <c r="O736" s="315">
        <f t="shared" si="70"/>
        <v>187</v>
      </c>
      <c r="P736" s="344">
        <f t="shared" si="69"/>
        <v>47</v>
      </c>
      <c r="Q736" s="510">
        <v>140.0</v>
      </c>
      <c r="R736" s="672" t="b">
        <v>0</v>
      </c>
      <c r="S736" s="318"/>
      <c r="T736" s="319"/>
      <c r="U736" s="315"/>
      <c r="V736" s="144" t="s">
        <v>584</v>
      </c>
      <c r="W736" s="149"/>
      <c r="X736" s="163"/>
      <c r="Y736" s="144" t="s">
        <v>584</v>
      </c>
      <c r="Z736" s="164"/>
      <c r="AA736" s="116"/>
      <c r="AB736" s="116"/>
      <c r="AC736" s="165"/>
      <c r="AD736" s="675" t="str">
        <f t="shared" si="73"/>
        <v>MAYO</v>
      </c>
      <c r="AE736" s="144" t="s">
        <v>2067</v>
      </c>
      <c r="AF736" s="149" t="b">
        <v>1</v>
      </c>
      <c r="AG736" s="144" t="s">
        <v>2067</v>
      </c>
      <c r="AH736" s="149" t="b">
        <v>0</v>
      </c>
      <c r="AI736" s="144" t="s">
        <v>2384</v>
      </c>
      <c r="AJ736" s="143"/>
      <c r="AK736" s="143"/>
      <c r="AL736" s="143"/>
      <c r="AM736" s="143"/>
      <c r="AN736" s="143"/>
      <c r="AO736" s="143"/>
      <c r="AP736" s="143"/>
      <c r="AQ736" s="143"/>
    </row>
    <row r="737" ht="22.5" customHeight="1">
      <c r="A737" s="144" t="s">
        <v>1833</v>
      </c>
      <c r="B737" s="145">
        <v>46150.0</v>
      </c>
      <c r="C737" s="960" t="s">
        <v>2434</v>
      </c>
      <c r="D737" s="1045" t="s">
        <v>2469</v>
      </c>
      <c r="E737" s="148" t="s">
        <v>28</v>
      </c>
      <c r="F737" s="987" t="s">
        <v>2470</v>
      </c>
      <c r="G737" s="149">
        <v>5.1992728E10</v>
      </c>
      <c r="H737" s="148" t="s">
        <v>257</v>
      </c>
      <c r="I737" s="148" t="s">
        <v>61</v>
      </c>
      <c r="J737" s="168">
        <v>1784.64</v>
      </c>
      <c r="K737" s="169">
        <f t="shared" si="74"/>
        <v>7439.36</v>
      </c>
      <c r="L737" s="170">
        <v>9224.0</v>
      </c>
      <c r="M737" s="239">
        <v>8727.0</v>
      </c>
      <c r="N737" s="155">
        <v>1899.0</v>
      </c>
      <c r="O737" s="315">
        <f t="shared" si="70"/>
        <v>497</v>
      </c>
      <c r="P737" s="344">
        <f t="shared" si="69"/>
        <v>269</v>
      </c>
      <c r="Q737" s="510">
        <v>225.0</v>
      </c>
      <c r="R737" s="672" t="b">
        <v>0</v>
      </c>
      <c r="S737" s="318"/>
      <c r="T737" s="347">
        <v>3.0</v>
      </c>
      <c r="U737" s="315"/>
      <c r="V737" s="144" t="s">
        <v>584</v>
      </c>
      <c r="W737" s="149"/>
      <c r="X737" s="163"/>
      <c r="Y737" s="144" t="s">
        <v>584</v>
      </c>
      <c r="Z737" s="164"/>
      <c r="AA737" s="116"/>
      <c r="AB737" s="116"/>
      <c r="AC737" s="165"/>
      <c r="AD737" s="675" t="str">
        <f t="shared" si="73"/>
        <v>MAYO</v>
      </c>
      <c r="AE737" s="144" t="s">
        <v>2067</v>
      </c>
      <c r="AF737" s="149" t="b">
        <v>1</v>
      </c>
      <c r="AG737" s="166"/>
      <c r="AH737" s="149" t="b">
        <v>0</v>
      </c>
      <c r="AI737" s="144" t="s">
        <v>2384</v>
      </c>
      <c r="AJ737" s="143"/>
      <c r="AK737" s="143"/>
      <c r="AL737" s="143"/>
      <c r="AM737" s="143"/>
      <c r="AN737" s="143"/>
      <c r="AO737" s="143"/>
      <c r="AP737" s="143"/>
      <c r="AQ737" s="143"/>
    </row>
    <row r="738" ht="22.5" customHeight="1">
      <c r="A738" s="144" t="s">
        <v>1833</v>
      </c>
      <c r="B738" s="145">
        <v>46150.0</v>
      </c>
      <c r="C738" s="983" t="s">
        <v>2471</v>
      </c>
      <c r="D738" s="43" t="s">
        <v>2472</v>
      </c>
      <c r="E738" s="148" t="s">
        <v>28</v>
      </c>
      <c r="F738" s="249" t="s">
        <v>2473</v>
      </c>
      <c r="G738" s="149">
        <v>5.1994685958E10</v>
      </c>
      <c r="H738" s="148" t="s">
        <v>257</v>
      </c>
      <c r="I738" s="150">
        <v>0.3</v>
      </c>
      <c r="J738" s="168">
        <v>2760.0</v>
      </c>
      <c r="K738" s="169">
        <f t="shared" si="74"/>
        <v>6439</v>
      </c>
      <c r="L738" s="170">
        <v>9199.0</v>
      </c>
      <c r="M738" s="239">
        <v>8676.66</v>
      </c>
      <c r="N738" s="155">
        <v>1899.99</v>
      </c>
      <c r="O738" s="315">
        <f t="shared" si="70"/>
        <v>522.34</v>
      </c>
      <c r="P738" s="344">
        <f t="shared" si="69"/>
        <v>187.34</v>
      </c>
      <c r="Q738" s="510">
        <v>225.0</v>
      </c>
      <c r="R738" s="672" t="b">
        <v>0</v>
      </c>
      <c r="S738" s="318"/>
      <c r="T738" s="347">
        <v>110.0</v>
      </c>
      <c r="U738" s="315"/>
      <c r="V738" s="144" t="s">
        <v>584</v>
      </c>
      <c r="W738" s="149"/>
      <c r="X738" s="163"/>
      <c r="Y738" s="144" t="s">
        <v>584</v>
      </c>
      <c r="Z738" s="164"/>
      <c r="AA738" s="116"/>
      <c r="AB738" s="116"/>
      <c r="AC738" s="165"/>
      <c r="AD738" s="675" t="str">
        <f t="shared" si="73"/>
        <v>MAYO</v>
      </c>
      <c r="AE738" s="144" t="s">
        <v>2067</v>
      </c>
      <c r="AF738" s="149" t="b">
        <v>1</v>
      </c>
      <c r="AG738" s="144" t="s">
        <v>471</v>
      </c>
      <c r="AH738" s="149" t="b">
        <v>0</v>
      </c>
      <c r="AI738" s="144" t="s">
        <v>2384</v>
      </c>
      <c r="AJ738" s="143"/>
      <c r="AK738" s="143"/>
      <c r="AL738" s="143"/>
      <c r="AM738" s="143"/>
      <c r="AN738" s="143"/>
      <c r="AO738" s="143"/>
      <c r="AP738" s="143"/>
      <c r="AQ738" s="143"/>
    </row>
    <row r="739" ht="22.5" customHeight="1">
      <c r="A739" s="144" t="s">
        <v>1824</v>
      </c>
      <c r="B739" s="145">
        <v>46151.0</v>
      </c>
      <c r="C739" s="149" t="s">
        <v>2217</v>
      </c>
      <c r="D739" s="208" t="s">
        <v>2474</v>
      </c>
      <c r="E739" s="148" t="s">
        <v>28</v>
      </c>
      <c r="F739" s="246" t="s">
        <v>2475</v>
      </c>
      <c r="G739" s="149">
        <v>5.195203938E10</v>
      </c>
      <c r="H739" s="148" t="s">
        <v>257</v>
      </c>
      <c r="I739" s="150">
        <v>0.2</v>
      </c>
      <c r="J739" s="168">
        <v>1440.0</v>
      </c>
      <c r="K739" s="169">
        <f t="shared" si="74"/>
        <v>5759</v>
      </c>
      <c r="L739" s="170">
        <v>7199.0</v>
      </c>
      <c r="M739" s="239">
        <v>6845.0</v>
      </c>
      <c r="N739" s="155">
        <v>1549.99</v>
      </c>
      <c r="O739" s="315">
        <f t="shared" si="70"/>
        <v>354</v>
      </c>
      <c r="P739" s="344">
        <f t="shared" si="69"/>
        <v>324</v>
      </c>
      <c r="Q739" s="510">
        <v>30.0</v>
      </c>
      <c r="R739" s="672" t="b">
        <v>0</v>
      </c>
      <c r="S739" s="318"/>
      <c r="T739" s="319"/>
      <c r="U739" s="315"/>
      <c r="V739" s="144" t="s">
        <v>584</v>
      </c>
      <c r="W739" s="149"/>
      <c r="X739" s="163"/>
      <c r="Y739" s="144" t="s">
        <v>584</v>
      </c>
      <c r="Z739" s="164"/>
      <c r="AA739" s="116"/>
      <c r="AB739" s="116"/>
      <c r="AC739" s="165"/>
      <c r="AD739" s="675" t="str">
        <f t="shared" si="73"/>
        <v>MAYO</v>
      </c>
      <c r="AE739" s="144" t="s">
        <v>2067</v>
      </c>
      <c r="AF739" s="149" t="b">
        <v>1</v>
      </c>
      <c r="AG739" s="144" t="s">
        <v>471</v>
      </c>
      <c r="AH739" s="149" t="b">
        <v>0</v>
      </c>
      <c r="AI739" s="144" t="s">
        <v>2384</v>
      </c>
      <c r="AJ739" s="143"/>
      <c r="AK739" s="143"/>
      <c r="AL739" s="143"/>
      <c r="AM739" s="143"/>
      <c r="AN739" s="143"/>
      <c r="AO739" s="143"/>
      <c r="AP739" s="143"/>
      <c r="AQ739" s="143"/>
    </row>
    <row r="740" ht="22.5" customHeight="1">
      <c r="A740" s="144" t="s">
        <v>1824</v>
      </c>
      <c r="B740" s="145">
        <v>46153.0</v>
      </c>
      <c r="C740" s="149" t="s">
        <v>918</v>
      </c>
      <c r="D740" s="208" t="s">
        <v>2476</v>
      </c>
      <c r="E740" s="148" t="s">
        <v>28</v>
      </c>
      <c r="F740" s="149" t="s">
        <v>2477</v>
      </c>
      <c r="G740" s="149">
        <v>5.1917259451E10</v>
      </c>
      <c r="H740" s="148" t="s">
        <v>257</v>
      </c>
      <c r="I740" s="150">
        <v>0.2</v>
      </c>
      <c r="J740" s="168">
        <v>1200.0</v>
      </c>
      <c r="K740" s="169">
        <f t="shared" si="74"/>
        <v>4800</v>
      </c>
      <c r="L740" s="170">
        <v>6000.0</v>
      </c>
      <c r="M740" s="239">
        <v>5776.0</v>
      </c>
      <c r="N740" s="155">
        <v>1299.0</v>
      </c>
      <c r="O740" s="315">
        <f t="shared" si="70"/>
        <v>224</v>
      </c>
      <c r="P740" s="344">
        <f t="shared" si="69"/>
        <v>89</v>
      </c>
      <c r="Q740" s="510">
        <v>100.0</v>
      </c>
      <c r="R740" s="672" t="b">
        <v>0</v>
      </c>
      <c r="S740" s="318"/>
      <c r="T740" s="347"/>
      <c r="U740" s="343">
        <v>35.0</v>
      </c>
      <c r="V740" s="144" t="s">
        <v>584</v>
      </c>
      <c r="W740" s="149"/>
      <c r="X740" s="163"/>
      <c r="Y740" s="162"/>
      <c r="Z740" s="164"/>
      <c r="AA740" s="116"/>
      <c r="AB740" s="116"/>
      <c r="AC740" s="165"/>
      <c r="AD740" s="675" t="str">
        <f t="shared" si="73"/>
        <v>MAYO</v>
      </c>
      <c r="AE740" s="144" t="s">
        <v>2067</v>
      </c>
      <c r="AF740" s="149" t="b">
        <v>1</v>
      </c>
      <c r="AG740" s="144" t="s">
        <v>471</v>
      </c>
      <c r="AH740" s="149" t="b">
        <v>0</v>
      </c>
      <c r="AI740" s="162"/>
      <c r="AJ740" s="143"/>
      <c r="AK740" s="143"/>
      <c r="AL740" s="143"/>
      <c r="AM740" s="143"/>
      <c r="AN740" s="143"/>
      <c r="AO740" s="143"/>
      <c r="AP740" s="143"/>
      <c r="AQ740" s="143"/>
    </row>
    <row r="741" ht="22.5" customHeight="1">
      <c r="A741" s="144" t="s">
        <v>1833</v>
      </c>
      <c r="B741" s="145">
        <v>46154.0</v>
      </c>
      <c r="C741" s="817" t="s">
        <v>771</v>
      </c>
      <c r="D741" s="928" t="s">
        <v>2478</v>
      </c>
      <c r="E741" s="148" t="s">
        <v>28</v>
      </c>
      <c r="F741" s="246" t="s">
        <v>2479</v>
      </c>
      <c r="G741" s="149">
        <v>5.1944626248E10</v>
      </c>
      <c r="H741" s="148" t="s">
        <v>257</v>
      </c>
      <c r="I741" s="150">
        <v>0.3</v>
      </c>
      <c r="J741" s="168">
        <v>2429.7</v>
      </c>
      <c r="K741" s="169">
        <f t="shared" si="74"/>
        <v>5669.3</v>
      </c>
      <c r="L741" s="170">
        <v>8099.0</v>
      </c>
      <c r="M741" s="239">
        <v>7581.15</v>
      </c>
      <c r="N741" s="155">
        <v>1599.99</v>
      </c>
      <c r="O741" s="315">
        <f t="shared" si="70"/>
        <v>517.85</v>
      </c>
      <c r="P741" s="344">
        <f t="shared" si="69"/>
        <v>377.85</v>
      </c>
      <c r="Q741" s="510">
        <v>140.0</v>
      </c>
      <c r="R741" s="672" t="b">
        <v>0</v>
      </c>
      <c r="S741" s="318"/>
      <c r="T741" s="319"/>
      <c r="U741" s="315"/>
      <c r="V741" s="144" t="s">
        <v>584</v>
      </c>
      <c r="W741" s="149"/>
      <c r="X741" s="163"/>
      <c r="Y741" s="144" t="s">
        <v>584</v>
      </c>
      <c r="Z741" s="164"/>
      <c r="AA741" s="116"/>
      <c r="AB741" s="116"/>
      <c r="AC741" s="165"/>
      <c r="AD741" s="675" t="str">
        <f t="shared" si="73"/>
        <v>MAYO</v>
      </c>
      <c r="AE741" s="144" t="s">
        <v>2067</v>
      </c>
      <c r="AF741" s="149" t="b">
        <v>1</v>
      </c>
      <c r="AG741" s="144" t="s">
        <v>471</v>
      </c>
      <c r="AH741" s="149" t="b">
        <v>0</v>
      </c>
      <c r="AI741" s="144" t="s">
        <v>2384</v>
      </c>
      <c r="AJ741" s="143"/>
      <c r="AK741" s="143"/>
      <c r="AL741" s="143"/>
      <c r="AM741" s="143"/>
      <c r="AN741" s="143"/>
      <c r="AO741" s="143"/>
      <c r="AP741" s="143"/>
      <c r="AQ741" s="143"/>
    </row>
    <row r="742" ht="22.5" customHeight="1">
      <c r="A742" s="144" t="s">
        <v>1824</v>
      </c>
      <c r="B742" s="145">
        <v>46154.0</v>
      </c>
      <c r="C742" s="149" t="s">
        <v>2480</v>
      </c>
      <c r="D742" s="208" t="s">
        <v>2481</v>
      </c>
      <c r="E742" s="148" t="s">
        <v>28</v>
      </c>
      <c r="F742" s="262" t="s">
        <v>2482</v>
      </c>
      <c r="G742" s="149">
        <v>5.1954231207E10</v>
      </c>
      <c r="H742" s="148" t="s">
        <v>257</v>
      </c>
      <c r="I742" s="148" t="s">
        <v>61</v>
      </c>
      <c r="J742" s="168">
        <v>5000.0</v>
      </c>
      <c r="K742" s="169">
        <f t="shared" si="74"/>
        <v>10399</v>
      </c>
      <c r="L742" s="170">
        <v>15399.0</v>
      </c>
      <c r="M742" s="239">
        <v>12920.0</v>
      </c>
      <c r="N742" s="155">
        <v>2999.99</v>
      </c>
      <c r="O742" s="315">
        <f t="shared" si="70"/>
        <v>2479</v>
      </c>
      <c r="P742" s="344">
        <f t="shared" si="69"/>
        <v>2479</v>
      </c>
      <c r="Q742" s="321"/>
      <c r="R742" s="672" t="b">
        <v>0</v>
      </c>
      <c r="S742" s="318"/>
      <c r="T742" s="319"/>
      <c r="U742" s="315"/>
      <c r="V742" s="144" t="s">
        <v>584</v>
      </c>
      <c r="W742" s="149"/>
      <c r="X742" s="163"/>
      <c r="Y742" s="144" t="s">
        <v>584</v>
      </c>
      <c r="Z742" s="164"/>
      <c r="AA742" s="116"/>
      <c r="AB742" s="116"/>
      <c r="AC742" s="165"/>
      <c r="AD742" s="675" t="str">
        <f t="shared" si="73"/>
        <v>MAYO</v>
      </c>
      <c r="AE742" s="144" t="s">
        <v>2067</v>
      </c>
      <c r="AF742" s="149" t="b">
        <v>1</v>
      </c>
      <c r="AG742" s="144" t="s">
        <v>471</v>
      </c>
      <c r="AH742" s="149" t="b">
        <v>0</v>
      </c>
      <c r="AI742" s="144" t="s">
        <v>2384</v>
      </c>
      <c r="AJ742" s="143"/>
      <c r="AK742" s="143"/>
      <c r="AL742" s="143"/>
      <c r="AM742" s="143"/>
      <c r="AN742" s="143"/>
      <c r="AO742" s="143"/>
      <c r="AP742" s="143"/>
      <c r="AQ742" s="143"/>
    </row>
    <row r="743" ht="22.5" customHeight="1">
      <c r="A743" s="144" t="s">
        <v>162</v>
      </c>
      <c r="B743" s="145">
        <v>46156.0</v>
      </c>
      <c r="C743" s="721" t="s">
        <v>2483</v>
      </c>
      <c r="D743" s="208" t="s">
        <v>2484</v>
      </c>
      <c r="E743" s="148" t="s">
        <v>28</v>
      </c>
      <c r="F743" s="246" t="s">
        <v>2485</v>
      </c>
      <c r="G743" s="149">
        <v>5.193556881E10</v>
      </c>
      <c r="H743" s="148" t="s">
        <v>257</v>
      </c>
      <c r="I743" s="150">
        <v>0.3</v>
      </c>
      <c r="J743" s="168">
        <v>1580.0</v>
      </c>
      <c r="K743" s="169">
        <f t="shared" si="74"/>
        <v>6320</v>
      </c>
      <c r="L743" s="170">
        <v>7900.0</v>
      </c>
      <c r="M743" s="239">
        <v>7611.99</v>
      </c>
      <c r="N743" s="155">
        <v>1774.99</v>
      </c>
      <c r="O743" s="315">
        <f t="shared" si="70"/>
        <v>288.01</v>
      </c>
      <c r="P743" s="344">
        <f t="shared" si="69"/>
        <v>63.01</v>
      </c>
      <c r="Q743" s="510">
        <v>225.0</v>
      </c>
      <c r="R743" s="672" t="b">
        <v>0</v>
      </c>
      <c r="S743" s="318"/>
      <c r="T743" s="319"/>
      <c r="U743" s="315"/>
      <c r="V743" s="144" t="s">
        <v>584</v>
      </c>
      <c r="W743" s="149"/>
      <c r="X743" s="163"/>
      <c r="Y743" s="144" t="s">
        <v>584</v>
      </c>
      <c r="Z743" s="164"/>
      <c r="AA743" s="116"/>
      <c r="AB743" s="116"/>
      <c r="AC743" s="165"/>
      <c r="AD743" s="675" t="str">
        <f t="shared" si="73"/>
        <v>MAYO</v>
      </c>
      <c r="AE743" s="144" t="s">
        <v>2067</v>
      </c>
      <c r="AF743" s="149" t="b">
        <v>1</v>
      </c>
      <c r="AG743" s="144" t="s">
        <v>471</v>
      </c>
      <c r="AH743" s="149" t="b">
        <v>0</v>
      </c>
      <c r="AI743" s="144" t="s">
        <v>2384</v>
      </c>
      <c r="AJ743" s="143"/>
      <c r="AK743" s="143"/>
      <c r="AL743" s="143"/>
      <c r="AM743" s="143"/>
      <c r="AN743" s="143"/>
      <c r="AO743" s="143"/>
      <c r="AP743" s="143"/>
      <c r="AQ743" s="143"/>
    </row>
    <row r="744" ht="22.5" customHeight="1">
      <c r="A744" s="144" t="s">
        <v>162</v>
      </c>
      <c r="B744" s="145">
        <v>46157.0</v>
      </c>
      <c r="C744" s="149" t="s">
        <v>2086</v>
      </c>
      <c r="D744" s="208" t="s">
        <v>2486</v>
      </c>
      <c r="E744" s="148" t="s">
        <v>28</v>
      </c>
      <c r="F744" s="149" t="s">
        <v>2088</v>
      </c>
      <c r="G744" s="149" t="s">
        <v>2487</v>
      </c>
      <c r="H744" s="148" t="s">
        <v>257</v>
      </c>
      <c r="I744" s="150">
        <v>1.0</v>
      </c>
      <c r="J744" s="168">
        <v>7199.0</v>
      </c>
      <c r="K744" s="169">
        <f t="shared" si="74"/>
        <v>0</v>
      </c>
      <c r="L744" s="170">
        <v>7199.0</v>
      </c>
      <c r="M744" s="239">
        <v>6999.0</v>
      </c>
      <c r="N744" s="155"/>
      <c r="O744" s="315">
        <f t="shared" si="70"/>
        <v>200</v>
      </c>
      <c r="P744" s="344">
        <f t="shared" si="69"/>
        <v>0</v>
      </c>
      <c r="Q744" s="510">
        <v>100.0</v>
      </c>
      <c r="R744" s="672" t="b">
        <v>1</v>
      </c>
      <c r="S744" s="318"/>
      <c r="T744" s="319"/>
      <c r="U744" s="343">
        <v>50.0</v>
      </c>
      <c r="V744" s="144" t="s">
        <v>584</v>
      </c>
      <c r="W744" s="149"/>
      <c r="X744" s="163"/>
      <c r="Y744" s="144"/>
      <c r="Z744" s="164"/>
      <c r="AA744" s="116"/>
      <c r="AB744" s="116"/>
      <c r="AC744" s="165"/>
      <c r="AD744" s="675" t="str">
        <f t="shared" si="73"/>
        <v>MAYO</v>
      </c>
      <c r="AE744" s="144" t="s">
        <v>2067</v>
      </c>
      <c r="AF744" s="149" t="b">
        <v>1</v>
      </c>
      <c r="AG744" s="144" t="s">
        <v>2067</v>
      </c>
      <c r="AH744" s="149" t="b">
        <v>0</v>
      </c>
      <c r="AI744" s="144" t="s">
        <v>2488</v>
      </c>
      <c r="AJ744" s="143"/>
      <c r="AK744" s="143"/>
      <c r="AL744" s="143"/>
      <c r="AM744" s="143"/>
      <c r="AN744" s="143"/>
      <c r="AO744" s="143"/>
      <c r="AP744" s="143"/>
      <c r="AQ744" s="143"/>
    </row>
    <row r="745" ht="22.5" customHeight="1">
      <c r="A745" s="144" t="s">
        <v>162</v>
      </c>
      <c r="B745" s="145">
        <v>46157.0</v>
      </c>
      <c r="C745" s="721" t="s">
        <v>1688</v>
      </c>
      <c r="D745" s="208" t="s">
        <v>2489</v>
      </c>
      <c r="E745" s="148" t="s">
        <v>28</v>
      </c>
      <c r="F745" s="262" t="s">
        <v>2490</v>
      </c>
      <c r="G745" s="149">
        <v>5.1932463901E10</v>
      </c>
      <c r="H745" s="148" t="s">
        <v>257</v>
      </c>
      <c r="I745" s="150">
        <v>0.3</v>
      </c>
      <c r="J745" s="168">
        <v>2159.0</v>
      </c>
      <c r="K745" s="169">
        <f t="shared" si="74"/>
        <v>5040</v>
      </c>
      <c r="L745" s="170">
        <v>7199.0</v>
      </c>
      <c r="M745" s="239">
        <v>6606.72</v>
      </c>
      <c r="N745" s="155">
        <v>1499.99</v>
      </c>
      <c r="O745" s="315">
        <f t="shared" si="70"/>
        <v>592.28</v>
      </c>
      <c r="P745" s="344">
        <f t="shared" si="69"/>
        <v>132.28</v>
      </c>
      <c r="Q745" s="510">
        <v>460.0</v>
      </c>
      <c r="R745" s="672" t="b">
        <v>0</v>
      </c>
      <c r="S745" s="318"/>
      <c r="T745" s="319"/>
      <c r="U745" s="315"/>
      <c r="V745" s="144" t="s">
        <v>584</v>
      </c>
      <c r="W745" s="149"/>
      <c r="X745" s="163"/>
      <c r="Y745" s="144" t="s">
        <v>584</v>
      </c>
      <c r="Z745" s="164"/>
      <c r="AA745" s="116"/>
      <c r="AB745" s="116"/>
      <c r="AC745" s="165"/>
      <c r="AD745" s="675" t="str">
        <f t="shared" si="73"/>
        <v>MAYO</v>
      </c>
      <c r="AE745" s="144" t="s">
        <v>2067</v>
      </c>
      <c r="AF745" s="149" t="b">
        <v>1</v>
      </c>
      <c r="AG745" s="144" t="s">
        <v>471</v>
      </c>
      <c r="AH745" s="149" t="b">
        <v>0</v>
      </c>
      <c r="AI745" s="144" t="s">
        <v>2384</v>
      </c>
      <c r="AJ745" s="143"/>
      <c r="AK745" s="143"/>
      <c r="AL745" s="143"/>
      <c r="AM745" s="143"/>
      <c r="AN745" s="143"/>
      <c r="AO745" s="143"/>
      <c r="AP745" s="143"/>
      <c r="AQ745" s="143"/>
    </row>
    <row r="746" ht="22.5" customHeight="1">
      <c r="A746" s="144" t="s">
        <v>1833</v>
      </c>
      <c r="B746" s="145">
        <v>46158.0</v>
      </c>
      <c r="C746" s="488" t="s">
        <v>2491</v>
      </c>
      <c r="D746" s="928" t="s">
        <v>2492</v>
      </c>
      <c r="E746" s="148" t="s">
        <v>28</v>
      </c>
      <c r="F746" s="246" t="s">
        <v>2493</v>
      </c>
      <c r="G746" s="149">
        <v>5.1962747889E10</v>
      </c>
      <c r="H746" s="148" t="s">
        <v>257</v>
      </c>
      <c r="I746" s="150">
        <v>0.2</v>
      </c>
      <c r="J746" s="168">
        <v>1299.8</v>
      </c>
      <c r="K746" s="169">
        <f t="shared" si="74"/>
        <v>5199.2</v>
      </c>
      <c r="L746" s="170">
        <v>6499.0</v>
      </c>
      <c r="M746" s="239">
        <v>6095.0</v>
      </c>
      <c r="N746" s="155">
        <v>1399.99</v>
      </c>
      <c r="O746" s="315">
        <f t="shared" si="70"/>
        <v>404</v>
      </c>
      <c r="P746" s="344">
        <f t="shared" si="69"/>
        <v>179</v>
      </c>
      <c r="Q746" s="510">
        <v>225.0</v>
      </c>
      <c r="R746" s="672" t="b">
        <v>0</v>
      </c>
      <c r="S746" s="318"/>
      <c r="T746" s="319"/>
      <c r="U746" s="315"/>
      <c r="V746" s="144" t="s">
        <v>584</v>
      </c>
      <c r="W746" s="149"/>
      <c r="X746" s="163"/>
      <c r="Y746" s="144" t="s">
        <v>584</v>
      </c>
      <c r="Z746" s="164"/>
      <c r="AA746" s="116"/>
      <c r="AB746" s="116"/>
      <c r="AC746" s="165"/>
      <c r="AD746" s="675" t="str">
        <f t="shared" si="73"/>
        <v>MAYO</v>
      </c>
      <c r="AE746" s="144" t="s">
        <v>2067</v>
      </c>
      <c r="AF746" s="149" t="b">
        <v>1</v>
      </c>
      <c r="AG746" s="144" t="s">
        <v>471</v>
      </c>
      <c r="AH746" s="149" t="b">
        <v>0</v>
      </c>
      <c r="AI746" s="144" t="s">
        <v>2384</v>
      </c>
      <c r="AJ746" s="143"/>
      <c r="AK746" s="143"/>
      <c r="AL746" s="143"/>
      <c r="AM746" s="143"/>
      <c r="AN746" s="143"/>
      <c r="AO746" s="143"/>
      <c r="AP746" s="143"/>
      <c r="AQ746" s="143"/>
    </row>
    <row r="747" ht="22.5" customHeight="1">
      <c r="A747" s="144" t="s">
        <v>162</v>
      </c>
      <c r="B747" s="145">
        <v>46158.0</v>
      </c>
      <c r="C747" s="149" t="s">
        <v>1685</v>
      </c>
      <c r="D747" s="208" t="s">
        <v>2494</v>
      </c>
      <c r="E747" s="148" t="s">
        <v>28</v>
      </c>
      <c r="F747" s="540" t="s">
        <v>2495</v>
      </c>
      <c r="G747" s="149">
        <v>5.1907168041E10</v>
      </c>
      <c r="H747" s="148" t="s">
        <v>257</v>
      </c>
      <c r="I747" s="150">
        <v>0.2</v>
      </c>
      <c r="J747" s="168">
        <v>1459.0</v>
      </c>
      <c r="K747" s="169">
        <f t="shared" si="74"/>
        <v>5840</v>
      </c>
      <c r="L747" s="170">
        <v>7299.0</v>
      </c>
      <c r="M747" s="239">
        <v>7070.0</v>
      </c>
      <c r="N747" s="155">
        <v>1649.99</v>
      </c>
      <c r="O747" s="315">
        <f t="shared" si="70"/>
        <v>229</v>
      </c>
      <c r="P747" s="344">
        <f t="shared" si="69"/>
        <v>9</v>
      </c>
      <c r="Q747" s="510">
        <v>220.0</v>
      </c>
      <c r="R747" s="672" t="b">
        <v>0</v>
      </c>
      <c r="S747" s="318"/>
      <c r="T747" s="319"/>
      <c r="U747" s="315"/>
      <c r="V747" s="144" t="s">
        <v>584</v>
      </c>
      <c r="W747" s="149"/>
      <c r="X747" s="163"/>
      <c r="Y747" s="162"/>
      <c r="Z747" s="164"/>
      <c r="AA747" s="116"/>
      <c r="AB747" s="116"/>
      <c r="AC747" s="165"/>
      <c r="AD747" s="675" t="str">
        <f t="shared" si="73"/>
        <v>MAYO</v>
      </c>
      <c r="AE747" s="144" t="s">
        <v>2067</v>
      </c>
      <c r="AF747" s="149" t="b">
        <v>1</v>
      </c>
      <c r="AG747" s="144" t="s">
        <v>2067</v>
      </c>
      <c r="AH747" s="149" t="b">
        <v>0</v>
      </c>
      <c r="AI747" s="144" t="s">
        <v>2384</v>
      </c>
      <c r="AJ747" s="143"/>
      <c r="AK747" s="143"/>
      <c r="AL747" s="143"/>
      <c r="AM747" s="143"/>
      <c r="AN747" s="143"/>
      <c r="AO747" s="143"/>
      <c r="AP747" s="143"/>
      <c r="AQ747" s="143"/>
    </row>
    <row r="748" ht="22.5" customHeight="1">
      <c r="A748" s="144" t="s">
        <v>1833</v>
      </c>
      <c r="B748" s="145">
        <v>46158.0</v>
      </c>
      <c r="C748" s="149" t="s">
        <v>2496</v>
      </c>
      <c r="D748" s="968" t="s">
        <v>2497</v>
      </c>
      <c r="E748" s="148" t="s">
        <v>28</v>
      </c>
      <c r="F748" s="410" t="s">
        <v>2498</v>
      </c>
      <c r="G748" s="149">
        <v>5.1990810151E10</v>
      </c>
      <c r="H748" s="148" t="s">
        <v>257</v>
      </c>
      <c r="I748" s="148" t="s">
        <v>61</v>
      </c>
      <c r="J748" s="168">
        <v>1199.8</v>
      </c>
      <c r="K748" s="169">
        <f t="shared" si="74"/>
        <v>4799.2</v>
      </c>
      <c r="L748" s="170">
        <v>5999.0</v>
      </c>
      <c r="M748" s="239">
        <v>5667.04</v>
      </c>
      <c r="N748" s="155">
        <v>1150.0</v>
      </c>
      <c r="O748" s="315">
        <f t="shared" si="70"/>
        <v>331.96</v>
      </c>
      <c r="P748" s="344">
        <f t="shared" si="69"/>
        <v>191.96</v>
      </c>
      <c r="Q748" s="510">
        <v>140.0</v>
      </c>
      <c r="R748" s="672" t="b">
        <v>0</v>
      </c>
      <c r="S748" s="318"/>
      <c r="T748" s="319"/>
      <c r="U748" s="315"/>
      <c r="V748" s="144" t="s">
        <v>584</v>
      </c>
      <c r="W748" s="149"/>
      <c r="X748" s="163"/>
      <c r="Y748" s="144" t="s">
        <v>584</v>
      </c>
      <c r="Z748" s="10" t="s">
        <v>2499</v>
      </c>
      <c r="AA748" s="116"/>
      <c r="AB748" s="116"/>
      <c r="AC748" s="165"/>
      <c r="AD748" s="675" t="str">
        <f t="shared" si="73"/>
        <v>MAYO</v>
      </c>
      <c r="AE748" s="144" t="s">
        <v>471</v>
      </c>
      <c r="AF748" s="149" t="b">
        <v>1</v>
      </c>
      <c r="AG748" s="166"/>
      <c r="AH748" s="149" t="b">
        <v>0</v>
      </c>
      <c r="AI748" s="162"/>
      <c r="AJ748" s="143"/>
      <c r="AK748" s="143"/>
      <c r="AL748" s="143"/>
      <c r="AM748" s="143"/>
      <c r="AN748" s="143"/>
      <c r="AO748" s="143"/>
      <c r="AP748" s="143"/>
      <c r="AQ748" s="143"/>
    </row>
    <row r="749" ht="22.5" hidden="1" customHeight="1">
      <c r="A749" s="144" t="s">
        <v>259</v>
      </c>
      <c r="B749" s="145">
        <v>46160.0</v>
      </c>
      <c r="C749" s="496" t="s">
        <v>1488</v>
      </c>
      <c r="D749" s="208" t="s">
        <v>2500</v>
      </c>
      <c r="E749" s="148" t="s">
        <v>28</v>
      </c>
      <c r="F749" s="262" t="s">
        <v>2501</v>
      </c>
      <c r="G749" s="149">
        <v>5.1930135228E10</v>
      </c>
      <c r="H749" s="148" t="s">
        <v>257</v>
      </c>
      <c r="I749" s="148" t="s">
        <v>61</v>
      </c>
      <c r="J749" s="168">
        <v>3079.8</v>
      </c>
      <c r="K749" s="169">
        <f t="shared" si="74"/>
        <v>6819.2</v>
      </c>
      <c r="L749" s="170">
        <v>9899.0</v>
      </c>
      <c r="M749" s="239">
        <v>9516.0</v>
      </c>
      <c r="N749" s="155">
        <v>2249.99</v>
      </c>
      <c r="O749" s="315">
        <f t="shared" si="70"/>
        <v>383</v>
      </c>
      <c r="P749" s="344">
        <f t="shared" si="69"/>
        <v>283</v>
      </c>
      <c r="Q749" s="510">
        <v>100.0</v>
      </c>
      <c r="R749" s="672" t="b">
        <v>0</v>
      </c>
      <c r="S749" s="318"/>
      <c r="T749" s="319"/>
      <c r="U749" s="315"/>
      <c r="V749" s="144" t="s">
        <v>584</v>
      </c>
      <c r="W749" s="149"/>
      <c r="X749" s="163"/>
      <c r="Y749" s="144" t="s">
        <v>584</v>
      </c>
      <c r="Z749" s="164"/>
      <c r="AA749" s="116"/>
      <c r="AB749" s="116"/>
      <c r="AC749" s="165"/>
      <c r="AD749" s="675" t="str">
        <f t="shared" si="73"/>
        <v>MAYO</v>
      </c>
      <c r="AE749" s="144" t="s">
        <v>471</v>
      </c>
      <c r="AF749" s="149" t="b">
        <v>1</v>
      </c>
      <c r="AG749" s="144" t="s">
        <v>471</v>
      </c>
      <c r="AH749" s="149" t="b">
        <v>0</v>
      </c>
      <c r="AI749" s="144" t="s">
        <v>2384</v>
      </c>
      <c r="AJ749" s="143"/>
      <c r="AK749" s="143"/>
      <c r="AL749" s="143"/>
      <c r="AM749" s="143"/>
      <c r="AN749" s="143"/>
      <c r="AO749" s="143"/>
      <c r="AP749" s="143"/>
      <c r="AQ749" s="143"/>
    </row>
    <row r="750" ht="22.5" customHeight="1">
      <c r="A750" s="144" t="s">
        <v>1833</v>
      </c>
      <c r="B750" s="145">
        <v>46161.0</v>
      </c>
      <c r="C750" s="149" t="s">
        <v>1508</v>
      </c>
      <c r="D750" s="208" t="s">
        <v>2502</v>
      </c>
      <c r="E750" s="148" t="s">
        <v>28</v>
      </c>
      <c r="F750" s="630" t="s">
        <v>2503</v>
      </c>
      <c r="G750" s="149">
        <v>5.1916206062E10</v>
      </c>
      <c r="H750" s="148" t="s">
        <v>257</v>
      </c>
      <c r="I750" s="150">
        <v>0.2</v>
      </c>
      <c r="J750" s="168">
        <v>1219.8</v>
      </c>
      <c r="K750" s="169">
        <f t="shared" si="74"/>
        <v>4879.2</v>
      </c>
      <c r="L750" s="170">
        <v>6099.0</v>
      </c>
      <c r="M750" s="239">
        <v>5826.0</v>
      </c>
      <c r="N750" s="155">
        <v>1299.99</v>
      </c>
      <c r="O750" s="315">
        <f t="shared" si="70"/>
        <v>273</v>
      </c>
      <c r="P750" s="344">
        <f t="shared" si="69"/>
        <v>133</v>
      </c>
      <c r="Q750" s="510">
        <v>140.0</v>
      </c>
      <c r="R750" s="672" t="b">
        <v>0</v>
      </c>
      <c r="S750" s="318"/>
      <c r="T750" s="319"/>
      <c r="U750" s="315"/>
      <c r="V750" s="144" t="s">
        <v>584</v>
      </c>
      <c r="W750" s="149"/>
      <c r="X750" s="163"/>
      <c r="Y750" s="162"/>
      <c r="Z750" s="164"/>
      <c r="AA750" s="116"/>
      <c r="AB750" s="116"/>
      <c r="AC750" s="165"/>
      <c r="AD750" s="675" t="str">
        <f t="shared" si="73"/>
        <v>MAYO</v>
      </c>
      <c r="AE750" s="144" t="s">
        <v>2067</v>
      </c>
      <c r="AF750" s="149" t="b">
        <v>1</v>
      </c>
      <c r="AG750" s="144" t="s">
        <v>2067</v>
      </c>
      <c r="AH750" s="149" t="b">
        <v>0</v>
      </c>
      <c r="AI750" s="162"/>
      <c r="AJ750" s="143"/>
      <c r="AK750" s="143"/>
      <c r="AL750" s="143"/>
      <c r="AM750" s="143"/>
      <c r="AN750" s="143"/>
      <c r="AO750" s="143"/>
      <c r="AP750" s="143"/>
      <c r="AQ750" s="143"/>
    </row>
    <row r="751" ht="22.5" customHeight="1">
      <c r="A751" s="144" t="s">
        <v>1824</v>
      </c>
      <c r="B751" s="145">
        <v>46161.0</v>
      </c>
      <c r="C751" s="149" t="s">
        <v>2086</v>
      </c>
      <c r="D751" s="208" t="s">
        <v>2504</v>
      </c>
      <c r="E751" s="148" t="s">
        <v>2414</v>
      </c>
      <c r="F751" s="262" t="s">
        <v>2505</v>
      </c>
      <c r="G751" s="149">
        <v>5.1927606365E10</v>
      </c>
      <c r="H751" s="148" t="s">
        <v>257</v>
      </c>
      <c r="I751" s="150">
        <v>0.2</v>
      </c>
      <c r="J751" s="168">
        <v>1560.0</v>
      </c>
      <c r="K751" s="169">
        <f t="shared" si="74"/>
        <v>6239</v>
      </c>
      <c r="L751" s="170">
        <v>7799.0</v>
      </c>
      <c r="M751" s="239">
        <v>7340.0</v>
      </c>
      <c r="N751" s="155">
        <v>1549.99</v>
      </c>
      <c r="O751" s="315">
        <f t="shared" si="70"/>
        <v>459</v>
      </c>
      <c r="P751" s="344">
        <f t="shared" si="69"/>
        <v>309</v>
      </c>
      <c r="Q751" s="510">
        <v>150.0</v>
      </c>
      <c r="R751" s="672" t="b">
        <v>0</v>
      </c>
      <c r="S751" s="318"/>
      <c r="T751" s="319"/>
      <c r="U751" s="315"/>
      <c r="V751" s="144" t="s">
        <v>584</v>
      </c>
      <c r="W751" s="149"/>
      <c r="X751" s="163"/>
      <c r="Y751" s="144" t="s">
        <v>584</v>
      </c>
      <c r="Z751" s="164"/>
      <c r="AA751" s="116"/>
      <c r="AB751" s="116"/>
      <c r="AC751" s="165"/>
      <c r="AD751" s="675" t="str">
        <f t="shared" si="73"/>
        <v>MAYO</v>
      </c>
      <c r="AE751" s="144" t="s">
        <v>471</v>
      </c>
      <c r="AF751" s="149" t="b">
        <v>1</v>
      </c>
      <c r="AG751" s="166"/>
      <c r="AH751" s="149" t="b">
        <v>0</v>
      </c>
      <c r="AI751" s="144" t="s">
        <v>2384</v>
      </c>
      <c r="AJ751" s="143"/>
      <c r="AK751" s="143"/>
      <c r="AL751" s="143"/>
      <c r="AM751" s="143"/>
      <c r="AN751" s="143"/>
      <c r="AO751" s="143"/>
      <c r="AP751" s="143"/>
      <c r="AQ751" s="143"/>
    </row>
    <row r="752" ht="22.5" customHeight="1">
      <c r="A752" s="144" t="s">
        <v>162</v>
      </c>
      <c r="B752" s="145">
        <v>46162.0</v>
      </c>
      <c r="C752" s="309" t="s">
        <v>2506</v>
      </c>
      <c r="D752" s="208" t="s">
        <v>2031</v>
      </c>
      <c r="E752" s="148" t="s">
        <v>2427</v>
      </c>
      <c r="F752" s="262" t="s">
        <v>2507</v>
      </c>
      <c r="G752" s="149">
        <v>5.1978737228E10</v>
      </c>
      <c r="H752" s="148" t="s">
        <v>257</v>
      </c>
      <c r="I752" s="150">
        <v>0.5</v>
      </c>
      <c r="J752" s="168">
        <v>5649.0</v>
      </c>
      <c r="K752" s="169">
        <f t="shared" si="74"/>
        <v>5650</v>
      </c>
      <c r="L752" s="170">
        <v>11299.0</v>
      </c>
      <c r="M752" s="239">
        <v>11111.0</v>
      </c>
      <c r="N752" s="155">
        <v>2649.0</v>
      </c>
      <c r="O752" s="315">
        <f t="shared" si="70"/>
        <v>188</v>
      </c>
      <c r="P752" s="344">
        <f t="shared" si="69"/>
        <v>188</v>
      </c>
      <c r="Q752" s="321"/>
      <c r="R752" s="672" t="b">
        <v>0</v>
      </c>
      <c r="S752" s="318"/>
      <c r="T752" s="319"/>
      <c r="U752" s="315"/>
      <c r="V752" s="144" t="s">
        <v>584</v>
      </c>
      <c r="W752" s="149"/>
      <c r="X752" s="163"/>
      <c r="Y752" s="144" t="s">
        <v>584</v>
      </c>
      <c r="Z752" s="164"/>
      <c r="AA752" s="116"/>
      <c r="AB752" s="116"/>
      <c r="AC752" s="165"/>
      <c r="AD752" s="675" t="str">
        <f t="shared" si="73"/>
        <v>MAYO</v>
      </c>
      <c r="AE752" s="144" t="s">
        <v>471</v>
      </c>
      <c r="AF752" s="149" t="b">
        <v>1</v>
      </c>
      <c r="AG752" s="166"/>
      <c r="AH752" s="149" t="b">
        <v>0</v>
      </c>
      <c r="AI752" s="162"/>
      <c r="AJ752" s="143"/>
      <c r="AK752" s="143"/>
      <c r="AL752" s="143"/>
      <c r="AM752" s="143"/>
      <c r="AN752" s="143"/>
      <c r="AO752" s="143"/>
      <c r="AP752" s="143"/>
      <c r="AQ752" s="143"/>
    </row>
    <row r="753" ht="22.5" customHeight="1">
      <c r="A753" s="144" t="s">
        <v>162</v>
      </c>
      <c r="B753" s="145">
        <v>46162.0</v>
      </c>
      <c r="C753" s="149" t="s">
        <v>2508</v>
      </c>
      <c r="D753" s="208" t="s">
        <v>2509</v>
      </c>
      <c r="E753" s="148" t="s">
        <v>28</v>
      </c>
      <c r="F753" s="149" t="s">
        <v>2510</v>
      </c>
      <c r="G753" s="149">
        <v>5.1957075852E10</v>
      </c>
      <c r="H753" s="148" t="s">
        <v>257</v>
      </c>
      <c r="I753" s="150">
        <v>0.2</v>
      </c>
      <c r="J753" s="168">
        <v>979.0</v>
      </c>
      <c r="K753" s="169">
        <f t="shared" si="74"/>
        <v>3920</v>
      </c>
      <c r="L753" s="170">
        <v>4899.0</v>
      </c>
      <c r="M753" s="239">
        <v>4571.0</v>
      </c>
      <c r="N753" s="155">
        <v>999.99</v>
      </c>
      <c r="O753" s="315">
        <f t="shared" si="70"/>
        <v>328</v>
      </c>
      <c r="P753" s="344">
        <f t="shared" si="69"/>
        <v>3</v>
      </c>
      <c r="Q753" s="510">
        <v>325.0</v>
      </c>
      <c r="R753" s="672" t="b">
        <v>0</v>
      </c>
      <c r="S753" s="318"/>
      <c r="T753" s="319"/>
      <c r="U753" s="315"/>
      <c r="V753" s="144" t="s">
        <v>584</v>
      </c>
      <c r="W753" s="149"/>
      <c r="X753" s="163"/>
      <c r="Y753" s="162"/>
      <c r="Z753" s="164"/>
      <c r="AA753" s="116"/>
      <c r="AB753" s="116"/>
      <c r="AC753" s="165"/>
      <c r="AD753" s="675" t="str">
        <f t="shared" si="73"/>
        <v>MAYO</v>
      </c>
      <c r="AE753" s="144" t="s">
        <v>2067</v>
      </c>
      <c r="AF753" s="149" t="b">
        <v>1</v>
      </c>
      <c r="AG753" s="144" t="s">
        <v>471</v>
      </c>
      <c r="AH753" s="149" t="b">
        <v>0</v>
      </c>
      <c r="AI753" s="144" t="s">
        <v>2511</v>
      </c>
      <c r="AJ753" s="143"/>
      <c r="AK753" s="143"/>
      <c r="AL753" s="143"/>
      <c r="AM753" s="143"/>
      <c r="AN753" s="143"/>
      <c r="AO753" s="143"/>
      <c r="AP753" s="143"/>
      <c r="AQ753" s="143"/>
    </row>
    <row r="754" ht="22.5" customHeight="1">
      <c r="A754" s="144" t="s">
        <v>1824</v>
      </c>
      <c r="B754" s="145">
        <v>46162.0</v>
      </c>
      <c r="C754" s="149" t="s">
        <v>2512</v>
      </c>
      <c r="D754" s="208" t="s">
        <v>2513</v>
      </c>
      <c r="E754" s="148" t="s">
        <v>2414</v>
      </c>
      <c r="F754" s="246" t="s">
        <v>2514</v>
      </c>
      <c r="G754" s="149" t="s">
        <v>2515</v>
      </c>
      <c r="H754" s="148" t="s">
        <v>257</v>
      </c>
      <c r="I754" s="150">
        <v>0.2</v>
      </c>
      <c r="J754" s="168">
        <v>2259.8</v>
      </c>
      <c r="K754" s="169">
        <f t="shared" si="74"/>
        <v>9039.2</v>
      </c>
      <c r="L754" s="170">
        <v>11299.0</v>
      </c>
      <c r="M754" s="239">
        <v>10931.0</v>
      </c>
      <c r="N754" s="155">
        <v>2599.99</v>
      </c>
      <c r="O754" s="315">
        <f t="shared" si="70"/>
        <v>368</v>
      </c>
      <c r="P754" s="344">
        <f t="shared" si="69"/>
        <v>183</v>
      </c>
      <c r="Q754" s="510">
        <v>185.0</v>
      </c>
      <c r="R754" s="672" t="b">
        <v>0</v>
      </c>
      <c r="S754" s="318"/>
      <c r="T754" s="319"/>
      <c r="U754" s="315"/>
      <c r="V754" s="144" t="s">
        <v>584</v>
      </c>
      <c r="W754" s="149"/>
      <c r="X754" s="163"/>
      <c r="Y754" s="144" t="s">
        <v>968</v>
      </c>
      <c r="Z754" s="164"/>
      <c r="AA754" s="116"/>
      <c r="AB754" s="116"/>
      <c r="AC754" s="165"/>
      <c r="AD754" s="675" t="str">
        <f t="shared" si="73"/>
        <v>MAYO</v>
      </c>
      <c r="AE754" s="144" t="s">
        <v>471</v>
      </c>
      <c r="AF754" s="149" t="b">
        <v>1</v>
      </c>
      <c r="AG754" s="166"/>
      <c r="AH754" s="149" t="b">
        <v>0</v>
      </c>
      <c r="AI754" s="144" t="s">
        <v>2384</v>
      </c>
      <c r="AJ754" s="143"/>
      <c r="AK754" s="143"/>
      <c r="AL754" s="143"/>
      <c r="AM754" s="143"/>
      <c r="AN754" s="143"/>
      <c r="AO754" s="143"/>
      <c r="AP754" s="143"/>
      <c r="AQ754" s="143"/>
    </row>
    <row r="755" ht="22.5" customHeight="1">
      <c r="A755" s="1046" t="s">
        <v>1833</v>
      </c>
      <c r="B755" s="1047"/>
      <c r="C755" s="1048" t="s">
        <v>2395</v>
      </c>
      <c r="D755" s="1049"/>
      <c r="E755" s="1050"/>
      <c r="F755" s="1051"/>
      <c r="G755" s="1051"/>
      <c r="H755" s="1050"/>
      <c r="I755" s="1050"/>
      <c r="J755" s="1052"/>
      <c r="K755" s="1053" t="str">
        <f t="shared" si="74"/>
        <v/>
      </c>
      <c r="L755" s="1054"/>
      <c r="M755" s="1055"/>
      <c r="N755" s="1056"/>
      <c r="O755" s="1057"/>
      <c r="P755" s="1058">
        <f t="shared" si="69"/>
        <v>0</v>
      </c>
      <c r="Q755" s="1057"/>
      <c r="R755" s="1059" t="b">
        <v>0</v>
      </c>
      <c r="S755" s="1057"/>
      <c r="T755" s="1060"/>
      <c r="U755" s="1057"/>
      <c r="V755" s="1061"/>
      <c r="W755" s="1051"/>
      <c r="X755" s="1062"/>
      <c r="Y755" s="1061"/>
      <c r="Z755" s="1063"/>
      <c r="AA755" s="1064"/>
      <c r="AB755" s="1064"/>
      <c r="AC755" s="1065"/>
      <c r="AD755" s="1066" t="str">
        <f t="shared" si="73"/>
        <v/>
      </c>
      <c r="AE755" s="1067"/>
      <c r="AF755" s="1051" t="b">
        <v>0</v>
      </c>
      <c r="AG755" s="1067"/>
      <c r="AH755" s="1051" t="b">
        <v>0</v>
      </c>
      <c r="AI755" s="1061"/>
      <c r="AJ755" s="1068"/>
      <c r="AK755" s="1068"/>
      <c r="AL755" s="1068"/>
      <c r="AM755" s="1068"/>
      <c r="AN755" s="1068"/>
      <c r="AO755" s="1068"/>
      <c r="AP755" s="1068"/>
      <c r="AQ755" s="1068"/>
    </row>
    <row r="756" ht="22.5" customHeight="1">
      <c r="A756" s="144" t="s">
        <v>1824</v>
      </c>
      <c r="B756" s="145">
        <v>46163.0</v>
      </c>
      <c r="C756" s="149" t="s">
        <v>2516</v>
      </c>
      <c r="D756" s="208" t="s">
        <v>2517</v>
      </c>
      <c r="E756" s="148" t="s">
        <v>28</v>
      </c>
      <c r="F756" s="246" t="s">
        <v>2518</v>
      </c>
      <c r="G756" s="149" t="s">
        <v>2519</v>
      </c>
      <c r="H756" s="148" t="s">
        <v>257</v>
      </c>
      <c r="I756" s="150">
        <v>0.2</v>
      </c>
      <c r="J756" s="168">
        <v>1499.8</v>
      </c>
      <c r="K756" s="169">
        <f t="shared" si="74"/>
        <v>5999.2</v>
      </c>
      <c r="L756" s="170">
        <v>7499.0</v>
      </c>
      <c r="M756" s="239">
        <v>7315.0</v>
      </c>
      <c r="N756" s="155">
        <v>1699.99</v>
      </c>
      <c r="O756" s="315">
        <f t="shared" ref="O756:O828" si="75">L756-M756</f>
        <v>184</v>
      </c>
      <c r="P756" s="344">
        <f t="shared" si="69"/>
        <v>184</v>
      </c>
      <c r="Q756" s="321"/>
      <c r="R756" s="672" t="b">
        <v>0</v>
      </c>
      <c r="S756" s="318"/>
      <c r="T756" s="319"/>
      <c r="U756" s="315"/>
      <c r="V756" s="144" t="s">
        <v>584</v>
      </c>
      <c r="W756" s="149"/>
      <c r="X756" s="163"/>
      <c r="Y756" s="162"/>
      <c r="Z756" s="164"/>
      <c r="AA756" s="116"/>
      <c r="AB756" s="116"/>
      <c r="AC756" s="165"/>
      <c r="AD756" s="675" t="str">
        <f t="shared" si="73"/>
        <v>MAYO</v>
      </c>
      <c r="AE756" s="144" t="s">
        <v>471</v>
      </c>
      <c r="AF756" s="149" t="b">
        <v>1</v>
      </c>
      <c r="AG756" s="144" t="s">
        <v>471</v>
      </c>
      <c r="AH756" s="149" t="b">
        <v>0</v>
      </c>
      <c r="AI756" s="162"/>
      <c r="AJ756" s="143"/>
      <c r="AK756" s="143"/>
      <c r="AL756" s="143"/>
      <c r="AM756" s="143"/>
      <c r="AN756" s="143"/>
      <c r="AO756" s="143"/>
      <c r="AP756" s="143"/>
      <c r="AQ756" s="143"/>
    </row>
    <row r="757" ht="22.5" customHeight="1">
      <c r="A757" s="144" t="s">
        <v>162</v>
      </c>
      <c r="B757" s="145">
        <v>46163.0</v>
      </c>
      <c r="C757" s="149" t="s">
        <v>2520</v>
      </c>
      <c r="D757" s="208" t="s">
        <v>2521</v>
      </c>
      <c r="E757" s="148" t="s">
        <v>2427</v>
      </c>
      <c r="F757" s="262" t="s">
        <v>2522</v>
      </c>
      <c r="G757" s="149" t="s">
        <v>2523</v>
      </c>
      <c r="H757" s="148" t="s">
        <v>257</v>
      </c>
      <c r="I757" s="150">
        <v>0.2</v>
      </c>
      <c r="J757" s="168">
        <v>1340.0</v>
      </c>
      <c r="K757" s="169">
        <f t="shared" si="74"/>
        <v>6959</v>
      </c>
      <c r="L757" s="170">
        <v>8299.0</v>
      </c>
      <c r="M757" s="239">
        <v>8030.04</v>
      </c>
      <c r="N757" s="155">
        <v>1699.99</v>
      </c>
      <c r="O757" s="315">
        <f t="shared" si="75"/>
        <v>268.96</v>
      </c>
      <c r="P757" s="344">
        <f t="shared" si="69"/>
        <v>268.96</v>
      </c>
      <c r="Q757" s="321"/>
      <c r="R757" s="672" t="b">
        <v>0</v>
      </c>
      <c r="S757" s="318"/>
      <c r="T757" s="319"/>
      <c r="U757" s="315"/>
      <c r="V757" s="144" t="s">
        <v>584</v>
      </c>
      <c r="W757" s="149"/>
      <c r="X757" s="163"/>
      <c r="Y757" s="144" t="s">
        <v>584</v>
      </c>
      <c r="Z757" s="164"/>
      <c r="AA757" s="116"/>
      <c r="AB757" s="116"/>
      <c r="AC757" s="165"/>
      <c r="AD757" s="675" t="str">
        <f t="shared" si="73"/>
        <v>MAYO</v>
      </c>
      <c r="AE757" s="144" t="s">
        <v>471</v>
      </c>
      <c r="AF757" s="149" t="b">
        <v>1</v>
      </c>
      <c r="AG757" s="166"/>
      <c r="AH757" s="149" t="b">
        <v>0</v>
      </c>
      <c r="AI757" s="162"/>
      <c r="AJ757" s="143"/>
      <c r="AK757" s="143"/>
      <c r="AL757" s="143"/>
      <c r="AM757" s="143"/>
      <c r="AN757" s="143"/>
      <c r="AO757" s="143"/>
      <c r="AP757" s="143"/>
      <c r="AQ757" s="143"/>
    </row>
    <row r="758" ht="22.5" customHeight="1">
      <c r="A758" s="144" t="s">
        <v>162</v>
      </c>
      <c r="B758" s="145">
        <v>46163.0</v>
      </c>
      <c r="C758" s="149" t="s">
        <v>2520</v>
      </c>
      <c r="D758" s="208" t="s">
        <v>2521</v>
      </c>
      <c r="E758" s="148" t="s">
        <v>2524</v>
      </c>
      <c r="F758" s="1069" t="s">
        <v>2525</v>
      </c>
      <c r="G758" s="149" t="s">
        <v>2523</v>
      </c>
      <c r="H758" s="148" t="s">
        <v>257</v>
      </c>
      <c r="I758" s="150">
        <v>0.2</v>
      </c>
      <c r="J758" s="168">
        <v>1340.0</v>
      </c>
      <c r="K758" s="169">
        <f t="shared" si="74"/>
        <v>6959</v>
      </c>
      <c r="L758" s="170">
        <v>8299.0</v>
      </c>
      <c r="M758" s="239">
        <v>8652.92</v>
      </c>
      <c r="N758" s="155">
        <v>1899.99</v>
      </c>
      <c r="O758" s="315">
        <f t="shared" si="75"/>
        <v>-353.92</v>
      </c>
      <c r="P758" s="344">
        <f t="shared" si="69"/>
        <v>-353.92</v>
      </c>
      <c r="Q758" s="321"/>
      <c r="R758" s="672" t="b">
        <v>0</v>
      </c>
      <c r="S758" s="318"/>
      <c r="T758" s="319"/>
      <c r="U758" s="315"/>
      <c r="V758" s="144" t="s">
        <v>584</v>
      </c>
      <c r="W758" s="149"/>
      <c r="X758" s="163"/>
      <c r="Y758" s="162"/>
      <c r="Z758" s="164"/>
      <c r="AA758" s="116"/>
      <c r="AB758" s="116"/>
      <c r="AC758" s="165"/>
      <c r="AD758" s="675" t="str">
        <f t="shared" si="73"/>
        <v>MAYO</v>
      </c>
      <c r="AE758" s="144" t="s">
        <v>471</v>
      </c>
      <c r="AF758" s="149" t="b">
        <v>1</v>
      </c>
      <c r="AG758" s="166"/>
      <c r="AH758" s="149" t="b">
        <v>0</v>
      </c>
      <c r="AI758" s="162"/>
      <c r="AJ758" s="143"/>
      <c r="AK758" s="143"/>
      <c r="AL758" s="143"/>
      <c r="AM758" s="143"/>
      <c r="AN758" s="143"/>
      <c r="AO758" s="143"/>
      <c r="AP758" s="143"/>
      <c r="AQ758" s="143"/>
    </row>
    <row r="759" ht="22.5" customHeight="1">
      <c r="A759" s="144" t="s">
        <v>1824</v>
      </c>
      <c r="B759" s="145">
        <v>46164.0</v>
      </c>
      <c r="C759" s="149" t="s">
        <v>2364</v>
      </c>
      <c r="D759" s="208" t="s">
        <v>2526</v>
      </c>
      <c r="E759" s="148" t="s">
        <v>2427</v>
      </c>
      <c r="F759" s="961" t="s">
        <v>2527</v>
      </c>
      <c r="G759" s="149" t="s">
        <v>2528</v>
      </c>
      <c r="H759" s="148" t="s">
        <v>257</v>
      </c>
      <c r="I759" s="150">
        <v>0.2</v>
      </c>
      <c r="J759" s="168">
        <v>5000.0</v>
      </c>
      <c r="K759" s="169">
        <f t="shared" si="74"/>
        <v>1499</v>
      </c>
      <c r="L759" s="170">
        <v>6499.0</v>
      </c>
      <c r="M759" s="239">
        <v>6099.0</v>
      </c>
      <c r="N759" s="155">
        <v>1399.0</v>
      </c>
      <c r="O759" s="315">
        <f t="shared" si="75"/>
        <v>400</v>
      </c>
      <c r="P759" s="344">
        <f t="shared" si="69"/>
        <v>348.04</v>
      </c>
      <c r="Q759" s="321"/>
      <c r="R759" s="672" t="b">
        <v>0</v>
      </c>
      <c r="S759" s="318"/>
      <c r="T759" s="319"/>
      <c r="U759" s="343">
        <v>51.96</v>
      </c>
      <c r="V759" s="144" t="s">
        <v>584</v>
      </c>
      <c r="W759" s="149"/>
      <c r="X759" s="163"/>
      <c r="Y759" s="162"/>
      <c r="Z759" s="164"/>
      <c r="AA759" s="116"/>
      <c r="AB759" s="116"/>
      <c r="AC759" s="165"/>
      <c r="AD759" s="675" t="str">
        <f t="shared" si="73"/>
        <v>MAYO</v>
      </c>
      <c r="AE759" s="144" t="s">
        <v>471</v>
      </c>
      <c r="AF759" s="149" t="b">
        <v>1</v>
      </c>
      <c r="AG759" s="166"/>
      <c r="AH759" s="149" t="b">
        <v>0</v>
      </c>
      <c r="AI759" s="162"/>
      <c r="AJ759" s="143"/>
      <c r="AK759" s="143"/>
      <c r="AL759" s="143"/>
      <c r="AM759" s="143"/>
      <c r="AN759" s="143"/>
      <c r="AO759" s="143"/>
      <c r="AP759" s="143"/>
      <c r="AQ759" s="143"/>
    </row>
    <row r="760" ht="22.5" customHeight="1">
      <c r="A760" s="144" t="s">
        <v>1824</v>
      </c>
      <c r="B760" s="145">
        <v>46165.0</v>
      </c>
      <c r="C760" s="149" t="s">
        <v>2529</v>
      </c>
      <c r="D760" s="208" t="s">
        <v>2530</v>
      </c>
      <c r="E760" s="148" t="s">
        <v>28</v>
      </c>
      <c r="F760" s="262" t="s">
        <v>2531</v>
      </c>
      <c r="G760" s="149" t="s">
        <v>2532</v>
      </c>
      <c r="H760" s="148" t="s">
        <v>257</v>
      </c>
      <c r="I760" s="150">
        <v>0.2</v>
      </c>
      <c r="J760" s="168">
        <v>2752.0</v>
      </c>
      <c r="K760" s="169">
        <f t="shared" si="74"/>
        <v>11007</v>
      </c>
      <c r="L760" s="170">
        <v>13759.0</v>
      </c>
      <c r="M760" s="239">
        <v>13570.0</v>
      </c>
      <c r="N760" s="155">
        <v>3254.99</v>
      </c>
      <c r="O760" s="315">
        <f t="shared" si="75"/>
        <v>189</v>
      </c>
      <c r="P760" s="344">
        <f t="shared" si="69"/>
        <v>189</v>
      </c>
      <c r="Q760" s="321"/>
      <c r="R760" s="672" t="b">
        <v>0</v>
      </c>
      <c r="S760" s="318"/>
      <c r="T760" s="319"/>
      <c r="U760" s="315"/>
      <c r="V760" s="144" t="s">
        <v>584</v>
      </c>
      <c r="W760" s="149"/>
      <c r="X760" s="163"/>
      <c r="Y760" s="162"/>
      <c r="Z760" s="164"/>
      <c r="AA760" s="116"/>
      <c r="AB760" s="116"/>
      <c r="AC760" s="165"/>
      <c r="AD760" s="675" t="str">
        <f t="shared" si="73"/>
        <v>MAYO</v>
      </c>
      <c r="AE760" s="144" t="s">
        <v>471</v>
      </c>
      <c r="AF760" s="149" t="b">
        <v>1</v>
      </c>
      <c r="AG760" s="144" t="s">
        <v>471</v>
      </c>
      <c r="AH760" s="149" t="b">
        <v>0</v>
      </c>
      <c r="AI760" s="162"/>
      <c r="AJ760" s="143"/>
      <c r="AK760" s="143"/>
      <c r="AL760" s="143"/>
      <c r="AM760" s="143"/>
      <c r="AN760" s="143"/>
      <c r="AO760" s="143"/>
      <c r="AP760" s="143"/>
      <c r="AQ760" s="143"/>
    </row>
    <row r="761" ht="22.5" customHeight="1">
      <c r="A761" s="144" t="s">
        <v>1833</v>
      </c>
      <c r="B761" s="145">
        <v>46167.0</v>
      </c>
      <c r="C761" s="353" t="s">
        <v>2533</v>
      </c>
      <c r="D761" s="208" t="s">
        <v>2534</v>
      </c>
      <c r="E761" s="148" t="s">
        <v>2535</v>
      </c>
      <c r="F761" s="246" t="s">
        <v>2536</v>
      </c>
      <c r="G761" s="149">
        <v>5.1920057533E10</v>
      </c>
      <c r="H761" s="148" t="s">
        <v>257</v>
      </c>
      <c r="I761" s="150">
        <v>0.2</v>
      </c>
      <c r="J761" s="168">
        <v>1974.0</v>
      </c>
      <c r="K761" s="169">
        <f t="shared" si="74"/>
        <v>7896</v>
      </c>
      <c r="L761" s="170">
        <v>9870.0</v>
      </c>
      <c r="M761" s="239">
        <v>9707.81</v>
      </c>
      <c r="N761" s="155">
        <v>2199.99</v>
      </c>
      <c r="O761" s="315">
        <f t="shared" si="75"/>
        <v>162.19</v>
      </c>
      <c r="P761" s="344">
        <f t="shared" si="69"/>
        <v>162.19</v>
      </c>
      <c r="Q761" s="321"/>
      <c r="R761" s="672" t="b">
        <v>0</v>
      </c>
      <c r="S761" s="318"/>
      <c r="T761" s="319"/>
      <c r="U761" s="315"/>
      <c r="V761" s="144" t="s">
        <v>584</v>
      </c>
      <c r="W761" s="149"/>
      <c r="X761" s="163"/>
      <c r="Y761" s="144" t="s">
        <v>968</v>
      </c>
      <c r="Z761" s="164"/>
      <c r="AA761" s="116"/>
      <c r="AB761" s="116"/>
      <c r="AC761" s="165"/>
      <c r="AD761" s="675" t="str">
        <f t="shared" si="73"/>
        <v>MAYO</v>
      </c>
      <c r="AE761" s="144"/>
      <c r="AF761" s="149" t="b">
        <v>0</v>
      </c>
      <c r="AG761" s="166"/>
      <c r="AH761" s="149" t="b">
        <v>0</v>
      </c>
      <c r="AI761" s="162"/>
      <c r="AJ761" s="143"/>
      <c r="AK761" s="143"/>
      <c r="AL761" s="143"/>
      <c r="AM761" s="143"/>
      <c r="AN761" s="143"/>
      <c r="AO761" s="143"/>
      <c r="AP761" s="143"/>
      <c r="AQ761" s="143"/>
    </row>
    <row r="762" ht="22.5" customHeight="1">
      <c r="A762" s="144" t="s">
        <v>1833</v>
      </c>
      <c r="B762" s="145">
        <v>46168.0</v>
      </c>
      <c r="C762" s="496" t="s">
        <v>2483</v>
      </c>
      <c r="D762" s="928" t="s">
        <v>2537</v>
      </c>
      <c r="E762" s="148" t="s">
        <v>28</v>
      </c>
      <c r="F762" s="1070" t="s">
        <v>2538</v>
      </c>
      <c r="G762" s="149">
        <v>5.1988166853E10</v>
      </c>
      <c r="H762" s="148" t="s">
        <v>257</v>
      </c>
      <c r="I762" s="150">
        <v>0.2</v>
      </c>
      <c r="J762" s="168">
        <v>1400.0</v>
      </c>
      <c r="K762" s="169">
        <f t="shared" si="74"/>
        <v>5600</v>
      </c>
      <c r="L762" s="170">
        <v>7000.0</v>
      </c>
      <c r="M762" s="239">
        <v>6857.92</v>
      </c>
      <c r="N762" s="155">
        <v>1574.99</v>
      </c>
      <c r="O762" s="315">
        <f t="shared" si="75"/>
        <v>142.08</v>
      </c>
      <c r="P762" s="344">
        <f t="shared" si="69"/>
        <v>142.08</v>
      </c>
      <c r="Q762" s="321"/>
      <c r="R762" s="672" t="b">
        <v>0</v>
      </c>
      <c r="S762" s="318"/>
      <c r="T762" s="319"/>
      <c r="U762" s="315"/>
      <c r="V762" s="144" t="s">
        <v>584</v>
      </c>
      <c r="W762" s="149"/>
      <c r="X762" s="163"/>
      <c r="Y762" s="144" t="s">
        <v>584</v>
      </c>
      <c r="Z762" s="164"/>
      <c r="AA762" s="116"/>
      <c r="AB762" s="116"/>
      <c r="AC762" s="165"/>
      <c r="AD762" s="675" t="str">
        <f t="shared" si="73"/>
        <v>MAYO</v>
      </c>
      <c r="AE762" s="144" t="s">
        <v>471</v>
      </c>
      <c r="AF762" s="149" t="b">
        <v>1</v>
      </c>
      <c r="AG762" s="144" t="s">
        <v>471</v>
      </c>
      <c r="AH762" s="149" t="b">
        <v>0</v>
      </c>
      <c r="AI762" s="144" t="s">
        <v>2384</v>
      </c>
      <c r="AJ762" s="143"/>
      <c r="AK762" s="143"/>
      <c r="AL762" s="143"/>
      <c r="AM762" s="143"/>
      <c r="AN762" s="143"/>
      <c r="AO762" s="143"/>
      <c r="AP762" s="143"/>
      <c r="AQ762" s="143"/>
    </row>
    <row r="763" ht="22.5" customHeight="1">
      <c r="A763" s="144" t="s">
        <v>1833</v>
      </c>
      <c r="B763" s="145">
        <v>46168.0</v>
      </c>
      <c r="C763" s="496" t="s">
        <v>2539</v>
      </c>
      <c r="D763" s="928" t="s">
        <v>2540</v>
      </c>
      <c r="E763" s="148" t="s">
        <v>399</v>
      </c>
      <c r="F763" s="524"/>
      <c r="G763" s="149">
        <v>5.1966395734E10</v>
      </c>
      <c r="H763" s="148" t="s">
        <v>257</v>
      </c>
      <c r="I763" s="150">
        <v>0.2</v>
      </c>
      <c r="J763" s="168">
        <v>1239.8</v>
      </c>
      <c r="K763" s="169">
        <f t="shared" si="74"/>
        <v>4959.2</v>
      </c>
      <c r="L763" s="170">
        <v>6199.0</v>
      </c>
      <c r="M763" s="239">
        <v>5863.56</v>
      </c>
      <c r="N763" s="155">
        <v>1349.99</v>
      </c>
      <c r="O763" s="315">
        <f t="shared" si="75"/>
        <v>335.44</v>
      </c>
      <c r="P763" s="344">
        <f t="shared" si="69"/>
        <v>335.44</v>
      </c>
      <c r="Q763" s="321"/>
      <c r="R763" s="672" t="b">
        <v>0</v>
      </c>
      <c r="S763" s="318"/>
      <c r="T763" s="319"/>
      <c r="U763" s="315"/>
      <c r="V763" s="162"/>
      <c r="W763" s="149"/>
      <c r="X763" s="163"/>
      <c r="Y763" s="162"/>
      <c r="Z763" s="10" t="s">
        <v>399</v>
      </c>
      <c r="AA763" s="116"/>
      <c r="AB763" s="116"/>
      <c r="AC763" s="165"/>
      <c r="AD763" s="675" t="str">
        <f t="shared" si="73"/>
        <v>MAYO</v>
      </c>
      <c r="AE763" s="166"/>
      <c r="AF763" s="149" t="b">
        <v>0</v>
      </c>
      <c r="AG763" s="166"/>
      <c r="AH763" s="149" t="b">
        <v>0</v>
      </c>
      <c r="AI763" s="162"/>
      <c r="AJ763" s="143"/>
      <c r="AK763" s="143"/>
      <c r="AL763" s="143"/>
      <c r="AM763" s="143"/>
      <c r="AN763" s="143"/>
      <c r="AO763" s="143"/>
      <c r="AP763" s="143"/>
      <c r="AQ763" s="143"/>
    </row>
    <row r="764" ht="22.5" customHeight="1">
      <c r="A764" s="144" t="s">
        <v>162</v>
      </c>
      <c r="B764" s="145">
        <v>46168.0</v>
      </c>
      <c r="C764" s="149" t="s">
        <v>1508</v>
      </c>
      <c r="D764" s="208" t="s">
        <v>2541</v>
      </c>
      <c r="E764" s="148" t="s">
        <v>28</v>
      </c>
      <c r="F764" s="489" t="s">
        <v>2542</v>
      </c>
      <c r="G764" s="149">
        <v>5.1935879953E10</v>
      </c>
      <c r="H764" s="148" t="s">
        <v>257</v>
      </c>
      <c r="I764" s="150">
        <v>1.0</v>
      </c>
      <c r="J764" s="168">
        <v>6099.0</v>
      </c>
      <c r="K764" s="169">
        <f t="shared" si="74"/>
        <v>0</v>
      </c>
      <c r="L764" s="170">
        <v>6099.0</v>
      </c>
      <c r="M764" s="239">
        <v>5826.0</v>
      </c>
      <c r="N764" s="155">
        <v>1299.99</v>
      </c>
      <c r="O764" s="315">
        <f t="shared" si="75"/>
        <v>273</v>
      </c>
      <c r="P764" s="344">
        <f t="shared" si="69"/>
        <v>48</v>
      </c>
      <c r="Q764" s="510">
        <v>225.0</v>
      </c>
      <c r="R764" s="672" t="b">
        <v>0</v>
      </c>
      <c r="S764" s="318"/>
      <c r="T764" s="319"/>
      <c r="U764" s="315"/>
      <c r="V764" s="144" t="s">
        <v>584</v>
      </c>
      <c r="W764" s="149"/>
      <c r="X764" s="163"/>
      <c r="Y764" s="162"/>
      <c r="Z764" s="164"/>
      <c r="AA764" s="116"/>
      <c r="AB764" s="116"/>
      <c r="AC764" s="165"/>
      <c r="AD764" s="675" t="str">
        <f t="shared" si="73"/>
        <v>MAYO</v>
      </c>
      <c r="AE764" s="144" t="s">
        <v>471</v>
      </c>
      <c r="AF764" s="149" t="b">
        <v>1</v>
      </c>
      <c r="AG764" s="144" t="s">
        <v>471</v>
      </c>
      <c r="AH764" s="149" t="b">
        <v>0</v>
      </c>
      <c r="AI764" s="144" t="s">
        <v>2384</v>
      </c>
      <c r="AJ764" s="143"/>
      <c r="AK764" s="143"/>
      <c r="AL764" s="143"/>
      <c r="AM764" s="143"/>
      <c r="AN764" s="143"/>
      <c r="AO764" s="143"/>
      <c r="AP764" s="143"/>
      <c r="AQ764" s="143"/>
    </row>
    <row r="765" ht="22.5" customHeight="1">
      <c r="A765" s="144" t="s">
        <v>162</v>
      </c>
      <c r="B765" s="145">
        <v>46169.0</v>
      </c>
      <c r="C765" s="149" t="s">
        <v>2543</v>
      </c>
      <c r="D765" s="208" t="s">
        <v>2544</v>
      </c>
      <c r="E765" s="148" t="s">
        <v>2427</v>
      </c>
      <c r="F765" s="262" t="s">
        <v>2545</v>
      </c>
      <c r="G765" s="149">
        <v>5.1976958897E10</v>
      </c>
      <c r="H765" s="148" t="s">
        <v>257</v>
      </c>
      <c r="I765" s="150">
        <v>0.3</v>
      </c>
      <c r="J765" s="168">
        <v>4000.0</v>
      </c>
      <c r="K765" s="169">
        <f t="shared" si="74"/>
        <v>6399</v>
      </c>
      <c r="L765" s="170">
        <v>10399.0</v>
      </c>
      <c r="M765" s="239">
        <v>10285.0</v>
      </c>
      <c r="N765" s="155">
        <v>2399.0</v>
      </c>
      <c r="O765" s="315">
        <f t="shared" si="75"/>
        <v>114</v>
      </c>
      <c r="P765" s="344">
        <f t="shared" si="69"/>
        <v>114</v>
      </c>
      <c r="Q765" s="321"/>
      <c r="R765" s="672" t="b">
        <v>0</v>
      </c>
      <c r="S765" s="318"/>
      <c r="T765" s="319"/>
      <c r="U765" s="315"/>
      <c r="V765" s="144" t="s">
        <v>584</v>
      </c>
      <c r="W765" s="149"/>
      <c r="X765" s="163"/>
      <c r="Y765" s="144" t="s">
        <v>968</v>
      </c>
      <c r="Z765" s="164"/>
      <c r="AA765" s="116"/>
      <c r="AB765" s="116"/>
      <c r="AC765" s="165"/>
      <c r="AD765" s="675" t="str">
        <f t="shared" si="73"/>
        <v>MAYO</v>
      </c>
      <c r="AE765" s="144" t="s">
        <v>471</v>
      </c>
      <c r="AF765" s="149" t="b">
        <v>1</v>
      </c>
      <c r="AG765" s="166"/>
      <c r="AH765" s="149" t="b">
        <v>0</v>
      </c>
      <c r="AI765" s="162"/>
      <c r="AJ765" s="143"/>
      <c r="AK765" s="143"/>
      <c r="AL765" s="143"/>
      <c r="AM765" s="143"/>
      <c r="AN765" s="143"/>
      <c r="AO765" s="143"/>
      <c r="AP765" s="143"/>
      <c r="AQ765" s="143"/>
    </row>
    <row r="766" ht="22.5" customHeight="1">
      <c r="A766" s="144" t="s">
        <v>162</v>
      </c>
      <c r="B766" s="145">
        <v>46169.0</v>
      </c>
      <c r="C766" s="207" t="s">
        <v>2546</v>
      </c>
      <c r="D766" s="208" t="s">
        <v>2547</v>
      </c>
      <c r="E766" s="148" t="s">
        <v>28</v>
      </c>
      <c r="F766" s="262" t="s">
        <v>2548</v>
      </c>
      <c r="G766" s="149">
        <v>5.1917888573E10</v>
      </c>
      <c r="H766" s="148" t="s">
        <v>257</v>
      </c>
      <c r="I766" s="150">
        <v>0.3</v>
      </c>
      <c r="J766" s="168">
        <v>6000.0</v>
      </c>
      <c r="K766" s="169">
        <f t="shared" si="74"/>
        <v>5299</v>
      </c>
      <c r="L766" s="170">
        <v>11299.0</v>
      </c>
      <c r="M766" s="239">
        <v>11137.0</v>
      </c>
      <c r="N766" s="155">
        <v>2629.99</v>
      </c>
      <c r="O766" s="315">
        <f t="shared" si="75"/>
        <v>162</v>
      </c>
      <c r="P766" s="344">
        <f t="shared" si="69"/>
        <v>22</v>
      </c>
      <c r="Q766" s="510">
        <v>140.0</v>
      </c>
      <c r="R766" s="672" t="b">
        <v>0</v>
      </c>
      <c r="S766" s="318"/>
      <c r="T766" s="319"/>
      <c r="U766" s="315"/>
      <c r="V766" s="144" t="s">
        <v>584</v>
      </c>
      <c r="W766" s="149"/>
      <c r="X766" s="163"/>
      <c r="Y766" s="162"/>
      <c r="Z766" s="164"/>
      <c r="AA766" s="116"/>
      <c r="AB766" s="116"/>
      <c r="AC766" s="165"/>
      <c r="AD766" s="675" t="str">
        <f t="shared" si="73"/>
        <v>MAYO</v>
      </c>
      <c r="AE766" s="144" t="s">
        <v>471</v>
      </c>
      <c r="AF766" s="149" t="b">
        <v>1</v>
      </c>
      <c r="AG766" s="144" t="s">
        <v>471</v>
      </c>
      <c r="AH766" s="149" t="b">
        <v>0</v>
      </c>
      <c r="AI766" s="144" t="s">
        <v>2384</v>
      </c>
      <c r="AJ766" s="143"/>
      <c r="AK766" s="143"/>
      <c r="AL766" s="143"/>
      <c r="AM766" s="143"/>
      <c r="AN766" s="143"/>
      <c r="AO766" s="143"/>
      <c r="AP766" s="143"/>
      <c r="AQ766" s="143"/>
    </row>
    <row r="767" ht="22.5" customHeight="1">
      <c r="A767" s="144" t="s">
        <v>162</v>
      </c>
      <c r="B767" s="145">
        <v>46170.0</v>
      </c>
      <c r="C767" s="149" t="s">
        <v>918</v>
      </c>
      <c r="D767" s="208" t="s">
        <v>2549</v>
      </c>
      <c r="E767" s="148" t="s">
        <v>28</v>
      </c>
      <c r="F767" s="489" t="s">
        <v>2550</v>
      </c>
      <c r="G767" s="149">
        <v>5.1987618799E10</v>
      </c>
      <c r="H767" s="148" t="s">
        <v>257</v>
      </c>
      <c r="I767" s="150">
        <v>0.2</v>
      </c>
      <c r="J767" s="168">
        <v>1219.0</v>
      </c>
      <c r="K767" s="169">
        <f t="shared" si="74"/>
        <v>4880</v>
      </c>
      <c r="L767" s="170">
        <v>6099.0</v>
      </c>
      <c r="M767" s="239">
        <v>5776.0</v>
      </c>
      <c r="N767" s="155">
        <v>1299.99</v>
      </c>
      <c r="O767" s="315">
        <f t="shared" si="75"/>
        <v>323</v>
      </c>
      <c r="P767" s="344">
        <f t="shared" si="69"/>
        <v>86</v>
      </c>
      <c r="Q767" s="510">
        <v>225.0</v>
      </c>
      <c r="R767" s="672" t="b">
        <v>0</v>
      </c>
      <c r="S767" s="318"/>
      <c r="T767" s="319"/>
      <c r="U767" s="343">
        <v>12.0</v>
      </c>
      <c r="V767" s="144" t="s">
        <v>584</v>
      </c>
      <c r="W767" s="149"/>
      <c r="X767" s="163"/>
      <c r="Y767" s="162"/>
      <c r="Z767" s="164"/>
      <c r="AA767" s="116"/>
      <c r="AB767" s="116"/>
      <c r="AC767" s="165"/>
      <c r="AD767" s="675" t="str">
        <f t="shared" si="73"/>
        <v>MAYO</v>
      </c>
      <c r="AE767" s="144" t="s">
        <v>471</v>
      </c>
      <c r="AF767" s="149" t="b">
        <v>1</v>
      </c>
      <c r="AG767" s="144" t="s">
        <v>471</v>
      </c>
      <c r="AH767" s="149" t="b">
        <v>0</v>
      </c>
      <c r="AI767" s="162"/>
      <c r="AJ767" s="143"/>
      <c r="AK767" s="143"/>
      <c r="AL767" s="143"/>
      <c r="AM767" s="143"/>
      <c r="AN767" s="143"/>
      <c r="AO767" s="143"/>
      <c r="AP767" s="143"/>
      <c r="AQ767" s="143"/>
    </row>
    <row r="768" ht="22.5" customHeight="1">
      <c r="A768" s="144" t="s">
        <v>162</v>
      </c>
      <c r="B768" s="145">
        <v>46171.0</v>
      </c>
      <c r="C768" s="149" t="s">
        <v>1508</v>
      </c>
      <c r="D768" s="208" t="s">
        <v>2551</v>
      </c>
      <c r="E768" s="148" t="s">
        <v>28</v>
      </c>
      <c r="F768" s="872" t="s">
        <v>2552</v>
      </c>
      <c r="G768" s="149" t="s">
        <v>2553</v>
      </c>
      <c r="H768" s="148" t="s">
        <v>257</v>
      </c>
      <c r="I768" s="148" t="s">
        <v>61</v>
      </c>
      <c r="J768" s="168">
        <v>300.0</v>
      </c>
      <c r="K768" s="169">
        <f t="shared" si="74"/>
        <v>5554</v>
      </c>
      <c r="L768" s="170">
        <v>5854.0</v>
      </c>
      <c r="M768" s="239">
        <v>5627.0</v>
      </c>
      <c r="N768" s="155">
        <v>1299.99</v>
      </c>
      <c r="O768" s="315">
        <f t="shared" si="75"/>
        <v>227</v>
      </c>
      <c r="P768" s="344">
        <f t="shared" si="69"/>
        <v>2</v>
      </c>
      <c r="Q768" s="510">
        <v>225.0</v>
      </c>
      <c r="R768" s="672" t="b">
        <v>0</v>
      </c>
      <c r="S768" s="318"/>
      <c r="T768" s="319"/>
      <c r="U768" s="315"/>
      <c r="V768" s="144" t="s">
        <v>584</v>
      </c>
      <c r="W768" s="149"/>
      <c r="X768" s="163"/>
      <c r="Y768" s="162"/>
      <c r="Z768" s="164"/>
      <c r="AA768" s="116"/>
      <c r="AB768" s="116"/>
      <c r="AC768" s="165"/>
      <c r="AD768" s="675" t="str">
        <f t="shared" si="73"/>
        <v>MAYO</v>
      </c>
      <c r="AE768" s="144" t="s">
        <v>471</v>
      </c>
      <c r="AF768" s="149" t="b">
        <v>1</v>
      </c>
      <c r="AG768" s="144" t="s">
        <v>471</v>
      </c>
      <c r="AH768" s="149" t="b">
        <v>0</v>
      </c>
      <c r="AI768" s="162"/>
      <c r="AJ768" s="143"/>
      <c r="AK768" s="143"/>
      <c r="AL768" s="143"/>
      <c r="AM768" s="143"/>
      <c r="AN768" s="143"/>
      <c r="AO768" s="143"/>
      <c r="AP768" s="143"/>
      <c r="AQ768" s="143"/>
    </row>
    <row r="769" ht="22.5" customHeight="1">
      <c r="A769" s="144" t="s">
        <v>1824</v>
      </c>
      <c r="B769" s="145">
        <v>46171.0</v>
      </c>
      <c r="C769" s="149" t="s">
        <v>2554</v>
      </c>
      <c r="D769" s="208" t="s">
        <v>2555</v>
      </c>
      <c r="E769" s="148" t="s">
        <v>28</v>
      </c>
      <c r="F769" s="246" t="s">
        <v>2556</v>
      </c>
      <c r="G769" s="149">
        <v>5.1999266789E10</v>
      </c>
      <c r="H769" s="148" t="s">
        <v>257</v>
      </c>
      <c r="I769" s="150">
        <v>0.2</v>
      </c>
      <c r="J769" s="168">
        <v>1010.0</v>
      </c>
      <c r="K769" s="169">
        <f t="shared" si="74"/>
        <v>4040</v>
      </c>
      <c r="L769" s="170">
        <v>5050.0</v>
      </c>
      <c r="M769" s="239">
        <v>4883.0</v>
      </c>
      <c r="N769" s="155">
        <v>1099.99</v>
      </c>
      <c r="O769" s="315">
        <f t="shared" si="75"/>
        <v>167</v>
      </c>
      <c r="P769" s="344">
        <f t="shared" si="69"/>
        <v>167</v>
      </c>
      <c r="Q769" s="321"/>
      <c r="R769" s="672" t="b">
        <v>0</v>
      </c>
      <c r="S769" s="318"/>
      <c r="T769" s="319"/>
      <c r="U769" s="315"/>
      <c r="V769" s="144" t="s">
        <v>584</v>
      </c>
      <c r="W769" s="149"/>
      <c r="X769" s="163"/>
      <c r="Y769" s="144" t="s">
        <v>584</v>
      </c>
      <c r="Z769" s="164"/>
      <c r="AA769" s="116"/>
      <c r="AB769" s="116"/>
      <c r="AC769" s="165"/>
      <c r="AD769" s="675" t="str">
        <f t="shared" si="73"/>
        <v>MAYO</v>
      </c>
      <c r="AE769" s="144" t="s">
        <v>471</v>
      </c>
      <c r="AF769" s="149" t="b">
        <v>1</v>
      </c>
      <c r="AG769" s="144" t="s">
        <v>471</v>
      </c>
      <c r="AH769" s="149" t="b">
        <v>0</v>
      </c>
      <c r="AI769" s="162"/>
      <c r="AJ769" s="143"/>
      <c r="AK769" s="143"/>
      <c r="AL769" s="143"/>
      <c r="AM769" s="143"/>
      <c r="AN769" s="143"/>
      <c r="AO769" s="143"/>
      <c r="AP769" s="143"/>
      <c r="AQ769" s="143"/>
    </row>
    <row r="770" ht="22.5" customHeight="1">
      <c r="A770" s="144" t="s">
        <v>162</v>
      </c>
      <c r="B770" s="145">
        <v>46172.0</v>
      </c>
      <c r="C770" s="149" t="s">
        <v>2557</v>
      </c>
      <c r="D770" s="208" t="s">
        <v>2558</v>
      </c>
      <c r="E770" s="148" t="s">
        <v>28</v>
      </c>
      <c r="F770" s="262" t="s">
        <v>2559</v>
      </c>
      <c r="G770" s="149">
        <v>5.1900959935E10</v>
      </c>
      <c r="H770" s="148" t="s">
        <v>257</v>
      </c>
      <c r="I770" s="148" t="s">
        <v>61</v>
      </c>
      <c r="J770" s="168">
        <v>3329.0</v>
      </c>
      <c r="K770" s="169">
        <f t="shared" si="74"/>
        <v>7770</v>
      </c>
      <c r="L770" s="170">
        <v>11099.0</v>
      </c>
      <c r="M770" s="239">
        <v>10932.6</v>
      </c>
      <c r="N770" s="155">
        <v>2499.0</v>
      </c>
      <c r="O770" s="315">
        <f t="shared" si="75"/>
        <v>166.4</v>
      </c>
      <c r="P770" s="344">
        <f t="shared" si="69"/>
        <v>26.4</v>
      </c>
      <c r="Q770" s="510">
        <v>140.0</v>
      </c>
      <c r="R770" s="672" t="b">
        <v>0</v>
      </c>
      <c r="S770" s="318"/>
      <c r="T770" s="319"/>
      <c r="U770" s="315"/>
      <c r="V770" s="144" t="s">
        <v>584</v>
      </c>
      <c r="W770" s="149"/>
      <c r="X770" s="163"/>
      <c r="Y770" s="144" t="s">
        <v>584</v>
      </c>
      <c r="Z770" s="164"/>
      <c r="AA770" s="116"/>
      <c r="AB770" s="116"/>
      <c r="AC770" s="165"/>
      <c r="AD770" s="675" t="str">
        <f t="shared" si="73"/>
        <v>MAYO</v>
      </c>
      <c r="AE770" s="144" t="s">
        <v>471</v>
      </c>
      <c r="AF770" s="149" t="b">
        <v>1</v>
      </c>
      <c r="AG770" s="144" t="s">
        <v>471</v>
      </c>
      <c r="AH770" s="149" t="b">
        <v>0</v>
      </c>
      <c r="AI770" s="144" t="s">
        <v>2384</v>
      </c>
      <c r="AJ770" s="143"/>
      <c r="AK770" s="143"/>
      <c r="AL770" s="143"/>
      <c r="AM770" s="143"/>
      <c r="AN770" s="143"/>
      <c r="AO770" s="143"/>
      <c r="AP770" s="143"/>
      <c r="AQ770" s="143"/>
    </row>
    <row r="771" ht="22.5" customHeight="1">
      <c r="A771" s="144" t="s">
        <v>1833</v>
      </c>
      <c r="B771" s="145">
        <v>46173.0</v>
      </c>
      <c r="C771" s="496" t="s">
        <v>918</v>
      </c>
      <c r="D771" s="928" t="s">
        <v>2560</v>
      </c>
      <c r="E771" s="148" t="s">
        <v>28</v>
      </c>
      <c r="F771" s="630" t="s">
        <v>2561</v>
      </c>
      <c r="G771" s="149">
        <v>5.1918713759E10</v>
      </c>
      <c r="H771" s="148" t="s">
        <v>257</v>
      </c>
      <c r="I771" s="150">
        <v>0.2</v>
      </c>
      <c r="J771" s="168">
        <v>1219.8</v>
      </c>
      <c r="K771" s="169">
        <f t="shared" si="74"/>
        <v>5014.2</v>
      </c>
      <c r="L771" s="170">
        <v>6234.0</v>
      </c>
      <c r="M771" s="239">
        <v>5776.0</v>
      </c>
      <c r="N771" s="155">
        <v>1299.99</v>
      </c>
      <c r="O771" s="315">
        <f t="shared" si="75"/>
        <v>458</v>
      </c>
      <c r="P771" s="344">
        <f t="shared" si="69"/>
        <v>183</v>
      </c>
      <c r="Q771" s="510">
        <v>225.0</v>
      </c>
      <c r="R771" s="672" t="b">
        <v>1</v>
      </c>
      <c r="S771" s="318"/>
      <c r="T771" s="319"/>
      <c r="U771" s="315"/>
      <c r="V771" s="144" t="s">
        <v>584</v>
      </c>
      <c r="W771" s="149"/>
      <c r="X771" s="163"/>
      <c r="Y771" s="144" t="s">
        <v>584</v>
      </c>
      <c r="Z771" s="164"/>
      <c r="AA771" s="116"/>
      <c r="AB771" s="116"/>
      <c r="AC771" s="165"/>
      <c r="AD771" s="675" t="str">
        <f t="shared" si="73"/>
        <v>MAYO</v>
      </c>
      <c r="AE771" s="144" t="s">
        <v>471</v>
      </c>
      <c r="AF771" s="149" t="b">
        <v>1</v>
      </c>
      <c r="AG771" s="144" t="s">
        <v>471</v>
      </c>
      <c r="AH771" s="149" t="b">
        <v>0</v>
      </c>
      <c r="AI771" s="144" t="s">
        <v>2384</v>
      </c>
      <c r="AJ771" s="143"/>
      <c r="AK771" s="143"/>
      <c r="AL771" s="143"/>
      <c r="AM771" s="143"/>
      <c r="AN771" s="143"/>
      <c r="AO771" s="143"/>
      <c r="AP771" s="143"/>
      <c r="AQ771" s="143"/>
    </row>
    <row r="772" ht="22.5" customHeight="1">
      <c r="A772" s="144" t="s">
        <v>162</v>
      </c>
      <c r="B772" s="209">
        <v>46174.0</v>
      </c>
      <c r="C772" s="309" t="s">
        <v>2562</v>
      </c>
      <c r="D772" s="208" t="s">
        <v>2563</v>
      </c>
      <c r="E772" s="148" t="s">
        <v>28</v>
      </c>
      <c r="F772" s="246" t="s">
        <v>2564</v>
      </c>
      <c r="G772" s="149">
        <v>5.1982879006E10</v>
      </c>
      <c r="H772" s="148" t="s">
        <v>257</v>
      </c>
      <c r="I772" s="150">
        <v>0.2</v>
      </c>
      <c r="J772" s="168">
        <v>1239.0</v>
      </c>
      <c r="K772" s="169">
        <f t="shared" si="74"/>
        <v>4960</v>
      </c>
      <c r="L772" s="170">
        <v>6199.0</v>
      </c>
      <c r="M772" s="239">
        <v>5827.0</v>
      </c>
      <c r="N772" s="155">
        <v>1339.99</v>
      </c>
      <c r="O772" s="315">
        <f t="shared" si="75"/>
        <v>372</v>
      </c>
      <c r="P772" s="344">
        <f t="shared" si="69"/>
        <v>147</v>
      </c>
      <c r="Q772" s="510">
        <v>225.0</v>
      </c>
      <c r="R772" s="672" t="b">
        <v>0</v>
      </c>
      <c r="S772" s="318"/>
      <c r="T772" s="319"/>
      <c r="U772" s="315"/>
      <c r="V772" s="144" t="s">
        <v>584</v>
      </c>
      <c r="W772" s="149"/>
      <c r="X772" s="163"/>
      <c r="Y772" s="144" t="s">
        <v>584</v>
      </c>
      <c r="Z772" s="164"/>
      <c r="AA772" s="116"/>
      <c r="AB772" s="116"/>
      <c r="AC772" s="165"/>
      <c r="AD772" s="675" t="str">
        <f t="shared" si="73"/>
        <v>JUNIO</v>
      </c>
      <c r="AE772" s="144" t="s">
        <v>471</v>
      </c>
      <c r="AF772" s="149" t="b">
        <v>1</v>
      </c>
      <c r="AG772" s="166"/>
      <c r="AH772" s="149" t="b">
        <v>0</v>
      </c>
      <c r="AI772" s="144" t="s">
        <v>2384</v>
      </c>
      <c r="AJ772" s="143"/>
      <c r="AK772" s="143"/>
      <c r="AL772" s="143"/>
      <c r="AM772" s="143"/>
      <c r="AN772" s="143"/>
      <c r="AO772" s="143"/>
      <c r="AP772" s="143"/>
      <c r="AQ772" s="143"/>
    </row>
    <row r="773" ht="22.5" customHeight="1">
      <c r="A773" s="144" t="s">
        <v>1833</v>
      </c>
      <c r="B773" s="145">
        <v>46174.0</v>
      </c>
      <c r="C773" s="565" t="s">
        <v>2565</v>
      </c>
      <c r="D773" s="43" t="s">
        <v>2566</v>
      </c>
      <c r="E773" s="148" t="s">
        <v>28</v>
      </c>
      <c r="F773" s="246" t="s">
        <v>2567</v>
      </c>
      <c r="G773" s="149">
        <v>5.1985766169E10</v>
      </c>
      <c r="H773" s="148" t="s">
        <v>257</v>
      </c>
      <c r="I773" s="150">
        <v>0.2</v>
      </c>
      <c r="J773" s="168">
        <v>1396.0</v>
      </c>
      <c r="K773" s="169">
        <f t="shared" si="74"/>
        <v>5584</v>
      </c>
      <c r="L773" s="170">
        <v>6980.0</v>
      </c>
      <c r="M773" s="239">
        <v>6872.59</v>
      </c>
      <c r="N773" s="155">
        <v>1579.0</v>
      </c>
      <c r="O773" s="315">
        <f t="shared" si="75"/>
        <v>107.41</v>
      </c>
      <c r="P773" s="344">
        <f t="shared" si="69"/>
        <v>7.41</v>
      </c>
      <c r="Q773" s="510">
        <v>100.0</v>
      </c>
      <c r="R773" s="672" t="b">
        <v>0</v>
      </c>
      <c r="S773" s="318"/>
      <c r="T773" s="319"/>
      <c r="U773" s="315"/>
      <c r="V773" s="144" t="s">
        <v>584</v>
      </c>
      <c r="W773" s="149"/>
      <c r="X773" s="163"/>
      <c r="Y773" s="144" t="s">
        <v>584</v>
      </c>
      <c r="Z773" s="164"/>
      <c r="AA773" s="116"/>
      <c r="AB773" s="116"/>
      <c r="AC773" s="165"/>
      <c r="AD773" s="675" t="str">
        <f t="shared" si="73"/>
        <v>JUNIO</v>
      </c>
      <c r="AE773" s="144" t="s">
        <v>471</v>
      </c>
      <c r="AF773" s="149" t="b">
        <v>1</v>
      </c>
      <c r="AG773" s="144" t="s">
        <v>471</v>
      </c>
      <c r="AH773" s="149" t="b">
        <v>0</v>
      </c>
      <c r="AI773" s="162"/>
      <c r="AJ773" s="143"/>
      <c r="AK773" s="143"/>
      <c r="AL773" s="143"/>
      <c r="AM773" s="143"/>
      <c r="AN773" s="143"/>
      <c r="AO773" s="143"/>
      <c r="AP773" s="143"/>
      <c r="AQ773" s="143"/>
    </row>
    <row r="774" ht="22.5" customHeight="1">
      <c r="A774" s="144" t="s">
        <v>1833</v>
      </c>
      <c r="B774" s="145">
        <v>46175.0</v>
      </c>
      <c r="C774" s="488" t="s">
        <v>2568</v>
      </c>
      <c r="D774" s="43" t="s">
        <v>2569</v>
      </c>
      <c r="E774" s="148" t="s">
        <v>28</v>
      </c>
      <c r="F774" s="262" t="s">
        <v>2570</v>
      </c>
      <c r="G774" s="149">
        <v>5.197400433E10</v>
      </c>
      <c r="H774" s="148" t="s">
        <v>257</v>
      </c>
      <c r="I774" s="148" t="s">
        <v>61</v>
      </c>
      <c r="J774" s="168">
        <v>1300.0</v>
      </c>
      <c r="K774" s="169">
        <f t="shared" si="74"/>
        <v>5199</v>
      </c>
      <c r="L774" s="170">
        <v>6499.0</v>
      </c>
      <c r="M774" s="239">
        <v>6095.0</v>
      </c>
      <c r="N774" s="155">
        <v>1399.99</v>
      </c>
      <c r="O774" s="315">
        <f t="shared" si="75"/>
        <v>404</v>
      </c>
      <c r="P774" s="344">
        <f t="shared" si="69"/>
        <v>179</v>
      </c>
      <c r="Q774" s="510">
        <v>225.0</v>
      </c>
      <c r="R774" s="672" t="b">
        <v>0</v>
      </c>
      <c r="S774" s="318"/>
      <c r="T774" s="319"/>
      <c r="U774" s="315"/>
      <c r="V774" s="144" t="s">
        <v>584</v>
      </c>
      <c r="W774" s="149"/>
      <c r="X774" s="163"/>
      <c r="Y774" s="144" t="s">
        <v>584</v>
      </c>
      <c r="Z774" s="164"/>
      <c r="AA774" s="116"/>
      <c r="AB774" s="116"/>
      <c r="AC774" s="165"/>
      <c r="AD774" s="675" t="str">
        <f t="shared" si="73"/>
        <v>JUNIO</v>
      </c>
      <c r="AE774" s="144" t="s">
        <v>471</v>
      </c>
      <c r="AF774" s="149" t="b">
        <v>1</v>
      </c>
      <c r="AG774" s="166"/>
      <c r="AH774" s="149" t="b">
        <v>0</v>
      </c>
      <c r="AI774" s="144" t="s">
        <v>2384</v>
      </c>
      <c r="AJ774" s="143"/>
      <c r="AK774" s="143"/>
      <c r="AL774" s="143"/>
      <c r="AM774" s="143"/>
      <c r="AN774" s="143"/>
      <c r="AO774" s="143"/>
      <c r="AP774" s="143"/>
      <c r="AQ774" s="143"/>
    </row>
    <row r="775" ht="22.5" customHeight="1">
      <c r="A775" s="144" t="s">
        <v>162</v>
      </c>
      <c r="B775" s="145">
        <v>46176.0</v>
      </c>
      <c r="C775" s="149" t="s">
        <v>918</v>
      </c>
      <c r="D775" s="208" t="s">
        <v>2571</v>
      </c>
      <c r="E775" s="148" t="s">
        <v>28</v>
      </c>
      <c r="F775" s="630" t="s">
        <v>2572</v>
      </c>
      <c r="G775" s="149" t="s">
        <v>2573</v>
      </c>
      <c r="H775" s="148" t="s">
        <v>257</v>
      </c>
      <c r="I775" s="150">
        <v>1.0</v>
      </c>
      <c r="J775" s="168">
        <v>6099.0</v>
      </c>
      <c r="K775" s="169">
        <f t="shared" si="74"/>
        <v>85</v>
      </c>
      <c r="L775" s="170">
        <v>6184.0</v>
      </c>
      <c r="M775" s="239">
        <v>5776.0</v>
      </c>
      <c r="N775" s="155">
        <v>1299.99</v>
      </c>
      <c r="O775" s="315">
        <f t="shared" si="75"/>
        <v>408</v>
      </c>
      <c r="P775" s="344">
        <f t="shared" si="69"/>
        <v>11</v>
      </c>
      <c r="Q775" s="510">
        <v>300.0</v>
      </c>
      <c r="R775" s="672" t="b">
        <v>0</v>
      </c>
      <c r="S775" s="318"/>
      <c r="T775" s="347">
        <v>85.0</v>
      </c>
      <c r="U775" s="343">
        <v>12.0</v>
      </c>
      <c r="V775" s="144" t="s">
        <v>584</v>
      </c>
      <c r="W775" s="149"/>
      <c r="X775" s="163"/>
      <c r="Y775" s="162"/>
      <c r="Z775" s="164"/>
      <c r="AA775" s="116"/>
      <c r="AB775" s="116"/>
      <c r="AC775" s="165"/>
      <c r="AD775" s="675" t="str">
        <f t="shared" si="73"/>
        <v>JUNIO</v>
      </c>
      <c r="AE775" s="144" t="s">
        <v>471</v>
      </c>
      <c r="AF775" s="149" t="b">
        <v>1</v>
      </c>
      <c r="AG775" s="144" t="s">
        <v>471</v>
      </c>
      <c r="AH775" s="149" t="b">
        <v>0</v>
      </c>
      <c r="AI775" s="144" t="s">
        <v>2384</v>
      </c>
      <c r="AJ775" s="143"/>
      <c r="AK775" s="143"/>
      <c r="AL775" s="143"/>
      <c r="AM775" s="143"/>
      <c r="AN775" s="143"/>
      <c r="AO775" s="143"/>
      <c r="AP775" s="143"/>
      <c r="AQ775" s="143"/>
    </row>
    <row r="776" ht="22.5" customHeight="1">
      <c r="A776" s="144" t="s">
        <v>162</v>
      </c>
      <c r="B776" s="145">
        <v>46176.0</v>
      </c>
      <c r="C776" s="149" t="s">
        <v>918</v>
      </c>
      <c r="D776" s="208" t="s">
        <v>2574</v>
      </c>
      <c r="E776" s="148" t="s">
        <v>28</v>
      </c>
      <c r="F776" s="489" t="s">
        <v>2575</v>
      </c>
      <c r="G776" s="149">
        <v>5.1987085172E10</v>
      </c>
      <c r="H776" s="148" t="s">
        <v>257</v>
      </c>
      <c r="I776" s="148" t="s">
        <v>61</v>
      </c>
      <c r="J776" s="168">
        <v>2175.0</v>
      </c>
      <c r="K776" s="169">
        <f t="shared" si="74"/>
        <v>4100</v>
      </c>
      <c r="L776" s="170">
        <v>6275.0</v>
      </c>
      <c r="M776" s="239">
        <v>5776.0</v>
      </c>
      <c r="N776" s="155">
        <v>1299.99</v>
      </c>
      <c r="O776" s="315">
        <f t="shared" si="75"/>
        <v>499</v>
      </c>
      <c r="P776" s="344">
        <f t="shared" si="69"/>
        <v>0</v>
      </c>
      <c r="Q776" s="510">
        <v>100.0</v>
      </c>
      <c r="R776" s="672" t="b">
        <v>0</v>
      </c>
      <c r="S776" s="346">
        <v>399.0</v>
      </c>
      <c r="T776" s="319"/>
      <c r="U776" s="315"/>
      <c r="V776" s="144" t="s">
        <v>584</v>
      </c>
      <c r="W776" s="149"/>
      <c r="X776" s="163"/>
      <c r="Y776" s="162"/>
      <c r="Z776" s="164"/>
      <c r="AA776" s="116"/>
      <c r="AB776" s="116"/>
      <c r="AC776" s="165"/>
      <c r="AD776" s="675" t="str">
        <f t="shared" si="73"/>
        <v>JUNIO</v>
      </c>
      <c r="AE776" s="144" t="s">
        <v>471</v>
      </c>
      <c r="AF776" s="149" t="b">
        <v>1</v>
      </c>
      <c r="AG776" s="166"/>
      <c r="AH776" s="149" t="b">
        <v>0</v>
      </c>
      <c r="AI776" s="162"/>
      <c r="AJ776" s="143"/>
      <c r="AK776" s="143"/>
      <c r="AL776" s="143"/>
      <c r="AM776" s="143"/>
      <c r="AN776" s="143"/>
      <c r="AO776" s="143"/>
      <c r="AP776" s="143"/>
      <c r="AQ776" s="143"/>
    </row>
    <row r="777" ht="22.5" customHeight="1">
      <c r="A777" s="144" t="s">
        <v>162</v>
      </c>
      <c r="B777" s="145">
        <v>46179.0</v>
      </c>
      <c r="C777" s="149" t="s">
        <v>1685</v>
      </c>
      <c r="D777" s="984" t="s">
        <v>2576</v>
      </c>
      <c r="E777" s="148" t="s">
        <v>28</v>
      </c>
      <c r="F777" s="262" t="s">
        <v>2577</v>
      </c>
      <c r="G777" s="149">
        <v>5.1928531962E10</v>
      </c>
      <c r="H777" s="148" t="s">
        <v>257</v>
      </c>
      <c r="I777" s="150">
        <v>1.0</v>
      </c>
      <c r="J777" s="168">
        <v>7500.0</v>
      </c>
      <c r="K777" s="169">
        <f t="shared" si="74"/>
        <v>0</v>
      </c>
      <c r="L777" s="170">
        <v>7500.0</v>
      </c>
      <c r="M777" s="239">
        <v>7170.0</v>
      </c>
      <c r="N777" s="155">
        <v>1649.99</v>
      </c>
      <c r="O777" s="315">
        <f t="shared" si="75"/>
        <v>330</v>
      </c>
      <c r="P777" s="344">
        <f t="shared" si="69"/>
        <v>33</v>
      </c>
      <c r="Q777" s="510">
        <v>285.0</v>
      </c>
      <c r="R777" s="672" t="b">
        <v>0</v>
      </c>
      <c r="S777" s="318"/>
      <c r="T777" s="319"/>
      <c r="U777" s="343">
        <v>12.0</v>
      </c>
      <c r="V777" s="144" t="s">
        <v>584</v>
      </c>
      <c r="W777" s="149"/>
      <c r="X777" s="163"/>
      <c r="Y777" s="162"/>
      <c r="Z777" s="164"/>
      <c r="AA777" s="116"/>
      <c r="AB777" s="116"/>
      <c r="AC777" s="165"/>
      <c r="AD777" s="675" t="str">
        <f t="shared" si="73"/>
        <v>JUNIO</v>
      </c>
      <c r="AE777" s="144" t="s">
        <v>471</v>
      </c>
      <c r="AF777" s="149" t="b">
        <v>1</v>
      </c>
      <c r="AG777" s="144" t="s">
        <v>471</v>
      </c>
      <c r="AH777" s="149" t="b">
        <v>0</v>
      </c>
      <c r="AI777" s="144" t="s">
        <v>2384</v>
      </c>
      <c r="AJ777" s="143"/>
      <c r="AK777" s="143"/>
      <c r="AL777" s="143"/>
      <c r="AM777" s="143"/>
      <c r="AN777" s="143"/>
      <c r="AO777" s="143"/>
      <c r="AP777" s="143"/>
      <c r="AQ777" s="143"/>
    </row>
    <row r="778" ht="22.5" customHeight="1">
      <c r="A778" s="144" t="s">
        <v>162</v>
      </c>
      <c r="B778" s="145">
        <v>46179.0</v>
      </c>
      <c r="C778" s="149" t="s">
        <v>1685</v>
      </c>
      <c r="D778" s="208" t="s">
        <v>2578</v>
      </c>
      <c r="E778" s="148" t="s">
        <v>28</v>
      </c>
      <c r="F778" s="262" t="s">
        <v>2579</v>
      </c>
      <c r="G778" s="149">
        <v>5.1992315319E10</v>
      </c>
      <c r="H778" s="148" t="s">
        <v>257</v>
      </c>
      <c r="I778" s="148" t="s">
        <v>61</v>
      </c>
      <c r="J778" s="168">
        <v>300.0</v>
      </c>
      <c r="K778" s="169">
        <f t="shared" si="74"/>
        <v>7199</v>
      </c>
      <c r="L778" s="170">
        <v>7499.0</v>
      </c>
      <c r="M778" s="239">
        <v>7170.0</v>
      </c>
      <c r="N778" s="155">
        <v>1649.99</v>
      </c>
      <c r="O778" s="315">
        <f t="shared" si="75"/>
        <v>329</v>
      </c>
      <c r="P778" s="344">
        <f t="shared" si="69"/>
        <v>39</v>
      </c>
      <c r="Q778" s="510">
        <v>290.0</v>
      </c>
      <c r="R778" s="672" t="b">
        <v>0</v>
      </c>
      <c r="S778" s="318"/>
      <c r="T778" s="319"/>
      <c r="U778" s="315"/>
      <c r="V778" s="144" t="s">
        <v>584</v>
      </c>
      <c r="W778" s="149"/>
      <c r="X778" s="163"/>
      <c r="Y778" s="162"/>
      <c r="Z778" s="164"/>
      <c r="AA778" s="116"/>
      <c r="AB778" s="116"/>
      <c r="AC778" s="165"/>
      <c r="AD778" s="675" t="str">
        <f t="shared" si="73"/>
        <v>JUNIO</v>
      </c>
      <c r="AE778" s="144" t="s">
        <v>471</v>
      </c>
      <c r="AF778" s="149" t="b">
        <v>1</v>
      </c>
      <c r="AG778" s="144" t="s">
        <v>471</v>
      </c>
      <c r="AH778" s="149" t="b">
        <v>0</v>
      </c>
      <c r="AI778" s="144" t="s">
        <v>2384</v>
      </c>
      <c r="AJ778" s="143"/>
      <c r="AK778" s="143"/>
      <c r="AL778" s="143"/>
      <c r="AM778" s="143"/>
      <c r="AN778" s="143"/>
      <c r="AO778" s="143"/>
      <c r="AP778" s="143"/>
      <c r="AQ778" s="143"/>
    </row>
    <row r="779" ht="22.5" customHeight="1">
      <c r="A779" s="144" t="s">
        <v>1833</v>
      </c>
      <c r="B779" s="145">
        <v>46178.0</v>
      </c>
      <c r="C779" s="149" t="s">
        <v>2580</v>
      </c>
      <c r="D779" s="208" t="s">
        <v>2581</v>
      </c>
      <c r="E779" s="148" t="s">
        <v>28</v>
      </c>
      <c r="F779" s="630" t="s">
        <v>2582</v>
      </c>
      <c r="G779" s="149" t="s">
        <v>2583</v>
      </c>
      <c r="H779" s="148" t="s">
        <v>257</v>
      </c>
      <c r="I779" s="148" t="s">
        <v>61</v>
      </c>
      <c r="J779" s="168">
        <v>300.0</v>
      </c>
      <c r="K779" s="169">
        <f t="shared" si="74"/>
        <v>6599</v>
      </c>
      <c r="L779" s="170">
        <v>6899.0</v>
      </c>
      <c r="M779" s="239">
        <v>6668.0</v>
      </c>
      <c r="N779" s="155"/>
      <c r="O779" s="315">
        <f t="shared" si="75"/>
        <v>231</v>
      </c>
      <c r="P779" s="344">
        <f t="shared" si="69"/>
        <v>91</v>
      </c>
      <c r="Q779" s="510">
        <v>140.0</v>
      </c>
      <c r="R779" s="672" t="b">
        <v>0</v>
      </c>
      <c r="S779" s="318"/>
      <c r="T779" s="319"/>
      <c r="U779" s="315"/>
      <c r="V779" s="162"/>
      <c r="W779" s="149"/>
      <c r="X779" s="163"/>
      <c r="Y779" s="162"/>
      <c r="Z779" s="164"/>
      <c r="AA779" s="116"/>
      <c r="AB779" s="116"/>
      <c r="AC779" s="165"/>
      <c r="AD779" s="675" t="str">
        <f t="shared" si="73"/>
        <v>JUNIO</v>
      </c>
      <c r="AE779" s="144" t="s">
        <v>471</v>
      </c>
      <c r="AF779" s="149" t="b">
        <v>1</v>
      </c>
      <c r="AG779" s="144" t="s">
        <v>471</v>
      </c>
      <c r="AH779" s="149" t="b">
        <v>0</v>
      </c>
      <c r="AI779" s="162"/>
      <c r="AJ779" s="143"/>
      <c r="AK779" s="143"/>
      <c r="AL779" s="143"/>
      <c r="AM779" s="143"/>
      <c r="AN779" s="143"/>
      <c r="AO779" s="143"/>
      <c r="AP779" s="143"/>
      <c r="AQ779" s="143"/>
    </row>
    <row r="780" ht="22.5" customHeight="1">
      <c r="A780" s="144" t="s">
        <v>1824</v>
      </c>
      <c r="B780" s="145">
        <v>46181.0</v>
      </c>
      <c r="C780" s="149" t="s">
        <v>2584</v>
      </c>
      <c r="D780" s="208" t="s">
        <v>2585</v>
      </c>
      <c r="E780" s="148" t="s">
        <v>2414</v>
      </c>
      <c r="F780" s="262" t="s">
        <v>2586</v>
      </c>
      <c r="G780" s="149">
        <v>5.197976556E10</v>
      </c>
      <c r="H780" s="148" t="s">
        <v>257</v>
      </c>
      <c r="I780" s="150">
        <v>0.3</v>
      </c>
      <c r="J780" s="168">
        <v>3989.7</v>
      </c>
      <c r="K780" s="169">
        <f t="shared" si="74"/>
        <v>9309.3</v>
      </c>
      <c r="L780" s="170">
        <v>13299.0</v>
      </c>
      <c r="M780" s="239">
        <v>12672.0</v>
      </c>
      <c r="N780" s="155">
        <v>2949.99</v>
      </c>
      <c r="O780" s="315">
        <f t="shared" si="75"/>
        <v>627</v>
      </c>
      <c r="P780" s="344">
        <f t="shared" si="69"/>
        <v>627</v>
      </c>
      <c r="Q780" s="321"/>
      <c r="R780" s="672" t="b">
        <v>0</v>
      </c>
      <c r="S780" s="318"/>
      <c r="T780" s="319"/>
      <c r="U780" s="315"/>
      <c r="V780" s="144" t="s">
        <v>584</v>
      </c>
      <c r="W780" s="149"/>
      <c r="X780" s="163"/>
      <c r="Y780" s="144" t="s">
        <v>584</v>
      </c>
      <c r="Z780" s="164"/>
      <c r="AA780" s="116"/>
      <c r="AB780" s="116"/>
      <c r="AC780" s="165"/>
      <c r="AD780" s="675" t="str">
        <f t="shared" si="73"/>
        <v>JUNIO</v>
      </c>
      <c r="AE780" s="144" t="s">
        <v>471</v>
      </c>
      <c r="AF780" s="149" t="b">
        <v>1</v>
      </c>
      <c r="AG780" s="166"/>
      <c r="AH780" s="149" t="b">
        <v>1</v>
      </c>
      <c r="AI780" s="162"/>
      <c r="AJ780" s="143"/>
      <c r="AK780" s="143"/>
      <c r="AL780" s="143"/>
      <c r="AM780" s="143"/>
      <c r="AN780" s="143"/>
      <c r="AO780" s="143"/>
      <c r="AP780" s="143"/>
      <c r="AQ780" s="143"/>
    </row>
    <row r="781" ht="22.5" customHeight="1">
      <c r="A781" s="144" t="s">
        <v>162</v>
      </c>
      <c r="B781" s="145">
        <v>46163.0</v>
      </c>
      <c r="C781" s="309" t="s">
        <v>2587</v>
      </c>
      <c r="D781" s="208" t="s">
        <v>2588</v>
      </c>
      <c r="E781" s="148" t="s">
        <v>28</v>
      </c>
      <c r="F781" s="351" t="s">
        <v>2589</v>
      </c>
      <c r="G781" s="149">
        <v>5.1900666029E10</v>
      </c>
      <c r="H781" s="148" t="s">
        <v>257</v>
      </c>
      <c r="I781" s="148" t="s">
        <v>61</v>
      </c>
      <c r="J781" s="168">
        <v>7000.0</v>
      </c>
      <c r="K781" s="169">
        <f t="shared" si="74"/>
        <v>6400</v>
      </c>
      <c r="L781" s="170">
        <v>13400.0</v>
      </c>
      <c r="M781" s="239">
        <v>13570.0</v>
      </c>
      <c r="N781" s="155">
        <v>3254.99</v>
      </c>
      <c r="O781" s="315">
        <f t="shared" si="75"/>
        <v>-170</v>
      </c>
      <c r="P781" s="344">
        <f t="shared" si="69"/>
        <v>-569</v>
      </c>
      <c r="Q781" s="510">
        <v>100.0</v>
      </c>
      <c r="R781" s="672" t="b">
        <v>0</v>
      </c>
      <c r="S781" s="346">
        <v>299.0</v>
      </c>
      <c r="T781" s="319"/>
      <c r="U781" s="315"/>
      <c r="V781" s="144" t="s">
        <v>584</v>
      </c>
      <c r="W781" s="149"/>
      <c r="X781" s="163"/>
      <c r="Y781" s="162"/>
      <c r="Z781" s="10" t="s">
        <v>2590</v>
      </c>
      <c r="AA781" s="116"/>
      <c r="AB781" s="116"/>
      <c r="AC781" s="165"/>
      <c r="AD781" s="675" t="str">
        <f t="shared" si="73"/>
        <v>MAYO</v>
      </c>
      <c r="AE781" s="144" t="s">
        <v>471</v>
      </c>
      <c r="AF781" s="149" t="b">
        <v>1</v>
      </c>
      <c r="AG781" s="144" t="s">
        <v>471</v>
      </c>
      <c r="AH781" s="149" t="b">
        <v>0</v>
      </c>
      <c r="AI781" s="144" t="s">
        <v>2384</v>
      </c>
      <c r="AJ781" s="143"/>
      <c r="AK781" s="143"/>
      <c r="AL781" s="143"/>
      <c r="AM781" s="143"/>
      <c r="AN781" s="143"/>
      <c r="AO781" s="143"/>
      <c r="AP781" s="143"/>
      <c r="AQ781" s="143"/>
    </row>
    <row r="782" ht="22.5" customHeight="1">
      <c r="A782" s="144" t="s">
        <v>162</v>
      </c>
      <c r="B782" s="145">
        <v>46182.0</v>
      </c>
      <c r="C782" s="149" t="s">
        <v>1685</v>
      </c>
      <c r="D782" s="208" t="s">
        <v>2591</v>
      </c>
      <c r="E782" s="148" t="s">
        <v>28</v>
      </c>
      <c r="F782" s="262" t="s">
        <v>2592</v>
      </c>
      <c r="G782" s="149">
        <v>5.195949917E10</v>
      </c>
      <c r="H782" s="148" t="s">
        <v>257</v>
      </c>
      <c r="I782" s="150">
        <v>1.0</v>
      </c>
      <c r="J782" s="168">
        <v>9629.0</v>
      </c>
      <c r="K782" s="169">
        <f t="shared" si="74"/>
        <v>0</v>
      </c>
      <c r="L782" s="170">
        <v>9629.0</v>
      </c>
      <c r="M782" s="239">
        <v>7170.0</v>
      </c>
      <c r="N782" s="155">
        <v>1649.99</v>
      </c>
      <c r="O782" s="315">
        <f t="shared" si="75"/>
        <v>2459</v>
      </c>
      <c r="P782" s="344">
        <f t="shared" si="69"/>
        <v>1</v>
      </c>
      <c r="Q782" s="510">
        <v>2446.0</v>
      </c>
      <c r="R782" s="672" t="b">
        <v>0</v>
      </c>
      <c r="S782" s="318"/>
      <c r="T782" s="319"/>
      <c r="U782" s="343">
        <v>12.0</v>
      </c>
      <c r="V782" s="144" t="s">
        <v>584</v>
      </c>
      <c r="W782" s="149"/>
      <c r="X782" s="163"/>
      <c r="Y782" s="162"/>
      <c r="Z782" s="164"/>
      <c r="AA782" s="116"/>
      <c r="AB782" s="116"/>
      <c r="AC782" s="165"/>
      <c r="AD782" s="675" t="str">
        <f t="shared" si="73"/>
        <v>JUNIO</v>
      </c>
      <c r="AE782" s="144" t="s">
        <v>471</v>
      </c>
      <c r="AF782" s="149" t="b">
        <v>1</v>
      </c>
      <c r="AG782" s="144" t="s">
        <v>471</v>
      </c>
      <c r="AH782" s="149" t="b">
        <v>0</v>
      </c>
      <c r="AI782" s="144" t="s">
        <v>2384</v>
      </c>
      <c r="AJ782" s="143"/>
      <c r="AK782" s="143"/>
      <c r="AL782" s="143"/>
      <c r="AM782" s="143"/>
      <c r="AN782" s="143"/>
      <c r="AO782" s="143"/>
      <c r="AP782" s="143"/>
      <c r="AQ782" s="143"/>
    </row>
    <row r="783" ht="22.5" customHeight="1">
      <c r="A783" s="144" t="s">
        <v>1824</v>
      </c>
      <c r="B783" s="145">
        <v>46182.0</v>
      </c>
      <c r="C783" s="149" t="s">
        <v>2593</v>
      </c>
      <c r="D783" s="208" t="s">
        <v>2594</v>
      </c>
      <c r="E783" s="148" t="s">
        <v>2427</v>
      </c>
      <c r="F783" s="262" t="s">
        <v>2595</v>
      </c>
      <c r="G783" s="149" t="s">
        <v>2596</v>
      </c>
      <c r="H783" s="148" t="s">
        <v>257</v>
      </c>
      <c r="I783" s="150">
        <v>0.2</v>
      </c>
      <c r="J783" s="168">
        <v>1619.8</v>
      </c>
      <c r="K783" s="169">
        <f t="shared" si="74"/>
        <v>6679.2</v>
      </c>
      <c r="L783" s="170">
        <v>8299.0</v>
      </c>
      <c r="M783" s="239">
        <v>8233.0</v>
      </c>
      <c r="N783" s="155">
        <v>1799.99</v>
      </c>
      <c r="O783" s="315">
        <f t="shared" si="75"/>
        <v>66</v>
      </c>
      <c r="P783" s="344">
        <f t="shared" si="69"/>
        <v>66</v>
      </c>
      <c r="Q783" s="321"/>
      <c r="R783" s="672" t="b">
        <v>0</v>
      </c>
      <c r="S783" s="318"/>
      <c r="T783" s="319"/>
      <c r="U783" s="315"/>
      <c r="V783" s="144" t="s">
        <v>584</v>
      </c>
      <c r="W783" s="149"/>
      <c r="X783" s="163"/>
      <c r="Y783" s="144" t="s">
        <v>584</v>
      </c>
      <c r="Z783" s="164"/>
      <c r="AA783" s="116"/>
      <c r="AB783" s="116"/>
      <c r="AC783" s="165"/>
      <c r="AD783" s="675" t="str">
        <f t="shared" si="73"/>
        <v>JUNIO</v>
      </c>
      <c r="AE783" s="144" t="s">
        <v>471</v>
      </c>
      <c r="AF783" s="149" t="b">
        <v>1</v>
      </c>
      <c r="AG783" s="166"/>
      <c r="AH783" s="149" t="b">
        <v>0</v>
      </c>
      <c r="AI783" s="162"/>
      <c r="AJ783" s="143"/>
      <c r="AK783" s="143"/>
      <c r="AL783" s="143"/>
      <c r="AM783" s="143"/>
      <c r="AN783" s="143"/>
      <c r="AO783" s="143"/>
      <c r="AP783" s="143"/>
      <c r="AQ783" s="143"/>
    </row>
    <row r="784" ht="22.5" customHeight="1">
      <c r="A784" s="144" t="s">
        <v>162</v>
      </c>
      <c r="B784" s="145">
        <v>46182.0</v>
      </c>
      <c r="C784" s="149" t="s">
        <v>2483</v>
      </c>
      <c r="D784" s="208" t="s">
        <v>2597</v>
      </c>
      <c r="E784" s="148" t="s">
        <v>28</v>
      </c>
      <c r="F784" s="540" t="s">
        <v>2598</v>
      </c>
      <c r="G784" s="149">
        <v>5.1954964387E10</v>
      </c>
      <c r="H784" s="148" t="s">
        <v>257</v>
      </c>
      <c r="I784" s="148" t="s">
        <v>61</v>
      </c>
      <c r="J784" s="168">
        <v>1000.0</v>
      </c>
      <c r="K784" s="169">
        <f t="shared" si="74"/>
        <v>6400</v>
      </c>
      <c r="L784" s="170">
        <v>7400.0</v>
      </c>
      <c r="M784" s="239">
        <v>7134.0</v>
      </c>
      <c r="N784" s="155">
        <v>1649.99</v>
      </c>
      <c r="O784" s="315">
        <f t="shared" si="75"/>
        <v>266</v>
      </c>
      <c r="P784" s="344">
        <f t="shared" si="69"/>
        <v>41</v>
      </c>
      <c r="Q784" s="510">
        <v>225.0</v>
      </c>
      <c r="R784" s="672" t="b">
        <v>0</v>
      </c>
      <c r="S784" s="318"/>
      <c r="T784" s="319"/>
      <c r="U784" s="315"/>
      <c r="V784" s="144" t="s">
        <v>584</v>
      </c>
      <c r="W784" s="149"/>
      <c r="X784" s="163"/>
      <c r="Y784" s="162"/>
      <c r="Z784" s="164"/>
      <c r="AA784" s="116"/>
      <c r="AB784" s="116"/>
      <c r="AC784" s="165"/>
      <c r="AD784" s="675" t="str">
        <f t="shared" si="73"/>
        <v>JUNIO</v>
      </c>
      <c r="AE784" s="144" t="s">
        <v>471</v>
      </c>
      <c r="AF784" s="149" t="b">
        <v>1</v>
      </c>
      <c r="AG784" s="166"/>
      <c r="AH784" s="149" t="b">
        <v>0</v>
      </c>
      <c r="AI784" s="162"/>
      <c r="AJ784" s="143"/>
      <c r="AK784" s="143"/>
      <c r="AL784" s="143"/>
      <c r="AM784" s="143"/>
      <c r="AN784" s="143"/>
      <c r="AO784" s="143"/>
      <c r="AP784" s="143"/>
      <c r="AQ784" s="143"/>
    </row>
    <row r="785" ht="22.5" customHeight="1">
      <c r="A785" s="144" t="s">
        <v>1833</v>
      </c>
      <c r="B785" s="145">
        <v>46184.0</v>
      </c>
      <c r="C785" s="353" t="s">
        <v>2599</v>
      </c>
      <c r="D785" s="928" t="s">
        <v>2600</v>
      </c>
      <c r="E785" s="148" t="s">
        <v>28</v>
      </c>
      <c r="F785" s="262" t="s">
        <v>2601</v>
      </c>
      <c r="G785" s="149">
        <v>5.1987263839E10</v>
      </c>
      <c r="H785" s="148" t="s">
        <v>257</v>
      </c>
      <c r="I785" s="150">
        <v>0.2</v>
      </c>
      <c r="J785" s="168">
        <v>1539.8</v>
      </c>
      <c r="K785" s="169">
        <f t="shared" si="74"/>
        <v>6159.2</v>
      </c>
      <c r="L785" s="170">
        <v>7699.0</v>
      </c>
      <c r="M785" s="239">
        <v>7357.81</v>
      </c>
      <c r="N785" s="155">
        <v>1599.99</v>
      </c>
      <c r="O785" s="315">
        <f t="shared" si="75"/>
        <v>341.19</v>
      </c>
      <c r="P785" s="344">
        <f t="shared" si="69"/>
        <v>116.19</v>
      </c>
      <c r="Q785" s="510">
        <v>225.0</v>
      </c>
      <c r="R785" s="672" t="b">
        <v>0</v>
      </c>
      <c r="S785" s="318"/>
      <c r="T785" s="319"/>
      <c r="U785" s="315"/>
      <c r="V785" s="144" t="s">
        <v>584</v>
      </c>
      <c r="W785" s="149"/>
      <c r="X785" s="163"/>
      <c r="Y785" s="144" t="s">
        <v>584</v>
      </c>
      <c r="Z785" s="164"/>
      <c r="AA785" s="116"/>
      <c r="AB785" s="116"/>
      <c r="AC785" s="165"/>
      <c r="AD785" s="675" t="str">
        <f t="shared" si="73"/>
        <v>JUNIO</v>
      </c>
      <c r="AE785" s="144" t="s">
        <v>471</v>
      </c>
      <c r="AF785" s="149" t="b">
        <v>1</v>
      </c>
      <c r="AG785" s="166"/>
      <c r="AH785" s="149" t="b">
        <v>0</v>
      </c>
      <c r="AI785" s="144" t="s">
        <v>2384</v>
      </c>
      <c r="AJ785" s="143"/>
      <c r="AK785" s="143"/>
      <c r="AL785" s="143"/>
      <c r="AM785" s="143"/>
      <c r="AN785" s="143"/>
      <c r="AO785" s="143"/>
      <c r="AP785" s="143"/>
      <c r="AQ785" s="143"/>
    </row>
    <row r="786" ht="22.5" customHeight="1">
      <c r="A786" s="144" t="s">
        <v>162</v>
      </c>
      <c r="B786" s="145">
        <v>46184.0</v>
      </c>
      <c r="C786" s="721" t="s">
        <v>2602</v>
      </c>
      <c r="D786" s="208" t="s">
        <v>2603</v>
      </c>
      <c r="E786" s="148" t="s">
        <v>2414</v>
      </c>
      <c r="F786" s="246" t="s">
        <v>2604</v>
      </c>
      <c r="G786" s="149" t="s">
        <v>2605</v>
      </c>
      <c r="H786" s="148" t="s">
        <v>257</v>
      </c>
      <c r="I786" s="150">
        <v>0.3</v>
      </c>
      <c r="J786" s="168">
        <v>2639.0</v>
      </c>
      <c r="K786" s="169">
        <f t="shared" si="74"/>
        <v>6160</v>
      </c>
      <c r="L786" s="170">
        <v>8799.0</v>
      </c>
      <c r="M786" s="239">
        <v>8549.97</v>
      </c>
      <c r="N786" s="155">
        <v>1999.99</v>
      </c>
      <c r="O786" s="315">
        <f t="shared" si="75"/>
        <v>249.03</v>
      </c>
      <c r="P786" s="344">
        <f t="shared" si="69"/>
        <v>24.03</v>
      </c>
      <c r="Q786" s="510">
        <v>225.0</v>
      </c>
      <c r="R786" s="672" t="b">
        <v>0</v>
      </c>
      <c r="S786" s="318"/>
      <c r="T786" s="319"/>
      <c r="U786" s="315"/>
      <c r="V786" s="144" t="s">
        <v>584</v>
      </c>
      <c r="W786" s="149"/>
      <c r="X786" s="163"/>
      <c r="Y786" s="144" t="s">
        <v>584</v>
      </c>
      <c r="Z786" s="164"/>
      <c r="AA786" s="116"/>
      <c r="AB786" s="116"/>
      <c r="AC786" s="165"/>
      <c r="AD786" s="675" t="str">
        <f t="shared" si="73"/>
        <v>JUNIO</v>
      </c>
      <c r="AE786" s="144" t="s">
        <v>471</v>
      </c>
      <c r="AF786" s="149" t="b">
        <v>1</v>
      </c>
      <c r="AG786" s="166"/>
      <c r="AH786" s="149" t="b">
        <v>0</v>
      </c>
      <c r="AI786" s="162"/>
      <c r="AJ786" s="143"/>
      <c r="AK786" s="143"/>
      <c r="AL786" s="143"/>
      <c r="AM786" s="143"/>
      <c r="AN786" s="143"/>
      <c r="AO786" s="143"/>
      <c r="AP786" s="143"/>
      <c r="AQ786" s="143"/>
    </row>
    <row r="787" ht="22.5" customHeight="1">
      <c r="A787" s="144" t="s">
        <v>1833</v>
      </c>
      <c r="B787" s="145">
        <v>46185.0</v>
      </c>
      <c r="C787" s="188" t="s">
        <v>2606</v>
      </c>
      <c r="D787" s="208" t="s">
        <v>2607</v>
      </c>
      <c r="E787" s="148" t="s">
        <v>2427</v>
      </c>
      <c r="F787" s="246" t="s">
        <v>2608</v>
      </c>
      <c r="G787" s="149">
        <v>5.1923521436E10</v>
      </c>
      <c r="H787" s="148" t="s">
        <v>257</v>
      </c>
      <c r="I787" s="150">
        <v>0.3</v>
      </c>
      <c r="J787" s="168">
        <v>3300.0</v>
      </c>
      <c r="K787" s="169">
        <f t="shared" si="74"/>
        <v>7700</v>
      </c>
      <c r="L787" s="170">
        <v>11000.0</v>
      </c>
      <c r="M787" s="239">
        <v>10838.83</v>
      </c>
      <c r="N787" s="155">
        <v>2549.0</v>
      </c>
      <c r="O787" s="315">
        <f t="shared" si="75"/>
        <v>161.17</v>
      </c>
      <c r="P787" s="344">
        <f t="shared" si="69"/>
        <v>161.17</v>
      </c>
      <c r="Q787" s="321"/>
      <c r="R787" s="672" t="b">
        <v>0</v>
      </c>
      <c r="S787" s="318"/>
      <c r="T787" s="319"/>
      <c r="U787" s="315"/>
      <c r="V787" s="144" t="s">
        <v>584</v>
      </c>
      <c r="W787" s="149"/>
      <c r="X787" s="163"/>
      <c r="Y787" s="144" t="s">
        <v>584</v>
      </c>
      <c r="Z787" s="164"/>
      <c r="AA787" s="116"/>
      <c r="AB787" s="116"/>
      <c r="AC787" s="165"/>
      <c r="AD787" s="675" t="str">
        <f t="shared" si="73"/>
        <v>JUNIO</v>
      </c>
      <c r="AE787" s="144" t="s">
        <v>471</v>
      </c>
      <c r="AF787" s="149" t="b">
        <v>1</v>
      </c>
      <c r="AG787" s="166"/>
      <c r="AH787" s="149" t="b">
        <v>0</v>
      </c>
      <c r="AI787" s="162"/>
      <c r="AJ787" s="143"/>
      <c r="AK787" s="143"/>
      <c r="AL787" s="143"/>
      <c r="AM787" s="143"/>
      <c r="AN787" s="143"/>
      <c r="AO787" s="143"/>
      <c r="AP787" s="143"/>
      <c r="AQ787" s="143"/>
    </row>
    <row r="788" ht="22.5" customHeight="1">
      <c r="A788" s="144" t="s">
        <v>1824</v>
      </c>
      <c r="B788" s="145">
        <v>46185.0</v>
      </c>
      <c r="C788" s="149" t="s">
        <v>2483</v>
      </c>
      <c r="D788" s="208" t="s">
        <v>2609</v>
      </c>
      <c r="E788" s="148" t="s">
        <v>2414</v>
      </c>
      <c r="F788" s="149" t="s">
        <v>2610</v>
      </c>
      <c r="G788" s="149">
        <v>5.1946384632E10</v>
      </c>
      <c r="H788" s="148" t="s">
        <v>257</v>
      </c>
      <c r="I788" s="150">
        <v>0.2</v>
      </c>
      <c r="J788" s="168">
        <v>1439.8</v>
      </c>
      <c r="K788" s="169">
        <f t="shared" si="74"/>
        <v>5759.2</v>
      </c>
      <c r="L788" s="170">
        <v>7199.0</v>
      </c>
      <c r="M788" s="239">
        <v>6857.0</v>
      </c>
      <c r="N788" s="155">
        <v>1574.99</v>
      </c>
      <c r="O788" s="315">
        <f t="shared" si="75"/>
        <v>342</v>
      </c>
      <c r="P788" s="344">
        <f t="shared" si="69"/>
        <v>342</v>
      </c>
      <c r="Q788" s="321"/>
      <c r="R788" s="672" t="b">
        <v>0</v>
      </c>
      <c r="S788" s="318"/>
      <c r="T788" s="319"/>
      <c r="U788" s="315"/>
      <c r="V788" s="144" t="s">
        <v>584</v>
      </c>
      <c r="W788" s="149"/>
      <c r="X788" s="163"/>
      <c r="Y788" s="162"/>
      <c r="Z788" s="164"/>
      <c r="AA788" s="116"/>
      <c r="AB788" s="116"/>
      <c r="AC788" s="165"/>
      <c r="AD788" s="675" t="str">
        <f t="shared" si="73"/>
        <v>JUNIO</v>
      </c>
      <c r="AE788" s="144" t="s">
        <v>471</v>
      </c>
      <c r="AF788" s="149" t="b">
        <v>1</v>
      </c>
      <c r="AG788" s="166"/>
      <c r="AH788" s="149" t="b">
        <v>0</v>
      </c>
      <c r="AI788" s="162"/>
      <c r="AJ788" s="143"/>
      <c r="AK788" s="143"/>
      <c r="AL788" s="143"/>
      <c r="AM788" s="143"/>
      <c r="AN788" s="143"/>
      <c r="AO788" s="143"/>
      <c r="AP788" s="143"/>
      <c r="AQ788" s="143"/>
    </row>
    <row r="789" ht="22.5" customHeight="1">
      <c r="A789" s="144" t="s">
        <v>1824</v>
      </c>
      <c r="B789" s="145">
        <v>46185.0</v>
      </c>
      <c r="C789" s="149" t="s">
        <v>1469</v>
      </c>
      <c r="D789" s="208" t="s">
        <v>2611</v>
      </c>
      <c r="E789" s="148" t="s">
        <v>2612</v>
      </c>
      <c r="F789" s="149" t="s">
        <v>2613</v>
      </c>
      <c r="G789" s="149">
        <v>5.1914389397E10</v>
      </c>
      <c r="H789" s="148" t="s">
        <v>257</v>
      </c>
      <c r="I789" s="150">
        <v>0.2</v>
      </c>
      <c r="J789" s="168">
        <v>7799.0</v>
      </c>
      <c r="K789" s="169">
        <f t="shared" si="74"/>
        <v>3000</v>
      </c>
      <c r="L789" s="170">
        <v>10799.0</v>
      </c>
      <c r="M789" s="239">
        <v>10547.0</v>
      </c>
      <c r="N789" s="155">
        <v>2299.99</v>
      </c>
      <c r="O789" s="315">
        <f t="shared" si="75"/>
        <v>252</v>
      </c>
      <c r="P789" s="344">
        <f t="shared" si="69"/>
        <v>252</v>
      </c>
      <c r="Q789" s="321"/>
      <c r="R789" s="672" t="b">
        <v>0</v>
      </c>
      <c r="S789" s="318"/>
      <c r="T789" s="319"/>
      <c r="U789" s="315"/>
      <c r="V789" s="144" t="s">
        <v>584</v>
      </c>
      <c r="W789" s="149"/>
      <c r="X789" s="163"/>
      <c r="Y789" s="162"/>
      <c r="Z789" s="164"/>
      <c r="AA789" s="116"/>
      <c r="AB789" s="116"/>
      <c r="AC789" s="165"/>
      <c r="AD789" s="675" t="str">
        <f t="shared" si="73"/>
        <v>JUNIO</v>
      </c>
      <c r="AE789" s="144" t="s">
        <v>471</v>
      </c>
      <c r="AF789" s="149" t="b">
        <v>1</v>
      </c>
      <c r="AG789" s="166"/>
      <c r="AH789" s="149" t="b">
        <v>0</v>
      </c>
      <c r="AI789" s="162"/>
      <c r="AJ789" s="143"/>
      <c r="AK789" s="143"/>
      <c r="AL789" s="143"/>
      <c r="AM789" s="143"/>
      <c r="AN789" s="143"/>
      <c r="AO789" s="143"/>
      <c r="AP789" s="143"/>
      <c r="AQ789" s="143"/>
    </row>
    <row r="790" ht="22.5" customHeight="1">
      <c r="A790" s="144" t="s">
        <v>162</v>
      </c>
      <c r="B790" s="145">
        <v>46185.0</v>
      </c>
      <c r="C790" s="149" t="s">
        <v>2614</v>
      </c>
      <c r="D790" s="1071" t="s">
        <v>2615</v>
      </c>
      <c r="E790" s="148" t="s">
        <v>28</v>
      </c>
      <c r="F790" s="583" t="s">
        <v>2616</v>
      </c>
      <c r="G790" s="149">
        <v>5.1993218401E10</v>
      </c>
      <c r="H790" s="148" t="s">
        <v>257</v>
      </c>
      <c r="I790" s="150">
        <v>1.0</v>
      </c>
      <c r="J790" s="168">
        <v>7899.0</v>
      </c>
      <c r="K790" s="169">
        <f t="shared" si="74"/>
        <v>0</v>
      </c>
      <c r="L790" s="170">
        <v>7899.0</v>
      </c>
      <c r="M790" s="239">
        <v>7338.0</v>
      </c>
      <c r="N790" s="155">
        <v>1529.0</v>
      </c>
      <c r="O790" s="315">
        <f t="shared" si="75"/>
        <v>561</v>
      </c>
      <c r="P790" s="344">
        <f t="shared" si="69"/>
        <v>62</v>
      </c>
      <c r="Q790" s="510">
        <v>100.0</v>
      </c>
      <c r="R790" s="672" t="b">
        <v>0</v>
      </c>
      <c r="S790" s="318">
        <v>399.0</v>
      </c>
      <c r="T790" s="319"/>
      <c r="U790" s="315"/>
      <c r="V790" s="162"/>
      <c r="W790" s="149"/>
      <c r="X790" s="163"/>
      <c r="Y790" s="162"/>
      <c r="Z790" s="164"/>
      <c r="AA790" s="116"/>
      <c r="AB790" s="116"/>
      <c r="AC790" s="165"/>
      <c r="AD790" s="675" t="str">
        <f t="shared" si="73"/>
        <v>JUNIO</v>
      </c>
      <c r="AE790" s="144" t="s">
        <v>471</v>
      </c>
      <c r="AF790" s="149" t="b">
        <v>1</v>
      </c>
      <c r="AG790" s="144" t="s">
        <v>471</v>
      </c>
      <c r="AH790" s="149" t="b">
        <v>0</v>
      </c>
      <c r="AI790" s="162"/>
      <c r="AJ790" s="143"/>
      <c r="AK790" s="143"/>
      <c r="AL790" s="143"/>
      <c r="AM790" s="143"/>
      <c r="AN790" s="143"/>
      <c r="AO790" s="143"/>
      <c r="AP790" s="143"/>
      <c r="AQ790" s="143"/>
    </row>
    <row r="791" ht="22.5" customHeight="1">
      <c r="A791" s="144" t="s">
        <v>162</v>
      </c>
      <c r="B791" s="145">
        <v>46186.0</v>
      </c>
      <c r="C791" s="1072" t="s">
        <v>2265</v>
      </c>
      <c r="D791" s="984" t="s">
        <v>2617</v>
      </c>
      <c r="E791" s="1034" t="s">
        <v>2524</v>
      </c>
      <c r="F791" s="1073" t="s">
        <v>2618</v>
      </c>
      <c r="G791" s="149" t="s">
        <v>2619</v>
      </c>
      <c r="H791" s="148" t="s">
        <v>257</v>
      </c>
      <c r="I791" s="148" t="s">
        <v>61</v>
      </c>
      <c r="J791" s="168">
        <v>2910.0</v>
      </c>
      <c r="K791" s="169">
        <f t="shared" si="74"/>
        <v>8239</v>
      </c>
      <c r="L791" s="170">
        <v>11149.0</v>
      </c>
      <c r="M791" s="239">
        <v>11004.0</v>
      </c>
      <c r="N791" s="155">
        <v>2499.99</v>
      </c>
      <c r="O791" s="315">
        <f t="shared" si="75"/>
        <v>145</v>
      </c>
      <c r="P791" s="344">
        <f t="shared" si="69"/>
        <v>145</v>
      </c>
      <c r="Q791" s="321"/>
      <c r="R791" s="672" t="b">
        <v>0</v>
      </c>
      <c r="S791" s="318"/>
      <c r="T791" s="319"/>
      <c r="U791" s="315"/>
      <c r="V791" s="144" t="s">
        <v>584</v>
      </c>
      <c r="W791" s="149"/>
      <c r="X791" s="163"/>
      <c r="Y791" s="162"/>
      <c r="Z791" s="164"/>
      <c r="AA791" s="116"/>
      <c r="AB791" s="116"/>
      <c r="AC791" s="165"/>
      <c r="AD791" s="675" t="str">
        <f t="shared" si="73"/>
        <v>JUNIO</v>
      </c>
      <c r="AE791" s="144" t="s">
        <v>172</v>
      </c>
      <c r="AF791" s="149" t="b">
        <v>0</v>
      </c>
      <c r="AG791" s="166"/>
      <c r="AH791" s="149" t="b">
        <v>0</v>
      </c>
      <c r="AI791" s="162"/>
      <c r="AJ791" s="143"/>
      <c r="AK791" s="143"/>
      <c r="AL791" s="143"/>
      <c r="AM791" s="143"/>
      <c r="AN791" s="143"/>
      <c r="AO791" s="143"/>
      <c r="AP791" s="143"/>
      <c r="AQ791" s="143"/>
    </row>
    <row r="792" ht="22.5" customHeight="1">
      <c r="A792" s="144" t="s">
        <v>1833</v>
      </c>
      <c r="B792" s="145">
        <v>46188.0</v>
      </c>
      <c r="C792" s="1074" t="s">
        <v>2620</v>
      </c>
      <c r="D792" s="1075" t="s">
        <v>2621</v>
      </c>
      <c r="E792" s="337" t="s">
        <v>2427</v>
      </c>
      <c r="F792" s="451" t="s">
        <v>2622</v>
      </c>
      <c r="G792" s="149">
        <v>5.1993549705E10</v>
      </c>
      <c r="H792" s="148" t="s">
        <v>257</v>
      </c>
      <c r="I792" s="150">
        <v>0.2</v>
      </c>
      <c r="J792" s="168">
        <v>1516.0</v>
      </c>
      <c r="K792" s="169">
        <f t="shared" si="74"/>
        <v>6064</v>
      </c>
      <c r="L792" s="170">
        <v>7580.0</v>
      </c>
      <c r="M792" s="239">
        <v>7315.35</v>
      </c>
      <c r="N792" s="155">
        <v>1699.99</v>
      </c>
      <c r="O792" s="315">
        <f t="shared" si="75"/>
        <v>264.65</v>
      </c>
      <c r="P792" s="344">
        <f t="shared" si="69"/>
        <v>264.65</v>
      </c>
      <c r="Q792" s="321"/>
      <c r="R792" s="672" t="b">
        <v>0</v>
      </c>
      <c r="S792" s="318"/>
      <c r="T792" s="319"/>
      <c r="U792" s="315"/>
      <c r="V792" s="144" t="s">
        <v>584</v>
      </c>
      <c r="W792" s="149"/>
      <c r="X792" s="163"/>
      <c r="Y792" s="144" t="s">
        <v>584</v>
      </c>
      <c r="Z792" s="164"/>
      <c r="AA792" s="116"/>
      <c r="AB792" s="116"/>
      <c r="AC792" s="165"/>
      <c r="AD792" s="675" t="str">
        <f t="shared" si="73"/>
        <v>JUNIO</v>
      </c>
      <c r="AE792" s="144" t="s">
        <v>172</v>
      </c>
      <c r="AF792" s="149" t="b">
        <v>0</v>
      </c>
      <c r="AG792" s="166"/>
      <c r="AH792" s="149" t="b">
        <v>0</v>
      </c>
      <c r="AI792" s="162"/>
      <c r="AJ792" s="143"/>
      <c r="AK792" s="143"/>
      <c r="AL792" s="143"/>
      <c r="AM792" s="143"/>
      <c r="AN792" s="143"/>
      <c r="AO792" s="143"/>
      <c r="AP792" s="143"/>
      <c r="AQ792" s="143"/>
    </row>
    <row r="793" ht="22.5" customHeight="1">
      <c r="A793" s="144" t="s">
        <v>1824</v>
      </c>
      <c r="B793" s="145">
        <v>46189.0</v>
      </c>
      <c r="C793" s="149" t="s">
        <v>2364</v>
      </c>
      <c r="D793" s="208" t="s">
        <v>2623</v>
      </c>
      <c r="E793" s="148" t="s">
        <v>28</v>
      </c>
      <c r="F793" s="149" t="s">
        <v>2624</v>
      </c>
      <c r="G793" s="149">
        <v>5.1918570526E10</v>
      </c>
      <c r="H793" s="148" t="s">
        <v>257</v>
      </c>
      <c r="I793" s="150">
        <v>1.0</v>
      </c>
      <c r="J793" s="168">
        <v>6485.0</v>
      </c>
      <c r="K793" s="169">
        <f t="shared" si="74"/>
        <v>0</v>
      </c>
      <c r="L793" s="170">
        <v>6485.0</v>
      </c>
      <c r="M793" s="239">
        <v>6095.0</v>
      </c>
      <c r="N793" s="155">
        <v>1399.0</v>
      </c>
      <c r="O793" s="315">
        <f t="shared" si="75"/>
        <v>390</v>
      </c>
      <c r="P793" s="344">
        <f t="shared" si="69"/>
        <v>55</v>
      </c>
      <c r="Q793" s="510">
        <v>335.0</v>
      </c>
      <c r="R793" s="672" t="b">
        <v>0</v>
      </c>
      <c r="S793" s="318"/>
      <c r="T793" s="934"/>
      <c r="U793" s="315"/>
      <c r="V793" s="144" t="s">
        <v>584</v>
      </c>
      <c r="W793" s="149"/>
      <c r="X793" s="163"/>
      <c r="Y793" s="162"/>
      <c r="Z793" s="164"/>
      <c r="AA793" s="116"/>
      <c r="AB793" s="116"/>
      <c r="AC793" s="165"/>
      <c r="AD793" s="675" t="str">
        <f t="shared" si="73"/>
        <v>JUNIO</v>
      </c>
      <c r="AE793" s="144" t="s">
        <v>471</v>
      </c>
      <c r="AF793" s="149" t="b">
        <v>1</v>
      </c>
      <c r="AG793" s="144" t="s">
        <v>471</v>
      </c>
      <c r="AH793" s="149" t="b">
        <v>0</v>
      </c>
      <c r="AI793" s="144" t="s">
        <v>2384</v>
      </c>
      <c r="AJ793" s="143"/>
      <c r="AK793" s="143"/>
      <c r="AL793" s="143"/>
      <c r="AM793" s="143"/>
      <c r="AN793" s="143"/>
      <c r="AO793" s="143"/>
      <c r="AP793" s="143"/>
      <c r="AQ793" s="143"/>
    </row>
    <row r="794" ht="22.5" customHeight="1">
      <c r="A794" s="144" t="s">
        <v>1824</v>
      </c>
      <c r="B794" s="145">
        <v>46189.0</v>
      </c>
      <c r="C794" s="149" t="s">
        <v>1508</v>
      </c>
      <c r="D794" s="208" t="s">
        <v>2623</v>
      </c>
      <c r="E794" s="148" t="s">
        <v>28</v>
      </c>
      <c r="F794" s="149" t="s">
        <v>2625</v>
      </c>
      <c r="G794" s="149">
        <v>5.1918570526E10</v>
      </c>
      <c r="H794" s="148" t="s">
        <v>257</v>
      </c>
      <c r="I794" s="150">
        <v>1.0</v>
      </c>
      <c r="J794" s="168">
        <v>5900.0</v>
      </c>
      <c r="K794" s="169">
        <f t="shared" si="74"/>
        <v>0</v>
      </c>
      <c r="L794" s="170">
        <v>5900.0</v>
      </c>
      <c r="M794" s="239">
        <v>5826.0</v>
      </c>
      <c r="N794" s="155">
        <v>1299.0</v>
      </c>
      <c r="O794" s="315">
        <f t="shared" si="75"/>
        <v>74</v>
      </c>
      <c r="P794" s="344">
        <f t="shared" si="69"/>
        <v>-26</v>
      </c>
      <c r="Q794" s="510">
        <v>100.0</v>
      </c>
      <c r="R794" s="672" t="b">
        <v>0</v>
      </c>
      <c r="S794" s="318"/>
      <c r="T794" s="319"/>
      <c r="U794" s="315"/>
      <c r="V794" s="162"/>
      <c r="W794" s="149"/>
      <c r="X794" s="163"/>
      <c r="Y794" s="162"/>
      <c r="Z794" s="164"/>
      <c r="AA794" s="116"/>
      <c r="AB794" s="116"/>
      <c r="AC794" s="165"/>
      <c r="AD794" s="675" t="str">
        <f t="shared" si="73"/>
        <v>JUNIO</v>
      </c>
      <c r="AE794" s="144" t="s">
        <v>471</v>
      </c>
      <c r="AF794" s="149" t="b">
        <v>1</v>
      </c>
      <c r="AG794" s="144" t="s">
        <v>471</v>
      </c>
      <c r="AH794" s="149" t="b">
        <v>0</v>
      </c>
      <c r="AI794" s="162"/>
      <c r="AJ794" s="143"/>
      <c r="AK794" s="143"/>
      <c r="AL794" s="143"/>
      <c r="AM794" s="143"/>
      <c r="AN794" s="143"/>
      <c r="AO794" s="143"/>
      <c r="AP794" s="143"/>
      <c r="AQ794" s="143"/>
    </row>
    <row r="795" ht="22.5" customHeight="1">
      <c r="A795" s="144" t="s">
        <v>1833</v>
      </c>
      <c r="B795" s="145">
        <v>46190.0</v>
      </c>
      <c r="C795" s="664" t="s">
        <v>2626</v>
      </c>
      <c r="D795" s="208" t="s">
        <v>2627</v>
      </c>
      <c r="E795" s="148" t="s">
        <v>2524</v>
      </c>
      <c r="F795" s="1076" t="s">
        <v>2628</v>
      </c>
      <c r="G795" s="149" t="s">
        <v>2629</v>
      </c>
      <c r="H795" s="148" t="s">
        <v>257</v>
      </c>
      <c r="I795" s="150">
        <v>0.2</v>
      </c>
      <c r="J795" s="168">
        <v>1299.8</v>
      </c>
      <c r="K795" s="169">
        <f t="shared" si="74"/>
        <v>5199.2</v>
      </c>
      <c r="L795" s="170">
        <v>6499.0</v>
      </c>
      <c r="M795" s="239">
        <v>6064.21</v>
      </c>
      <c r="N795" s="155">
        <v>1399.99</v>
      </c>
      <c r="O795" s="315">
        <f t="shared" si="75"/>
        <v>434.79</v>
      </c>
      <c r="P795" s="344">
        <f t="shared" si="69"/>
        <v>434.79</v>
      </c>
      <c r="Q795" s="321"/>
      <c r="R795" s="672" t="b">
        <v>0</v>
      </c>
      <c r="S795" s="318"/>
      <c r="T795" s="319"/>
      <c r="U795" s="315"/>
      <c r="V795" s="144" t="s">
        <v>584</v>
      </c>
      <c r="W795" s="149"/>
      <c r="X795" s="163"/>
      <c r="Y795" s="144" t="s">
        <v>968</v>
      </c>
      <c r="Z795" s="164"/>
      <c r="AA795" s="116"/>
      <c r="AB795" s="116"/>
      <c r="AC795" s="165"/>
      <c r="AD795" s="675" t="str">
        <f t="shared" si="73"/>
        <v>JUNIO</v>
      </c>
      <c r="AE795" s="144" t="s">
        <v>172</v>
      </c>
      <c r="AF795" s="149" t="b">
        <v>0</v>
      </c>
      <c r="AG795" s="166"/>
      <c r="AH795" s="149" t="b">
        <v>0</v>
      </c>
      <c r="AI795" s="162"/>
      <c r="AJ795" s="143"/>
      <c r="AK795" s="143"/>
      <c r="AL795" s="143"/>
      <c r="AM795" s="143"/>
      <c r="AN795" s="143"/>
      <c r="AO795" s="143"/>
      <c r="AP795" s="143"/>
      <c r="AQ795" s="143"/>
    </row>
    <row r="796" ht="22.5" customHeight="1">
      <c r="A796" s="144" t="s">
        <v>1833</v>
      </c>
      <c r="B796" s="145">
        <v>46191.0</v>
      </c>
      <c r="C796" s="1077" t="s">
        <v>2630</v>
      </c>
      <c r="D796" s="102" t="s">
        <v>2465</v>
      </c>
      <c r="E796" s="148" t="s">
        <v>2524</v>
      </c>
      <c r="F796" s="246" t="s">
        <v>2631</v>
      </c>
      <c r="G796" s="149">
        <v>5.1990500634E10</v>
      </c>
      <c r="H796" s="148" t="s">
        <v>257</v>
      </c>
      <c r="I796" s="150">
        <v>0.2</v>
      </c>
      <c r="J796" s="168">
        <v>1399.8</v>
      </c>
      <c r="K796" s="169">
        <f t="shared" si="74"/>
        <v>5599.2</v>
      </c>
      <c r="L796" s="170">
        <v>6999.0</v>
      </c>
      <c r="M796" s="239">
        <v>6510.97</v>
      </c>
      <c r="N796" s="155">
        <v>1499.99</v>
      </c>
      <c r="O796" s="315">
        <f t="shared" si="75"/>
        <v>488.03</v>
      </c>
      <c r="P796" s="344">
        <f t="shared" si="69"/>
        <v>488.03</v>
      </c>
      <c r="Q796" s="321"/>
      <c r="R796" s="672" t="b">
        <v>0</v>
      </c>
      <c r="S796" s="318"/>
      <c r="T796" s="319"/>
      <c r="U796" s="315"/>
      <c r="V796" s="144" t="s">
        <v>584</v>
      </c>
      <c r="W796" s="149"/>
      <c r="X796" s="163"/>
      <c r="Y796" s="144" t="s">
        <v>584</v>
      </c>
      <c r="Z796" s="164"/>
      <c r="AA796" s="116"/>
      <c r="AB796" s="116"/>
      <c r="AC796" s="165"/>
      <c r="AD796" s="675" t="str">
        <f t="shared" si="73"/>
        <v>JUNIO</v>
      </c>
      <c r="AE796" s="144" t="s">
        <v>172</v>
      </c>
      <c r="AF796" s="149" t="b">
        <v>0</v>
      </c>
      <c r="AG796" s="166"/>
      <c r="AH796" s="149" t="b">
        <v>0</v>
      </c>
      <c r="AI796" s="162"/>
      <c r="AJ796" s="143"/>
      <c r="AK796" s="143"/>
      <c r="AL796" s="143"/>
      <c r="AM796" s="143"/>
      <c r="AN796" s="143"/>
      <c r="AO796" s="143"/>
      <c r="AP796" s="143"/>
      <c r="AQ796" s="143"/>
    </row>
    <row r="797" ht="22.5" customHeight="1">
      <c r="A797" s="144" t="s">
        <v>162</v>
      </c>
      <c r="B797" s="145">
        <v>46192.0</v>
      </c>
      <c r="C797" s="149" t="s">
        <v>2364</v>
      </c>
      <c r="D797" s="208" t="s">
        <v>2632</v>
      </c>
      <c r="E797" s="148" t="s">
        <v>2612</v>
      </c>
      <c r="F797" s="630" t="s">
        <v>2633</v>
      </c>
      <c r="G797" s="149">
        <v>5.1924477964E10</v>
      </c>
      <c r="H797" s="148" t="s">
        <v>257</v>
      </c>
      <c r="I797" s="150">
        <v>0.2</v>
      </c>
      <c r="J797" s="168">
        <v>1299.0</v>
      </c>
      <c r="K797" s="169">
        <f t="shared" si="74"/>
        <v>5200</v>
      </c>
      <c r="L797" s="170">
        <v>6499.0</v>
      </c>
      <c r="M797" s="239">
        <v>6064.21</v>
      </c>
      <c r="N797" s="155">
        <v>1399.99</v>
      </c>
      <c r="O797" s="315">
        <f t="shared" si="75"/>
        <v>434.79</v>
      </c>
      <c r="P797" s="344">
        <f t="shared" si="69"/>
        <v>434.79</v>
      </c>
      <c r="Q797" s="321"/>
      <c r="R797" s="672" t="b">
        <v>0</v>
      </c>
      <c r="S797" s="318"/>
      <c r="T797" s="319"/>
      <c r="U797" s="315"/>
      <c r="V797" s="144" t="s">
        <v>584</v>
      </c>
      <c r="W797" s="149"/>
      <c r="X797" s="163"/>
      <c r="Y797" s="162"/>
      <c r="Z797" s="164"/>
      <c r="AA797" s="116"/>
      <c r="AB797" s="116"/>
      <c r="AC797" s="165"/>
      <c r="AD797" s="675" t="str">
        <f t="shared" si="73"/>
        <v>JUNIO</v>
      </c>
      <c r="AE797" s="144" t="s">
        <v>172</v>
      </c>
      <c r="AF797" s="149" t="b">
        <v>0</v>
      </c>
      <c r="AG797" s="166"/>
      <c r="AH797" s="149" t="b">
        <v>0</v>
      </c>
      <c r="AI797" s="162"/>
      <c r="AJ797" s="143"/>
      <c r="AK797" s="143"/>
      <c r="AL797" s="143"/>
      <c r="AM797" s="143"/>
      <c r="AN797" s="143"/>
      <c r="AO797" s="143"/>
      <c r="AP797" s="143"/>
      <c r="AQ797" s="143"/>
    </row>
    <row r="798" ht="22.5" customHeight="1">
      <c r="A798" s="144" t="s">
        <v>162</v>
      </c>
      <c r="B798" s="145">
        <v>46193.0</v>
      </c>
      <c r="C798" s="149" t="s">
        <v>2483</v>
      </c>
      <c r="D798" s="763" t="s">
        <v>2634</v>
      </c>
      <c r="E798" s="148" t="s">
        <v>2612</v>
      </c>
      <c r="F798" s="262" t="s">
        <v>2635</v>
      </c>
      <c r="G798" s="149">
        <v>5.19832275E10</v>
      </c>
      <c r="H798" s="148" t="s">
        <v>257</v>
      </c>
      <c r="I798" s="150">
        <v>0.2</v>
      </c>
      <c r="J798" s="168">
        <v>1520.0</v>
      </c>
      <c r="K798" s="169">
        <f t="shared" si="74"/>
        <v>6079</v>
      </c>
      <c r="L798" s="170">
        <v>7599.0</v>
      </c>
      <c r="M798" s="239">
        <v>7134.0</v>
      </c>
      <c r="N798" s="155">
        <v>1649.99</v>
      </c>
      <c r="O798" s="315">
        <f t="shared" si="75"/>
        <v>465</v>
      </c>
      <c r="P798" s="344">
        <f t="shared" si="69"/>
        <v>465</v>
      </c>
      <c r="Q798" s="321"/>
      <c r="R798" s="672" t="b">
        <v>0</v>
      </c>
      <c r="S798" s="318"/>
      <c r="T798" s="319"/>
      <c r="U798" s="315"/>
      <c r="V798" s="144" t="s">
        <v>584</v>
      </c>
      <c r="W798" s="149"/>
      <c r="X798" s="163"/>
      <c r="Y798" s="162"/>
      <c r="Z798" s="164"/>
      <c r="AA798" s="116"/>
      <c r="AB798" s="116"/>
      <c r="AC798" s="165"/>
      <c r="AD798" s="675" t="str">
        <f t="shared" si="73"/>
        <v>JUNIO</v>
      </c>
      <c r="AE798" s="144" t="s">
        <v>471</v>
      </c>
      <c r="AF798" s="149" t="b">
        <v>1</v>
      </c>
      <c r="AG798" s="166"/>
      <c r="AH798" s="149" t="b">
        <v>0</v>
      </c>
      <c r="AI798" s="162"/>
      <c r="AJ798" s="143"/>
      <c r="AK798" s="143"/>
      <c r="AL798" s="143"/>
      <c r="AM798" s="143"/>
      <c r="AN798" s="143"/>
      <c r="AO798" s="143"/>
      <c r="AP798" s="143"/>
      <c r="AQ798" s="143"/>
    </row>
    <row r="799" ht="22.5" customHeight="1">
      <c r="A799" s="1078"/>
      <c r="B799" s="1079"/>
      <c r="C799" s="1080" t="s">
        <v>2395</v>
      </c>
      <c r="D799" s="1081"/>
      <c r="E799" s="1082"/>
      <c r="F799" s="1083"/>
      <c r="G799" s="1084"/>
      <c r="H799" s="1082"/>
      <c r="I799" s="1082"/>
      <c r="J799" s="1085"/>
      <c r="K799" s="1086" t="str">
        <f t="shared" si="74"/>
        <v/>
      </c>
      <c r="L799" s="1087"/>
      <c r="M799" s="1088"/>
      <c r="N799" s="1089"/>
      <c r="O799" s="1090">
        <f t="shared" si="75"/>
        <v>0</v>
      </c>
      <c r="P799" s="1091">
        <f t="shared" si="69"/>
        <v>0</v>
      </c>
      <c r="Q799" s="1090"/>
      <c r="R799" s="1092" t="b">
        <v>0</v>
      </c>
      <c r="S799" s="1090"/>
      <c r="T799" s="1093"/>
      <c r="U799" s="1090"/>
      <c r="V799" s="1094"/>
      <c r="W799" s="1080"/>
      <c r="X799" s="1095"/>
      <c r="Y799" s="1094"/>
      <c r="Z799" s="1096"/>
      <c r="AA799" s="1097"/>
      <c r="AB799" s="1097"/>
      <c r="AC799" s="1084"/>
      <c r="AD799" s="1098" t="str">
        <f t="shared" si="73"/>
        <v/>
      </c>
      <c r="AE799" s="1099"/>
      <c r="AF799" s="1080" t="b">
        <v>0</v>
      </c>
      <c r="AG799" s="1099"/>
      <c r="AH799" s="1080" t="b">
        <v>0</v>
      </c>
      <c r="AI799" s="1094"/>
      <c r="AJ799" s="1100"/>
      <c r="AK799" s="1100"/>
      <c r="AL799" s="1100"/>
      <c r="AM799" s="1100"/>
      <c r="AN799" s="1100"/>
      <c r="AO799" s="1100"/>
      <c r="AP799" s="1100"/>
      <c r="AQ799" s="1100"/>
    </row>
    <row r="800" ht="22.5" customHeight="1">
      <c r="A800" s="144" t="s">
        <v>1824</v>
      </c>
      <c r="B800" s="145">
        <v>46196.0</v>
      </c>
      <c r="C800" s="149" t="s">
        <v>2636</v>
      </c>
      <c r="D800" s="208" t="s">
        <v>2637</v>
      </c>
      <c r="E800" s="148" t="s">
        <v>2524</v>
      </c>
      <c r="F800" s="262" t="s">
        <v>2638</v>
      </c>
      <c r="G800" s="149" t="s">
        <v>2639</v>
      </c>
      <c r="H800" s="148" t="s">
        <v>257</v>
      </c>
      <c r="I800" s="150">
        <v>0.2</v>
      </c>
      <c r="J800" s="168">
        <v>1790.0</v>
      </c>
      <c r="K800" s="169">
        <f t="shared" si="74"/>
        <v>7160</v>
      </c>
      <c r="L800" s="170">
        <v>8950.0</v>
      </c>
      <c r="M800" s="239">
        <v>8670.0</v>
      </c>
      <c r="N800" s="155">
        <v>2039.0</v>
      </c>
      <c r="O800" s="315">
        <f t="shared" si="75"/>
        <v>280</v>
      </c>
      <c r="P800" s="344">
        <f t="shared" si="69"/>
        <v>280</v>
      </c>
      <c r="Q800" s="321"/>
      <c r="R800" s="672" t="b">
        <v>0</v>
      </c>
      <c r="S800" s="318"/>
      <c r="T800" s="319"/>
      <c r="U800" s="315"/>
      <c r="V800" s="144" t="s">
        <v>584</v>
      </c>
      <c r="W800" s="149"/>
      <c r="X800" s="163"/>
      <c r="Y800" s="144" t="s">
        <v>968</v>
      </c>
      <c r="Z800" s="164"/>
      <c r="AA800" s="116"/>
      <c r="AB800" s="116"/>
      <c r="AC800" s="165"/>
      <c r="AD800" s="675" t="str">
        <f t="shared" si="73"/>
        <v>JUNIO</v>
      </c>
      <c r="AE800" s="166"/>
      <c r="AF800" s="149" t="b">
        <v>0</v>
      </c>
      <c r="AG800" s="166"/>
      <c r="AH800" s="149" t="b">
        <v>0</v>
      </c>
      <c r="AI800" s="162"/>
      <c r="AJ800" s="143"/>
      <c r="AK800" s="143"/>
      <c r="AL800" s="143"/>
      <c r="AM800" s="143"/>
      <c r="AN800" s="143"/>
      <c r="AO800" s="143"/>
      <c r="AP800" s="143"/>
      <c r="AQ800" s="143"/>
    </row>
    <row r="801" ht="22.5" customHeight="1">
      <c r="A801" s="144" t="s">
        <v>162</v>
      </c>
      <c r="B801" s="145">
        <v>46196.0</v>
      </c>
      <c r="C801" s="1101" t="s">
        <v>2640</v>
      </c>
      <c r="D801" s="208" t="s">
        <v>2641</v>
      </c>
      <c r="E801" s="148" t="s">
        <v>2524</v>
      </c>
      <c r="F801" s="246" t="s">
        <v>2642</v>
      </c>
      <c r="G801" s="149">
        <v>5.1918947168E10</v>
      </c>
      <c r="H801" s="148" t="s">
        <v>257</v>
      </c>
      <c r="I801" s="150">
        <v>0.2</v>
      </c>
      <c r="J801" s="168">
        <v>1439.0</v>
      </c>
      <c r="K801" s="169">
        <f t="shared" si="74"/>
        <v>5760</v>
      </c>
      <c r="L801" s="170">
        <v>7199.0</v>
      </c>
      <c r="M801" s="239">
        <v>6676.0</v>
      </c>
      <c r="N801" s="155">
        <v>1539.99</v>
      </c>
      <c r="O801" s="315">
        <f t="shared" si="75"/>
        <v>523</v>
      </c>
      <c r="P801" s="344">
        <f t="shared" si="69"/>
        <v>523</v>
      </c>
      <c r="Q801" s="321"/>
      <c r="R801" s="672" t="b">
        <v>0</v>
      </c>
      <c r="S801" s="318"/>
      <c r="T801" s="319"/>
      <c r="U801" s="315"/>
      <c r="V801" s="144" t="s">
        <v>584</v>
      </c>
      <c r="W801" s="149"/>
      <c r="X801" s="163"/>
      <c r="Y801" s="144" t="s">
        <v>968</v>
      </c>
      <c r="Z801" s="164"/>
      <c r="AA801" s="116"/>
      <c r="AB801" s="116"/>
      <c r="AC801" s="165"/>
      <c r="AD801" s="675" t="str">
        <f t="shared" si="73"/>
        <v>JUNIO</v>
      </c>
      <c r="AE801" s="144" t="s">
        <v>172</v>
      </c>
      <c r="AF801" s="149" t="b">
        <v>0</v>
      </c>
      <c r="AG801" s="166"/>
      <c r="AH801" s="149" t="b">
        <v>0</v>
      </c>
      <c r="AI801" s="162"/>
      <c r="AJ801" s="143"/>
      <c r="AK801" s="143"/>
      <c r="AL801" s="143"/>
      <c r="AM801" s="143"/>
      <c r="AN801" s="143"/>
      <c r="AO801" s="143"/>
      <c r="AP801" s="143"/>
      <c r="AQ801" s="143"/>
    </row>
    <row r="802" ht="22.5" customHeight="1">
      <c r="A802" s="144" t="s">
        <v>1833</v>
      </c>
      <c r="B802" s="145">
        <v>46196.0</v>
      </c>
      <c r="C802" s="1102" t="s">
        <v>2130</v>
      </c>
      <c r="D802" s="208" t="s">
        <v>2643</v>
      </c>
      <c r="E802" s="148" t="s">
        <v>2524</v>
      </c>
      <c r="F802" s="246" t="s">
        <v>2644</v>
      </c>
      <c r="G802" s="149" t="s">
        <v>2645</v>
      </c>
      <c r="H802" s="148" t="s">
        <v>257</v>
      </c>
      <c r="I802" s="150">
        <v>0.3</v>
      </c>
      <c r="J802" s="168">
        <v>3300.0</v>
      </c>
      <c r="K802" s="169">
        <f t="shared" si="74"/>
        <v>7699</v>
      </c>
      <c r="L802" s="170">
        <v>10999.0</v>
      </c>
      <c r="M802" s="239">
        <v>10263.77</v>
      </c>
      <c r="N802" s="155">
        <v>2299.99</v>
      </c>
      <c r="O802" s="315">
        <f t="shared" si="75"/>
        <v>735.23</v>
      </c>
      <c r="P802" s="344">
        <f t="shared" si="69"/>
        <v>735.23</v>
      </c>
      <c r="Q802" s="321"/>
      <c r="R802" s="672" t="b">
        <v>0</v>
      </c>
      <c r="S802" s="318"/>
      <c r="T802" s="319"/>
      <c r="U802" s="315"/>
      <c r="V802" s="144" t="s">
        <v>584</v>
      </c>
      <c r="W802" s="149"/>
      <c r="X802" s="163"/>
      <c r="Y802" s="144" t="s">
        <v>968</v>
      </c>
      <c r="Z802" s="164"/>
      <c r="AA802" s="116"/>
      <c r="AB802" s="116"/>
      <c r="AC802" s="165"/>
      <c r="AD802" s="675" t="str">
        <f t="shared" si="73"/>
        <v>JUNIO</v>
      </c>
      <c r="AE802" s="166"/>
      <c r="AF802" s="149" t="b">
        <v>0</v>
      </c>
      <c r="AG802" s="166"/>
      <c r="AH802" s="149" t="b">
        <v>0</v>
      </c>
      <c r="AI802" s="162"/>
      <c r="AJ802" s="143"/>
      <c r="AK802" s="143"/>
      <c r="AL802" s="143"/>
      <c r="AM802" s="143"/>
      <c r="AN802" s="143"/>
      <c r="AO802" s="143"/>
      <c r="AP802" s="143"/>
      <c r="AQ802" s="143"/>
    </row>
    <row r="803" ht="22.5" customHeight="1">
      <c r="A803" s="144" t="s">
        <v>162</v>
      </c>
      <c r="B803" s="145">
        <v>46197.0</v>
      </c>
      <c r="C803" s="1103" t="s">
        <v>2602</v>
      </c>
      <c r="D803" s="208" t="s">
        <v>2646</v>
      </c>
      <c r="E803" s="148" t="s">
        <v>2524</v>
      </c>
      <c r="F803" s="246" t="s">
        <v>2647</v>
      </c>
      <c r="G803" s="149">
        <v>5.1942188691E10</v>
      </c>
      <c r="H803" s="148" t="s">
        <v>257</v>
      </c>
      <c r="I803" s="150">
        <v>0.3</v>
      </c>
      <c r="J803" s="168">
        <v>3149.0</v>
      </c>
      <c r="K803" s="169">
        <f t="shared" si="74"/>
        <v>7350</v>
      </c>
      <c r="L803" s="170">
        <v>10499.0</v>
      </c>
      <c r="M803" s="239">
        <v>10227.09</v>
      </c>
      <c r="N803" s="155">
        <v>2399.99</v>
      </c>
      <c r="O803" s="315">
        <f t="shared" si="75"/>
        <v>271.91</v>
      </c>
      <c r="P803" s="344">
        <f t="shared" si="69"/>
        <v>271.91</v>
      </c>
      <c r="Q803" s="321"/>
      <c r="R803" s="672" t="b">
        <v>0</v>
      </c>
      <c r="S803" s="318"/>
      <c r="T803" s="319"/>
      <c r="U803" s="315"/>
      <c r="V803" s="144" t="s">
        <v>584</v>
      </c>
      <c r="W803" s="149"/>
      <c r="X803" s="163"/>
      <c r="Y803" s="144" t="s">
        <v>968</v>
      </c>
      <c r="Z803" s="164"/>
      <c r="AA803" s="116"/>
      <c r="AB803" s="116"/>
      <c r="AC803" s="165"/>
      <c r="AD803" s="675" t="str">
        <f t="shared" si="73"/>
        <v>JUNIO</v>
      </c>
      <c r="AE803" s="166"/>
      <c r="AF803" s="149" t="b">
        <v>0</v>
      </c>
      <c r="AG803" s="166"/>
      <c r="AH803" s="149" t="b">
        <v>0</v>
      </c>
      <c r="AI803" s="162"/>
      <c r="AJ803" s="143"/>
      <c r="AK803" s="143"/>
      <c r="AL803" s="143"/>
      <c r="AM803" s="143"/>
      <c r="AN803" s="143"/>
      <c r="AO803" s="143"/>
      <c r="AP803" s="143"/>
      <c r="AQ803" s="143"/>
    </row>
    <row r="804" ht="22.5" customHeight="1">
      <c r="A804" s="144" t="s">
        <v>162</v>
      </c>
      <c r="B804" s="145">
        <v>46198.0</v>
      </c>
      <c r="C804" s="149" t="s">
        <v>1508</v>
      </c>
      <c r="D804" s="208" t="s">
        <v>2648</v>
      </c>
      <c r="E804" s="148" t="s">
        <v>28</v>
      </c>
      <c r="F804" s="630" t="s">
        <v>2649</v>
      </c>
      <c r="G804" s="149">
        <v>5.1987971943E10</v>
      </c>
      <c r="H804" s="148" t="s">
        <v>257</v>
      </c>
      <c r="I804" s="150">
        <v>1.0</v>
      </c>
      <c r="J804" s="168">
        <v>6099.0</v>
      </c>
      <c r="K804" s="169">
        <f t="shared" si="74"/>
        <v>0</v>
      </c>
      <c r="L804" s="170">
        <v>6099.0</v>
      </c>
      <c r="M804" s="239">
        <v>5826.0</v>
      </c>
      <c r="N804" s="155">
        <v>1299.99</v>
      </c>
      <c r="O804" s="315">
        <f t="shared" si="75"/>
        <v>273</v>
      </c>
      <c r="P804" s="344">
        <f t="shared" si="69"/>
        <v>48</v>
      </c>
      <c r="Q804" s="510">
        <v>225.0</v>
      </c>
      <c r="R804" s="672" t="b">
        <v>0</v>
      </c>
      <c r="S804" s="318"/>
      <c r="T804" s="319"/>
      <c r="U804" s="315"/>
      <c r="V804" s="144" t="s">
        <v>584</v>
      </c>
      <c r="W804" s="149"/>
      <c r="X804" s="163"/>
      <c r="Y804" s="162"/>
      <c r="Z804" s="164"/>
      <c r="AA804" s="116"/>
      <c r="AB804" s="116"/>
      <c r="AC804" s="165"/>
      <c r="AD804" s="675" t="str">
        <f t="shared" si="73"/>
        <v>JUNIO</v>
      </c>
      <c r="AE804" s="166"/>
      <c r="AF804" s="149" t="b">
        <v>0</v>
      </c>
      <c r="AG804" s="166"/>
      <c r="AH804" s="149" t="b">
        <v>0</v>
      </c>
      <c r="AI804" s="144" t="s">
        <v>2384</v>
      </c>
      <c r="AJ804" s="143"/>
      <c r="AK804" s="143"/>
      <c r="AL804" s="143"/>
      <c r="AM804" s="143"/>
      <c r="AN804" s="143"/>
      <c r="AO804" s="143"/>
      <c r="AP804" s="143"/>
      <c r="AQ804" s="143"/>
    </row>
    <row r="805" ht="22.5" customHeight="1">
      <c r="A805" s="144" t="s">
        <v>162</v>
      </c>
      <c r="B805" s="145">
        <v>46199.0</v>
      </c>
      <c r="C805" s="1104" t="s">
        <v>1508</v>
      </c>
      <c r="D805" s="208" t="s">
        <v>2650</v>
      </c>
      <c r="E805" s="148" t="s">
        <v>28</v>
      </c>
      <c r="F805" s="630" t="s">
        <v>2651</v>
      </c>
      <c r="G805" s="149">
        <v>5.1928656864E10</v>
      </c>
      <c r="H805" s="148" t="s">
        <v>257</v>
      </c>
      <c r="I805" s="150">
        <v>1.0</v>
      </c>
      <c r="J805" s="168">
        <v>6099.0</v>
      </c>
      <c r="K805" s="169">
        <f t="shared" si="74"/>
        <v>0</v>
      </c>
      <c r="L805" s="170">
        <v>6099.0</v>
      </c>
      <c r="M805" s="239">
        <v>5826.0</v>
      </c>
      <c r="N805" s="155">
        <v>1299.99</v>
      </c>
      <c r="O805" s="315">
        <f t="shared" si="75"/>
        <v>273</v>
      </c>
      <c r="P805" s="344">
        <f t="shared" si="69"/>
        <v>48</v>
      </c>
      <c r="Q805" s="510">
        <v>225.0</v>
      </c>
      <c r="R805" s="672"/>
      <c r="S805" s="318"/>
      <c r="T805" s="319"/>
      <c r="U805" s="315"/>
      <c r="V805" s="144" t="s">
        <v>584</v>
      </c>
      <c r="W805" s="149"/>
      <c r="X805" s="163"/>
      <c r="Y805" s="162"/>
      <c r="Z805" s="164"/>
      <c r="AA805" s="116"/>
      <c r="AB805" s="116"/>
      <c r="AC805" s="165"/>
      <c r="AD805" s="675"/>
      <c r="AE805" s="166"/>
      <c r="AF805" s="149"/>
      <c r="AG805" s="166"/>
      <c r="AH805" s="149"/>
      <c r="AI805" s="144" t="s">
        <v>2384</v>
      </c>
      <c r="AJ805" s="143"/>
      <c r="AK805" s="143"/>
      <c r="AL805" s="143"/>
      <c r="AM805" s="143"/>
      <c r="AN805" s="143"/>
      <c r="AO805" s="143"/>
      <c r="AP805" s="143"/>
      <c r="AQ805" s="143"/>
    </row>
    <row r="806" ht="22.5" customHeight="1">
      <c r="A806" s="144" t="s">
        <v>162</v>
      </c>
      <c r="B806" s="145">
        <v>46199.0</v>
      </c>
      <c r="C806" s="1105" t="s">
        <v>2652</v>
      </c>
      <c r="D806" s="208" t="s">
        <v>2653</v>
      </c>
      <c r="E806" s="148" t="s">
        <v>2612</v>
      </c>
      <c r="F806" s="825" t="s">
        <v>2654</v>
      </c>
      <c r="G806" s="149">
        <v>5.1931961213E10</v>
      </c>
      <c r="H806" s="148" t="s">
        <v>257</v>
      </c>
      <c r="I806" s="150">
        <v>0.2</v>
      </c>
      <c r="J806" s="168">
        <v>1199.0</v>
      </c>
      <c r="K806" s="169">
        <f t="shared" si="74"/>
        <v>4800</v>
      </c>
      <c r="L806" s="170">
        <v>5999.0</v>
      </c>
      <c r="M806" s="239">
        <v>5538.23</v>
      </c>
      <c r="N806" s="155">
        <v>1269.99</v>
      </c>
      <c r="O806" s="315">
        <f t="shared" si="75"/>
        <v>460.77</v>
      </c>
      <c r="P806" s="344">
        <f t="shared" si="69"/>
        <v>460.77</v>
      </c>
      <c r="Q806" s="321"/>
      <c r="R806" s="672" t="b">
        <v>0</v>
      </c>
      <c r="S806" s="318"/>
      <c r="T806" s="319"/>
      <c r="U806" s="315"/>
      <c r="V806" s="144" t="s">
        <v>584</v>
      </c>
      <c r="W806" s="149"/>
      <c r="X806" s="163"/>
      <c r="Y806" s="162"/>
      <c r="Z806" s="164"/>
      <c r="AA806" s="116"/>
      <c r="AB806" s="116"/>
      <c r="AC806" s="165"/>
      <c r="AD806" s="675" t="str">
        <f t="shared" ref="AD806:AD2005" si="76">UPPER(IF(B806="","",TEXT(B806,"mmmm")))</f>
        <v>JUNIO</v>
      </c>
      <c r="AE806" s="166"/>
      <c r="AF806" s="149" t="b">
        <v>0</v>
      </c>
      <c r="AG806" s="166"/>
      <c r="AH806" s="149" t="b">
        <v>0</v>
      </c>
      <c r="AI806" s="162"/>
      <c r="AJ806" s="143"/>
      <c r="AK806" s="143"/>
      <c r="AL806" s="143"/>
      <c r="AM806" s="143"/>
      <c r="AN806" s="143"/>
      <c r="AO806" s="143"/>
      <c r="AP806" s="143"/>
      <c r="AQ806" s="143"/>
    </row>
    <row r="807" ht="22.5" customHeight="1">
      <c r="A807" s="144" t="s">
        <v>162</v>
      </c>
      <c r="B807" s="145">
        <v>46200.0</v>
      </c>
      <c r="C807" s="149" t="s">
        <v>2483</v>
      </c>
      <c r="D807" s="208" t="s">
        <v>2655</v>
      </c>
      <c r="E807" s="148" t="s">
        <v>28</v>
      </c>
      <c r="F807" s="246" t="s">
        <v>2656</v>
      </c>
      <c r="G807" s="149">
        <v>5.195071924E10</v>
      </c>
      <c r="H807" s="148" t="s">
        <v>257</v>
      </c>
      <c r="I807" s="150">
        <v>1.0</v>
      </c>
      <c r="J807" s="168">
        <v>7449.0</v>
      </c>
      <c r="K807" s="169">
        <f t="shared" si="74"/>
        <v>0</v>
      </c>
      <c r="L807" s="170">
        <v>7449.0</v>
      </c>
      <c r="M807" s="239">
        <v>7134.0</v>
      </c>
      <c r="N807" s="155">
        <v>1649.99</v>
      </c>
      <c r="O807" s="315">
        <f t="shared" si="75"/>
        <v>315</v>
      </c>
      <c r="P807" s="344">
        <f t="shared" si="69"/>
        <v>40</v>
      </c>
      <c r="Q807" s="510">
        <v>225.0</v>
      </c>
      <c r="R807" s="672" t="b">
        <v>1</v>
      </c>
      <c r="S807" s="318"/>
      <c r="T807" s="319"/>
      <c r="U807" s="315"/>
      <c r="V807" s="144" t="s">
        <v>584</v>
      </c>
      <c r="W807" s="149"/>
      <c r="X807" s="163"/>
      <c r="Y807" s="162"/>
      <c r="Z807" s="164"/>
      <c r="AA807" s="116"/>
      <c r="AB807" s="116"/>
      <c r="AC807" s="165"/>
      <c r="AD807" s="675" t="str">
        <f t="shared" si="76"/>
        <v>JUNIO</v>
      </c>
      <c r="AE807" s="166"/>
      <c r="AF807" s="149" t="b">
        <v>0</v>
      </c>
      <c r="AG807" s="166"/>
      <c r="AH807" s="149" t="b">
        <v>0</v>
      </c>
      <c r="AI807" s="144" t="s">
        <v>2384</v>
      </c>
      <c r="AJ807" s="143"/>
      <c r="AK807" s="143"/>
      <c r="AL807" s="143"/>
      <c r="AM807" s="143"/>
      <c r="AN807" s="143"/>
      <c r="AO807" s="143"/>
      <c r="AP807" s="143"/>
      <c r="AQ807" s="143"/>
    </row>
    <row r="808" ht="22.5" customHeight="1">
      <c r="A808" s="144" t="s">
        <v>162</v>
      </c>
      <c r="B808" s="145">
        <v>46200.0</v>
      </c>
      <c r="C808" s="149" t="s">
        <v>2657</v>
      </c>
      <c r="D808" s="208" t="s">
        <v>2658</v>
      </c>
      <c r="E808" s="148" t="s">
        <v>2612</v>
      </c>
      <c r="F808" s="825" t="s">
        <v>2659</v>
      </c>
      <c r="G808" s="149">
        <v>5.1965938326E10</v>
      </c>
      <c r="H808" s="148" t="s">
        <v>257</v>
      </c>
      <c r="I808" s="150">
        <v>0.2</v>
      </c>
      <c r="J808" s="168">
        <v>1439.0</v>
      </c>
      <c r="K808" s="169">
        <f t="shared" si="74"/>
        <v>5760</v>
      </c>
      <c r="L808" s="170">
        <v>7199.0</v>
      </c>
      <c r="M808" s="239">
        <v>6656.49</v>
      </c>
      <c r="N808" s="155">
        <v>1539.99</v>
      </c>
      <c r="O808" s="315">
        <f t="shared" si="75"/>
        <v>542.51</v>
      </c>
      <c r="P808" s="344">
        <f t="shared" si="69"/>
        <v>542.51</v>
      </c>
      <c r="Q808" s="321"/>
      <c r="R808" s="672" t="b">
        <v>0</v>
      </c>
      <c r="S808" s="318"/>
      <c r="T808" s="319"/>
      <c r="U808" s="315"/>
      <c r="V808" s="144" t="s">
        <v>584</v>
      </c>
      <c r="W808" s="149"/>
      <c r="X808" s="163"/>
      <c r="Y808" s="162"/>
      <c r="Z808" s="164"/>
      <c r="AA808" s="116"/>
      <c r="AB808" s="116"/>
      <c r="AC808" s="165"/>
      <c r="AD808" s="675" t="str">
        <f t="shared" si="76"/>
        <v>JUNIO</v>
      </c>
      <c r="AE808" s="166"/>
      <c r="AF808" s="149" t="b">
        <v>0</v>
      </c>
      <c r="AG808" s="166"/>
      <c r="AH808" s="149" t="b">
        <v>0</v>
      </c>
      <c r="AI808" s="162"/>
      <c r="AJ808" s="143"/>
      <c r="AK808" s="143"/>
      <c r="AL808" s="143"/>
      <c r="AM808" s="143"/>
      <c r="AN808" s="143"/>
      <c r="AO808" s="143"/>
      <c r="AP808" s="143"/>
      <c r="AQ808" s="143"/>
    </row>
    <row r="809" ht="22.5" customHeight="1">
      <c r="A809" s="144" t="s">
        <v>1824</v>
      </c>
      <c r="B809" s="145">
        <v>46203.0</v>
      </c>
      <c r="C809" s="149" t="s">
        <v>2660</v>
      </c>
      <c r="D809" s="208" t="s">
        <v>2661</v>
      </c>
      <c r="E809" s="148" t="s">
        <v>2524</v>
      </c>
      <c r="F809" s="246" t="s">
        <v>2662</v>
      </c>
      <c r="G809" s="149">
        <v>5.195560606E10</v>
      </c>
      <c r="H809" s="148" t="s">
        <v>257</v>
      </c>
      <c r="I809" s="148" t="s">
        <v>61</v>
      </c>
      <c r="J809" s="168">
        <v>1200.0</v>
      </c>
      <c r="K809" s="169">
        <f t="shared" si="74"/>
        <v>6000</v>
      </c>
      <c r="L809" s="170">
        <v>7200.0</v>
      </c>
      <c r="M809" s="239">
        <v>6969.0</v>
      </c>
      <c r="N809" s="155">
        <v>1599.0</v>
      </c>
      <c r="O809" s="315">
        <f t="shared" si="75"/>
        <v>231</v>
      </c>
      <c r="P809" s="344">
        <f t="shared" si="69"/>
        <v>231</v>
      </c>
      <c r="Q809" s="321"/>
      <c r="R809" s="672" t="b">
        <v>0</v>
      </c>
      <c r="S809" s="318"/>
      <c r="T809" s="319"/>
      <c r="U809" s="315"/>
      <c r="V809" s="162"/>
      <c r="W809" s="149"/>
      <c r="X809" s="163"/>
      <c r="Y809" s="162"/>
      <c r="Z809" s="164"/>
      <c r="AA809" s="116"/>
      <c r="AB809" s="116"/>
      <c r="AC809" s="165"/>
      <c r="AD809" s="675" t="str">
        <f t="shared" si="76"/>
        <v>JUNIO</v>
      </c>
      <c r="AE809" s="166"/>
      <c r="AF809" s="149" t="b">
        <v>0</v>
      </c>
      <c r="AG809" s="166"/>
      <c r="AH809" s="149" t="b">
        <v>0</v>
      </c>
      <c r="AI809" s="162"/>
      <c r="AJ809" s="143"/>
      <c r="AK809" s="143"/>
      <c r="AL809" s="143"/>
      <c r="AM809" s="143"/>
      <c r="AN809" s="143"/>
      <c r="AO809" s="143"/>
      <c r="AP809" s="143"/>
      <c r="AQ809" s="143"/>
    </row>
    <row r="810" ht="22.5" customHeight="1">
      <c r="A810" s="144" t="s">
        <v>162</v>
      </c>
      <c r="B810" s="145">
        <v>46203.0</v>
      </c>
      <c r="C810" s="1106" t="s">
        <v>1152</v>
      </c>
      <c r="D810" s="208" t="s">
        <v>2663</v>
      </c>
      <c r="E810" s="148" t="s">
        <v>2535</v>
      </c>
      <c r="F810" s="524"/>
      <c r="G810" s="149">
        <v>5.1992281188E10</v>
      </c>
      <c r="H810" s="148" t="s">
        <v>257</v>
      </c>
      <c r="I810" s="150">
        <v>0.3</v>
      </c>
      <c r="J810" s="168">
        <v>2564.7</v>
      </c>
      <c r="K810" s="169">
        <f t="shared" si="74"/>
        <v>5984.3</v>
      </c>
      <c r="L810" s="170">
        <v>8549.0</v>
      </c>
      <c r="M810" s="239">
        <v>8207.96</v>
      </c>
      <c r="N810" s="155">
        <v>1899.99</v>
      </c>
      <c r="O810" s="315">
        <f t="shared" si="75"/>
        <v>341.04</v>
      </c>
      <c r="P810" s="344">
        <f t="shared" si="69"/>
        <v>341.04</v>
      </c>
      <c r="Q810" s="321"/>
      <c r="R810" s="672" t="b">
        <v>0</v>
      </c>
      <c r="S810" s="318"/>
      <c r="T810" s="319"/>
      <c r="U810" s="315"/>
      <c r="V810" s="162"/>
      <c r="W810" s="149"/>
      <c r="X810" s="163"/>
      <c r="Y810" s="162"/>
      <c r="Z810" s="164"/>
      <c r="AA810" s="116"/>
      <c r="AB810" s="116"/>
      <c r="AC810" s="165"/>
      <c r="AD810" s="675" t="str">
        <f t="shared" si="76"/>
        <v>JUNIO</v>
      </c>
      <c r="AE810" s="166"/>
      <c r="AF810" s="149" t="b">
        <v>0</v>
      </c>
      <c r="AG810" s="166"/>
      <c r="AH810" s="149" t="b">
        <v>0</v>
      </c>
      <c r="AI810" s="162"/>
      <c r="AJ810" s="143"/>
      <c r="AK810" s="143"/>
      <c r="AL810" s="143"/>
      <c r="AM810" s="143"/>
      <c r="AN810" s="143"/>
      <c r="AO810" s="143"/>
      <c r="AP810" s="143"/>
      <c r="AQ810" s="143"/>
    </row>
    <row r="811" ht="22.5" customHeight="1">
      <c r="A811" s="144" t="s">
        <v>162</v>
      </c>
      <c r="B811" s="145">
        <v>46204.0</v>
      </c>
      <c r="C811" s="149" t="s">
        <v>2664</v>
      </c>
      <c r="D811" s="208" t="s">
        <v>2665</v>
      </c>
      <c r="E811" s="148" t="s">
        <v>2612</v>
      </c>
      <c r="F811" s="825" t="s">
        <v>2666</v>
      </c>
      <c r="G811" s="149" t="s">
        <v>2667</v>
      </c>
      <c r="H811" s="148" t="s">
        <v>257</v>
      </c>
      <c r="I811" s="150">
        <v>0.2</v>
      </c>
      <c r="J811" s="168">
        <v>1860.0</v>
      </c>
      <c r="K811" s="169">
        <f t="shared" si="74"/>
        <v>7489</v>
      </c>
      <c r="L811" s="170">
        <v>9349.0</v>
      </c>
      <c r="M811" s="239">
        <v>8863.77</v>
      </c>
      <c r="N811" s="155">
        <v>2099.99</v>
      </c>
      <c r="O811" s="315">
        <f t="shared" si="75"/>
        <v>485.23</v>
      </c>
      <c r="P811" s="344">
        <f t="shared" si="69"/>
        <v>485.23</v>
      </c>
      <c r="Q811" s="321"/>
      <c r="R811" s="672" t="b">
        <v>0</v>
      </c>
      <c r="S811" s="318"/>
      <c r="T811" s="319"/>
      <c r="U811" s="315"/>
      <c r="V811" s="162"/>
      <c r="W811" s="149"/>
      <c r="X811" s="163"/>
      <c r="Y811" s="162"/>
      <c r="Z811" s="164"/>
      <c r="AA811" s="116"/>
      <c r="AB811" s="116"/>
      <c r="AC811" s="165"/>
      <c r="AD811" s="675" t="str">
        <f t="shared" si="76"/>
        <v>JULIO</v>
      </c>
      <c r="AE811" s="166"/>
      <c r="AF811" s="149" t="b">
        <v>0</v>
      </c>
      <c r="AG811" s="166"/>
      <c r="AH811" s="149" t="b">
        <v>0</v>
      </c>
      <c r="AI811" s="162"/>
      <c r="AJ811" s="143"/>
      <c r="AK811" s="143"/>
      <c r="AL811" s="143"/>
      <c r="AM811" s="143"/>
      <c r="AN811" s="143"/>
      <c r="AO811" s="143"/>
      <c r="AP811" s="143"/>
      <c r="AQ811" s="143"/>
    </row>
    <row r="812" ht="22.5" customHeight="1">
      <c r="A812" s="144" t="s">
        <v>1824</v>
      </c>
      <c r="B812" s="145">
        <v>46204.0</v>
      </c>
      <c r="C812" s="149" t="s">
        <v>2668</v>
      </c>
      <c r="D812" s="208" t="s">
        <v>498</v>
      </c>
      <c r="E812" s="148" t="s">
        <v>2535</v>
      </c>
      <c r="F812" s="524"/>
      <c r="G812" s="149" t="s">
        <v>500</v>
      </c>
      <c r="H812" s="148" t="s">
        <v>257</v>
      </c>
      <c r="I812" s="150">
        <v>0.2</v>
      </c>
      <c r="J812" s="168">
        <v>2230.0</v>
      </c>
      <c r="K812" s="169">
        <f t="shared" si="74"/>
        <v>8920</v>
      </c>
      <c r="L812" s="170">
        <v>11150.0</v>
      </c>
      <c r="M812" s="239">
        <v>11000.0</v>
      </c>
      <c r="N812" s="155">
        <v>2499.0</v>
      </c>
      <c r="O812" s="315">
        <f t="shared" si="75"/>
        <v>150</v>
      </c>
      <c r="P812" s="344">
        <f t="shared" si="69"/>
        <v>150</v>
      </c>
      <c r="Q812" s="321"/>
      <c r="R812" s="672" t="b">
        <v>0</v>
      </c>
      <c r="S812" s="318"/>
      <c r="T812" s="319"/>
      <c r="U812" s="315"/>
      <c r="V812" s="162"/>
      <c r="W812" s="149"/>
      <c r="X812" s="163"/>
      <c r="Y812" s="162"/>
      <c r="Z812" s="164"/>
      <c r="AA812" s="116"/>
      <c r="AB812" s="116"/>
      <c r="AC812" s="165"/>
      <c r="AD812" s="675" t="str">
        <f t="shared" si="76"/>
        <v>JULIO</v>
      </c>
      <c r="AE812" s="166"/>
      <c r="AF812" s="149" t="b">
        <v>0</v>
      </c>
      <c r="AG812" s="166"/>
      <c r="AH812" s="149" t="b">
        <v>0</v>
      </c>
      <c r="AI812" s="162"/>
      <c r="AJ812" s="143"/>
      <c r="AK812" s="143"/>
      <c r="AL812" s="143"/>
      <c r="AM812" s="143"/>
      <c r="AN812" s="143"/>
      <c r="AO812" s="143"/>
      <c r="AP812" s="143"/>
      <c r="AQ812" s="143"/>
    </row>
    <row r="813" ht="22.5" customHeight="1">
      <c r="A813" s="144" t="s">
        <v>1833</v>
      </c>
      <c r="B813" s="145">
        <v>46204.0</v>
      </c>
      <c r="C813" s="1107" t="s">
        <v>2669</v>
      </c>
      <c r="D813" s="1108" t="s">
        <v>2670</v>
      </c>
      <c r="E813" s="148" t="s">
        <v>2535</v>
      </c>
      <c r="F813" s="524"/>
      <c r="G813" s="149">
        <v>5.1987574565E10</v>
      </c>
      <c r="H813" s="148" t="s">
        <v>257</v>
      </c>
      <c r="I813" s="150">
        <v>0.5</v>
      </c>
      <c r="J813" s="168">
        <v>7432.0</v>
      </c>
      <c r="K813" s="169">
        <f t="shared" si="74"/>
        <v>7432</v>
      </c>
      <c r="L813" s="170">
        <v>14864.0</v>
      </c>
      <c r="M813" s="239">
        <v>11722.92</v>
      </c>
      <c r="N813" s="155">
        <v>2499.99</v>
      </c>
      <c r="O813" s="315">
        <f t="shared" si="75"/>
        <v>3141.08</v>
      </c>
      <c r="P813" s="344">
        <f t="shared" si="69"/>
        <v>3141.08</v>
      </c>
      <c r="Q813" s="321"/>
      <c r="R813" s="672" t="b">
        <v>0</v>
      </c>
      <c r="S813" s="318"/>
      <c r="T813" s="319"/>
      <c r="U813" s="315"/>
      <c r="V813" s="162"/>
      <c r="W813" s="149"/>
      <c r="X813" s="163"/>
      <c r="Y813" s="162"/>
      <c r="Z813" s="10" t="s">
        <v>2671</v>
      </c>
      <c r="AA813" s="116"/>
      <c r="AB813" s="116"/>
      <c r="AC813" s="165"/>
      <c r="AD813" s="675" t="str">
        <f t="shared" si="76"/>
        <v>JULIO</v>
      </c>
      <c r="AE813" s="166"/>
      <c r="AF813" s="149" t="b">
        <v>0</v>
      </c>
      <c r="AG813" s="166"/>
      <c r="AH813" s="149" t="b">
        <v>0</v>
      </c>
      <c r="AI813" s="162"/>
      <c r="AJ813" s="143"/>
      <c r="AK813" s="143"/>
      <c r="AL813" s="143"/>
      <c r="AM813" s="143"/>
      <c r="AN813" s="143"/>
      <c r="AO813" s="143"/>
      <c r="AP813" s="143"/>
      <c r="AQ813" s="143"/>
    </row>
    <row r="814" ht="22.5" customHeight="1">
      <c r="A814" s="144" t="s">
        <v>162</v>
      </c>
      <c r="B814" s="145">
        <v>46204.0</v>
      </c>
      <c r="C814" s="1109" t="s">
        <v>2672</v>
      </c>
      <c r="D814" s="1110"/>
      <c r="E814" s="669"/>
      <c r="F814" s="524"/>
      <c r="G814" s="149">
        <v>5.1913250009E10</v>
      </c>
      <c r="H814" s="148" t="s">
        <v>257</v>
      </c>
      <c r="I814" s="150">
        <v>0.3</v>
      </c>
      <c r="J814" s="168">
        <v>2249.0</v>
      </c>
      <c r="K814" s="169">
        <f t="shared" si="74"/>
        <v>5250</v>
      </c>
      <c r="L814" s="170">
        <v>7499.0</v>
      </c>
      <c r="M814" s="239">
        <v>7263.33</v>
      </c>
      <c r="N814" s="155">
        <v>1679.99</v>
      </c>
      <c r="O814" s="315">
        <f t="shared" si="75"/>
        <v>235.67</v>
      </c>
      <c r="P814" s="344">
        <f t="shared" si="69"/>
        <v>235.67</v>
      </c>
      <c r="Q814" s="321"/>
      <c r="R814" s="672" t="b">
        <v>0</v>
      </c>
      <c r="S814" s="318"/>
      <c r="T814" s="319"/>
      <c r="U814" s="315"/>
      <c r="V814" s="162"/>
      <c r="W814" s="149"/>
      <c r="X814" s="163"/>
      <c r="Y814" s="162"/>
      <c r="Z814" s="164"/>
      <c r="AA814" s="116"/>
      <c r="AB814" s="116"/>
      <c r="AC814" s="165"/>
      <c r="AD814" s="675" t="str">
        <f t="shared" si="76"/>
        <v>JULIO</v>
      </c>
      <c r="AE814" s="166"/>
      <c r="AF814" s="149" t="b">
        <v>0</v>
      </c>
      <c r="AG814" s="166"/>
      <c r="AH814" s="149" t="b">
        <v>0</v>
      </c>
      <c r="AI814" s="162"/>
      <c r="AJ814" s="143"/>
      <c r="AK814" s="143"/>
      <c r="AL814" s="143"/>
      <c r="AM814" s="143"/>
      <c r="AN814" s="143"/>
      <c r="AO814" s="143"/>
      <c r="AP814" s="143"/>
      <c r="AQ814" s="143"/>
    </row>
    <row r="815" ht="22.5" customHeight="1">
      <c r="A815" s="166"/>
      <c r="B815" s="1111"/>
      <c r="C815" s="524"/>
      <c r="D815" s="1110"/>
      <c r="E815" s="669"/>
      <c r="F815" s="524"/>
      <c r="G815" s="165"/>
      <c r="H815" s="669"/>
      <c r="I815" s="669"/>
      <c r="J815" s="352"/>
      <c r="K815" s="271" t="str">
        <f t="shared" si="74"/>
        <v/>
      </c>
      <c r="L815" s="297"/>
      <c r="M815" s="334"/>
      <c r="N815" s="277"/>
      <c r="O815" s="315">
        <f t="shared" si="75"/>
        <v>0</v>
      </c>
      <c r="P815" s="344">
        <f t="shared" si="69"/>
        <v>0</v>
      </c>
      <c r="Q815" s="321"/>
      <c r="R815" s="672" t="b">
        <v>0</v>
      </c>
      <c r="S815" s="318"/>
      <c r="T815" s="319"/>
      <c r="U815" s="315"/>
      <c r="V815" s="162"/>
      <c r="W815" s="149"/>
      <c r="X815" s="163"/>
      <c r="Y815" s="162"/>
      <c r="Z815" s="164"/>
      <c r="AA815" s="116"/>
      <c r="AB815" s="116"/>
      <c r="AC815" s="165"/>
      <c r="AD815" s="675" t="str">
        <f t="shared" si="76"/>
        <v/>
      </c>
      <c r="AE815" s="166"/>
      <c r="AF815" s="149" t="b">
        <v>0</v>
      </c>
      <c r="AG815" s="166"/>
      <c r="AH815" s="149" t="b">
        <v>0</v>
      </c>
      <c r="AI815" s="162"/>
      <c r="AJ815" s="143"/>
      <c r="AK815" s="143"/>
      <c r="AL815" s="143"/>
      <c r="AM815" s="143"/>
      <c r="AN815" s="143"/>
      <c r="AO815" s="143"/>
      <c r="AP815" s="143"/>
      <c r="AQ815" s="143"/>
    </row>
    <row r="816" ht="22.5" customHeight="1">
      <c r="A816" s="166"/>
      <c r="B816" s="1111"/>
      <c r="C816" s="524"/>
      <c r="D816" s="1110"/>
      <c r="E816" s="669"/>
      <c r="F816" s="524"/>
      <c r="G816" s="165"/>
      <c r="H816" s="669"/>
      <c r="I816" s="669"/>
      <c r="J816" s="352"/>
      <c r="K816" s="271" t="str">
        <f t="shared" si="74"/>
        <v/>
      </c>
      <c r="L816" s="297"/>
      <c r="M816" s="334"/>
      <c r="N816" s="277"/>
      <c r="O816" s="315">
        <f t="shared" si="75"/>
        <v>0</v>
      </c>
      <c r="P816" s="344">
        <f t="shared" si="69"/>
        <v>0</v>
      </c>
      <c r="Q816" s="321"/>
      <c r="R816" s="672" t="b">
        <v>0</v>
      </c>
      <c r="S816" s="318"/>
      <c r="T816" s="319"/>
      <c r="U816" s="315"/>
      <c r="V816" s="162"/>
      <c r="W816" s="149"/>
      <c r="X816" s="163"/>
      <c r="Y816" s="162"/>
      <c r="Z816" s="164"/>
      <c r="AA816" s="116"/>
      <c r="AB816" s="116"/>
      <c r="AC816" s="165"/>
      <c r="AD816" s="675" t="str">
        <f t="shared" si="76"/>
        <v/>
      </c>
      <c r="AE816" s="166"/>
      <c r="AF816" s="149" t="b">
        <v>0</v>
      </c>
      <c r="AG816" s="166"/>
      <c r="AH816" s="149" t="b">
        <v>0</v>
      </c>
      <c r="AI816" s="162"/>
      <c r="AJ816" s="143"/>
      <c r="AK816" s="143"/>
      <c r="AL816" s="143"/>
      <c r="AM816" s="143"/>
      <c r="AN816" s="143"/>
      <c r="AO816" s="143"/>
      <c r="AP816" s="143"/>
      <c r="AQ816" s="143"/>
    </row>
    <row r="817" ht="22.5" customHeight="1">
      <c r="A817" s="166"/>
      <c r="B817" s="1111"/>
      <c r="C817" s="524"/>
      <c r="D817" s="1110"/>
      <c r="E817" s="669"/>
      <c r="F817" s="524"/>
      <c r="G817" s="165"/>
      <c r="H817" s="669"/>
      <c r="I817" s="669"/>
      <c r="J817" s="352"/>
      <c r="K817" s="271" t="str">
        <f t="shared" si="74"/>
        <v/>
      </c>
      <c r="L817" s="297"/>
      <c r="M817" s="334"/>
      <c r="N817" s="277"/>
      <c r="O817" s="315">
        <f t="shared" si="75"/>
        <v>0</v>
      </c>
      <c r="P817" s="344">
        <f t="shared" si="69"/>
        <v>0</v>
      </c>
      <c r="Q817" s="321"/>
      <c r="R817" s="672" t="b">
        <v>0</v>
      </c>
      <c r="S817" s="318"/>
      <c r="T817" s="319"/>
      <c r="U817" s="315"/>
      <c r="V817" s="162"/>
      <c r="W817" s="149"/>
      <c r="X817" s="163"/>
      <c r="Y817" s="162"/>
      <c r="Z817" s="164"/>
      <c r="AA817" s="116"/>
      <c r="AB817" s="116"/>
      <c r="AC817" s="165"/>
      <c r="AD817" s="675" t="str">
        <f t="shared" si="76"/>
        <v/>
      </c>
      <c r="AE817" s="166"/>
      <c r="AF817" s="149" t="b">
        <v>0</v>
      </c>
      <c r="AG817" s="166"/>
      <c r="AH817" s="149" t="b">
        <v>0</v>
      </c>
      <c r="AI817" s="162"/>
      <c r="AJ817" s="143"/>
      <c r="AK817" s="143"/>
      <c r="AL817" s="143"/>
      <c r="AM817" s="143"/>
      <c r="AN817" s="143"/>
      <c r="AO817" s="143"/>
      <c r="AP817" s="143"/>
      <c r="AQ817" s="143"/>
    </row>
    <row r="818" ht="22.5" customHeight="1">
      <c r="A818" s="166"/>
      <c r="B818" s="1111"/>
      <c r="C818" s="524"/>
      <c r="D818" s="1110"/>
      <c r="E818" s="669"/>
      <c r="F818" s="524"/>
      <c r="G818" s="165"/>
      <c r="H818" s="669"/>
      <c r="I818" s="669"/>
      <c r="J818" s="352"/>
      <c r="K818" s="271" t="str">
        <f t="shared" si="74"/>
        <v/>
      </c>
      <c r="L818" s="297"/>
      <c r="M818" s="334"/>
      <c r="N818" s="277"/>
      <c r="O818" s="315">
        <f t="shared" si="75"/>
        <v>0</v>
      </c>
      <c r="P818" s="344">
        <f t="shared" si="69"/>
        <v>0</v>
      </c>
      <c r="Q818" s="321"/>
      <c r="R818" s="672" t="b">
        <v>0</v>
      </c>
      <c r="S818" s="318"/>
      <c r="T818" s="319"/>
      <c r="U818" s="315"/>
      <c r="V818" s="162"/>
      <c r="W818" s="149"/>
      <c r="X818" s="163"/>
      <c r="Y818" s="162"/>
      <c r="Z818" s="164"/>
      <c r="AA818" s="116"/>
      <c r="AB818" s="116"/>
      <c r="AC818" s="165"/>
      <c r="AD818" s="675" t="str">
        <f t="shared" si="76"/>
        <v/>
      </c>
      <c r="AE818" s="166"/>
      <c r="AF818" s="149" t="b">
        <v>0</v>
      </c>
      <c r="AG818" s="166"/>
      <c r="AH818" s="149" t="b">
        <v>0</v>
      </c>
      <c r="AI818" s="162"/>
      <c r="AJ818" s="143"/>
      <c r="AK818" s="143"/>
      <c r="AL818" s="143"/>
      <c r="AM818" s="143"/>
      <c r="AN818" s="143"/>
      <c r="AO818" s="143"/>
      <c r="AP818" s="143"/>
      <c r="AQ818" s="143"/>
    </row>
    <row r="819" ht="22.5" customHeight="1">
      <c r="A819" s="166"/>
      <c r="B819" s="1111"/>
      <c r="C819" s="524"/>
      <c r="D819" s="1110"/>
      <c r="E819" s="669"/>
      <c r="F819" s="524"/>
      <c r="G819" s="165"/>
      <c r="H819" s="669"/>
      <c r="I819" s="669"/>
      <c r="J819" s="352"/>
      <c r="K819" s="271" t="str">
        <f t="shared" si="74"/>
        <v/>
      </c>
      <c r="L819" s="297"/>
      <c r="M819" s="334"/>
      <c r="N819" s="277"/>
      <c r="O819" s="315">
        <f t="shared" si="75"/>
        <v>0</v>
      </c>
      <c r="P819" s="344">
        <f t="shared" si="69"/>
        <v>0</v>
      </c>
      <c r="Q819" s="321"/>
      <c r="R819" s="672" t="b">
        <v>0</v>
      </c>
      <c r="S819" s="318"/>
      <c r="T819" s="319"/>
      <c r="U819" s="315"/>
      <c r="V819" s="162"/>
      <c r="W819" s="149"/>
      <c r="X819" s="163"/>
      <c r="Y819" s="162"/>
      <c r="Z819" s="164"/>
      <c r="AA819" s="116"/>
      <c r="AB819" s="116"/>
      <c r="AC819" s="165"/>
      <c r="AD819" s="675" t="str">
        <f t="shared" si="76"/>
        <v/>
      </c>
      <c r="AE819" s="166"/>
      <c r="AF819" s="149" t="b">
        <v>0</v>
      </c>
      <c r="AG819" s="166"/>
      <c r="AH819" s="149" t="b">
        <v>0</v>
      </c>
      <c r="AI819" s="162"/>
      <c r="AJ819" s="143"/>
      <c r="AK819" s="143"/>
      <c r="AL819" s="143"/>
      <c r="AM819" s="143"/>
      <c r="AN819" s="143"/>
      <c r="AO819" s="143"/>
      <c r="AP819" s="143"/>
      <c r="AQ819" s="143"/>
    </row>
    <row r="820" ht="22.5" customHeight="1">
      <c r="A820" s="166"/>
      <c r="B820" s="1111"/>
      <c r="C820" s="524"/>
      <c r="D820" s="1110"/>
      <c r="E820" s="669"/>
      <c r="F820" s="524"/>
      <c r="G820" s="165"/>
      <c r="H820" s="669"/>
      <c r="I820" s="669"/>
      <c r="J820" s="352"/>
      <c r="K820" s="271" t="str">
        <f t="shared" si="74"/>
        <v/>
      </c>
      <c r="L820" s="297"/>
      <c r="M820" s="334"/>
      <c r="N820" s="277"/>
      <c r="O820" s="315">
        <f t="shared" si="75"/>
        <v>0</v>
      </c>
      <c r="P820" s="344">
        <f t="shared" si="69"/>
        <v>0</v>
      </c>
      <c r="Q820" s="321"/>
      <c r="R820" s="672" t="b">
        <v>0</v>
      </c>
      <c r="S820" s="318"/>
      <c r="T820" s="319"/>
      <c r="U820" s="315"/>
      <c r="V820" s="162"/>
      <c r="W820" s="149"/>
      <c r="X820" s="163"/>
      <c r="Y820" s="162"/>
      <c r="Z820" s="164"/>
      <c r="AA820" s="116"/>
      <c r="AB820" s="116"/>
      <c r="AC820" s="165"/>
      <c r="AD820" s="675" t="str">
        <f t="shared" si="76"/>
        <v/>
      </c>
      <c r="AE820" s="166"/>
      <c r="AF820" s="149" t="b">
        <v>0</v>
      </c>
      <c r="AG820" s="166"/>
      <c r="AH820" s="149" t="b">
        <v>0</v>
      </c>
      <c r="AI820" s="162"/>
      <c r="AJ820" s="143"/>
      <c r="AK820" s="143"/>
      <c r="AL820" s="143"/>
      <c r="AM820" s="143"/>
      <c r="AN820" s="143"/>
      <c r="AO820" s="143"/>
      <c r="AP820" s="143"/>
      <c r="AQ820" s="143"/>
    </row>
    <row r="821" ht="22.5" customHeight="1">
      <c r="A821" s="166"/>
      <c r="B821" s="1111"/>
      <c r="C821" s="524"/>
      <c r="D821" s="1110"/>
      <c r="E821" s="669"/>
      <c r="F821" s="524"/>
      <c r="G821" s="165"/>
      <c r="H821" s="669"/>
      <c r="I821" s="669"/>
      <c r="J821" s="352"/>
      <c r="K821" s="271" t="str">
        <f t="shared" si="74"/>
        <v/>
      </c>
      <c r="L821" s="297"/>
      <c r="M821" s="334"/>
      <c r="N821" s="277"/>
      <c r="O821" s="315">
        <f t="shared" si="75"/>
        <v>0</v>
      </c>
      <c r="P821" s="344">
        <f t="shared" si="69"/>
        <v>0</v>
      </c>
      <c r="Q821" s="321"/>
      <c r="R821" s="672" t="b">
        <v>0</v>
      </c>
      <c r="S821" s="318"/>
      <c r="T821" s="319"/>
      <c r="U821" s="315"/>
      <c r="V821" s="162"/>
      <c r="W821" s="149"/>
      <c r="X821" s="163"/>
      <c r="Y821" s="162"/>
      <c r="Z821" s="164"/>
      <c r="AA821" s="116"/>
      <c r="AB821" s="116"/>
      <c r="AC821" s="165"/>
      <c r="AD821" s="675" t="str">
        <f t="shared" si="76"/>
        <v/>
      </c>
      <c r="AE821" s="166"/>
      <c r="AF821" s="149" t="b">
        <v>0</v>
      </c>
      <c r="AG821" s="166"/>
      <c r="AH821" s="149" t="b">
        <v>0</v>
      </c>
      <c r="AI821" s="162"/>
      <c r="AJ821" s="143"/>
      <c r="AK821" s="143"/>
      <c r="AL821" s="143"/>
      <c r="AM821" s="143"/>
      <c r="AN821" s="143"/>
      <c r="AO821" s="143"/>
      <c r="AP821" s="143"/>
      <c r="AQ821" s="143"/>
    </row>
    <row r="822" ht="22.5" customHeight="1">
      <c r="A822" s="166"/>
      <c r="B822" s="1111"/>
      <c r="C822" s="524"/>
      <c r="D822" s="1110"/>
      <c r="E822" s="669"/>
      <c r="F822" s="524"/>
      <c r="G822" s="165"/>
      <c r="H822" s="669"/>
      <c r="I822" s="669"/>
      <c r="J822" s="352"/>
      <c r="K822" s="271" t="str">
        <f t="shared" si="74"/>
        <v/>
      </c>
      <c r="L822" s="297"/>
      <c r="M822" s="334"/>
      <c r="N822" s="277"/>
      <c r="O822" s="315">
        <f t="shared" si="75"/>
        <v>0</v>
      </c>
      <c r="P822" s="344">
        <f t="shared" si="69"/>
        <v>0</v>
      </c>
      <c r="Q822" s="321"/>
      <c r="R822" s="672" t="b">
        <v>0</v>
      </c>
      <c r="S822" s="318"/>
      <c r="T822" s="319"/>
      <c r="U822" s="315"/>
      <c r="V822" s="162"/>
      <c r="W822" s="149"/>
      <c r="X822" s="163"/>
      <c r="Y822" s="162"/>
      <c r="Z822" s="164"/>
      <c r="AA822" s="116"/>
      <c r="AB822" s="116"/>
      <c r="AC822" s="165"/>
      <c r="AD822" s="675" t="str">
        <f t="shared" si="76"/>
        <v/>
      </c>
      <c r="AE822" s="166"/>
      <c r="AF822" s="149" t="b">
        <v>0</v>
      </c>
      <c r="AG822" s="166"/>
      <c r="AH822" s="149" t="b">
        <v>0</v>
      </c>
      <c r="AI822" s="162"/>
      <c r="AJ822" s="143"/>
      <c r="AK822" s="143"/>
      <c r="AL822" s="143"/>
      <c r="AM822" s="143"/>
      <c r="AN822" s="143"/>
      <c r="AO822" s="143"/>
      <c r="AP822" s="143"/>
      <c r="AQ822" s="143"/>
    </row>
    <row r="823" ht="22.5" customHeight="1">
      <c r="A823" s="166"/>
      <c r="B823" s="1111"/>
      <c r="C823" s="524"/>
      <c r="D823" s="1110"/>
      <c r="E823" s="669"/>
      <c r="F823" s="524"/>
      <c r="G823" s="165"/>
      <c r="H823" s="669"/>
      <c r="I823" s="669"/>
      <c r="J823" s="352"/>
      <c r="K823" s="271" t="str">
        <f t="shared" si="74"/>
        <v/>
      </c>
      <c r="L823" s="297"/>
      <c r="M823" s="334"/>
      <c r="N823" s="277"/>
      <c r="O823" s="315">
        <f t="shared" si="75"/>
        <v>0</v>
      </c>
      <c r="P823" s="344">
        <f t="shared" si="69"/>
        <v>0</v>
      </c>
      <c r="Q823" s="321"/>
      <c r="R823" s="672" t="b">
        <v>0</v>
      </c>
      <c r="S823" s="318"/>
      <c r="T823" s="319"/>
      <c r="U823" s="315"/>
      <c r="V823" s="162"/>
      <c r="W823" s="149"/>
      <c r="X823" s="163"/>
      <c r="Y823" s="162"/>
      <c r="Z823" s="164"/>
      <c r="AA823" s="116"/>
      <c r="AB823" s="116"/>
      <c r="AC823" s="165"/>
      <c r="AD823" s="675" t="str">
        <f t="shared" si="76"/>
        <v/>
      </c>
      <c r="AE823" s="166"/>
      <c r="AF823" s="149" t="b">
        <v>0</v>
      </c>
      <c r="AG823" s="166"/>
      <c r="AH823" s="149" t="b">
        <v>0</v>
      </c>
      <c r="AI823" s="162"/>
      <c r="AJ823" s="143"/>
      <c r="AK823" s="143"/>
      <c r="AL823" s="143"/>
      <c r="AM823" s="143"/>
      <c r="AN823" s="143"/>
      <c r="AO823" s="143"/>
      <c r="AP823" s="143"/>
      <c r="AQ823" s="143"/>
    </row>
    <row r="824" ht="22.5" customHeight="1">
      <c r="A824" s="166"/>
      <c r="B824" s="1111"/>
      <c r="C824" s="524"/>
      <c r="D824" s="1110"/>
      <c r="E824" s="669"/>
      <c r="F824" s="524"/>
      <c r="G824" s="165"/>
      <c r="H824" s="669"/>
      <c r="I824" s="669"/>
      <c r="J824" s="352"/>
      <c r="K824" s="271" t="str">
        <f t="shared" si="74"/>
        <v/>
      </c>
      <c r="L824" s="297"/>
      <c r="M824" s="334"/>
      <c r="N824" s="277"/>
      <c r="O824" s="315">
        <f t="shared" si="75"/>
        <v>0</v>
      </c>
      <c r="P824" s="344">
        <f t="shared" si="69"/>
        <v>0</v>
      </c>
      <c r="Q824" s="321"/>
      <c r="R824" s="672" t="b">
        <v>0</v>
      </c>
      <c r="S824" s="318"/>
      <c r="T824" s="319"/>
      <c r="U824" s="315"/>
      <c r="V824" s="162"/>
      <c r="W824" s="149"/>
      <c r="X824" s="163"/>
      <c r="Y824" s="162"/>
      <c r="Z824" s="164"/>
      <c r="AA824" s="116"/>
      <c r="AB824" s="116"/>
      <c r="AC824" s="165"/>
      <c r="AD824" s="675" t="str">
        <f t="shared" si="76"/>
        <v/>
      </c>
      <c r="AE824" s="166"/>
      <c r="AF824" s="149" t="b">
        <v>0</v>
      </c>
      <c r="AG824" s="166"/>
      <c r="AH824" s="149" t="b">
        <v>0</v>
      </c>
      <c r="AI824" s="162"/>
      <c r="AJ824" s="143"/>
      <c r="AK824" s="143"/>
      <c r="AL824" s="143"/>
      <c r="AM824" s="143"/>
      <c r="AN824" s="143"/>
      <c r="AO824" s="143"/>
      <c r="AP824" s="143"/>
      <c r="AQ824" s="143"/>
    </row>
    <row r="825" ht="22.5" customHeight="1">
      <c r="A825" s="166"/>
      <c r="B825" s="1111"/>
      <c r="C825" s="524"/>
      <c r="D825" s="1110"/>
      <c r="E825" s="669"/>
      <c r="F825" s="524"/>
      <c r="G825" s="165"/>
      <c r="H825" s="669"/>
      <c r="I825" s="669"/>
      <c r="J825" s="352"/>
      <c r="K825" s="271" t="str">
        <f t="shared" si="74"/>
        <v/>
      </c>
      <c r="L825" s="297"/>
      <c r="M825" s="334"/>
      <c r="N825" s="277"/>
      <c r="O825" s="315">
        <f t="shared" si="75"/>
        <v>0</v>
      </c>
      <c r="P825" s="344">
        <f t="shared" si="69"/>
        <v>0</v>
      </c>
      <c r="Q825" s="321"/>
      <c r="R825" s="672" t="b">
        <v>0</v>
      </c>
      <c r="S825" s="318"/>
      <c r="T825" s="319"/>
      <c r="U825" s="315"/>
      <c r="V825" s="162"/>
      <c r="W825" s="149"/>
      <c r="X825" s="163"/>
      <c r="Y825" s="162"/>
      <c r="Z825" s="164"/>
      <c r="AA825" s="116"/>
      <c r="AB825" s="116"/>
      <c r="AC825" s="165"/>
      <c r="AD825" s="675" t="str">
        <f t="shared" si="76"/>
        <v/>
      </c>
      <c r="AE825" s="166"/>
      <c r="AF825" s="149" t="b">
        <v>0</v>
      </c>
      <c r="AG825" s="166"/>
      <c r="AH825" s="149" t="b">
        <v>0</v>
      </c>
      <c r="AI825" s="162"/>
      <c r="AJ825" s="143"/>
      <c r="AK825" s="143"/>
      <c r="AL825" s="143"/>
      <c r="AM825" s="143"/>
      <c r="AN825" s="143"/>
      <c r="AO825" s="143"/>
      <c r="AP825" s="143"/>
      <c r="AQ825" s="143"/>
    </row>
    <row r="826" ht="22.5" customHeight="1">
      <c r="A826" s="166"/>
      <c r="B826" s="1111"/>
      <c r="C826" s="524"/>
      <c r="D826" s="1110"/>
      <c r="E826" s="669"/>
      <c r="F826" s="524"/>
      <c r="G826" s="165"/>
      <c r="H826" s="669"/>
      <c r="I826" s="669"/>
      <c r="J826" s="352"/>
      <c r="K826" s="271" t="str">
        <f t="shared" si="74"/>
        <v/>
      </c>
      <c r="L826" s="297"/>
      <c r="M826" s="334"/>
      <c r="N826" s="277"/>
      <c r="O826" s="315">
        <f t="shared" si="75"/>
        <v>0</v>
      </c>
      <c r="P826" s="344">
        <f t="shared" si="69"/>
        <v>0</v>
      </c>
      <c r="Q826" s="321"/>
      <c r="R826" s="672" t="b">
        <v>0</v>
      </c>
      <c r="S826" s="318"/>
      <c r="T826" s="319"/>
      <c r="U826" s="315"/>
      <c r="V826" s="162"/>
      <c r="W826" s="149"/>
      <c r="X826" s="163"/>
      <c r="Y826" s="162"/>
      <c r="Z826" s="164"/>
      <c r="AA826" s="116"/>
      <c r="AB826" s="116"/>
      <c r="AC826" s="165"/>
      <c r="AD826" s="675" t="str">
        <f t="shared" si="76"/>
        <v/>
      </c>
      <c r="AE826" s="166"/>
      <c r="AF826" s="149" t="b">
        <v>0</v>
      </c>
      <c r="AG826" s="166"/>
      <c r="AH826" s="149" t="b">
        <v>0</v>
      </c>
      <c r="AI826" s="162"/>
      <c r="AJ826" s="143"/>
      <c r="AK826" s="143"/>
      <c r="AL826" s="143"/>
      <c r="AM826" s="143"/>
      <c r="AN826" s="143"/>
      <c r="AO826" s="143"/>
      <c r="AP826" s="143"/>
      <c r="AQ826" s="143"/>
    </row>
    <row r="827" ht="22.5" customHeight="1">
      <c r="A827" s="166"/>
      <c r="B827" s="1111"/>
      <c r="C827" s="524"/>
      <c r="D827" s="1110"/>
      <c r="E827" s="669"/>
      <c r="F827" s="524"/>
      <c r="G827" s="165"/>
      <c r="H827" s="669"/>
      <c r="I827" s="669"/>
      <c r="J827" s="352"/>
      <c r="K827" s="271" t="str">
        <f t="shared" si="74"/>
        <v/>
      </c>
      <c r="L827" s="297"/>
      <c r="M827" s="334"/>
      <c r="N827" s="277"/>
      <c r="O827" s="315">
        <f t="shared" si="75"/>
        <v>0</v>
      </c>
      <c r="P827" s="344">
        <f t="shared" si="69"/>
        <v>0</v>
      </c>
      <c r="Q827" s="321"/>
      <c r="R827" s="672" t="b">
        <v>0</v>
      </c>
      <c r="S827" s="318"/>
      <c r="T827" s="319"/>
      <c r="U827" s="315"/>
      <c r="V827" s="162"/>
      <c r="W827" s="149"/>
      <c r="X827" s="163"/>
      <c r="Y827" s="162"/>
      <c r="Z827" s="164"/>
      <c r="AA827" s="116"/>
      <c r="AB827" s="116"/>
      <c r="AC827" s="165"/>
      <c r="AD827" s="675" t="str">
        <f t="shared" si="76"/>
        <v/>
      </c>
      <c r="AE827" s="166"/>
      <c r="AF827" s="149" t="b">
        <v>0</v>
      </c>
      <c r="AG827" s="166"/>
      <c r="AH827" s="149" t="b">
        <v>0</v>
      </c>
      <c r="AI827" s="162"/>
      <c r="AJ827" s="143"/>
      <c r="AK827" s="143"/>
      <c r="AL827" s="143"/>
      <c r="AM827" s="143"/>
      <c r="AN827" s="143"/>
      <c r="AO827" s="143"/>
      <c r="AP827" s="143"/>
      <c r="AQ827" s="143"/>
    </row>
    <row r="828" ht="22.5" customHeight="1">
      <c r="A828" s="166"/>
      <c r="B828" s="1111"/>
      <c r="C828" s="524"/>
      <c r="D828" s="1110"/>
      <c r="E828" s="669"/>
      <c r="F828" s="524"/>
      <c r="G828" s="165"/>
      <c r="H828" s="669"/>
      <c r="I828" s="669"/>
      <c r="J828" s="352"/>
      <c r="K828" s="271" t="str">
        <f t="shared" si="74"/>
        <v/>
      </c>
      <c r="L828" s="297"/>
      <c r="M828" s="334"/>
      <c r="N828" s="277"/>
      <c r="O828" s="315">
        <f t="shared" si="75"/>
        <v>0</v>
      </c>
      <c r="P828" s="344">
        <f t="shared" si="69"/>
        <v>0</v>
      </c>
      <c r="Q828" s="321"/>
      <c r="R828" s="672" t="b">
        <v>0</v>
      </c>
      <c r="S828" s="318"/>
      <c r="T828" s="319"/>
      <c r="U828" s="315"/>
      <c r="V828" s="162"/>
      <c r="W828" s="149"/>
      <c r="X828" s="163"/>
      <c r="Y828" s="162"/>
      <c r="Z828" s="164"/>
      <c r="AA828" s="116"/>
      <c r="AB828" s="116"/>
      <c r="AC828" s="165"/>
      <c r="AD828" s="675" t="str">
        <f t="shared" si="76"/>
        <v/>
      </c>
      <c r="AE828" s="166"/>
      <c r="AF828" s="149" t="b">
        <v>0</v>
      </c>
      <c r="AG828" s="166"/>
      <c r="AH828" s="149" t="b">
        <v>0</v>
      </c>
      <c r="AI828" s="162"/>
      <c r="AJ828" s="143"/>
      <c r="AK828" s="143"/>
      <c r="AL828" s="143"/>
      <c r="AM828" s="143"/>
      <c r="AN828" s="143"/>
      <c r="AO828" s="143"/>
      <c r="AP828" s="143"/>
      <c r="AQ828" s="143"/>
    </row>
    <row r="829" ht="22.5" customHeight="1">
      <c r="A829" s="166"/>
      <c r="B829" s="1111"/>
      <c r="C829" s="524"/>
      <c r="D829" s="1110"/>
      <c r="E829" s="669"/>
      <c r="F829" s="524"/>
      <c r="G829" s="165"/>
      <c r="H829" s="669"/>
      <c r="I829" s="669"/>
      <c r="J829" s="352"/>
      <c r="K829" s="271" t="str">
        <f t="shared" si="74"/>
        <v/>
      </c>
      <c r="L829" s="297"/>
      <c r="M829" s="334"/>
      <c r="N829" s="277"/>
      <c r="O829" s="315"/>
      <c r="P829" s="344">
        <f t="shared" si="69"/>
        <v>0</v>
      </c>
      <c r="Q829" s="321"/>
      <c r="R829" s="672" t="b">
        <v>0</v>
      </c>
      <c r="S829" s="318"/>
      <c r="T829" s="319"/>
      <c r="U829" s="315"/>
      <c r="V829" s="162"/>
      <c r="W829" s="149"/>
      <c r="X829" s="163"/>
      <c r="Y829" s="162"/>
      <c r="Z829" s="164"/>
      <c r="AA829" s="116"/>
      <c r="AB829" s="116"/>
      <c r="AC829" s="165"/>
      <c r="AD829" s="675" t="str">
        <f t="shared" si="76"/>
        <v/>
      </c>
      <c r="AE829" s="166"/>
      <c r="AF829" s="149" t="b">
        <v>0</v>
      </c>
      <c r="AG829" s="166"/>
      <c r="AH829" s="149" t="b">
        <v>0</v>
      </c>
      <c r="AI829" s="162"/>
      <c r="AJ829" s="143"/>
      <c r="AK829" s="143"/>
      <c r="AL829" s="143"/>
      <c r="AM829" s="143"/>
      <c r="AN829" s="143"/>
      <c r="AO829" s="143"/>
      <c r="AP829" s="143"/>
      <c r="AQ829" s="143"/>
    </row>
    <row r="830" ht="22.5" customHeight="1">
      <c r="A830" s="166"/>
      <c r="B830" s="1111"/>
      <c r="C830" s="524"/>
      <c r="D830" s="1110"/>
      <c r="E830" s="669"/>
      <c r="F830" s="524"/>
      <c r="G830" s="165"/>
      <c r="H830" s="669"/>
      <c r="I830" s="669"/>
      <c r="J830" s="352"/>
      <c r="K830" s="271" t="str">
        <f t="shared" si="74"/>
        <v/>
      </c>
      <c r="L830" s="297"/>
      <c r="M830" s="334"/>
      <c r="N830" s="277"/>
      <c r="O830" s="315"/>
      <c r="P830" s="344">
        <f t="shared" si="69"/>
        <v>0</v>
      </c>
      <c r="Q830" s="321"/>
      <c r="R830" s="672" t="b">
        <v>0</v>
      </c>
      <c r="S830" s="318"/>
      <c r="T830" s="319"/>
      <c r="U830" s="315"/>
      <c r="V830" s="162"/>
      <c r="W830" s="149"/>
      <c r="X830" s="163"/>
      <c r="Y830" s="162"/>
      <c r="Z830" s="164"/>
      <c r="AA830" s="116"/>
      <c r="AB830" s="116"/>
      <c r="AC830" s="165"/>
      <c r="AD830" s="675" t="str">
        <f t="shared" si="76"/>
        <v/>
      </c>
      <c r="AE830" s="166"/>
      <c r="AF830" s="149" t="b">
        <v>0</v>
      </c>
      <c r="AG830" s="166"/>
      <c r="AH830" s="149" t="b">
        <v>0</v>
      </c>
      <c r="AI830" s="162"/>
      <c r="AJ830" s="143"/>
      <c r="AK830" s="143"/>
      <c r="AL830" s="143"/>
      <c r="AM830" s="143"/>
      <c r="AN830" s="143"/>
      <c r="AO830" s="143"/>
      <c r="AP830" s="143"/>
      <c r="AQ830" s="143"/>
    </row>
    <row r="831" ht="22.5" customHeight="1">
      <c r="A831" s="166"/>
      <c r="B831" s="1111"/>
      <c r="C831" s="524"/>
      <c r="D831" s="1110"/>
      <c r="E831" s="669"/>
      <c r="F831" s="524"/>
      <c r="G831" s="165"/>
      <c r="H831" s="669"/>
      <c r="I831" s="669"/>
      <c r="J831" s="352"/>
      <c r="K831" s="271" t="str">
        <f t="shared" si="74"/>
        <v/>
      </c>
      <c r="L831" s="297"/>
      <c r="M831" s="334"/>
      <c r="N831" s="277"/>
      <c r="O831" s="315"/>
      <c r="P831" s="344">
        <f t="shared" si="69"/>
        <v>0</v>
      </c>
      <c r="Q831" s="321"/>
      <c r="R831" s="672" t="b">
        <v>0</v>
      </c>
      <c r="S831" s="318"/>
      <c r="T831" s="319"/>
      <c r="U831" s="315"/>
      <c r="V831" s="162"/>
      <c r="W831" s="149"/>
      <c r="X831" s="163"/>
      <c r="Y831" s="162"/>
      <c r="Z831" s="164"/>
      <c r="AA831" s="116"/>
      <c r="AB831" s="116"/>
      <c r="AC831" s="165"/>
      <c r="AD831" s="675" t="str">
        <f t="shared" si="76"/>
        <v/>
      </c>
      <c r="AE831" s="166"/>
      <c r="AF831" s="149" t="b">
        <v>0</v>
      </c>
      <c r="AG831" s="166"/>
      <c r="AH831" s="149" t="b">
        <v>0</v>
      </c>
      <c r="AI831" s="162"/>
      <c r="AJ831" s="143"/>
      <c r="AK831" s="143"/>
      <c r="AL831" s="143"/>
      <c r="AM831" s="143"/>
      <c r="AN831" s="143"/>
      <c r="AO831" s="143"/>
      <c r="AP831" s="143"/>
      <c r="AQ831" s="143"/>
    </row>
    <row r="832" ht="22.5" customHeight="1">
      <c r="A832" s="166"/>
      <c r="B832" s="1111"/>
      <c r="C832" s="524"/>
      <c r="D832" s="1110"/>
      <c r="E832" s="669"/>
      <c r="F832" s="524"/>
      <c r="G832" s="165"/>
      <c r="H832" s="669"/>
      <c r="I832" s="669"/>
      <c r="J832" s="352"/>
      <c r="K832" s="271" t="str">
        <f t="shared" si="74"/>
        <v/>
      </c>
      <c r="L832" s="297"/>
      <c r="M832" s="334"/>
      <c r="N832" s="277"/>
      <c r="O832" s="315"/>
      <c r="P832" s="344">
        <f t="shared" si="69"/>
        <v>0</v>
      </c>
      <c r="Q832" s="321"/>
      <c r="R832" s="672" t="b">
        <v>0</v>
      </c>
      <c r="S832" s="318"/>
      <c r="T832" s="319"/>
      <c r="U832" s="315"/>
      <c r="V832" s="162"/>
      <c r="W832" s="149"/>
      <c r="X832" s="163"/>
      <c r="Y832" s="162"/>
      <c r="Z832" s="164"/>
      <c r="AA832" s="116"/>
      <c r="AB832" s="116"/>
      <c r="AC832" s="165"/>
      <c r="AD832" s="675" t="str">
        <f t="shared" si="76"/>
        <v/>
      </c>
      <c r="AE832" s="166"/>
      <c r="AF832" s="149" t="b">
        <v>0</v>
      </c>
      <c r="AG832" s="166"/>
      <c r="AH832" s="149" t="b">
        <v>0</v>
      </c>
      <c r="AI832" s="162"/>
      <c r="AJ832" s="143"/>
      <c r="AK832" s="143"/>
      <c r="AL832" s="143"/>
      <c r="AM832" s="143"/>
      <c r="AN832" s="143"/>
      <c r="AO832" s="143"/>
      <c r="AP832" s="143"/>
      <c r="AQ832" s="143"/>
    </row>
    <row r="833" ht="22.5" customHeight="1">
      <c r="A833" s="166"/>
      <c r="B833" s="1111"/>
      <c r="C833" s="524"/>
      <c r="D833" s="1110"/>
      <c r="E833" s="669"/>
      <c r="F833" s="524"/>
      <c r="G833" s="165"/>
      <c r="H833" s="669"/>
      <c r="I833" s="669"/>
      <c r="J833" s="352"/>
      <c r="K833" s="271" t="str">
        <f t="shared" si="74"/>
        <v/>
      </c>
      <c r="L833" s="297"/>
      <c r="M833" s="334"/>
      <c r="N833" s="277"/>
      <c r="O833" s="315"/>
      <c r="P833" s="344">
        <f t="shared" si="69"/>
        <v>0</v>
      </c>
      <c r="Q833" s="321"/>
      <c r="R833" s="672" t="b">
        <v>0</v>
      </c>
      <c r="S833" s="318"/>
      <c r="T833" s="319"/>
      <c r="U833" s="315"/>
      <c r="V833" s="162"/>
      <c r="W833" s="149"/>
      <c r="X833" s="163"/>
      <c r="Y833" s="162"/>
      <c r="Z833" s="164"/>
      <c r="AA833" s="116"/>
      <c r="AB833" s="116"/>
      <c r="AC833" s="165"/>
      <c r="AD833" s="675" t="str">
        <f t="shared" si="76"/>
        <v/>
      </c>
      <c r="AE833" s="166"/>
      <c r="AF833" s="149" t="b">
        <v>0</v>
      </c>
      <c r="AG833" s="166"/>
      <c r="AH833" s="149" t="b">
        <v>0</v>
      </c>
      <c r="AI833" s="162"/>
      <c r="AJ833" s="143"/>
      <c r="AK833" s="143"/>
      <c r="AL833" s="143"/>
      <c r="AM833" s="143"/>
      <c r="AN833" s="143"/>
      <c r="AO833" s="143"/>
      <c r="AP833" s="143"/>
      <c r="AQ833" s="143"/>
    </row>
    <row r="834" ht="22.5" customHeight="1">
      <c r="A834" s="166"/>
      <c r="B834" s="1111"/>
      <c r="C834" s="524"/>
      <c r="D834" s="1110"/>
      <c r="E834" s="669"/>
      <c r="F834" s="524"/>
      <c r="G834" s="165"/>
      <c r="H834" s="669"/>
      <c r="I834" s="669"/>
      <c r="J834" s="352"/>
      <c r="K834" s="271" t="str">
        <f t="shared" si="74"/>
        <v/>
      </c>
      <c r="L834" s="297"/>
      <c r="M834" s="334"/>
      <c r="N834" s="277"/>
      <c r="O834" s="315"/>
      <c r="P834" s="344">
        <f t="shared" si="69"/>
        <v>0</v>
      </c>
      <c r="Q834" s="321"/>
      <c r="R834" s="672" t="b">
        <v>0</v>
      </c>
      <c r="S834" s="318"/>
      <c r="T834" s="319"/>
      <c r="U834" s="315"/>
      <c r="V834" s="162"/>
      <c r="W834" s="149"/>
      <c r="X834" s="163"/>
      <c r="Y834" s="162"/>
      <c r="Z834" s="164"/>
      <c r="AA834" s="116"/>
      <c r="AB834" s="116"/>
      <c r="AC834" s="165"/>
      <c r="AD834" s="675" t="str">
        <f t="shared" si="76"/>
        <v/>
      </c>
      <c r="AE834" s="166"/>
      <c r="AF834" s="149" t="b">
        <v>0</v>
      </c>
      <c r="AG834" s="166"/>
      <c r="AH834" s="149" t="b">
        <v>0</v>
      </c>
      <c r="AI834" s="162"/>
      <c r="AJ834" s="143"/>
      <c r="AK834" s="143"/>
      <c r="AL834" s="143"/>
      <c r="AM834" s="143"/>
      <c r="AN834" s="143"/>
      <c r="AO834" s="143"/>
      <c r="AP834" s="143"/>
      <c r="AQ834" s="143"/>
    </row>
    <row r="835" ht="22.5" customHeight="1">
      <c r="A835" s="166"/>
      <c r="B835" s="1111"/>
      <c r="C835" s="524"/>
      <c r="D835" s="1110"/>
      <c r="E835" s="669"/>
      <c r="F835" s="524"/>
      <c r="G835" s="165"/>
      <c r="H835" s="669"/>
      <c r="I835" s="669"/>
      <c r="J835" s="352"/>
      <c r="K835" s="271" t="str">
        <f t="shared" si="74"/>
        <v/>
      </c>
      <c r="L835" s="297"/>
      <c r="M835" s="334"/>
      <c r="N835" s="277"/>
      <c r="O835" s="315"/>
      <c r="P835" s="344">
        <f t="shared" si="69"/>
        <v>0</v>
      </c>
      <c r="Q835" s="321"/>
      <c r="R835" s="672" t="b">
        <v>0</v>
      </c>
      <c r="S835" s="318"/>
      <c r="T835" s="319"/>
      <c r="U835" s="315"/>
      <c r="V835" s="162"/>
      <c r="W835" s="149"/>
      <c r="X835" s="163"/>
      <c r="Y835" s="162"/>
      <c r="Z835" s="164"/>
      <c r="AA835" s="116"/>
      <c r="AB835" s="116"/>
      <c r="AC835" s="165"/>
      <c r="AD835" s="675" t="str">
        <f t="shared" si="76"/>
        <v/>
      </c>
      <c r="AE835" s="166"/>
      <c r="AF835" s="149" t="b">
        <v>0</v>
      </c>
      <c r="AG835" s="166"/>
      <c r="AH835" s="149" t="b">
        <v>0</v>
      </c>
      <c r="AI835" s="162"/>
      <c r="AJ835" s="143"/>
      <c r="AK835" s="143"/>
      <c r="AL835" s="143"/>
      <c r="AM835" s="143"/>
      <c r="AN835" s="143"/>
      <c r="AO835" s="143"/>
      <c r="AP835" s="143"/>
      <c r="AQ835" s="143"/>
    </row>
    <row r="836" ht="22.5" customHeight="1">
      <c r="A836" s="166"/>
      <c r="B836" s="1111"/>
      <c r="C836" s="524"/>
      <c r="D836" s="1110"/>
      <c r="E836" s="669"/>
      <c r="F836" s="524"/>
      <c r="G836" s="165"/>
      <c r="H836" s="669"/>
      <c r="I836" s="669"/>
      <c r="J836" s="352"/>
      <c r="K836" s="271" t="str">
        <f t="shared" si="74"/>
        <v/>
      </c>
      <c r="L836" s="297"/>
      <c r="M836" s="334"/>
      <c r="N836" s="277"/>
      <c r="O836" s="315"/>
      <c r="P836" s="344">
        <f t="shared" si="69"/>
        <v>0</v>
      </c>
      <c r="Q836" s="321"/>
      <c r="R836" s="672" t="b">
        <v>0</v>
      </c>
      <c r="S836" s="318"/>
      <c r="T836" s="319"/>
      <c r="U836" s="315"/>
      <c r="V836" s="162"/>
      <c r="W836" s="149"/>
      <c r="X836" s="163"/>
      <c r="Y836" s="162"/>
      <c r="Z836" s="164"/>
      <c r="AA836" s="116"/>
      <c r="AB836" s="116"/>
      <c r="AC836" s="165"/>
      <c r="AD836" s="675" t="str">
        <f t="shared" si="76"/>
        <v/>
      </c>
      <c r="AE836" s="166"/>
      <c r="AF836" s="149" t="b">
        <v>0</v>
      </c>
      <c r="AG836" s="166"/>
      <c r="AH836" s="149" t="b">
        <v>0</v>
      </c>
      <c r="AI836" s="162"/>
      <c r="AJ836" s="143"/>
      <c r="AK836" s="143"/>
      <c r="AL836" s="143"/>
      <c r="AM836" s="143"/>
      <c r="AN836" s="143"/>
      <c r="AO836" s="143"/>
      <c r="AP836" s="143"/>
      <c r="AQ836" s="143"/>
    </row>
    <row r="837" ht="22.5" customHeight="1">
      <c r="A837" s="166"/>
      <c r="B837" s="1111"/>
      <c r="C837" s="524"/>
      <c r="D837" s="1110"/>
      <c r="E837" s="669"/>
      <c r="F837" s="524"/>
      <c r="G837" s="165"/>
      <c r="H837" s="669"/>
      <c r="I837" s="669"/>
      <c r="J837" s="352"/>
      <c r="K837" s="271" t="str">
        <f t="shared" si="74"/>
        <v/>
      </c>
      <c r="L837" s="297"/>
      <c r="M837" s="334"/>
      <c r="N837" s="277"/>
      <c r="O837" s="315"/>
      <c r="P837" s="344">
        <f t="shared" si="69"/>
        <v>0</v>
      </c>
      <c r="Q837" s="321"/>
      <c r="R837" s="672" t="b">
        <v>0</v>
      </c>
      <c r="S837" s="318"/>
      <c r="T837" s="319"/>
      <c r="U837" s="315"/>
      <c r="V837" s="162"/>
      <c r="W837" s="149"/>
      <c r="X837" s="163"/>
      <c r="Y837" s="162"/>
      <c r="Z837" s="164"/>
      <c r="AA837" s="116"/>
      <c r="AB837" s="116"/>
      <c r="AC837" s="165"/>
      <c r="AD837" s="675" t="str">
        <f t="shared" si="76"/>
        <v/>
      </c>
      <c r="AE837" s="166"/>
      <c r="AF837" s="149" t="b">
        <v>0</v>
      </c>
      <c r="AG837" s="166"/>
      <c r="AH837" s="149" t="b">
        <v>0</v>
      </c>
      <c r="AI837" s="162"/>
      <c r="AJ837" s="143"/>
      <c r="AK837" s="143"/>
      <c r="AL837" s="143"/>
      <c r="AM837" s="143"/>
      <c r="AN837" s="143"/>
      <c r="AO837" s="143"/>
      <c r="AP837" s="143"/>
      <c r="AQ837" s="143"/>
    </row>
    <row r="838" ht="22.5" customHeight="1">
      <c r="A838" s="166"/>
      <c r="B838" s="1111"/>
      <c r="C838" s="524"/>
      <c r="D838" s="1110"/>
      <c r="E838" s="669"/>
      <c r="F838" s="524"/>
      <c r="G838" s="165"/>
      <c r="H838" s="669"/>
      <c r="I838" s="669"/>
      <c r="J838" s="352"/>
      <c r="K838" s="271" t="str">
        <f t="shared" si="74"/>
        <v/>
      </c>
      <c r="L838" s="297"/>
      <c r="M838" s="334"/>
      <c r="N838" s="277"/>
      <c r="O838" s="315"/>
      <c r="P838" s="344">
        <f t="shared" si="69"/>
        <v>0</v>
      </c>
      <c r="Q838" s="321"/>
      <c r="R838" s="672" t="b">
        <v>0</v>
      </c>
      <c r="S838" s="318"/>
      <c r="T838" s="319"/>
      <c r="U838" s="315"/>
      <c r="V838" s="162"/>
      <c r="W838" s="149"/>
      <c r="X838" s="163"/>
      <c r="Y838" s="162"/>
      <c r="Z838" s="164"/>
      <c r="AA838" s="116"/>
      <c r="AB838" s="116"/>
      <c r="AC838" s="165"/>
      <c r="AD838" s="675" t="str">
        <f t="shared" si="76"/>
        <v/>
      </c>
      <c r="AE838" s="166"/>
      <c r="AF838" s="149" t="b">
        <v>0</v>
      </c>
      <c r="AG838" s="166"/>
      <c r="AH838" s="149" t="b">
        <v>0</v>
      </c>
      <c r="AI838" s="162"/>
      <c r="AJ838" s="143"/>
      <c r="AK838" s="143"/>
      <c r="AL838" s="143"/>
      <c r="AM838" s="143"/>
      <c r="AN838" s="143"/>
      <c r="AO838" s="143"/>
      <c r="AP838" s="143"/>
      <c r="AQ838" s="143"/>
    </row>
    <row r="839" ht="22.5" customHeight="1">
      <c r="A839" s="166"/>
      <c r="B839" s="1111"/>
      <c r="C839" s="524"/>
      <c r="D839" s="1110"/>
      <c r="E839" s="669"/>
      <c r="F839" s="524"/>
      <c r="G839" s="165"/>
      <c r="H839" s="669"/>
      <c r="I839" s="669"/>
      <c r="J839" s="352"/>
      <c r="K839" s="271" t="str">
        <f t="shared" si="74"/>
        <v/>
      </c>
      <c r="L839" s="297"/>
      <c r="M839" s="334"/>
      <c r="N839" s="277"/>
      <c r="O839" s="315"/>
      <c r="P839" s="344">
        <f t="shared" si="69"/>
        <v>0</v>
      </c>
      <c r="Q839" s="321"/>
      <c r="R839" s="672" t="b">
        <v>0</v>
      </c>
      <c r="S839" s="318"/>
      <c r="T839" s="319"/>
      <c r="U839" s="315"/>
      <c r="V839" s="162"/>
      <c r="W839" s="149"/>
      <c r="X839" s="163"/>
      <c r="Y839" s="162"/>
      <c r="Z839" s="164"/>
      <c r="AA839" s="116"/>
      <c r="AB839" s="116"/>
      <c r="AC839" s="165"/>
      <c r="AD839" s="675" t="str">
        <f t="shared" si="76"/>
        <v/>
      </c>
      <c r="AE839" s="166"/>
      <c r="AF839" s="149" t="b">
        <v>0</v>
      </c>
      <c r="AG839" s="166"/>
      <c r="AH839" s="149" t="b">
        <v>0</v>
      </c>
      <c r="AI839" s="162"/>
      <c r="AJ839" s="143"/>
      <c r="AK839" s="143"/>
      <c r="AL839" s="143"/>
      <c r="AM839" s="143"/>
      <c r="AN839" s="143"/>
      <c r="AO839" s="143"/>
      <c r="AP839" s="143"/>
      <c r="AQ839" s="143"/>
    </row>
    <row r="840" ht="22.5" customHeight="1">
      <c r="A840" s="166"/>
      <c r="B840" s="1111"/>
      <c r="C840" s="524"/>
      <c r="D840" s="1110"/>
      <c r="E840" s="669"/>
      <c r="F840" s="524"/>
      <c r="G840" s="165"/>
      <c r="H840" s="669"/>
      <c r="I840" s="669"/>
      <c r="J840" s="352"/>
      <c r="K840" s="271" t="str">
        <f t="shared" si="74"/>
        <v/>
      </c>
      <c r="L840" s="297"/>
      <c r="M840" s="334"/>
      <c r="N840" s="277"/>
      <c r="O840" s="315"/>
      <c r="P840" s="344">
        <f t="shared" si="69"/>
        <v>0</v>
      </c>
      <c r="Q840" s="321"/>
      <c r="R840" s="672" t="b">
        <v>0</v>
      </c>
      <c r="S840" s="318"/>
      <c r="T840" s="319"/>
      <c r="U840" s="315"/>
      <c r="V840" s="162"/>
      <c r="W840" s="149"/>
      <c r="X840" s="163"/>
      <c r="Y840" s="162"/>
      <c r="Z840" s="164"/>
      <c r="AA840" s="116"/>
      <c r="AB840" s="116"/>
      <c r="AC840" s="165"/>
      <c r="AD840" s="675" t="str">
        <f t="shared" si="76"/>
        <v/>
      </c>
      <c r="AE840" s="166"/>
      <c r="AF840" s="149" t="b">
        <v>0</v>
      </c>
      <c r="AG840" s="166"/>
      <c r="AH840" s="149" t="b">
        <v>0</v>
      </c>
      <c r="AI840" s="162"/>
      <c r="AJ840" s="143"/>
      <c r="AK840" s="143"/>
      <c r="AL840" s="143"/>
      <c r="AM840" s="143"/>
      <c r="AN840" s="143"/>
      <c r="AO840" s="143"/>
      <c r="AP840" s="143"/>
      <c r="AQ840" s="143"/>
    </row>
    <row r="841" ht="22.5" customHeight="1">
      <c r="A841" s="166"/>
      <c r="B841" s="1111"/>
      <c r="C841" s="524"/>
      <c r="D841" s="1110"/>
      <c r="E841" s="669"/>
      <c r="F841" s="524"/>
      <c r="G841" s="165"/>
      <c r="H841" s="669"/>
      <c r="I841" s="669"/>
      <c r="J841" s="352"/>
      <c r="K841" s="271" t="str">
        <f t="shared" si="74"/>
        <v/>
      </c>
      <c r="L841" s="297"/>
      <c r="M841" s="334"/>
      <c r="N841" s="277"/>
      <c r="O841" s="315"/>
      <c r="P841" s="344">
        <f t="shared" si="69"/>
        <v>0</v>
      </c>
      <c r="Q841" s="321"/>
      <c r="R841" s="672" t="b">
        <v>0</v>
      </c>
      <c r="S841" s="318"/>
      <c r="T841" s="319"/>
      <c r="U841" s="315"/>
      <c r="V841" s="162"/>
      <c r="W841" s="149"/>
      <c r="X841" s="163"/>
      <c r="Y841" s="162"/>
      <c r="Z841" s="164"/>
      <c r="AA841" s="116"/>
      <c r="AB841" s="116"/>
      <c r="AC841" s="165"/>
      <c r="AD841" s="675" t="str">
        <f t="shared" si="76"/>
        <v/>
      </c>
      <c r="AE841" s="166"/>
      <c r="AF841" s="149" t="b">
        <v>0</v>
      </c>
      <c r="AG841" s="166"/>
      <c r="AH841" s="149" t="b">
        <v>0</v>
      </c>
      <c r="AI841" s="162"/>
      <c r="AJ841" s="143"/>
      <c r="AK841" s="143"/>
      <c r="AL841" s="143"/>
      <c r="AM841" s="143"/>
      <c r="AN841" s="143"/>
      <c r="AO841" s="143"/>
      <c r="AP841" s="143"/>
      <c r="AQ841" s="143"/>
    </row>
    <row r="842" ht="22.5" customHeight="1">
      <c r="A842" s="166"/>
      <c r="B842" s="1111"/>
      <c r="C842" s="524"/>
      <c r="D842" s="1110"/>
      <c r="E842" s="669"/>
      <c r="F842" s="524"/>
      <c r="G842" s="165"/>
      <c r="H842" s="669"/>
      <c r="I842" s="669"/>
      <c r="J842" s="352"/>
      <c r="K842" s="271" t="str">
        <f t="shared" si="74"/>
        <v/>
      </c>
      <c r="L842" s="297"/>
      <c r="M842" s="334"/>
      <c r="N842" s="277"/>
      <c r="O842" s="315"/>
      <c r="P842" s="344">
        <f t="shared" si="69"/>
        <v>0</v>
      </c>
      <c r="Q842" s="321"/>
      <c r="R842" s="672" t="b">
        <v>0</v>
      </c>
      <c r="S842" s="318"/>
      <c r="T842" s="319"/>
      <c r="U842" s="315"/>
      <c r="V842" s="162"/>
      <c r="W842" s="149"/>
      <c r="X842" s="163"/>
      <c r="Y842" s="162"/>
      <c r="Z842" s="164"/>
      <c r="AA842" s="116"/>
      <c r="AB842" s="116"/>
      <c r="AC842" s="165"/>
      <c r="AD842" s="675" t="str">
        <f t="shared" si="76"/>
        <v/>
      </c>
      <c r="AE842" s="166"/>
      <c r="AF842" s="149" t="b">
        <v>0</v>
      </c>
      <c r="AG842" s="166"/>
      <c r="AH842" s="149" t="b">
        <v>0</v>
      </c>
      <c r="AI842" s="162"/>
      <c r="AJ842" s="143"/>
      <c r="AK842" s="143"/>
      <c r="AL842" s="143"/>
      <c r="AM842" s="143"/>
      <c r="AN842" s="143"/>
      <c r="AO842" s="143"/>
      <c r="AP842" s="143"/>
      <c r="AQ842" s="143"/>
    </row>
    <row r="843" ht="22.5" customHeight="1">
      <c r="A843" s="166"/>
      <c r="B843" s="1111"/>
      <c r="C843" s="524"/>
      <c r="D843" s="1110"/>
      <c r="E843" s="669"/>
      <c r="F843" s="524"/>
      <c r="G843" s="165"/>
      <c r="H843" s="669"/>
      <c r="I843" s="669"/>
      <c r="J843" s="352"/>
      <c r="K843" s="271" t="str">
        <f t="shared" si="74"/>
        <v/>
      </c>
      <c r="L843" s="297"/>
      <c r="M843" s="334"/>
      <c r="N843" s="277"/>
      <c r="O843" s="315"/>
      <c r="P843" s="344">
        <f t="shared" si="69"/>
        <v>0</v>
      </c>
      <c r="Q843" s="321"/>
      <c r="R843" s="672" t="b">
        <v>0</v>
      </c>
      <c r="S843" s="318"/>
      <c r="T843" s="319"/>
      <c r="U843" s="315"/>
      <c r="V843" s="162"/>
      <c r="W843" s="149"/>
      <c r="X843" s="163"/>
      <c r="Y843" s="162"/>
      <c r="Z843" s="164"/>
      <c r="AA843" s="116"/>
      <c r="AB843" s="116"/>
      <c r="AC843" s="165"/>
      <c r="AD843" s="675" t="str">
        <f t="shared" si="76"/>
        <v/>
      </c>
      <c r="AE843" s="166"/>
      <c r="AF843" s="149" t="b">
        <v>0</v>
      </c>
      <c r="AG843" s="166"/>
      <c r="AH843" s="149" t="b">
        <v>0</v>
      </c>
      <c r="AI843" s="162"/>
      <c r="AJ843" s="143"/>
      <c r="AK843" s="143"/>
      <c r="AL843" s="143"/>
      <c r="AM843" s="143"/>
      <c r="AN843" s="143"/>
      <c r="AO843" s="143"/>
      <c r="AP843" s="143"/>
      <c r="AQ843" s="143"/>
    </row>
    <row r="844" ht="22.5" customHeight="1">
      <c r="A844" s="166"/>
      <c r="B844" s="1111"/>
      <c r="C844" s="524"/>
      <c r="D844" s="1110"/>
      <c r="E844" s="669"/>
      <c r="F844" s="524"/>
      <c r="G844" s="165"/>
      <c r="H844" s="669"/>
      <c r="I844" s="669"/>
      <c r="J844" s="352"/>
      <c r="K844" s="271" t="str">
        <f t="shared" si="74"/>
        <v/>
      </c>
      <c r="L844" s="297"/>
      <c r="M844" s="334"/>
      <c r="N844" s="277"/>
      <c r="O844" s="315"/>
      <c r="P844" s="344">
        <f t="shared" si="69"/>
        <v>0</v>
      </c>
      <c r="Q844" s="321"/>
      <c r="R844" s="672" t="b">
        <v>0</v>
      </c>
      <c r="S844" s="318"/>
      <c r="T844" s="319"/>
      <c r="U844" s="315"/>
      <c r="V844" s="162"/>
      <c r="W844" s="149"/>
      <c r="X844" s="163"/>
      <c r="Y844" s="162"/>
      <c r="Z844" s="164"/>
      <c r="AA844" s="116"/>
      <c r="AB844" s="116"/>
      <c r="AC844" s="165"/>
      <c r="AD844" s="675" t="str">
        <f t="shared" si="76"/>
        <v/>
      </c>
      <c r="AE844" s="166"/>
      <c r="AF844" s="149" t="b">
        <v>0</v>
      </c>
      <c r="AG844" s="166"/>
      <c r="AH844" s="149" t="b">
        <v>0</v>
      </c>
      <c r="AI844" s="162"/>
      <c r="AJ844" s="143"/>
      <c r="AK844" s="143"/>
      <c r="AL844" s="143"/>
      <c r="AM844" s="143"/>
      <c r="AN844" s="143"/>
      <c r="AO844" s="143"/>
      <c r="AP844" s="143"/>
      <c r="AQ844" s="143"/>
    </row>
    <row r="845" ht="22.5" customHeight="1">
      <c r="A845" s="166"/>
      <c r="B845" s="1111"/>
      <c r="C845" s="524"/>
      <c r="D845" s="1110"/>
      <c r="E845" s="669"/>
      <c r="F845" s="524"/>
      <c r="G845" s="165"/>
      <c r="H845" s="669"/>
      <c r="I845" s="669"/>
      <c r="J845" s="352"/>
      <c r="K845" s="271" t="str">
        <f t="shared" si="74"/>
        <v/>
      </c>
      <c r="L845" s="297"/>
      <c r="M845" s="334"/>
      <c r="N845" s="277"/>
      <c r="O845" s="315"/>
      <c r="P845" s="344">
        <f t="shared" si="69"/>
        <v>0</v>
      </c>
      <c r="Q845" s="321"/>
      <c r="R845" s="672" t="b">
        <v>0</v>
      </c>
      <c r="S845" s="318"/>
      <c r="T845" s="319"/>
      <c r="U845" s="315"/>
      <c r="V845" s="162"/>
      <c r="W845" s="149"/>
      <c r="X845" s="163"/>
      <c r="Y845" s="162"/>
      <c r="Z845" s="164"/>
      <c r="AA845" s="116"/>
      <c r="AB845" s="116"/>
      <c r="AC845" s="165"/>
      <c r="AD845" s="675" t="str">
        <f t="shared" si="76"/>
        <v/>
      </c>
      <c r="AE845" s="166"/>
      <c r="AF845" s="149" t="b">
        <v>0</v>
      </c>
      <c r="AG845" s="166"/>
      <c r="AH845" s="149" t="b">
        <v>0</v>
      </c>
      <c r="AI845" s="162"/>
      <c r="AJ845" s="143"/>
      <c r="AK845" s="143"/>
      <c r="AL845" s="143"/>
      <c r="AM845" s="143"/>
      <c r="AN845" s="143"/>
      <c r="AO845" s="143"/>
      <c r="AP845" s="143"/>
      <c r="AQ845" s="143"/>
    </row>
    <row r="846" ht="22.5" customHeight="1">
      <c r="A846" s="166"/>
      <c r="B846" s="1111"/>
      <c r="C846" s="524"/>
      <c r="D846" s="1110"/>
      <c r="E846" s="669"/>
      <c r="F846" s="524"/>
      <c r="G846" s="165"/>
      <c r="H846" s="669"/>
      <c r="I846" s="669"/>
      <c r="J846" s="352"/>
      <c r="K846" s="271" t="str">
        <f t="shared" si="74"/>
        <v/>
      </c>
      <c r="L846" s="297"/>
      <c r="M846" s="334"/>
      <c r="N846" s="277"/>
      <c r="O846" s="315"/>
      <c r="P846" s="344">
        <f t="shared" si="69"/>
        <v>0</v>
      </c>
      <c r="Q846" s="321"/>
      <c r="R846" s="672" t="b">
        <v>0</v>
      </c>
      <c r="S846" s="318"/>
      <c r="T846" s="319"/>
      <c r="U846" s="315"/>
      <c r="V846" s="162"/>
      <c r="W846" s="149"/>
      <c r="X846" s="163"/>
      <c r="Y846" s="162"/>
      <c r="Z846" s="164"/>
      <c r="AA846" s="116"/>
      <c r="AB846" s="116"/>
      <c r="AC846" s="165"/>
      <c r="AD846" s="675" t="str">
        <f t="shared" si="76"/>
        <v/>
      </c>
      <c r="AE846" s="166"/>
      <c r="AF846" s="149" t="b">
        <v>0</v>
      </c>
      <c r="AG846" s="166"/>
      <c r="AH846" s="149" t="b">
        <v>0</v>
      </c>
      <c r="AI846" s="162"/>
      <c r="AJ846" s="143"/>
      <c r="AK846" s="143"/>
      <c r="AL846" s="143"/>
      <c r="AM846" s="143"/>
      <c r="AN846" s="143"/>
      <c r="AO846" s="143"/>
      <c r="AP846" s="143"/>
      <c r="AQ846" s="143"/>
    </row>
    <row r="847" ht="22.5" customHeight="1">
      <c r="A847" s="166"/>
      <c r="B847" s="1111"/>
      <c r="C847" s="524"/>
      <c r="D847" s="1110"/>
      <c r="E847" s="669"/>
      <c r="F847" s="524"/>
      <c r="G847" s="165"/>
      <c r="H847" s="669"/>
      <c r="I847" s="669"/>
      <c r="J847" s="352"/>
      <c r="K847" s="271" t="str">
        <f t="shared" si="74"/>
        <v/>
      </c>
      <c r="L847" s="297"/>
      <c r="M847" s="334"/>
      <c r="N847" s="277"/>
      <c r="O847" s="315"/>
      <c r="P847" s="344">
        <f t="shared" si="69"/>
        <v>0</v>
      </c>
      <c r="Q847" s="321"/>
      <c r="R847" s="672" t="b">
        <v>0</v>
      </c>
      <c r="S847" s="318"/>
      <c r="T847" s="319"/>
      <c r="U847" s="315"/>
      <c r="V847" s="162"/>
      <c r="W847" s="149"/>
      <c r="X847" s="163"/>
      <c r="Y847" s="162"/>
      <c r="Z847" s="164"/>
      <c r="AA847" s="116"/>
      <c r="AB847" s="116"/>
      <c r="AC847" s="165"/>
      <c r="AD847" s="675" t="str">
        <f t="shared" si="76"/>
        <v/>
      </c>
      <c r="AE847" s="166"/>
      <c r="AF847" s="149" t="b">
        <v>0</v>
      </c>
      <c r="AG847" s="166"/>
      <c r="AH847" s="149" t="b">
        <v>0</v>
      </c>
      <c r="AI847" s="162"/>
      <c r="AJ847" s="143"/>
      <c r="AK847" s="143"/>
      <c r="AL847" s="143"/>
      <c r="AM847" s="143"/>
      <c r="AN847" s="143"/>
      <c r="AO847" s="143"/>
      <c r="AP847" s="143"/>
      <c r="AQ847" s="143"/>
    </row>
    <row r="848" ht="22.5" customHeight="1">
      <c r="A848" s="166"/>
      <c r="B848" s="1111"/>
      <c r="C848" s="524"/>
      <c r="D848" s="1110"/>
      <c r="E848" s="669"/>
      <c r="F848" s="524"/>
      <c r="G848" s="165"/>
      <c r="H848" s="669"/>
      <c r="I848" s="669"/>
      <c r="J848" s="352"/>
      <c r="K848" s="271" t="str">
        <f t="shared" si="74"/>
        <v/>
      </c>
      <c r="L848" s="297"/>
      <c r="M848" s="334"/>
      <c r="N848" s="277"/>
      <c r="O848" s="315"/>
      <c r="P848" s="344">
        <f t="shared" si="69"/>
        <v>0</v>
      </c>
      <c r="Q848" s="321"/>
      <c r="R848" s="672" t="b">
        <v>0</v>
      </c>
      <c r="S848" s="318"/>
      <c r="T848" s="319"/>
      <c r="U848" s="315"/>
      <c r="V848" s="162"/>
      <c r="W848" s="149"/>
      <c r="X848" s="163"/>
      <c r="Y848" s="162"/>
      <c r="Z848" s="164"/>
      <c r="AA848" s="116"/>
      <c r="AB848" s="116"/>
      <c r="AC848" s="165"/>
      <c r="AD848" s="675" t="str">
        <f t="shared" si="76"/>
        <v/>
      </c>
      <c r="AE848" s="166"/>
      <c r="AF848" s="149" t="b">
        <v>0</v>
      </c>
      <c r="AG848" s="166"/>
      <c r="AH848" s="149" t="b">
        <v>0</v>
      </c>
      <c r="AI848" s="162"/>
      <c r="AJ848" s="143"/>
      <c r="AK848" s="143"/>
      <c r="AL848" s="143"/>
      <c r="AM848" s="143"/>
      <c r="AN848" s="143"/>
      <c r="AO848" s="143"/>
      <c r="AP848" s="143"/>
      <c r="AQ848" s="143"/>
    </row>
    <row r="849" ht="22.5" customHeight="1">
      <c r="A849" s="166"/>
      <c r="B849" s="1111"/>
      <c r="C849" s="524"/>
      <c r="D849" s="1110"/>
      <c r="E849" s="669"/>
      <c r="F849" s="524"/>
      <c r="G849" s="165"/>
      <c r="H849" s="669"/>
      <c r="I849" s="669"/>
      <c r="J849" s="352"/>
      <c r="K849" s="271" t="str">
        <f t="shared" si="74"/>
        <v/>
      </c>
      <c r="L849" s="297"/>
      <c r="M849" s="334"/>
      <c r="N849" s="277"/>
      <c r="O849" s="315"/>
      <c r="P849" s="344">
        <f t="shared" si="69"/>
        <v>0</v>
      </c>
      <c r="Q849" s="321"/>
      <c r="R849" s="672" t="b">
        <v>0</v>
      </c>
      <c r="S849" s="318"/>
      <c r="T849" s="319"/>
      <c r="U849" s="315"/>
      <c r="V849" s="162"/>
      <c r="W849" s="149"/>
      <c r="X849" s="163"/>
      <c r="Y849" s="162"/>
      <c r="Z849" s="164"/>
      <c r="AA849" s="116"/>
      <c r="AB849" s="116"/>
      <c r="AC849" s="165"/>
      <c r="AD849" s="675" t="str">
        <f t="shared" si="76"/>
        <v/>
      </c>
      <c r="AE849" s="166"/>
      <c r="AF849" s="149" t="b">
        <v>0</v>
      </c>
      <c r="AG849" s="166"/>
      <c r="AH849" s="149" t="b">
        <v>0</v>
      </c>
      <c r="AI849" s="162"/>
      <c r="AJ849" s="143"/>
      <c r="AK849" s="143"/>
      <c r="AL849" s="143"/>
      <c r="AM849" s="143"/>
      <c r="AN849" s="143"/>
      <c r="AO849" s="143"/>
      <c r="AP849" s="143"/>
      <c r="AQ849" s="143"/>
    </row>
    <row r="850" ht="22.5" customHeight="1">
      <c r="A850" s="166"/>
      <c r="B850" s="1111"/>
      <c r="C850" s="524"/>
      <c r="D850" s="1110"/>
      <c r="E850" s="669"/>
      <c r="F850" s="524"/>
      <c r="G850" s="165"/>
      <c r="H850" s="669"/>
      <c r="I850" s="669"/>
      <c r="J850" s="352"/>
      <c r="K850" s="271" t="str">
        <f t="shared" si="74"/>
        <v/>
      </c>
      <c r="L850" s="297"/>
      <c r="M850" s="334"/>
      <c r="N850" s="277"/>
      <c r="O850" s="315"/>
      <c r="P850" s="344">
        <f t="shared" si="69"/>
        <v>0</v>
      </c>
      <c r="Q850" s="321"/>
      <c r="R850" s="672" t="b">
        <v>0</v>
      </c>
      <c r="S850" s="318"/>
      <c r="T850" s="319"/>
      <c r="U850" s="315"/>
      <c r="V850" s="162"/>
      <c r="W850" s="149"/>
      <c r="X850" s="163"/>
      <c r="Y850" s="162"/>
      <c r="Z850" s="164"/>
      <c r="AA850" s="116"/>
      <c r="AB850" s="116"/>
      <c r="AC850" s="165"/>
      <c r="AD850" s="675" t="str">
        <f t="shared" si="76"/>
        <v/>
      </c>
      <c r="AE850" s="166"/>
      <c r="AF850" s="149" t="b">
        <v>0</v>
      </c>
      <c r="AG850" s="166"/>
      <c r="AH850" s="149" t="b">
        <v>0</v>
      </c>
      <c r="AI850" s="162"/>
      <c r="AJ850" s="143"/>
      <c r="AK850" s="143"/>
      <c r="AL850" s="143"/>
      <c r="AM850" s="143"/>
      <c r="AN850" s="143"/>
      <c r="AO850" s="143"/>
      <c r="AP850" s="143"/>
      <c r="AQ850" s="143"/>
    </row>
    <row r="851" ht="22.5" customHeight="1">
      <c r="A851" s="166"/>
      <c r="B851" s="1111"/>
      <c r="C851" s="524"/>
      <c r="D851" s="1110"/>
      <c r="E851" s="669"/>
      <c r="F851" s="524"/>
      <c r="G851" s="165"/>
      <c r="H851" s="669"/>
      <c r="I851" s="669"/>
      <c r="J851" s="352"/>
      <c r="K851" s="271" t="str">
        <f t="shared" si="74"/>
        <v/>
      </c>
      <c r="L851" s="297"/>
      <c r="M851" s="334"/>
      <c r="N851" s="277"/>
      <c r="O851" s="315"/>
      <c r="P851" s="344">
        <f t="shared" si="69"/>
        <v>0</v>
      </c>
      <c r="Q851" s="321"/>
      <c r="R851" s="672" t="b">
        <v>0</v>
      </c>
      <c r="S851" s="318"/>
      <c r="T851" s="319"/>
      <c r="U851" s="315"/>
      <c r="V851" s="162"/>
      <c r="W851" s="149"/>
      <c r="X851" s="163"/>
      <c r="Y851" s="162"/>
      <c r="Z851" s="164"/>
      <c r="AA851" s="116"/>
      <c r="AB851" s="116"/>
      <c r="AC851" s="165"/>
      <c r="AD851" s="675" t="str">
        <f t="shared" si="76"/>
        <v/>
      </c>
      <c r="AE851" s="166"/>
      <c r="AF851" s="149" t="b">
        <v>0</v>
      </c>
      <c r="AG851" s="166"/>
      <c r="AH851" s="149" t="b">
        <v>0</v>
      </c>
      <c r="AI851" s="162"/>
      <c r="AJ851" s="143"/>
      <c r="AK851" s="143"/>
      <c r="AL851" s="143"/>
      <c r="AM851" s="143"/>
      <c r="AN851" s="143"/>
      <c r="AO851" s="143"/>
      <c r="AP851" s="143"/>
      <c r="AQ851" s="143"/>
    </row>
    <row r="852" ht="22.5" customHeight="1">
      <c r="A852" s="166"/>
      <c r="B852" s="1111"/>
      <c r="C852" s="524"/>
      <c r="D852" s="1110"/>
      <c r="E852" s="669"/>
      <c r="F852" s="524"/>
      <c r="G852" s="165"/>
      <c r="H852" s="669"/>
      <c r="I852" s="669"/>
      <c r="J852" s="352"/>
      <c r="K852" s="271" t="str">
        <f t="shared" si="74"/>
        <v/>
      </c>
      <c r="L852" s="297"/>
      <c r="M852" s="334"/>
      <c r="N852" s="277"/>
      <c r="O852" s="315"/>
      <c r="P852" s="344">
        <f t="shared" si="69"/>
        <v>0</v>
      </c>
      <c r="Q852" s="321"/>
      <c r="R852" s="672" t="b">
        <v>0</v>
      </c>
      <c r="S852" s="318"/>
      <c r="T852" s="319"/>
      <c r="U852" s="315"/>
      <c r="V852" s="162"/>
      <c r="W852" s="149"/>
      <c r="X852" s="163"/>
      <c r="Y852" s="162"/>
      <c r="Z852" s="164"/>
      <c r="AA852" s="116"/>
      <c r="AB852" s="116"/>
      <c r="AC852" s="165"/>
      <c r="AD852" s="675" t="str">
        <f t="shared" si="76"/>
        <v/>
      </c>
      <c r="AE852" s="166"/>
      <c r="AF852" s="149" t="b">
        <v>0</v>
      </c>
      <c r="AG852" s="166"/>
      <c r="AH852" s="149" t="b">
        <v>0</v>
      </c>
      <c r="AI852" s="162"/>
      <c r="AJ852" s="143"/>
      <c r="AK852" s="143"/>
      <c r="AL852" s="143"/>
      <c r="AM852" s="143"/>
      <c r="AN852" s="143"/>
      <c r="AO852" s="143"/>
      <c r="AP852" s="143"/>
      <c r="AQ852" s="143"/>
    </row>
    <row r="853" ht="22.5" customHeight="1">
      <c r="A853" s="166"/>
      <c r="B853" s="1111"/>
      <c r="C853" s="524"/>
      <c r="D853" s="1110"/>
      <c r="E853" s="669"/>
      <c r="F853" s="524"/>
      <c r="G853" s="165"/>
      <c r="H853" s="669"/>
      <c r="I853" s="669"/>
      <c r="J853" s="352"/>
      <c r="K853" s="271" t="str">
        <f t="shared" si="74"/>
        <v/>
      </c>
      <c r="L853" s="297"/>
      <c r="M853" s="334"/>
      <c r="N853" s="277"/>
      <c r="O853" s="315"/>
      <c r="P853" s="344">
        <f t="shared" si="69"/>
        <v>0</v>
      </c>
      <c r="Q853" s="321"/>
      <c r="R853" s="672" t="b">
        <v>0</v>
      </c>
      <c r="S853" s="318"/>
      <c r="T853" s="319"/>
      <c r="U853" s="315"/>
      <c r="V853" s="162"/>
      <c r="W853" s="149"/>
      <c r="X853" s="163"/>
      <c r="Y853" s="162"/>
      <c r="Z853" s="164"/>
      <c r="AA853" s="116"/>
      <c r="AB853" s="116"/>
      <c r="AC853" s="165"/>
      <c r="AD853" s="675" t="str">
        <f t="shared" si="76"/>
        <v/>
      </c>
      <c r="AE853" s="166"/>
      <c r="AF853" s="149" t="b">
        <v>0</v>
      </c>
      <c r="AG853" s="166"/>
      <c r="AH853" s="149" t="b">
        <v>0</v>
      </c>
      <c r="AI853" s="162"/>
      <c r="AJ853" s="143"/>
      <c r="AK853" s="143"/>
      <c r="AL853" s="143"/>
      <c r="AM853" s="143"/>
      <c r="AN853" s="143"/>
      <c r="AO853" s="143"/>
      <c r="AP853" s="143"/>
      <c r="AQ853" s="143"/>
    </row>
    <row r="854" ht="22.5" customHeight="1">
      <c r="A854" s="166"/>
      <c r="B854" s="1111"/>
      <c r="C854" s="524"/>
      <c r="D854" s="1110"/>
      <c r="E854" s="669"/>
      <c r="F854" s="524"/>
      <c r="G854" s="165"/>
      <c r="H854" s="669"/>
      <c r="I854" s="669"/>
      <c r="J854" s="352"/>
      <c r="K854" s="271" t="str">
        <f t="shared" si="74"/>
        <v/>
      </c>
      <c r="L854" s="297"/>
      <c r="M854" s="334"/>
      <c r="N854" s="277"/>
      <c r="O854" s="315"/>
      <c r="P854" s="344">
        <f t="shared" si="69"/>
        <v>0</v>
      </c>
      <c r="Q854" s="321"/>
      <c r="R854" s="672" t="b">
        <v>0</v>
      </c>
      <c r="S854" s="318"/>
      <c r="T854" s="319"/>
      <c r="U854" s="315"/>
      <c r="V854" s="162"/>
      <c r="W854" s="149"/>
      <c r="X854" s="163"/>
      <c r="Y854" s="162"/>
      <c r="Z854" s="164"/>
      <c r="AA854" s="116"/>
      <c r="AB854" s="116"/>
      <c r="AC854" s="165"/>
      <c r="AD854" s="675" t="str">
        <f t="shared" si="76"/>
        <v/>
      </c>
      <c r="AE854" s="166"/>
      <c r="AF854" s="149" t="b">
        <v>0</v>
      </c>
      <c r="AG854" s="166"/>
      <c r="AH854" s="149" t="b">
        <v>0</v>
      </c>
      <c r="AI854" s="162"/>
      <c r="AJ854" s="143"/>
      <c r="AK854" s="143"/>
      <c r="AL854" s="143"/>
      <c r="AM854" s="143"/>
      <c r="AN854" s="143"/>
      <c r="AO854" s="143"/>
      <c r="AP854" s="143"/>
      <c r="AQ854" s="143"/>
    </row>
    <row r="855" ht="22.5" customHeight="1">
      <c r="A855" s="166"/>
      <c r="B855" s="1111"/>
      <c r="C855" s="524"/>
      <c r="D855" s="1110"/>
      <c r="E855" s="669"/>
      <c r="F855" s="524"/>
      <c r="G855" s="165"/>
      <c r="H855" s="669"/>
      <c r="I855" s="669"/>
      <c r="J855" s="352"/>
      <c r="K855" s="271" t="str">
        <f t="shared" si="74"/>
        <v/>
      </c>
      <c r="L855" s="297"/>
      <c r="M855" s="334"/>
      <c r="N855" s="277"/>
      <c r="O855" s="315"/>
      <c r="P855" s="344">
        <f t="shared" si="69"/>
        <v>0</v>
      </c>
      <c r="Q855" s="321"/>
      <c r="R855" s="672" t="b">
        <v>0</v>
      </c>
      <c r="S855" s="318"/>
      <c r="T855" s="319"/>
      <c r="U855" s="315"/>
      <c r="V855" s="162"/>
      <c r="W855" s="149"/>
      <c r="X855" s="163"/>
      <c r="Y855" s="162"/>
      <c r="Z855" s="164"/>
      <c r="AA855" s="116"/>
      <c r="AB855" s="116"/>
      <c r="AC855" s="165"/>
      <c r="AD855" s="675" t="str">
        <f t="shared" si="76"/>
        <v/>
      </c>
      <c r="AE855" s="166"/>
      <c r="AF855" s="149" t="b">
        <v>0</v>
      </c>
      <c r="AG855" s="166"/>
      <c r="AH855" s="149" t="b">
        <v>0</v>
      </c>
      <c r="AI855" s="162"/>
      <c r="AJ855" s="143"/>
      <c r="AK855" s="143"/>
      <c r="AL855" s="143"/>
      <c r="AM855" s="143"/>
      <c r="AN855" s="143"/>
      <c r="AO855" s="143"/>
      <c r="AP855" s="143"/>
      <c r="AQ855" s="143"/>
    </row>
    <row r="856" ht="22.5" customHeight="1">
      <c r="A856" s="166"/>
      <c r="B856" s="1111"/>
      <c r="C856" s="524"/>
      <c r="D856" s="1110"/>
      <c r="E856" s="669"/>
      <c r="F856" s="524"/>
      <c r="G856" s="165"/>
      <c r="H856" s="669"/>
      <c r="I856" s="669"/>
      <c r="J856" s="352"/>
      <c r="K856" s="271" t="str">
        <f t="shared" si="74"/>
        <v/>
      </c>
      <c r="L856" s="297"/>
      <c r="M856" s="334"/>
      <c r="N856" s="277"/>
      <c r="O856" s="315"/>
      <c r="P856" s="344">
        <f t="shared" si="69"/>
        <v>0</v>
      </c>
      <c r="Q856" s="321"/>
      <c r="R856" s="672" t="b">
        <v>0</v>
      </c>
      <c r="S856" s="318"/>
      <c r="T856" s="319"/>
      <c r="U856" s="315"/>
      <c r="V856" s="162"/>
      <c r="W856" s="149"/>
      <c r="X856" s="163"/>
      <c r="Y856" s="162"/>
      <c r="Z856" s="164"/>
      <c r="AA856" s="116"/>
      <c r="AB856" s="116"/>
      <c r="AC856" s="165"/>
      <c r="AD856" s="675" t="str">
        <f t="shared" si="76"/>
        <v/>
      </c>
      <c r="AE856" s="166"/>
      <c r="AF856" s="149" t="b">
        <v>0</v>
      </c>
      <c r="AG856" s="166"/>
      <c r="AH856" s="149" t="b">
        <v>0</v>
      </c>
      <c r="AI856" s="162"/>
      <c r="AJ856" s="143"/>
      <c r="AK856" s="143"/>
      <c r="AL856" s="143"/>
      <c r="AM856" s="143"/>
      <c r="AN856" s="143"/>
      <c r="AO856" s="143"/>
      <c r="AP856" s="143"/>
      <c r="AQ856" s="143"/>
    </row>
    <row r="857" ht="22.5" customHeight="1">
      <c r="A857" s="166"/>
      <c r="B857" s="1111"/>
      <c r="C857" s="524"/>
      <c r="D857" s="1110"/>
      <c r="E857" s="669"/>
      <c r="F857" s="524"/>
      <c r="G857" s="165"/>
      <c r="H857" s="669"/>
      <c r="I857" s="669"/>
      <c r="J857" s="352"/>
      <c r="K857" s="271" t="str">
        <f t="shared" si="74"/>
        <v/>
      </c>
      <c r="L857" s="297"/>
      <c r="M857" s="334"/>
      <c r="N857" s="277"/>
      <c r="O857" s="315"/>
      <c r="P857" s="344">
        <f t="shared" si="69"/>
        <v>0</v>
      </c>
      <c r="Q857" s="321"/>
      <c r="R857" s="672" t="b">
        <v>0</v>
      </c>
      <c r="S857" s="318"/>
      <c r="T857" s="319"/>
      <c r="U857" s="315"/>
      <c r="V857" s="162"/>
      <c r="W857" s="149"/>
      <c r="X857" s="163"/>
      <c r="Y857" s="162"/>
      <c r="Z857" s="164"/>
      <c r="AA857" s="116"/>
      <c r="AB857" s="116"/>
      <c r="AC857" s="165"/>
      <c r="AD857" s="675" t="str">
        <f t="shared" si="76"/>
        <v/>
      </c>
      <c r="AE857" s="166"/>
      <c r="AF857" s="149" t="b">
        <v>0</v>
      </c>
      <c r="AG857" s="166"/>
      <c r="AH857" s="149" t="b">
        <v>0</v>
      </c>
      <c r="AI857" s="162"/>
      <c r="AJ857" s="143"/>
      <c r="AK857" s="143"/>
      <c r="AL857" s="143"/>
      <c r="AM857" s="143"/>
      <c r="AN857" s="143"/>
      <c r="AO857" s="143"/>
      <c r="AP857" s="143"/>
      <c r="AQ857" s="143"/>
    </row>
    <row r="858" ht="22.5" customHeight="1">
      <c r="A858" s="166"/>
      <c r="B858" s="1111"/>
      <c r="C858" s="524"/>
      <c r="D858" s="1110"/>
      <c r="E858" s="669"/>
      <c r="F858" s="524"/>
      <c r="G858" s="165"/>
      <c r="H858" s="669"/>
      <c r="I858" s="669"/>
      <c r="J858" s="352"/>
      <c r="K858" s="271" t="str">
        <f t="shared" si="74"/>
        <v/>
      </c>
      <c r="L858" s="297"/>
      <c r="M858" s="334"/>
      <c r="N858" s="277"/>
      <c r="O858" s="315"/>
      <c r="P858" s="344">
        <f t="shared" si="69"/>
        <v>0</v>
      </c>
      <c r="Q858" s="321"/>
      <c r="R858" s="672" t="b">
        <v>0</v>
      </c>
      <c r="S858" s="318"/>
      <c r="T858" s="319"/>
      <c r="U858" s="315"/>
      <c r="V858" s="162"/>
      <c r="W858" s="149"/>
      <c r="X858" s="163"/>
      <c r="Y858" s="162"/>
      <c r="Z858" s="164"/>
      <c r="AA858" s="116"/>
      <c r="AB858" s="116"/>
      <c r="AC858" s="165"/>
      <c r="AD858" s="675" t="str">
        <f t="shared" si="76"/>
        <v/>
      </c>
      <c r="AE858" s="166"/>
      <c r="AF858" s="149" t="b">
        <v>0</v>
      </c>
      <c r="AG858" s="166"/>
      <c r="AH858" s="149" t="b">
        <v>0</v>
      </c>
      <c r="AI858" s="162"/>
      <c r="AJ858" s="143"/>
      <c r="AK858" s="143"/>
      <c r="AL858" s="143"/>
      <c r="AM858" s="143"/>
      <c r="AN858" s="143"/>
      <c r="AO858" s="143"/>
      <c r="AP858" s="143"/>
      <c r="AQ858" s="143"/>
    </row>
    <row r="859" ht="22.5" customHeight="1">
      <c r="A859" s="166"/>
      <c r="B859" s="1111"/>
      <c r="C859" s="524"/>
      <c r="D859" s="1110"/>
      <c r="E859" s="669"/>
      <c r="F859" s="524"/>
      <c r="G859" s="165"/>
      <c r="H859" s="669"/>
      <c r="I859" s="669"/>
      <c r="J859" s="352"/>
      <c r="K859" s="271" t="str">
        <f t="shared" si="74"/>
        <v/>
      </c>
      <c r="L859" s="297"/>
      <c r="M859" s="334"/>
      <c r="N859" s="277"/>
      <c r="O859" s="315"/>
      <c r="P859" s="344">
        <f t="shared" si="69"/>
        <v>0</v>
      </c>
      <c r="Q859" s="321"/>
      <c r="R859" s="672" t="b">
        <v>0</v>
      </c>
      <c r="S859" s="318"/>
      <c r="T859" s="319"/>
      <c r="U859" s="315"/>
      <c r="V859" s="162"/>
      <c r="W859" s="149"/>
      <c r="X859" s="163"/>
      <c r="Y859" s="162"/>
      <c r="Z859" s="164"/>
      <c r="AA859" s="116"/>
      <c r="AB859" s="116"/>
      <c r="AC859" s="165"/>
      <c r="AD859" s="675" t="str">
        <f t="shared" si="76"/>
        <v/>
      </c>
      <c r="AE859" s="166"/>
      <c r="AF859" s="149" t="b">
        <v>0</v>
      </c>
      <c r="AG859" s="166"/>
      <c r="AH859" s="149" t="b">
        <v>0</v>
      </c>
      <c r="AI859" s="162"/>
      <c r="AJ859" s="143"/>
      <c r="AK859" s="143"/>
      <c r="AL859" s="143"/>
      <c r="AM859" s="143"/>
      <c r="AN859" s="143"/>
      <c r="AO859" s="143"/>
      <c r="AP859" s="143"/>
      <c r="AQ859" s="143"/>
    </row>
    <row r="860" ht="22.5" customHeight="1">
      <c r="A860" s="166"/>
      <c r="B860" s="1111"/>
      <c r="C860" s="524"/>
      <c r="D860" s="1110"/>
      <c r="E860" s="669"/>
      <c r="F860" s="524"/>
      <c r="G860" s="165"/>
      <c r="H860" s="669"/>
      <c r="I860" s="669"/>
      <c r="J860" s="352"/>
      <c r="K860" s="271" t="str">
        <f t="shared" si="74"/>
        <v/>
      </c>
      <c r="L860" s="297"/>
      <c r="M860" s="334"/>
      <c r="N860" s="277"/>
      <c r="O860" s="315"/>
      <c r="P860" s="344">
        <f t="shared" si="69"/>
        <v>0</v>
      </c>
      <c r="Q860" s="321"/>
      <c r="R860" s="672" t="b">
        <v>0</v>
      </c>
      <c r="S860" s="318"/>
      <c r="T860" s="319"/>
      <c r="U860" s="315"/>
      <c r="V860" s="162"/>
      <c r="W860" s="149"/>
      <c r="X860" s="163"/>
      <c r="Y860" s="162"/>
      <c r="Z860" s="164"/>
      <c r="AA860" s="116"/>
      <c r="AB860" s="116"/>
      <c r="AC860" s="165"/>
      <c r="AD860" s="675" t="str">
        <f t="shared" si="76"/>
        <v/>
      </c>
      <c r="AE860" s="166"/>
      <c r="AF860" s="149" t="b">
        <v>0</v>
      </c>
      <c r="AG860" s="166"/>
      <c r="AH860" s="149" t="b">
        <v>0</v>
      </c>
      <c r="AI860" s="162"/>
      <c r="AJ860" s="143"/>
      <c r="AK860" s="143"/>
      <c r="AL860" s="143"/>
      <c r="AM860" s="143"/>
      <c r="AN860" s="143"/>
      <c r="AO860" s="143"/>
      <c r="AP860" s="143"/>
      <c r="AQ860" s="143"/>
    </row>
    <row r="861" ht="22.5" customHeight="1">
      <c r="A861" s="166"/>
      <c r="B861" s="1111"/>
      <c r="C861" s="524"/>
      <c r="D861" s="1110"/>
      <c r="E861" s="669"/>
      <c r="F861" s="524"/>
      <c r="G861" s="165"/>
      <c r="H861" s="669"/>
      <c r="I861" s="669"/>
      <c r="J861" s="352"/>
      <c r="K861" s="271" t="str">
        <f t="shared" si="74"/>
        <v/>
      </c>
      <c r="L861" s="297"/>
      <c r="M861" s="334"/>
      <c r="N861" s="277"/>
      <c r="O861" s="315"/>
      <c r="P861" s="344">
        <f t="shared" si="69"/>
        <v>0</v>
      </c>
      <c r="Q861" s="321"/>
      <c r="R861" s="672" t="b">
        <v>0</v>
      </c>
      <c r="S861" s="318"/>
      <c r="T861" s="319"/>
      <c r="U861" s="315"/>
      <c r="V861" s="162"/>
      <c r="W861" s="149"/>
      <c r="X861" s="163"/>
      <c r="Y861" s="162"/>
      <c r="Z861" s="164"/>
      <c r="AA861" s="116"/>
      <c r="AB861" s="116"/>
      <c r="AC861" s="165"/>
      <c r="AD861" s="675" t="str">
        <f t="shared" si="76"/>
        <v/>
      </c>
      <c r="AE861" s="166"/>
      <c r="AF861" s="149" t="b">
        <v>0</v>
      </c>
      <c r="AG861" s="166"/>
      <c r="AH861" s="149" t="b">
        <v>0</v>
      </c>
      <c r="AI861" s="162"/>
      <c r="AJ861" s="143"/>
      <c r="AK861" s="143"/>
      <c r="AL861" s="143"/>
      <c r="AM861" s="143"/>
      <c r="AN861" s="143"/>
      <c r="AO861" s="143"/>
      <c r="AP861" s="143"/>
      <c r="AQ861" s="143"/>
    </row>
    <row r="862" ht="22.5" customHeight="1">
      <c r="A862" s="166"/>
      <c r="B862" s="1111"/>
      <c r="C862" s="524"/>
      <c r="D862" s="1110"/>
      <c r="E862" s="669"/>
      <c r="F862" s="524"/>
      <c r="G862" s="165"/>
      <c r="H862" s="669"/>
      <c r="I862" s="669"/>
      <c r="J862" s="352"/>
      <c r="K862" s="271" t="str">
        <f t="shared" si="74"/>
        <v/>
      </c>
      <c r="L862" s="297"/>
      <c r="M862" s="334"/>
      <c r="N862" s="277"/>
      <c r="O862" s="315"/>
      <c r="P862" s="344">
        <f t="shared" si="69"/>
        <v>0</v>
      </c>
      <c r="Q862" s="321"/>
      <c r="R862" s="672" t="b">
        <v>0</v>
      </c>
      <c r="S862" s="318"/>
      <c r="T862" s="319"/>
      <c r="U862" s="315"/>
      <c r="V862" s="162"/>
      <c r="W862" s="149"/>
      <c r="X862" s="163"/>
      <c r="Y862" s="162"/>
      <c r="Z862" s="164"/>
      <c r="AA862" s="116"/>
      <c r="AB862" s="116"/>
      <c r="AC862" s="165"/>
      <c r="AD862" s="675" t="str">
        <f t="shared" si="76"/>
        <v/>
      </c>
      <c r="AE862" s="166"/>
      <c r="AF862" s="149" t="b">
        <v>0</v>
      </c>
      <c r="AG862" s="166"/>
      <c r="AH862" s="149" t="b">
        <v>0</v>
      </c>
      <c r="AI862" s="162"/>
      <c r="AJ862" s="143"/>
      <c r="AK862" s="143"/>
      <c r="AL862" s="143"/>
      <c r="AM862" s="143"/>
      <c r="AN862" s="143"/>
      <c r="AO862" s="143"/>
      <c r="AP862" s="143"/>
      <c r="AQ862" s="143"/>
    </row>
    <row r="863" ht="22.5" customHeight="1">
      <c r="A863" s="166"/>
      <c r="B863" s="1111"/>
      <c r="C863" s="524"/>
      <c r="D863" s="1110"/>
      <c r="E863" s="669"/>
      <c r="F863" s="524"/>
      <c r="G863" s="165"/>
      <c r="H863" s="669"/>
      <c r="I863" s="669"/>
      <c r="J863" s="352"/>
      <c r="K863" s="271" t="str">
        <f t="shared" si="74"/>
        <v/>
      </c>
      <c r="L863" s="297"/>
      <c r="M863" s="334"/>
      <c r="N863" s="277"/>
      <c r="O863" s="315"/>
      <c r="P863" s="344">
        <f t="shared" si="69"/>
        <v>0</v>
      </c>
      <c r="Q863" s="321"/>
      <c r="R863" s="672" t="b">
        <v>0</v>
      </c>
      <c r="S863" s="318"/>
      <c r="T863" s="319"/>
      <c r="U863" s="315"/>
      <c r="V863" s="162"/>
      <c r="W863" s="149"/>
      <c r="X863" s="163"/>
      <c r="Y863" s="162"/>
      <c r="Z863" s="164"/>
      <c r="AA863" s="116"/>
      <c r="AB863" s="116"/>
      <c r="AC863" s="165"/>
      <c r="AD863" s="675" t="str">
        <f t="shared" si="76"/>
        <v/>
      </c>
      <c r="AE863" s="166"/>
      <c r="AF863" s="149" t="b">
        <v>0</v>
      </c>
      <c r="AG863" s="166"/>
      <c r="AH863" s="149" t="b">
        <v>0</v>
      </c>
      <c r="AI863" s="162"/>
      <c r="AJ863" s="143"/>
      <c r="AK863" s="143"/>
      <c r="AL863" s="143"/>
      <c r="AM863" s="143"/>
      <c r="AN863" s="143"/>
      <c r="AO863" s="143"/>
      <c r="AP863" s="143"/>
      <c r="AQ863" s="143"/>
    </row>
    <row r="864" ht="22.5" customHeight="1">
      <c r="A864" s="166"/>
      <c r="B864" s="1111"/>
      <c r="C864" s="524"/>
      <c r="D864" s="1110"/>
      <c r="E864" s="669"/>
      <c r="F864" s="524"/>
      <c r="G864" s="165"/>
      <c r="H864" s="669"/>
      <c r="I864" s="669"/>
      <c r="J864" s="352"/>
      <c r="K864" s="271" t="str">
        <f t="shared" si="74"/>
        <v/>
      </c>
      <c r="L864" s="297"/>
      <c r="M864" s="334"/>
      <c r="N864" s="277"/>
      <c r="O864" s="315"/>
      <c r="P864" s="344">
        <f t="shared" si="69"/>
        <v>0</v>
      </c>
      <c r="Q864" s="321"/>
      <c r="R864" s="672" t="b">
        <v>0</v>
      </c>
      <c r="S864" s="318"/>
      <c r="T864" s="319"/>
      <c r="U864" s="315"/>
      <c r="V864" s="162"/>
      <c r="W864" s="149"/>
      <c r="X864" s="163"/>
      <c r="Y864" s="162"/>
      <c r="Z864" s="164"/>
      <c r="AA864" s="116"/>
      <c r="AB864" s="116"/>
      <c r="AC864" s="165"/>
      <c r="AD864" s="675" t="str">
        <f t="shared" si="76"/>
        <v/>
      </c>
      <c r="AE864" s="166"/>
      <c r="AF864" s="149" t="b">
        <v>0</v>
      </c>
      <c r="AG864" s="166"/>
      <c r="AH864" s="149" t="b">
        <v>0</v>
      </c>
      <c r="AI864" s="162"/>
      <c r="AJ864" s="143"/>
      <c r="AK864" s="143"/>
      <c r="AL864" s="143"/>
      <c r="AM864" s="143"/>
      <c r="AN864" s="143"/>
      <c r="AO864" s="143"/>
      <c r="AP864" s="143"/>
      <c r="AQ864" s="143"/>
    </row>
    <row r="865" ht="22.5" customHeight="1">
      <c r="A865" s="166"/>
      <c r="B865" s="1111"/>
      <c r="C865" s="524"/>
      <c r="D865" s="1110"/>
      <c r="E865" s="669"/>
      <c r="F865" s="524"/>
      <c r="G865" s="165"/>
      <c r="H865" s="669"/>
      <c r="I865" s="669"/>
      <c r="J865" s="352"/>
      <c r="K865" s="271" t="str">
        <f t="shared" si="74"/>
        <v/>
      </c>
      <c r="L865" s="297"/>
      <c r="M865" s="334"/>
      <c r="N865" s="277"/>
      <c r="O865" s="315"/>
      <c r="P865" s="344">
        <f t="shared" si="69"/>
        <v>0</v>
      </c>
      <c r="Q865" s="321"/>
      <c r="R865" s="672" t="b">
        <v>0</v>
      </c>
      <c r="S865" s="318"/>
      <c r="T865" s="319"/>
      <c r="U865" s="315"/>
      <c r="V865" s="162"/>
      <c r="W865" s="149"/>
      <c r="X865" s="163"/>
      <c r="Y865" s="162"/>
      <c r="Z865" s="164"/>
      <c r="AA865" s="116"/>
      <c r="AB865" s="116"/>
      <c r="AC865" s="165"/>
      <c r="AD865" s="675" t="str">
        <f t="shared" si="76"/>
        <v/>
      </c>
      <c r="AE865" s="166"/>
      <c r="AF865" s="149" t="b">
        <v>0</v>
      </c>
      <c r="AG865" s="166"/>
      <c r="AH865" s="149" t="b">
        <v>0</v>
      </c>
      <c r="AI865" s="162"/>
      <c r="AJ865" s="143"/>
      <c r="AK865" s="143"/>
      <c r="AL865" s="143"/>
      <c r="AM865" s="143"/>
      <c r="AN865" s="143"/>
      <c r="AO865" s="143"/>
      <c r="AP865" s="143"/>
      <c r="AQ865" s="143"/>
    </row>
    <row r="866" ht="22.5" customHeight="1">
      <c r="A866" s="166"/>
      <c r="B866" s="1111"/>
      <c r="C866" s="524"/>
      <c r="D866" s="1110"/>
      <c r="E866" s="669"/>
      <c r="F866" s="524"/>
      <c r="G866" s="165"/>
      <c r="H866" s="669"/>
      <c r="I866" s="669"/>
      <c r="J866" s="352"/>
      <c r="K866" s="271" t="str">
        <f t="shared" si="74"/>
        <v/>
      </c>
      <c r="L866" s="297"/>
      <c r="M866" s="334"/>
      <c r="N866" s="277"/>
      <c r="O866" s="315"/>
      <c r="P866" s="344">
        <f t="shared" si="69"/>
        <v>0</v>
      </c>
      <c r="Q866" s="321"/>
      <c r="R866" s="672" t="b">
        <v>0</v>
      </c>
      <c r="S866" s="318"/>
      <c r="T866" s="319"/>
      <c r="U866" s="315"/>
      <c r="V866" s="162"/>
      <c r="W866" s="149"/>
      <c r="X866" s="163"/>
      <c r="Y866" s="162"/>
      <c r="Z866" s="164"/>
      <c r="AA866" s="116"/>
      <c r="AB866" s="116"/>
      <c r="AC866" s="165"/>
      <c r="AD866" s="675" t="str">
        <f t="shared" si="76"/>
        <v/>
      </c>
      <c r="AE866" s="166"/>
      <c r="AF866" s="149" t="b">
        <v>0</v>
      </c>
      <c r="AG866" s="166"/>
      <c r="AH866" s="149" t="b">
        <v>0</v>
      </c>
      <c r="AI866" s="162"/>
      <c r="AJ866" s="143"/>
      <c r="AK866" s="143"/>
      <c r="AL866" s="143"/>
      <c r="AM866" s="143"/>
      <c r="AN866" s="143"/>
      <c r="AO866" s="143"/>
      <c r="AP866" s="143"/>
      <c r="AQ866" s="143"/>
    </row>
    <row r="867" ht="22.5" customHeight="1">
      <c r="A867" s="166"/>
      <c r="B867" s="1111"/>
      <c r="C867" s="524"/>
      <c r="D867" s="1110"/>
      <c r="E867" s="669"/>
      <c r="F867" s="524"/>
      <c r="G867" s="165"/>
      <c r="H867" s="669"/>
      <c r="I867" s="669"/>
      <c r="J867" s="352"/>
      <c r="K867" s="271" t="str">
        <f t="shared" si="74"/>
        <v/>
      </c>
      <c r="L867" s="297"/>
      <c r="M867" s="334"/>
      <c r="N867" s="277"/>
      <c r="O867" s="315"/>
      <c r="P867" s="344">
        <f t="shared" si="69"/>
        <v>0</v>
      </c>
      <c r="Q867" s="321"/>
      <c r="R867" s="672" t="b">
        <v>0</v>
      </c>
      <c r="S867" s="318"/>
      <c r="T867" s="319"/>
      <c r="U867" s="315"/>
      <c r="V867" s="162"/>
      <c r="W867" s="149"/>
      <c r="X867" s="163"/>
      <c r="Y867" s="162"/>
      <c r="Z867" s="164"/>
      <c r="AA867" s="116"/>
      <c r="AB867" s="116"/>
      <c r="AC867" s="165"/>
      <c r="AD867" s="675" t="str">
        <f t="shared" si="76"/>
        <v/>
      </c>
      <c r="AE867" s="166"/>
      <c r="AF867" s="149" t="b">
        <v>0</v>
      </c>
      <c r="AG867" s="166"/>
      <c r="AH867" s="149" t="b">
        <v>0</v>
      </c>
      <c r="AI867" s="162"/>
      <c r="AJ867" s="143"/>
      <c r="AK867" s="143"/>
      <c r="AL867" s="143"/>
      <c r="AM867" s="143"/>
      <c r="AN867" s="143"/>
      <c r="AO867" s="143"/>
      <c r="AP867" s="143"/>
      <c r="AQ867" s="143"/>
    </row>
    <row r="868" ht="22.5" customHeight="1">
      <c r="A868" s="166"/>
      <c r="B868" s="1111"/>
      <c r="C868" s="524"/>
      <c r="D868" s="1110"/>
      <c r="E868" s="669"/>
      <c r="F868" s="524"/>
      <c r="G868" s="165"/>
      <c r="H868" s="669"/>
      <c r="I868" s="669"/>
      <c r="J868" s="352"/>
      <c r="K868" s="271" t="str">
        <f t="shared" si="74"/>
        <v/>
      </c>
      <c r="L868" s="297"/>
      <c r="M868" s="334"/>
      <c r="N868" s="277"/>
      <c r="O868" s="315"/>
      <c r="P868" s="344">
        <f t="shared" si="69"/>
        <v>0</v>
      </c>
      <c r="Q868" s="321"/>
      <c r="R868" s="672" t="b">
        <v>0</v>
      </c>
      <c r="S868" s="318"/>
      <c r="T868" s="319"/>
      <c r="U868" s="315"/>
      <c r="V868" s="162"/>
      <c r="W868" s="149"/>
      <c r="X868" s="163"/>
      <c r="Y868" s="162"/>
      <c r="Z868" s="164"/>
      <c r="AA868" s="116"/>
      <c r="AB868" s="116"/>
      <c r="AC868" s="165"/>
      <c r="AD868" s="675" t="str">
        <f t="shared" si="76"/>
        <v/>
      </c>
      <c r="AE868" s="166"/>
      <c r="AF868" s="149" t="b">
        <v>0</v>
      </c>
      <c r="AG868" s="166"/>
      <c r="AH868" s="149" t="b">
        <v>0</v>
      </c>
      <c r="AI868" s="162"/>
      <c r="AJ868" s="143"/>
      <c r="AK868" s="143"/>
      <c r="AL868" s="143"/>
      <c r="AM868" s="143"/>
      <c r="AN868" s="143"/>
      <c r="AO868" s="143"/>
      <c r="AP868" s="143"/>
      <c r="AQ868" s="143"/>
    </row>
    <row r="869" ht="22.5" customHeight="1">
      <c r="A869" s="166"/>
      <c r="B869" s="1111"/>
      <c r="C869" s="524"/>
      <c r="D869" s="1110"/>
      <c r="E869" s="669"/>
      <c r="F869" s="524"/>
      <c r="G869" s="165"/>
      <c r="H869" s="669"/>
      <c r="I869" s="669"/>
      <c r="J869" s="352"/>
      <c r="K869" s="271" t="str">
        <f t="shared" si="74"/>
        <v/>
      </c>
      <c r="L869" s="297"/>
      <c r="M869" s="334"/>
      <c r="N869" s="277"/>
      <c r="O869" s="315"/>
      <c r="P869" s="344">
        <f t="shared" si="69"/>
        <v>0</v>
      </c>
      <c r="Q869" s="321"/>
      <c r="R869" s="672" t="b">
        <v>0</v>
      </c>
      <c r="S869" s="318"/>
      <c r="T869" s="319"/>
      <c r="U869" s="315"/>
      <c r="V869" s="162"/>
      <c r="W869" s="149"/>
      <c r="X869" s="163"/>
      <c r="Y869" s="162"/>
      <c r="Z869" s="164"/>
      <c r="AA869" s="116"/>
      <c r="AB869" s="116"/>
      <c r="AC869" s="165"/>
      <c r="AD869" s="675" t="str">
        <f t="shared" si="76"/>
        <v/>
      </c>
      <c r="AE869" s="166"/>
      <c r="AF869" s="149" t="b">
        <v>0</v>
      </c>
      <c r="AG869" s="166"/>
      <c r="AH869" s="149" t="b">
        <v>0</v>
      </c>
      <c r="AI869" s="162"/>
      <c r="AJ869" s="143"/>
      <c r="AK869" s="143"/>
      <c r="AL869" s="143"/>
      <c r="AM869" s="143"/>
      <c r="AN869" s="143"/>
      <c r="AO869" s="143"/>
      <c r="AP869" s="143"/>
      <c r="AQ869" s="143"/>
    </row>
    <row r="870" ht="22.5" customHeight="1">
      <c r="A870" s="166"/>
      <c r="B870" s="1111"/>
      <c r="C870" s="524"/>
      <c r="D870" s="1110"/>
      <c r="E870" s="669"/>
      <c r="F870" s="524"/>
      <c r="G870" s="165"/>
      <c r="H870" s="669"/>
      <c r="I870" s="669"/>
      <c r="J870" s="352"/>
      <c r="K870" s="271" t="str">
        <f t="shared" si="74"/>
        <v/>
      </c>
      <c r="L870" s="297"/>
      <c r="M870" s="334"/>
      <c r="N870" s="277"/>
      <c r="O870" s="315"/>
      <c r="P870" s="344">
        <f t="shared" si="69"/>
        <v>0</v>
      </c>
      <c r="Q870" s="321"/>
      <c r="R870" s="672" t="b">
        <v>0</v>
      </c>
      <c r="S870" s="318"/>
      <c r="T870" s="319"/>
      <c r="U870" s="315"/>
      <c r="V870" s="162"/>
      <c r="W870" s="149"/>
      <c r="X870" s="163"/>
      <c r="Y870" s="162"/>
      <c r="Z870" s="164"/>
      <c r="AA870" s="116"/>
      <c r="AB870" s="116"/>
      <c r="AC870" s="165"/>
      <c r="AD870" s="675" t="str">
        <f t="shared" si="76"/>
        <v/>
      </c>
      <c r="AE870" s="166"/>
      <c r="AF870" s="149" t="b">
        <v>0</v>
      </c>
      <c r="AG870" s="166"/>
      <c r="AH870" s="149" t="b">
        <v>0</v>
      </c>
      <c r="AI870" s="162"/>
      <c r="AJ870" s="143"/>
      <c r="AK870" s="143"/>
      <c r="AL870" s="143"/>
      <c r="AM870" s="143"/>
      <c r="AN870" s="143"/>
      <c r="AO870" s="143"/>
      <c r="AP870" s="143"/>
      <c r="AQ870" s="143"/>
    </row>
    <row r="871" ht="22.5" customHeight="1">
      <c r="A871" s="166"/>
      <c r="B871" s="1111"/>
      <c r="C871" s="524"/>
      <c r="D871" s="1110"/>
      <c r="E871" s="669"/>
      <c r="F871" s="524"/>
      <c r="G871" s="165"/>
      <c r="H871" s="669"/>
      <c r="I871" s="669"/>
      <c r="J871" s="352"/>
      <c r="K871" s="271" t="str">
        <f t="shared" si="74"/>
        <v/>
      </c>
      <c r="L871" s="297"/>
      <c r="M871" s="334"/>
      <c r="N871" s="277"/>
      <c r="O871" s="315"/>
      <c r="P871" s="344">
        <f t="shared" si="69"/>
        <v>0</v>
      </c>
      <c r="Q871" s="321"/>
      <c r="R871" s="672" t="b">
        <v>0</v>
      </c>
      <c r="S871" s="318"/>
      <c r="T871" s="319"/>
      <c r="U871" s="315"/>
      <c r="V871" s="162"/>
      <c r="W871" s="149"/>
      <c r="X871" s="163"/>
      <c r="Y871" s="162"/>
      <c r="Z871" s="164"/>
      <c r="AA871" s="116"/>
      <c r="AB871" s="116"/>
      <c r="AC871" s="165"/>
      <c r="AD871" s="675" t="str">
        <f t="shared" si="76"/>
        <v/>
      </c>
      <c r="AE871" s="166"/>
      <c r="AF871" s="149" t="b">
        <v>0</v>
      </c>
      <c r="AG871" s="166"/>
      <c r="AH871" s="149" t="b">
        <v>0</v>
      </c>
      <c r="AI871" s="162"/>
      <c r="AJ871" s="143"/>
      <c r="AK871" s="143"/>
      <c r="AL871" s="143"/>
      <c r="AM871" s="143"/>
      <c r="AN871" s="143"/>
      <c r="AO871" s="143"/>
      <c r="AP871" s="143"/>
      <c r="AQ871" s="143"/>
    </row>
    <row r="872" ht="22.5" customHeight="1">
      <c r="A872" s="166"/>
      <c r="B872" s="1111"/>
      <c r="C872" s="524"/>
      <c r="D872" s="1110"/>
      <c r="E872" s="669"/>
      <c r="F872" s="524"/>
      <c r="G872" s="165"/>
      <c r="H872" s="669"/>
      <c r="I872" s="669"/>
      <c r="J872" s="352"/>
      <c r="K872" s="271" t="str">
        <f t="shared" si="74"/>
        <v/>
      </c>
      <c r="L872" s="297"/>
      <c r="M872" s="334"/>
      <c r="N872" s="277"/>
      <c r="O872" s="315"/>
      <c r="P872" s="344">
        <f t="shared" si="69"/>
        <v>0</v>
      </c>
      <c r="Q872" s="321"/>
      <c r="R872" s="672" t="b">
        <v>0</v>
      </c>
      <c r="S872" s="318"/>
      <c r="T872" s="319"/>
      <c r="U872" s="315"/>
      <c r="V872" s="162"/>
      <c r="W872" s="149"/>
      <c r="X872" s="163"/>
      <c r="Y872" s="162"/>
      <c r="Z872" s="164"/>
      <c r="AA872" s="116"/>
      <c r="AB872" s="116"/>
      <c r="AC872" s="165"/>
      <c r="AD872" s="675" t="str">
        <f t="shared" si="76"/>
        <v/>
      </c>
      <c r="AE872" s="166"/>
      <c r="AF872" s="149" t="b">
        <v>0</v>
      </c>
      <c r="AG872" s="166"/>
      <c r="AH872" s="149" t="b">
        <v>0</v>
      </c>
      <c r="AI872" s="162"/>
      <c r="AJ872" s="143"/>
      <c r="AK872" s="143"/>
      <c r="AL872" s="143"/>
      <c r="AM872" s="143"/>
      <c r="AN872" s="143"/>
      <c r="AO872" s="143"/>
      <c r="AP872" s="143"/>
      <c r="AQ872" s="143"/>
    </row>
    <row r="873" ht="22.5" customHeight="1">
      <c r="A873" s="166"/>
      <c r="B873" s="1111"/>
      <c r="C873" s="524"/>
      <c r="D873" s="1110"/>
      <c r="E873" s="669"/>
      <c r="F873" s="524"/>
      <c r="G873" s="165"/>
      <c r="H873" s="669"/>
      <c r="I873" s="669"/>
      <c r="J873" s="352"/>
      <c r="K873" s="271" t="str">
        <f t="shared" si="74"/>
        <v/>
      </c>
      <c r="L873" s="297"/>
      <c r="M873" s="334"/>
      <c r="N873" s="277"/>
      <c r="O873" s="315"/>
      <c r="P873" s="344">
        <f t="shared" si="69"/>
        <v>0</v>
      </c>
      <c r="Q873" s="321"/>
      <c r="R873" s="672" t="b">
        <v>0</v>
      </c>
      <c r="S873" s="318"/>
      <c r="T873" s="319"/>
      <c r="U873" s="315"/>
      <c r="V873" s="162"/>
      <c r="W873" s="149"/>
      <c r="X873" s="163"/>
      <c r="Y873" s="162"/>
      <c r="Z873" s="164"/>
      <c r="AA873" s="116"/>
      <c r="AB873" s="116"/>
      <c r="AC873" s="165"/>
      <c r="AD873" s="675" t="str">
        <f t="shared" si="76"/>
        <v/>
      </c>
      <c r="AE873" s="166"/>
      <c r="AF873" s="149" t="b">
        <v>0</v>
      </c>
      <c r="AG873" s="166"/>
      <c r="AH873" s="149" t="b">
        <v>0</v>
      </c>
      <c r="AI873" s="162"/>
      <c r="AJ873" s="143"/>
      <c r="AK873" s="143"/>
      <c r="AL873" s="143"/>
      <c r="AM873" s="143"/>
      <c r="AN873" s="143"/>
      <c r="AO873" s="143"/>
      <c r="AP873" s="143"/>
      <c r="AQ873" s="143"/>
    </row>
    <row r="874" ht="22.5" customHeight="1">
      <c r="A874" s="166"/>
      <c r="B874" s="1111"/>
      <c r="C874" s="524"/>
      <c r="D874" s="1110"/>
      <c r="E874" s="669"/>
      <c r="F874" s="524"/>
      <c r="G874" s="165"/>
      <c r="H874" s="669"/>
      <c r="I874" s="669"/>
      <c r="J874" s="352"/>
      <c r="K874" s="271" t="str">
        <f t="shared" si="74"/>
        <v/>
      </c>
      <c r="L874" s="297"/>
      <c r="M874" s="334"/>
      <c r="N874" s="277"/>
      <c r="O874" s="315"/>
      <c r="P874" s="344">
        <f t="shared" si="69"/>
        <v>0</v>
      </c>
      <c r="Q874" s="321"/>
      <c r="R874" s="672" t="b">
        <v>0</v>
      </c>
      <c r="S874" s="318"/>
      <c r="T874" s="319"/>
      <c r="U874" s="315"/>
      <c r="V874" s="162"/>
      <c r="W874" s="149"/>
      <c r="X874" s="163"/>
      <c r="Y874" s="162"/>
      <c r="Z874" s="164"/>
      <c r="AA874" s="116"/>
      <c r="AB874" s="116"/>
      <c r="AC874" s="165"/>
      <c r="AD874" s="675" t="str">
        <f t="shared" si="76"/>
        <v/>
      </c>
      <c r="AE874" s="166"/>
      <c r="AF874" s="149" t="b">
        <v>0</v>
      </c>
      <c r="AG874" s="166"/>
      <c r="AH874" s="149" t="b">
        <v>0</v>
      </c>
      <c r="AI874" s="162"/>
      <c r="AJ874" s="143"/>
      <c r="AK874" s="143"/>
      <c r="AL874" s="143"/>
      <c r="AM874" s="143"/>
      <c r="AN874" s="143"/>
      <c r="AO874" s="143"/>
      <c r="AP874" s="143"/>
      <c r="AQ874" s="143"/>
    </row>
    <row r="875" ht="22.5" customHeight="1">
      <c r="A875" s="166"/>
      <c r="B875" s="1111"/>
      <c r="C875" s="524"/>
      <c r="D875" s="1110"/>
      <c r="E875" s="669"/>
      <c r="F875" s="524"/>
      <c r="G875" s="165"/>
      <c r="H875" s="669"/>
      <c r="I875" s="669"/>
      <c r="J875" s="352"/>
      <c r="K875" s="271" t="str">
        <f t="shared" si="74"/>
        <v/>
      </c>
      <c r="L875" s="297"/>
      <c r="M875" s="334"/>
      <c r="N875" s="277"/>
      <c r="O875" s="315"/>
      <c r="P875" s="344">
        <f t="shared" si="69"/>
        <v>0</v>
      </c>
      <c r="Q875" s="321"/>
      <c r="R875" s="672" t="b">
        <v>0</v>
      </c>
      <c r="S875" s="318"/>
      <c r="T875" s="319"/>
      <c r="U875" s="315"/>
      <c r="V875" s="162"/>
      <c r="W875" s="149"/>
      <c r="X875" s="163"/>
      <c r="Y875" s="162"/>
      <c r="Z875" s="164"/>
      <c r="AA875" s="116"/>
      <c r="AB875" s="116"/>
      <c r="AC875" s="165"/>
      <c r="AD875" s="675" t="str">
        <f t="shared" si="76"/>
        <v/>
      </c>
      <c r="AE875" s="166"/>
      <c r="AF875" s="149" t="b">
        <v>0</v>
      </c>
      <c r="AG875" s="166"/>
      <c r="AH875" s="149" t="b">
        <v>0</v>
      </c>
      <c r="AI875" s="162"/>
      <c r="AJ875" s="143"/>
      <c r="AK875" s="143"/>
      <c r="AL875" s="143"/>
      <c r="AM875" s="143"/>
      <c r="AN875" s="143"/>
      <c r="AO875" s="143"/>
      <c r="AP875" s="143"/>
      <c r="AQ875" s="143"/>
    </row>
    <row r="876" ht="22.5" customHeight="1">
      <c r="A876" s="166"/>
      <c r="B876" s="1111"/>
      <c r="C876" s="524"/>
      <c r="D876" s="1110"/>
      <c r="E876" s="669"/>
      <c r="F876" s="524"/>
      <c r="G876" s="165"/>
      <c r="H876" s="669"/>
      <c r="I876" s="669"/>
      <c r="J876" s="352"/>
      <c r="K876" s="271" t="str">
        <f t="shared" si="74"/>
        <v/>
      </c>
      <c r="L876" s="297"/>
      <c r="M876" s="334"/>
      <c r="N876" s="277"/>
      <c r="O876" s="315"/>
      <c r="P876" s="344">
        <f t="shared" si="69"/>
        <v>0</v>
      </c>
      <c r="Q876" s="321"/>
      <c r="R876" s="672" t="b">
        <v>0</v>
      </c>
      <c r="S876" s="318"/>
      <c r="T876" s="319"/>
      <c r="U876" s="315"/>
      <c r="V876" s="162"/>
      <c r="W876" s="149"/>
      <c r="X876" s="163"/>
      <c r="Y876" s="162"/>
      <c r="Z876" s="164"/>
      <c r="AA876" s="116"/>
      <c r="AB876" s="116"/>
      <c r="AC876" s="165"/>
      <c r="AD876" s="675" t="str">
        <f t="shared" si="76"/>
        <v/>
      </c>
      <c r="AE876" s="166"/>
      <c r="AF876" s="149" t="b">
        <v>0</v>
      </c>
      <c r="AG876" s="166"/>
      <c r="AH876" s="149" t="b">
        <v>0</v>
      </c>
      <c r="AI876" s="162"/>
      <c r="AJ876" s="143"/>
      <c r="AK876" s="143"/>
      <c r="AL876" s="143"/>
      <c r="AM876" s="143"/>
      <c r="AN876" s="143"/>
      <c r="AO876" s="143"/>
      <c r="AP876" s="143"/>
      <c r="AQ876" s="143"/>
    </row>
    <row r="877" ht="22.5" customHeight="1">
      <c r="A877" s="166"/>
      <c r="B877" s="1111"/>
      <c r="C877" s="524"/>
      <c r="D877" s="1110"/>
      <c r="E877" s="669"/>
      <c r="F877" s="524"/>
      <c r="G877" s="165"/>
      <c r="H877" s="669"/>
      <c r="I877" s="669"/>
      <c r="J877" s="352"/>
      <c r="K877" s="271" t="str">
        <f t="shared" si="74"/>
        <v/>
      </c>
      <c r="L877" s="297"/>
      <c r="M877" s="334"/>
      <c r="N877" s="277"/>
      <c r="O877" s="315"/>
      <c r="P877" s="344">
        <f t="shared" si="69"/>
        <v>0</v>
      </c>
      <c r="Q877" s="321"/>
      <c r="R877" s="672" t="b">
        <v>0</v>
      </c>
      <c r="S877" s="318"/>
      <c r="T877" s="319"/>
      <c r="U877" s="315"/>
      <c r="V877" s="162"/>
      <c r="W877" s="149"/>
      <c r="X877" s="163"/>
      <c r="Y877" s="162"/>
      <c r="Z877" s="164"/>
      <c r="AA877" s="116"/>
      <c r="AB877" s="116"/>
      <c r="AC877" s="165"/>
      <c r="AD877" s="675" t="str">
        <f t="shared" si="76"/>
        <v/>
      </c>
      <c r="AE877" s="166"/>
      <c r="AF877" s="149" t="b">
        <v>0</v>
      </c>
      <c r="AG877" s="166"/>
      <c r="AH877" s="149" t="b">
        <v>0</v>
      </c>
      <c r="AI877" s="162"/>
      <c r="AJ877" s="143"/>
      <c r="AK877" s="143"/>
      <c r="AL877" s="143"/>
      <c r="AM877" s="143"/>
      <c r="AN877" s="143"/>
      <c r="AO877" s="143"/>
      <c r="AP877" s="143"/>
      <c r="AQ877" s="143"/>
    </row>
    <row r="878" ht="22.5" customHeight="1">
      <c r="A878" s="166"/>
      <c r="B878" s="1111"/>
      <c r="C878" s="524"/>
      <c r="D878" s="1110"/>
      <c r="E878" s="669"/>
      <c r="F878" s="524"/>
      <c r="G878" s="165"/>
      <c r="H878" s="669"/>
      <c r="I878" s="669"/>
      <c r="J878" s="352"/>
      <c r="K878" s="271" t="str">
        <f t="shared" si="74"/>
        <v/>
      </c>
      <c r="L878" s="297"/>
      <c r="M878" s="334"/>
      <c r="N878" s="277"/>
      <c r="O878" s="315"/>
      <c r="P878" s="344">
        <f t="shared" si="69"/>
        <v>0</v>
      </c>
      <c r="Q878" s="321"/>
      <c r="R878" s="672" t="b">
        <v>0</v>
      </c>
      <c r="S878" s="318"/>
      <c r="T878" s="319"/>
      <c r="U878" s="315"/>
      <c r="V878" s="162"/>
      <c r="W878" s="149"/>
      <c r="X878" s="163"/>
      <c r="Y878" s="162"/>
      <c r="Z878" s="164"/>
      <c r="AA878" s="116"/>
      <c r="AB878" s="116"/>
      <c r="AC878" s="165"/>
      <c r="AD878" s="675" t="str">
        <f t="shared" si="76"/>
        <v/>
      </c>
      <c r="AE878" s="166"/>
      <c r="AF878" s="149" t="b">
        <v>0</v>
      </c>
      <c r="AG878" s="166"/>
      <c r="AH878" s="149" t="b">
        <v>0</v>
      </c>
      <c r="AI878" s="162"/>
      <c r="AJ878" s="143"/>
      <c r="AK878" s="143"/>
      <c r="AL878" s="143"/>
      <c r="AM878" s="143"/>
      <c r="AN878" s="143"/>
      <c r="AO878" s="143"/>
      <c r="AP878" s="143"/>
      <c r="AQ878" s="143"/>
    </row>
    <row r="879" ht="22.5" customHeight="1">
      <c r="A879" s="166"/>
      <c r="B879" s="1111"/>
      <c r="C879" s="524"/>
      <c r="D879" s="1110"/>
      <c r="E879" s="669"/>
      <c r="F879" s="524"/>
      <c r="G879" s="165"/>
      <c r="H879" s="669"/>
      <c r="I879" s="669"/>
      <c r="J879" s="352"/>
      <c r="K879" s="271" t="str">
        <f t="shared" si="74"/>
        <v/>
      </c>
      <c r="L879" s="297"/>
      <c r="M879" s="334"/>
      <c r="N879" s="277"/>
      <c r="O879" s="315"/>
      <c r="P879" s="344">
        <f t="shared" si="69"/>
        <v>0</v>
      </c>
      <c r="Q879" s="321"/>
      <c r="R879" s="672" t="b">
        <v>0</v>
      </c>
      <c r="S879" s="318"/>
      <c r="T879" s="319"/>
      <c r="U879" s="315"/>
      <c r="V879" s="162"/>
      <c r="W879" s="149"/>
      <c r="X879" s="163"/>
      <c r="Y879" s="162"/>
      <c r="Z879" s="164"/>
      <c r="AA879" s="116"/>
      <c r="AB879" s="116"/>
      <c r="AC879" s="165"/>
      <c r="AD879" s="675" t="str">
        <f t="shared" si="76"/>
        <v/>
      </c>
      <c r="AE879" s="166"/>
      <c r="AF879" s="149" t="b">
        <v>0</v>
      </c>
      <c r="AG879" s="166"/>
      <c r="AH879" s="149" t="b">
        <v>0</v>
      </c>
      <c r="AI879" s="162"/>
      <c r="AJ879" s="143"/>
      <c r="AK879" s="143"/>
      <c r="AL879" s="143"/>
      <c r="AM879" s="143"/>
      <c r="AN879" s="143"/>
      <c r="AO879" s="143"/>
      <c r="AP879" s="143"/>
      <c r="AQ879" s="143"/>
    </row>
    <row r="880" ht="22.5" customHeight="1">
      <c r="A880" s="166"/>
      <c r="B880" s="1111"/>
      <c r="C880" s="524"/>
      <c r="D880" s="1110"/>
      <c r="E880" s="669"/>
      <c r="F880" s="524"/>
      <c r="G880" s="165"/>
      <c r="H880" s="669"/>
      <c r="I880" s="669"/>
      <c r="J880" s="352"/>
      <c r="K880" s="271" t="str">
        <f t="shared" si="74"/>
        <v/>
      </c>
      <c r="L880" s="297"/>
      <c r="M880" s="334"/>
      <c r="N880" s="277"/>
      <c r="O880" s="315"/>
      <c r="P880" s="344">
        <f t="shared" si="69"/>
        <v>0</v>
      </c>
      <c r="Q880" s="321"/>
      <c r="R880" s="672" t="b">
        <v>0</v>
      </c>
      <c r="S880" s="318"/>
      <c r="T880" s="319"/>
      <c r="U880" s="315"/>
      <c r="V880" s="162"/>
      <c r="W880" s="149"/>
      <c r="X880" s="163"/>
      <c r="Y880" s="162"/>
      <c r="Z880" s="164"/>
      <c r="AA880" s="116"/>
      <c r="AB880" s="116"/>
      <c r="AC880" s="165"/>
      <c r="AD880" s="675" t="str">
        <f t="shared" si="76"/>
        <v/>
      </c>
      <c r="AE880" s="166"/>
      <c r="AF880" s="149" t="b">
        <v>0</v>
      </c>
      <c r="AG880" s="166"/>
      <c r="AH880" s="149" t="b">
        <v>0</v>
      </c>
      <c r="AI880" s="162"/>
      <c r="AJ880" s="143"/>
      <c r="AK880" s="143"/>
      <c r="AL880" s="143"/>
      <c r="AM880" s="143"/>
      <c r="AN880" s="143"/>
      <c r="AO880" s="143"/>
      <c r="AP880" s="143"/>
      <c r="AQ880" s="143"/>
    </row>
    <row r="881" ht="22.5" customHeight="1">
      <c r="A881" s="166"/>
      <c r="B881" s="1111"/>
      <c r="C881" s="524"/>
      <c r="D881" s="1110"/>
      <c r="E881" s="669"/>
      <c r="F881" s="524"/>
      <c r="G881" s="165"/>
      <c r="H881" s="669"/>
      <c r="I881" s="669"/>
      <c r="J881" s="352"/>
      <c r="K881" s="271" t="str">
        <f t="shared" si="74"/>
        <v/>
      </c>
      <c r="L881" s="297"/>
      <c r="M881" s="334"/>
      <c r="N881" s="277"/>
      <c r="O881" s="315"/>
      <c r="P881" s="344">
        <f t="shared" si="69"/>
        <v>0</v>
      </c>
      <c r="Q881" s="321"/>
      <c r="R881" s="672" t="b">
        <v>0</v>
      </c>
      <c r="S881" s="318"/>
      <c r="T881" s="319"/>
      <c r="U881" s="315"/>
      <c r="V881" s="162"/>
      <c r="W881" s="149"/>
      <c r="X881" s="163"/>
      <c r="Y881" s="162"/>
      <c r="Z881" s="164"/>
      <c r="AA881" s="116"/>
      <c r="AB881" s="116"/>
      <c r="AC881" s="165"/>
      <c r="AD881" s="675" t="str">
        <f t="shared" si="76"/>
        <v/>
      </c>
      <c r="AE881" s="166"/>
      <c r="AF881" s="149" t="b">
        <v>0</v>
      </c>
      <c r="AG881" s="166"/>
      <c r="AH881" s="149" t="b">
        <v>0</v>
      </c>
      <c r="AI881" s="162"/>
      <c r="AJ881" s="143"/>
      <c r="AK881" s="143"/>
      <c r="AL881" s="143"/>
      <c r="AM881" s="143"/>
      <c r="AN881" s="143"/>
      <c r="AO881" s="143"/>
      <c r="AP881" s="143"/>
      <c r="AQ881" s="143"/>
    </row>
    <row r="882" ht="22.5" customHeight="1">
      <c r="A882" s="166"/>
      <c r="B882" s="1111"/>
      <c r="C882" s="524"/>
      <c r="D882" s="1110"/>
      <c r="E882" s="669"/>
      <c r="F882" s="524"/>
      <c r="G882" s="165"/>
      <c r="H882" s="669"/>
      <c r="I882" s="669"/>
      <c r="J882" s="352"/>
      <c r="K882" s="271" t="str">
        <f t="shared" si="74"/>
        <v/>
      </c>
      <c r="L882" s="297"/>
      <c r="M882" s="334"/>
      <c r="N882" s="277"/>
      <c r="O882" s="315"/>
      <c r="P882" s="344">
        <f t="shared" si="69"/>
        <v>0</v>
      </c>
      <c r="Q882" s="321"/>
      <c r="R882" s="672" t="b">
        <v>0</v>
      </c>
      <c r="S882" s="318"/>
      <c r="T882" s="319"/>
      <c r="U882" s="315"/>
      <c r="V882" s="162"/>
      <c r="W882" s="149"/>
      <c r="X882" s="163"/>
      <c r="Y882" s="162"/>
      <c r="Z882" s="164"/>
      <c r="AA882" s="116"/>
      <c r="AB882" s="116"/>
      <c r="AC882" s="165"/>
      <c r="AD882" s="675" t="str">
        <f t="shared" si="76"/>
        <v/>
      </c>
      <c r="AE882" s="166"/>
      <c r="AF882" s="149" t="b">
        <v>0</v>
      </c>
      <c r="AG882" s="166"/>
      <c r="AH882" s="149" t="b">
        <v>0</v>
      </c>
      <c r="AI882" s="162"/>
      <c r="AJ882" s="143"/>
      <c r="AK882" s="143"/>
      <c r="AL882" s="143"/>
      <c r="AM882" s="143"/>
      <c r="AN882" s="143"/>
      <c r="AO882" s="143"/>
      <c r="AP882" s="143"/>
      <c r="AQ882" s="143"/>
    </row>
    <row r="883" ht="22.5" customHeight="1">
      <c r="A883" s="166"/>
      <c r="B883" s="1111"/>
      <c r="C883" s="524"/>
      <c r="D883" s="1110"/>
      <c r="E883" s="669"/>
      <c r="F883" s="524"/>
      <c r="G883" s="165"/>
      <c r="H883" s="669"/>
      <c r="I883" s="669"/>
      <c r="J883" s="352"/>
      <c r="K883" s="271" t="str">
        <f t="shared" si="74"/>
        <v/>
      </c>
      <c r="L883" s="297"/>
      <c r="M883" s="334"/>
      <c r="N883" s="277"/>
      <c r="O883" s="315"/>
      <c r="P883" s="344">
        <f t="shared" si="69"/>
        <v>0</v>
      </c>
      <c r="Q883" s="321"/>
      <c r="R883" s="672" t="b">
        <v>0</v>
      </c>
      <c r="S883" s="318"/>
      <c r="T883" s="319"/>
      <c r="U883" s="315"/>
      <c r="V883" s="162"/>
      <c r="W883" s="149"/>
      <c r="X883" s="163"/>
      <c r="Y883" s="162"/>
      <c r="Z883" s="164"/>
      <c r="AA883" s="116"/>
      <c r="AB883" s="116"/>
      <c r="AC883" s="165"/>
      <c r="AD883" s="675" t="str">
        <f t="shared" si="76"/>
        <v/>
      </c>
      <c r="AE883" s="166"/>
      <c r="AF883" s="149" t="b">
        <v>0</v>
      </c>
      <c r="AG883" s="166"/>
      <c r="AH883" s="149" t="b">
        <v>0</v>
      </c>
      <c r="AI883" s="162"/>
      <c r="AJ883" s="143"/>
      <c r="AK883" s="143"/>
      <c r="AL883" s="143"/>
      <c r="AM883" s="143"/>
      <c r="AN883" s="143"/>
      <c r="AO883" s="143"/>
      <c r="AP883" s="143"/>
      <c r="AQ883" s="143"/>
    </row>
    <row r="884" ht="22.5" customHeight="1">
      <c r="A884" s="166"/>
      <c r="B884" s="1111"/>
      <c r="C884" s="524"/>
      <c r="D884" s="1110"/>
      <c r="E884" s="669"/>
      <c r="F884" s="524"/>
      <c r="G884" s="165"/>
      <c r="H884" s="669"/>
      <c r="I884" s="669"/>
      <c r="J884" s="352"/>
      <c r="K884" s="271" t="str">
        <f t="shared" si="74"/>
        <v/>
      </c>
      <c r="L884" s="297"/>
      <c r="M884" s="334"/>
      <c r="N884" s="277"/>
      <c r="O884" s="315"/>
      <c r="P884" s="344">
        <f t="shared" si="69"/>
        <v>0</v>
      </c>
      <c r="Q884" s="321"/>
      <c r="R884" s="672" t="b">
        <v>0</v>
      </c>
      <c r="S884" s="318"/>
      <c r="T884" s="319"/>
      <c r="U884" s="315"/>
      <c r="V884" s="162"/>
      <c r="W884" s="149"/>
      <c r="X884" s="163"/>
      <c r="Y884" s="162"/>
      <c r="Z884" s="164"/>
      <c r="AA884" s="116"/>
      <c r="AB884" s="116"/>
      <c r="AC884" s="165"/>
      <c r="AD884" s="675" t="str">
        <f t="shared" si="76"/>
        <v/>
      </c>
      <c r="AE884" s="166"/>
      <c r="AF884" s="149" t="b">
        <v>0</v>
      </c>
      <c r="AG884" s="166"/>
      <c r="AH884" s="149" t="b">
        <v>0</v>
      </c>
      <c r="AI884" s="162"/>
      <c r="AJ884" s="143"/>
      <c r="AK884" s="143"/>
      <c r="AL884" s="143"/>
      <c r="AM884" s="143"/>
      <c r="AN884" s="143"/>
      <c r="AO884" s="143"/>
      <c r="AP884" s="143"/>
      <c r="AQ884" s="143"/>
    </row>
    <row r="885" ht="22.5" customHeight="1">
      <c r="A885" s="166"/>
      <c r="B885" s="1111"/>
      <c r="C885" s="524"/>
      <c r="D885" s="1110"/>
      <c r="E885" s="669"/>
      <c r="F885" s="524"/>
      <c r="G885" s="165"/>
      <c r="H885" s="669"/>
      <c r="I885" s="669"/>
      <c r="J885" s="352"/>
      <c r="K885" s="271" t="str">
        <f t="shared" si="74"/>
        <v/>
      </c>
      <c r="L885" s="297"/>
      <c r="M885" s="334"/>
      <c r="N885" s="277"/>
      <c r="O885" s="315"/>
      <c r="P885" s="344">
        <f t="shared" si="69"/>
        <v>0</v>
      </c>
      <c r="Q885" s="321"/>
      <c r="R885" s="672" t="b">
        <v>0</v>
      </c>
      <c r="S885" s="318"/>
      <c r="T885" s="319"/>
      <c r="U885" s="315"/>
      <c r="V885" s="162"/>
      <c r="W885" s="149"/>
      <c r="X885" s="163"/>
      <c r="Y885" s="162"/>
      <c r="Z885" s="164"/>
      <c r="AA885" s="116"/>
      <c r="AB885" s="116"/>
      <c r="AC885" s="165"/>
      <c r="AD885" s="675" t="str">
        <f t="shared" si="76"/>
        <v/>
      </c>
      <c r="AE885" s="166"/>
      <c r="AF885" s="149" t="b">
        <v>0</v>
      </c>
      <c r="AG885" s="166"/>
      <c r="AH885" s="149" t="b">
        <v>0</v>
      </c>
      <c r="AI885" s="162"/>
      <c r="AJ885" s="143"/>
      <c r="AK885" s="143"/>
      <c r="AL885" s="143"/>
      <c r="AM885" s="143"/>
      <c r="AN885" s="143"/>
      <c r="AO885" s="143"/>
      <c r="AP885" s="143"/>
      <c r="AQ885" s="143"/>
    </row>
    <row r="886" ht="22.5" customHeight="1">
      <c r="A886" s="166"/>
      <c r="B886" s="1111"/>
      <c r="C886" s="524"/>
      <c r="D886" s="1110"/>
      <c r="E886" s="669"/>
      <c r="F886" s="524"/>
      <c r="G886" s="165"/>
      <c r="H886" s="669"/>
      <c r="I886" s="669"/>
      <c r="J886" s="352"/>
      <c r="K886" s="271" t="str">
        <f t="shared" si="74"/>
        <v/>
      </c>
      <c r="L886" s="297"/>
      <c r="M886" s="334"/>
      <c r="N886" s="277"/>
      <c r="O886" s="315"/>
      <c r="P886" s="344">
        <f t="shared" si="69"/>
        <v>0</v>
      </c>
      <c r="Q886" s="321"/>
      <c r="R886" s="672" t="b">
        <v>0</v>
      </c>
      <c r="S886" s="318"/>
      <c r="T886" s="319"/>
      <c r="U886" s="315"/>
      <c r="V886" s="162"/>
      <c r="W886" s="149"/>
      <c r="X886" s="163"/>
      <c r="Y886" s="162"/>
      <c r="Z886" s="164"/>
      <c r="AA886" s="116"/>
      <c r="AB886" s="116"/>
      <c r="AC886" s="165"/>
      <c r="AD886" s="675" t="str">
        <f t="shared" si="76"/>
        <v/>
      </c>
      <c r="AE886" s="166"/>
      <c r="AF886" s="149" t="b">
        <v>0</v>
      </c>
      <c r="AG886" s="166"/>
      <c r="AH886" s="149" t="b">
        <v>0</v>
      </c>
      <c r="AI886" s="162"/>
      <c r="AJ886" s="143"/>
      <c r="AK886" s="143"/>
      <c r="AL886" s="143"/>
      <c r="AM886" s="143"/>
      <c r="AN886" s="143"/>
      <c r="AO886" s="143"/>
      <c r="AP886" s="143"/>
      <c r="AQ886" s="143"/>
    </row>
    <row r="887" ht="22.5" customHeight="1">
      <c r="A887" s="166"/>
      <c r="B887" s="1111"/>
      <c r="C887" s="524"/>
      <c r="D887" s="1110"/>
      <c r="E887" s="669"/>
      <c r="F887" s="524"/>
      <c r="G887" s="165"/>
      <c r="H887" s="669"/>
      <c r="I887" s="669"/>
      <c r="J887" s="352"/>
      <c r="K887" s="271" t="str">
        <f t="shared" si="74"/>
        <v/>
      </c>
      <c r="L887" s="297"/>
      <c r="M887" s="334"/>
      <c r="N887" s="277"/>
      <c r="O887" s="315"/>
      <c r="P887" s="344">
        <f t="shared" si="69"/>
        <v>0</v>
      </c>
      <c r="Q887" s="321"/>
      <c r="R887" s="672" t="b">
        <v>0</v>
      </c>
      <c r="S887" s="318"/>
      <c r="T887" s="319"/>
      <c r="U887" s="315"/>
      <c r="V887" s="162"/>
      <c r="W887" s="149"/>
      <c r="X887" s="163"/>
      <c r="Y887" s="162"/>
      <c r="Z887" s="164"/>
      <c r="AA887" s="116"/>
      <c r="AB887" s="116"/>
      <c r="AC887" s="165"/>
      <c r="AD887" s="675" t="str">
        <f t="shared" si="76"/>
        <v/>
      </c>
      <c r="AE887" s="166"/>
      <c r="AF887" s="149" t="b">
        <v>0</v>
      </c>
      <c r="AG887" s="166"/>
      <c r="AH887" s="149" t="b">
        <v>0</v>
      </c>
      <c r="AI887" s="162"/>
      <c r="AJ887" s="143"/>
      <c r="AK887" s="143"/>
      <c r="AL887" s="143"/>
      <c r="AM887" s="143"/>
      <c r="AN887" s="143"/>
      <c r="AO887" s="143"/>
      <c r="AP887" s="143"/>
      <c r="AQ887" s="143"/>
    </row>
    <row r="888" ht="22.5" customHeight="1">
      <c r="A888" s="166"/>
      <c r="B888" s="1111"/>
      <c r="C888" s="524"/>
      <c r="D888" s="1110"/>
      <c r="E888" s="669"/>
      <c r="F888" s="524"/>
      <c r="G888" s="165"/>
      <c r="H888" s="669"/>
      <c r="I888" s="669"/>
      <c r="J888" s="352"/>
      <c r="K888" s="271" t="str">
        <f t="shared" si="74"/>
        <v/>
      </c>
      <c r="L888" s="297"/>
      <c r="M888" s="334"/>
      <c r="N888" s="277"/>
      <c r="O888" s="315"/>
      <c r="P888" s="344">
        <f t="shared" si="69"/>
        <v>0</v>
      </c>
      <c r="Q888" s="321"/>
      <c r="R888" s="672" t="b">
        <v>0</v>
      </c>
      <c r="S888" s="318"/>
      <c r="T888" s="319"/>
      <c r="U888" s="315"/>
      <c r="V888" s="162"/>
      <c r="W888" s="149"/>
      <c r="X888" s="163"/>
      <c r="Y888" s="162"/>
      <c r="Z888" s="164"/>
      <c r="AA888" s="116"/>
      <c r="AB888" s="116"/>
      <c r="AC888" s="165"/>
      <c r="AD888" s="675" t="str">
        <f t="shared" si="76"/>
        <v/>
      </c>
      <c r="AE888" s="166"/>
      <c r="AF888" s="149" t="b">
        <v>0</v>
      </c>
      <c r="AG888" s="166"/>
      <c r="AH888" s="149" t="b">
        <v>0</v>
      </c>
      <c r="AI888" s="162"/>
      <c r="AJ888" s="143"/>
      <c r="AK888" s="143"/>
      <c r="AL888" s="143"/>
      <c r="AM888" s="143"/>
      <c r="AN888" s="143"/>
      <c r="AO888" s="143"/>
      <c r="AP888" s="143"/>
      <c r="AQ888" s="143"/>
    </row>
    <row r="889" ht="22.5" customHeight="1">
      <c r="A889" s="166"/>
      <c r="B889" s="1111"/>
      <c r="C889" s="524"/>
      <c r="D889" s="1110"/>
      <c r="E889" s="669"/>
      <c r="F889" s="524"/>
      <c r="G889" s="165"/>
      <c r="H889" s="669"/>
      <c r="I889" s="669"/>
      <c r="J889" s="352"/>
      <c r="K889" s="271" t="str">
        <f t="shared" si="74"/>
        <v/>
      </c>
      <c r="L889" s="297"/>
      <c r="M889" s="334"/>
      <c r="N889" s="277"/>
      <c r="O889" s="315"/>
      <c r="P889" s="344">
        <f t="shared" si="69"/>
        <v>0</v>
      </c>
      <c r="Q889" s="321"/>
      <c r="R889" s="672" t="b">
        <v>0</v>
      </c>
      <c r="S889" s="318"/>
      <c r="T889" s="319"/>
      <c r="U889" s="315"/>
      <c r="V889" s="162"/>
      <c r="W889" s="149"/>
      <c r="X889" s="163"/>
      <c r="Y889" s="162"/>
      <c r="Z889" s="164"/>
      <c r="AA889" s="116"/>
      <c r="AB889" s="116"/>
      <c r="AC889" s="165"/>
      <c r="AD889" s="675" t="str">
        <f t="shared" si="76"/>
        <v/>
      </c>
      <c r="AE889" s="166"/>
      <c r="AF889" s="149" t="b">
        <v>0</v>
      </c>
      <c r="AG889" s="166"/>
      <c r="AH889" s="149" t="b">
        <v>0</v>
      </c>
      <c r="AI889" s="162"/>
      <c r="AJ889" s="143"/>
      <c r="AK889" s="143"/>
      <c r="AL889" s="143"/>
      <c r="AM889" s="143"/>
      <c r="AN889" s="143"/>
      <c r="AO889" s="143"/>
      <c r="AP889" s="143"/>
      <c r="AQ889" s="143"/>
    </row>
    <row r="890" ht="22.5" customHeight="1">
      <c r="A890" s="166"/>
      <c r="B890" s="1111"/>
      <c r="C890" s="524"/>
      <c r="D890" s="1110"/>
      <c r="E890" s="669"/>
      <c r="F890" s="524"/>
      <c r="G890" s="165"/>
      <c r="H890" s="669"/>
      <c r="I890" s="669"/>
      <c r="J890" s="352"/>
      <c r="K890" s="271" t="str">
        <f t="shared" si="74"/>
        <v/>
      </c>
      <c r="L890" s="297"/>
      <c r="M890" s="334"/>
      <c r="N890" s="277"/>
      <c r="O890" s="315"/>
      <c r="P890" s="344">
        <f t="shared" si="69"/>
        <v>0</v>
      </c>
      <c r="Q890" s="321"/>
      <c r="R890" s="672" t="b">
        <v>0</v>
      </c>
      <c r="S890" s="318"/>
      <c r="T890" s="319"/>
      <c r="U890" s="315"/>
      <c r="V890" s="162"/>
      <c r="W890" s="149"/>
      <c r="X890" s="163"/>
      <c r="Y890" s="162"/>
      <c r="Z890" s="164"/>
      <c r="AA890" s="116"/>
      <c r="AB890" s="116"/>
      <c r="AC890" s="165"/>
      <c r="AD890" s="675" t="str">
        <f t="shared" si="76"/>
        <v/>
      </c>
      <c r="AE890" s="166"/>
      <c r="AF890" s="149" t="b">
        <v>0</v>
      </c>
      <c r="AG890" s="166"/>
      <c r="AH890" s="149" t="b">
        <v>0</v>
      </c>
      <c r="AI890" s="162"/>
      <c r="AJ890" s="143"/>
      <c r="AK890" s="143"/>
      <c r="AL890" s="143"/>
      <c r="AM890" s="143"/>
      <c r="AN890" s="143"/>
      <c r="AO890" s="143"/>
      <c r="AP890" s="143"/>
      <c r="AQ890" s="143"/>
    </row>
    <row r="891" ht="22.5" customHeight="1">
      <c r="A891" s="166"/>
      <c r="B891" s="1111"/>
      <c r="C891" s="524"/>
      <c r="D891" s="1110"/>
      <c r="E891" s="669"/>
      <c r="F891" s="524"/>
      <c r="G891" s="165"/>
      <c r="H891" s="669"/>
      <c r="I891" s="669"/>
      <c r="J891" s="352"/>
      <c r="K891" s="271" t="str">
        <f t="shared" si="74"/>
        <v/>
      </c>
      <c r="L891" s="297"/>
      <c r="M891" s="334"/>
      <c r="N891" s="277"/>
      <c r="O891" s="315"/>
      <c r="P891" s="344">
        <f t="shared" si="69"/>
        <v>0</v>
      </c>
      <c r="Q891" s="321"/>
      <c r="R891" s="672" t="b">
        <v>0</v>
      </c>
      <c r="S891" s="318"/>
      <c r="T891" s="319"/>
      <c r="U891" s="315"/>
      <c r="V891" s="162"/>
      <c r="W891" s="149"/>
      <c r="X891" s="163"/>
      <c r="Y891" s="162"/>
      <c r="Z891" s="164"/>
      <c r="AA891" s="116"/>
      <c r="AB891" s="116"/>
      <c r="AC891" s="165"/>
      <c r="AD891" s="675" t="str">
        <f t="shared" si="76"/>
        <v/>
      </c>
      <c r="AE891" s="166"/>
      <c r="AF891" s="149" t="b">
        <v>0</v>
      </c>
      <c r="AG891" s="166"/>
      <c r="AH891" s="149" t="b">
        <v>0</v>
      </c>
      <c r="AI891" s="162"/>
      <c r="AJ891" s="143"/>
      <c r="AK891" s="143"/>
      <c r="AL891" s="143"/>
      <c r="AM891" s="143"/>
      <c r="AN891" s="143"/>
      <c r="AO891" s="143"/>
      <c r="AP891" s="143"/>
      <c r="AQ891" s="143"/>
    </row>
    <row r="892" ht="22.5" customHeight="1">
      <c r="A892" s="166"/>
      <c r="B892" s="1111"/>
      <c r="C892" s="524"/>
      <c r="D892" s="1110"/>
      <c r="E892" s="669"/>
      <c r="F892" s="524"/>
      <c r="G892" s="165"/>
      <c r="H892" s="669"/>
      <c r="I892" s="669"/>
      <c r="J892" s="352"/>
      <c r="K892" s="271" t="str">
        <f t="shared" si="74"/>
        <v/>
      </c>
      <c r="L892" s="297"/>
      <c r="M892" s="334"/>
      <c r="N892" s="277"/>
      <c r="O892" s="315"/>
      <c r="P892" s="344">
        <f t="shared" si="69"/>
        <v>0</v>
      </c>
      <c r="Q892" s="321"/>
      <c r="R892" s="672" t="b">
        <v>0</v>
      </c>
      <c r="S892" s="318"/>
      <c r="T892" s="319"/>
      <c r="U892" s="315"/>
      <c r="V892" s="162"/>
      <c r="W892" s="149"/>
      <c r="X892" s="163"/>
      <c r="Y892" s="162"/>
      <c r="Z892" s="164"/>
      <c r="AA892" s="116"/>
      <c r="AB892" s="116"/>
      <c r="AC892" s="165"/>
      <c r="AD892" s="675" t="str">
        <f t="shared" si="76"/>
        <v/>
      </c>
      <c r="AE892" s="166"/>
      <c r="AF892" s="149" t="b">
        <v>0</v>
      </c>
      <c r="AG892" s="166"/>
      <c r="AH892" s="149" t="b">
        <v>0</v>
      </c>
      <c r="AI892" s="162"/>
      <c r="AJ892" s="143"/>
      <c r="AK892" s="143"/>
      <c r="AL892" s="143"/>
      <c r="AM892" s="143"/>
      <c r="AN892" s="143"/>
      <c r="AO892" s="143"/>
      <c r="AP892" s="143"/>
      <c r="AQ892" s="143"/>
    </row>
    <row r="893" ht="22.5" customHeight="1">
      <c r="A893" s="166"/>
      <c r="B893" s="1111"/>
      <c r="C893" s="524"/>
      <c r="D893" s="1110"/>
      <c r="E893" s="669"/>
      <c r="F893" s="524"/>
      <c r="G893" s="165"/>
      <c r="H893" s="669"/>
      <c r="I893" s="669"/>
      <c r="J893" s="352"/>
      <c r="K893" s="271" t="str">
        <f t="shared" si="74"/>
        <v/>
      </c>
      <c r="L893" s="297"/>
      <c r="M893" s="334"/>
      <c r="N893" s="277"/>
      <c r="O893" s="315"/>
      <c r="P893" s="344">
        <f t="shared" si="69"/>
        <v>0</v>
      </c>
      <c r="Q893" s="321"/>
      <c r="R893" s="672" t="b">
        <v>0</v>
      </c>
      <c r="S893" s="318"/>
      <c r="T893" s="319"/>
      <c r="U893" s="315"/>
      <c r="V893" s="162"/>
      <c r="W893" s="149"/>
      <c r="X893" s="163"/>
      <c r="Y893" s="162"/>
      <c r="Z893" s="164"/>
      <c r="AA893" s="116"/>
      <c r="AB893" s="116"/>
      <c r="AC893" s="165"/>
      <c r="AD893" s="675" t="str">
        <f t="shared" si="76"/>
        <v/>
      </c>
      <c r="AE893" s="166"/>
      <c r="AF893" s="149" t="b">
        <v>0</v>
      </c>
      <c r="AG893" s="166"/>
      <c r="AH893" s="149" t="b">
        <v>0</v>
      </c>
      <c r="AI893" s="162"/>
      <c r="AJ893" s="143"/>
      <c r="AK893" s="143"/>
      <c r="AL893" s="143"/>
      <c r="AM893" s="143"/>
      <c r="AN893" s="143"/>
      <c r="AO893" s="143"/>
      <c r="AP893" s="143"/>
      <c r="AQ893" s="143"/>
    </row>
    <row r="894" ht="22.5" customHeight="1">
      <c r="A894" s="166"/>
      <c r="B894" s="1111"/>
      <c r="C894" s="524"/>
      <c r="D894" s="1110"/>
      <c r="E894" s="669"/>
      <c r="F894" s="524"/>
      <c r="G894" s="165"/>
      <c r="H894" s="669"/>
      <c r="I894" s="669"/>
      <c r="J894" s="352"/>
      <c r="K894" s="271" t="str">
        <f t="shared" si="74"/>
        <v/>
      </c>
      <c r="L894" s="297"/>
      <c r="M894" s="334"/>
      <c r="N894" s="277"/>
      <c r="O894" s="315"/>
      <c r="P894" s="344">
        <f t="shared" si="69"/>
        <v>0</v>
      </c>
      <c r="Q894" s="321"/>
      <c r="R894" s="672" t="b">
        <v>0</v>
      </c>
      <c r="S894" s="318"/>
      <c r="T894" s="319"/>
      <c r="U894" s="315"/>
      <c r="V894" s="162"/>
      <c r="W894" s="149"/>
      <c r="X894" s="163"/>
      <c r="Y894" s="162"/>
      <c r="Z894" s="164"/>
      <c r="AA894" s="116"/>
      <c r="AB894" s="116"/>
      <c r="AC894" s="165"/>
      <c r="AD894" s="675" t="str">
        <f t="shared" si="76"/>
        <v/>
      </c>
      <c r="AE894" s="166"/>
      <c r="AF894" s="149" t="b">
        <v>0</v>
      </c>
      <c r="AG894" s="166"/>
      <c r="AH894" s="149" t="b">
        <v>0</v>
      </c>
      <c r="AI894" s="162"/>
      <c r="AJ894" s="143"/>
      <c r="AK894" s="143"/>
      <c r="AL894" s="143"/>
      <c r="AM894" s="143"/>
      <c r="AN894" s="143"/>
      <c r="AO894" s="143"/>
      <c r="AP894" s="143"/>
      <c r="AQ894" s="143"/>
    </row>
    <row r="895" ht="22.5" customHeight="1">
      <c r="A895" s="166"/>
      <c r="B895" s="1111"/>
      <c r="C895" s="524"/>
      <c r="D895" s="1110"/>
      <c r="E895" s="669"/>
      <c r="F895" s="524"/>
      <c r="G895" s="165"/>
      <c r="H895" s="669"/>
      <c r="I895" s="669"/>
      <c r="J895" s="352"/>
      <c r="K895" s="271" t="str">
        <f t="shared" si="74"/>
        <v/>
      </c>
      <c r="L895" s="297"/>
      <c r="M895" s="334"/>
      <c r="N895" s="277"/>
      <c r="O895" s="315"/>
      <c r="P895" s="344">
        <f t="shared" si="69"/>
        <v>0</v>
      </c>
      <c r="Q895" s="321"/>
      <c r="R895" s="672" t="b">
        <v>0</v>
      </c>
      <c r="S895" s="318"/>
      <c r="T895" s="319"/>
      <c r="U895" s="315"/>
      <c r="V895" s="162"/>
      <c r="W895" s="149"/>
      <c r="X895" s="163"/>
      <c r="Y895" s="162"/>
      <c r="Z895" s="164"/>
      <c r="AA895" s="116"/>
      <c r="AB895" s="116"/>
      <c r="AC895" s="165"/>
      <c r="AD895" s="675" t="str">
        <f t="shared" si="76"/>
        <v/>
      </c>
      <c r="AE895" s="166"/>
      <c r="AF895" s="149" t="b">
        <v>0</v>
      </c>
      <c r="AG895" s="166"/>
      <c r="AH895" s="149" t="b">
        <v>0</v>
      </c>
      <c r="AI895" s="162"/>
      <c r="AJ895" s="143"/>
      <c r="AK895" s="143"/>
      <c r="AL895" s="143"/>
      <c r="AM895" s="143"/>
      <c r="AN895" s="143"/>
      <c r="AO895" s="143"/>
      <c r="AP895" s="143"/>
      <c r="AQ895" s="143"/>
    </row>
    <row r="896" ht="22.5" customHeight="1">
      <c r="A896" s="166"/>
      <c r="B896" s="1111"/>
      <c r="C896" s="524"/>
      <c r="D896" s="1110"/>
      <c r="E896" s="669"/>
      <c r="F896" s="524"/>
      <c r="G896" s="165"/>
      <c r="H896" s="669"/>
      <c r="I896" s="669"/>
      <c r="J896" s="352"/>
      <c r="K896" s="271" t="str">
        <f t="shared" si="74"/>
        <v/>
      </c>
      <c r="L896" s="297"/>
      <c r="M896" s="334"/>
      <c r="N896" s="277"/>
      <c r="O896" s="315"/>
      <c r="P896" s="344">
        <f t="shared" si="69"/>
        <v>0</v>
      </c>
      <c r="Q896" s="321"/>
      <c r="R896" s="672" t="b">
        <v>0</v>
      </c>
      <c r="S896" s="318"/>
      <c r="T896" s="319"/>
      <c r="U896" s="315"/>
      <c r="V896" s="162"/>
      <c r="W896" s="149"/>
      <c r="X896" s="163"/>
      <c r="Y896" s="162"/>
      <c r="Z896" s="164"/>
      <c r="AA896" s="116"/>
      <c r="AB896" s="116"/>
      <c r="AC896" s="165"/>
      <c r="AD896" s="675" t="str">
        <f t="shared" si="76"/>
        <v/>
      </c>
      <c r="AE896" s="166"/>
      <c r="AF896" s="149" t="b">
        <v>0</v>
      </c>
      <c r="AG896" s="166"/>
      <c r="AH896" s="149" t="b">
        <v>0</v>
      </c>
      <c r="AI896" s="162"/>
      <c r="AJ896" s="143"/>
      <c r="AK896" s="143"/>
      <c r="AL896" s="143"/>
      <c r="AM896" s="143"/>
      <c r="AN896" s="143"/>
      <c r="AO896" s="143"/>
      <c r="AP896" s="143"/>
      <c r="AQ896" s="143"/>
    </row>
    <row r="897" ht="22.5" customHeight="1">
      <c r="A897" s="166"/>
      <c r="B897" s="1111"/>
      <c r="C897" s="524"/>
      <c r="D897" s="1110"/>
      <c r="E897" s="669"/>
      <c r="F897" s="524"/>
      <c r="G897" s="165"/>
      <c r="H897" s="669"/>
      <c r="I897" s="669"/>
      <c r="J897" s="352"/>
      <c r="K897" s="271" t="str">
        <f t="shared" si="74"/>
        <v/>
      </c>
      <c r="L897" s="297"/>
      <c r="M897" s="334"/>
      <c r="N897" s="277"/>
      <c r="O897" s="315"/>
      <c r="P897" s="344">
        <f t="shared" si="69"/>
        <v>0</v>
      </c>
      <c r="Q897" s="321"/>
      <c r="R897" s="672" t="b">
        <v>0</v>
      </c>
      <c r="S897" s="318"/>
      <c r="T897" s="319"/>
      <c r="U897" s="315"/>
      <c r="V897" s="162"/>
      <c r="W897" s="149"/>
      <c r="X897" s="163"/>
      <c r="Y897" s="162"/>
      <c r="Z897" s="164"/>
      <c r="AA897" s="116"/>
      <c r="AB897" s="116"/>
      <c r="AC897" s="165"/>
      <c r="AD897" s="675" t="str">
        <f t="shared" si="76"/>
        <v/>
      </c>
      <c r="AE897" s="166"/>
      <c r="AF897" s="149" t="b">
        <v>0</v>
      </c>
      <c r="AG897" s="166"/>
      <c r="AH897" s="149" t="b">
        <v>0</v>
      </c>
      <c r="AI897" s="162"/>
      <c r="AJ897" s="143"/>
      <c r="AK897" s="143"/>
      <c r="AL897" s="143"/>
      <c r="AM897" s="143"/>
      <c r="AN897" s="143"/>
      <c r="AO897" s="143"/>
      <c r="AP897" s="143"/>
      <c r="AQ897" s="143"/>
    </row>
    <row r="898" ht="22.5" customHeight="1">
      <c r="A898" s="166"/>
      <c r="B898" s="1111"/>
      <c r="C898" s="524"/>
      <c r="D898" s="1110"/>
      <c r="E898" s="669"/>
      <c r="F898" s="524"/>
      <c r="G898" s="165"/>
      <c r="H898" s="669"/>
      <c r="I898" s="669"/>
      <c r="J898" s="352"/>
      <c r="K898" s="271" t="str">
        <f t="shared" si="74"/>
        <v/>
      </c>
      <c r="L898" s="297"/>
      <c r="M898" s="334"/>
      <c r="N898" s="277"/>
      <c r="O898" s="315"/>
      <c r="P898" s="344">
        <f t="shared" si="69"/>
        <v>0</v>
      </c>
      <c r="Q898" s="321"/>
      <c r="R898" s="672" t="b">
        <v>0</v>
      </c>
      <c r="S898" s="318"/>
      <c r="T898" s="319"/>
      <c r="U898" s="315"/>
      <c r="V898" s="162"/>
      <c r="W898" s="149"/>
      <c r="X898" s="163"/>
      <c r="Y898" s="162"/>
      <c r="Z898" s="164"/>
      <c r="AA898" s="116"/>
      <c r="AB898" s="116"/>
      <c r="AC898" s="165"/>
      <c r="AD898" s="675" t="str">
        <f t="shared" si="76"/>
        <v/>
      </c>
      <c r="AE898" s="166"/>
      <c r="AF898" s="149" t="b">
        <v>0</v>
      </c>
      <c r="AG898" s="166"/>
      <c r="AH898" s="149" t="b">
        <v>0</v>
      </c>
      <c r="AI898" s="162"/>
      <c r="AJ898" s="143"/>
      <c r="AK898" s="143"/>
      <c r="AL898" s="143"/>
      <c r="AM898" s="143"/>
      <c r="AN898" s="143"/>
      <c r="AO898" s="143"/>
      <c r="AP898" s="143"/>
      <c r="AQ898" s="143"/>
    </row>
    <row r="899" ht="22.5" customHeight="1">
      <c r="A899" s="166"/>
      <c r="B899" s="1111"/>
      <c r="C899" s="524"/>
      <c r="D899" s="1110"/>
      <c r="E899" s="669"/>
      <c r="F899" s="524"/>
      <c r="G899" s="165"/>
      <c r="H899" s="669"/>
      <c r="I899" s="669"/>
      <c r="J899" s="352"/>
      <c r="K899" s="271" t="str">
        <f t="shared" si="74"/>
        <v/>
      </c>
      <c r="L899" s="297"/>
      <c r="M899" s="334"/>
      <c r="N899" s="277"/>
      <c r="O899" s="315"/>
      <c r="P899" s="344">
        <f t="shared" si="69"/>
        <v>0</v>
      </c>
      <c r="Q899" s="321"/>
      <c r="R899" s="672" t="b">
        <v>0</v>
      </c>
      <c r="S899" s="318"/>
      <c r="T899" s="319"/>
      <c r="U899" s="315"/>
      <c r="V899" s="162"/>
      <c r="W899" s="149"/>
      <c r="X899" s="163"/>
      <c r="Y899" s="162"/>
      <c r="Z899" s="164"/>
      <c r="AA899" s="116"/>
      <c r="AB899" s="116"/>
      <c r="AC899" s="165"/>
      <c r="AD899" s="675" t="str">
        <f t="shared" si="76"/>
        <v/>
      </c>
      <c r="AE899" s="166"/>
      <c r="AF899" s="149" t="b">
        <v>0</v>
      </c>
      <c r="AG899" s="166"/>
      <c r="AH899" s="149" t="b">
        <v>0</v>
      </c>
      <c r="AI899" s="162"/>
      <c r="AJ899" s="143"/>
      <c r="AK899" s="143"/>
      <c r="AL899" s="143"/>
      <c r="AM899" s="143"/>
      <c r="AN899" s="143"/>
      <c r="AO899" s="143"/>
      <c r="AP899" s="143"/>
      <c r="AQ899" s="143"/>
    </row>
    <row r="900" ht="22.5" customHeight="1">
      <c r="A900" s="166"/>
      <c r="B900" s="1111"/>
      <c r="C900" s="524"/>
      <c r="D900" s="1110"/>
      <c r="E900" s="669"/>
      <c r="F900" s="524"/>
      <c r="G900" s="165"/>
      <c r="H900" s="669"/>
      <c r="I900" s="669"/>
      <c r="J900" s="352"/>
      <c r="K900" s="271" t="str">
        <f t="shared" si="74"/>
        <v/>
      </c>
      <c r="L900" s="297"/>
      <c r="M900" s="334"/>
      <c r="N900" s="277"/>
      <c r="O900" s="315"/>
      <c r="P900" s="344">
        <f t="shared" si="69"/>
        <v>0</v>
      </c>
      <c r="Q900" s="321"/>
      <c r="R900" s="672" t="b">
        <v>0</v>
      </c>
      <c r="S900" s="318"/>
      <c r="T900" s="319"/>
      <c r="U900" s="315"/>
      <c r="V900" s="162"/>
      <c r="W900" s="149"/>
      <c r="X900" s="163"/>
      <c r="Y900" s="162"/>
      <c r="Z900" s="164"/>
      <c r="AA900" s="116"/>
      <c r="AB900" s="116"/>
      <c r="AC900" s="165"/>
      <c r="AD900" s="675" t="str">
        <f t="shared" si="76"/>
        <v/>
      </c>
      <c r="AE900" s="166"/>
      <c r="AF900" s="149" t="b">
        <v>0</v>
      </c>
      <c r="AG900" s="166"/>
      <c r="AH900" s="149" t="b">
        <v>0</v>
      </c>
      <c r="AI900" s="162"/>
      <c r="AJ900" s="143"/>
      <c r="AK900" s="143"/>
      <c r="AL900" s="143"/>
      <c r="AM900" s="143"/>
      <c r="AN900" s="143"/>
      <c r="AO900" s="143"/>
      <c r="AP900" s="143"/>
      <c r="AQ900" s="143"/>
    </row>
    <row r="901" ht="22.5" customHeight="1">
      <c r="A901" s="166"/>
      <c r="B901" s="1111"/>
      <c r="C901" s="524"/>
      <c r="D901" s="1110"/>
      <c r="E901" s="669"/>
      <c r="F901" s="524"/>
      <c r="G901" s="165"/>
      <c r="H901" s="669"/>
      <c r="I901" s="669"/>
      <c r="J901" s="352"/>
      <c r="K901" s="271" t="str">
        <f t="shared" si="74"/>
        <v/>
      </c>
      <c r="L901" s="297"/>
      <c r="M901" s="334"/>
      <c r="N901" s="277"/>
      <c r="O901" s="315"/>
      <c r="P901" s="344">
        <f t="shared" si="69"/>
        <v>0</v>
      </c>
      <c r="Q901" s="321"/>
      <c r="R901" s="672" t="b">
        <v>0</v>
      </c>
      <c r="S901" s="318"/>
      <c r="T901" s="319"/>
      <c r="U901" s="315"/>
      <c r="V901" s="162"/>
      <c r="W901" s="149"/>
      <c r="X901" s="163"/>
      <c r="Y901" s="162"/>
      <c r="Z901" s="164"/>
      <c r="AA901" s="116"/>
      <c r="AB901" s="116"/>
      <c r="AC901" s="165"/>
      <c r="AD901" s="675" t="str">
        <f t="shared" si="76"/>
        <v/>
      </c>
      <c r="AE901" s="166"/>
      <c r="AF901" s="149" t="b">
        <v>0</v>
      </c>
      <c r="AG901" s="166"/>
      <c r="AH901" s="149" t="b">
        <v>0</v>
      </c>
      <c r="AI901" s="162"/>
      <c r="AJ901" s="143"/>
      <c r="AK901" s="143"/>
      <c r="AL901" s="143"/>
      <c r="AM901" s="143"/>
      <c r="AN901" s="143"/>
      <c r="AO901" s="143"/>
      <c r="AP901" s="143"/>
      <c r="AQ901" s="143"/>
    </row>
    <row r="902" ht="22.5" customHeight="1">
      <c r="A902" s="166"/>
      <c r="B902" s="1111"/>
      <c r="C902" s="524"/>
      <c r="D902" s="1110"/>
      <c r="E902" s="669"/>
      <c r="F902" s="524"/>
      <c r="G902" s="165"/>
      <c r="H902" s="669"/>
      <c r="I902" s="669"/>
      <c r="J902" s="352"/>
      <c r="K902" s="271" t="str">
        <f t="shared" si="74"/>
        <v/>
      </c>
      <c r="L902" s="297"/>
      <c r="M902" s="334"/>
      <c r="N902" s="277"/>
      <c r="O902" s="315"/>
      <c r="P902" s="344">
        <f t="shared" si="69"/>
        <v>0</v>
      </c>
      <c r="Q902" s="321"/>
      <c r="R902" s="672" t="b">
        <v>0</v>
      </c>
      <c r="S902" s="318"/>
      <c r="T902" s="319"/>
      <c r="U902" s="315"/>
      <c r="V902" s="162"/>
      <c r="W902" s="149"/>
      <c r="X902" s="163"/>
      <c r="Y902" s="162"/>
      <c r="Z902" s="164"/>
      <c r="AA902" s="116"/>
      <c r="AB902" s="116"/>
      <c r="AC902" s="165"/>
      <c r="AD902" s="675" t="str">
        <f t="shared" si="76"/>
        <v/>
      </c>
      <c r="AE902" s="166"/>
      <c r="AF902" s="149" t="b">
        <v>0</v>
      </c>
      <c r="AG902" s="166"/>
      <c r="AH902" s="149" t="b">
        <v>0</v>
      </c>
      <c r="AI902" s="162"/>
      <c r="AJ902" s="143"/>
      <c r="AK902" s="143"/>
      <c r="AL902" s="143"/>
      <c r="AM902" s="143"/>
      <c r="AN902" s="143"/>
      <c r="AO902" s="143"/>
      <c r="AP902" s="143"/>
      <c r="AQ902" s="143"/>
    </row>
    <row r="903" ht="22.5" customHeight="1">
      <c r="A903" s="166"/>
      <c r="B903" s="1111"/>
      <c r="C903" s="524"/>
      <c r="D903" s="1110"/>
      <c r="E903" s="669"/>
      <c r="F903" s="524"/>
      <c r="G903" s="165"/>
      <c r="H903" s="669"/>
      <c r="I903" s="669"/>
      <c r="J903" s="352"/>
      <c r="K903" s="271" t="str">
        <f t="shared" si="74"/>
        <v/>
      </c>
      <c r="L903" s="297"/>
      <c r="M903" s="334"/>
      <c r="N903" s="277"/>
      <c r="O903" s="315"/>
      <c r="P903" s="344">
        <f t="shared" si="69"/>
        <v>0</v>
      </c>
      <c r="Q903" s="321"/>
      <c r="R903" s="672" t="b">
        <v>0</v>
      </c>
      <c r="S903" s="318"/>
      <c r="T903" s="319"/>
      <c r="U903" s="315"/>
      <c r="V903" s="162"/>
      <c r="W903" s="149"/>
      <c r="X903" s="163"/>
      <c r="Y903" s="162"/>
      <c r="Z903" s="164"/>
      <c r="AA903" s="116"/>
      <c r="AB903" s="116"/>
      <c r="AC903" s="165"/>
      <c r="AD903" s="675" t="str">
        <f t="shared" si="76"/>
        <v/>
      </c>
      <c r="AE903" s="166"/>
      <c r="AF903" s="149" t="b">
        <v>0</v>
      </c>
      <c r="AG903" s="166"/>
      <c r="AH903" s="149" t="b">
        <v>0</v>
      </c>
      <c r="AI903" s="162"/>
      <c r="AJ903" s="143"/>
      <c r="AK903" s="143"/>
      <c r="AL903" s="143"/>
      <c r="AM903" s="143"/>
      <c r="AN903" s="143"/>
      <c r="AO903" s="143"/>
      <c r="AP903" s="143"/>
      <c r="AQ903" s="143"/>
    </row>
    <row r="904" ht="22.5" customHeight="1">
      <c r="A904" s="166"/>
      <c r="B904" s="1111"/>
      <c r="C904" s="524"/>
      <c r="D904" s="1110"/>
      <c r="E904" s="669"/>
      <c r="F904" s="524"/>
      <c r="G904" s="165"/>
      <c r="H904" s="669"/>
      <c r="I904" s="669"/>
      <c r="J904" s="352"/>
      <c r="K904" s="271" t="str">
        <f t="shared" si="74"/>
        <v/>
      </c>
      <c r="L904" s="297"/>
      <c r="M904" s="334"/>
      <c r="N904" s="277"/>
      <c r="O904" s="315"/>
      <c r="P904" s="344">
        <f t="shared" si="69"/>
        <v>0</v>
      </c>
      <c r="Q904" s="321"/>
      <c r="R904" s="672" t="b">
        <v>0</v>
      </c>
      <c r="S904" s="318"/>
      <c r="T904" s="319"/>
      <c r="U904" s="315"/>
      <c r="V904" s="162"/>
      <c r="W904" s="149"/>
      <c r="X904" s="163"/>
      <c r="Y904" s="162"/>
      <c r="Z904" s="164"/>
      <c r="AA904" s="116"/>
      <c r="AB904" s="116"/>
      <c r="AC904" s="165"/>
      <c r="AD904" s="675" t="str">
        <f t="shared" si="76"/>
        <v/>
      </c>
      <c r="AE904" s="166"/>
      <c r="AF904" s="149" t="b">
        <v>0</v>
      </c>
      <c r="AG904" s="166"/>
      <c r="AH904" s="149" t="b">
        <v>0</v>
      </c>
      <c r="AI904" s="162"/>
      <c r="AJ904" s="143"/>
      <c r="AK904" s="143"/>
      <c r="AL904" s="143"/>
      <c r="AM904" s="143"/>
      <c r="AN904" s="143"/>
      <c r="AO904" s="143"/>
      <c r="AP904" s="143"/>
      <c r="AQ904" s="143"/>
    </row>
    <row r="905" ht="22.5" customHeight="1">
      <c r="A905" s="166"/>
      <c r="B905" s="1111"/>
      <c r="C905" s="524"/>
      <c r="D905" s="1110"/>
      <c r="E905" s="669"/>
      <c r="F905" s="524"/>
      <c r="G905" s="165"/>
      <c r="H905" s="669"/>
      <c r="I905" s="669"/>
      <c r="J905" s="352"/>
      <c r="K905" s="271" t="str">
        <f t="shared" si="74"/>
        <v/>
      </c>
      <c r="L905" s="297"/>
      <c r="M905" s="334"/>
      <c r="N905" s="277"/>
      <c r="O905" s="315"/>
      <c r="P905" s="344">
        <f t="shared" si="69"/>
        <v>0</v>
      </c>
      <c r="Q905" s="321"/>
      <c r="R905" s="672" t="b">
        <v>0</v>
      </c>
      <c r="S905" s="318"/>
      <c r="T905" s="319"/>
      <c r="U905" s="315"/>
      <c r="V905" s="162"/>
      <c r="W905" s="149"/>
      <c r="X905" s="163"/>
      <c r="Y905" s="162"/>
      <c r="Z905" s="164"/>
      <c r="AA905" s="116"/>
      <c r="AB905" s="116"/>
      <c r="AC905" s="165"/>
      <c r="AD905" s="675" t="str">
        <f t="shared" si="76"/>
        <v/>
      </c>
      <c r="AE905" s="166"/>
      <c r="AF905" s="149" t="b">
        <v>0</v>
      </c>
      <c r="AG905" s="166"/>
      <c r="AH905" s="149" t="b">
        <v>0</v>
      </c>
      <c r="AI905" s="162"/>
      <c r="AJ905" s="143"/>
      <c r="AK905" s="143"/>
      <c r="AL905" s="143"/>
      <c r="AM905" s="143"/>
      <c r="AN905" s="143"/>
      <c r="AO905" s="143"/>
      <c r="AP905" s="143"/>
      <c r="AQ905" s="143"/>
    </row>
    <row r="906" ht="22.5" customHeight="1">
      <c r="A906" s="166"/>
      <c r="B906" s="1111"/>
      <c r="C906" s="524"/>
      <c r="D906" s="1110"/>
      <c r="E906" s="669"/>
      <c r="F906" s="524"/>
      <c r="G906" s="165"/>
      <c r="H906" s="669"/>
      <c r="I906" s="669"/>
      <c r="J906" s="352"/>
      <c r="K906" s="271" t="str">
        <f t="shared" si="74"/>
        <v/>
      </c>
      <c r="L906" s="297"/>
      <c r="M906" s="334"/>
      <c r="N906" s="277"/>
      <c r="O906" s="315"/>
      <c r="P906" s="344">
        <f t="shared" si="69"/>
        <v>0</v>
      </c>
      <c r="Q906" s="321"/>
      <c r="R906" s="672" t="b">
        <v>0</v>
      </c>
      <c r="S906" s="318"/>
      <c r="T906" s="319"/>
      <c r="U906" s="315"/>
      <c r="V906" s="162"/>
      <c r="W906" s="149"/>
      <c r="X906" s="163"/>
      <c r="Y906" s="162"/>
      <c r="Z906" s="164"/>
      <c r="AA906" s="116"/>
      <c r="AB906" s="116"/>
      <c r="AC906" s="165"/>
      <c r="AD906" s="675" t="str">
        <f t="shared" si="76"/>
        <v/>
      </c>
      <c r="AE906" s="166"/>
      <c r="AF906" s="149" t="b">
        <v>0</v>
      </c>
      <c r="AG906" s="166"/>
      <c r="AH906" s="149" t="b">
        <v>0</v>
      </c>
      <c r="AI906" s="162"/>
      <c r="AJ906" s="143"/>
      <c r="AK906" s="143"/>
      <c r="AL906" s="143"/>
      <c r="AM906" s="143"/>
      <c r="AN906" s="143"/>
      <c r="AO906" s="143"/>
      <c r="AP906" s="143"/>
      <c r="AQ906" s="143"/>
    </row>
    <row r="907" ht="22.5" customHeight="1">
      <c r="A907" s="166"/>
      <c r="B907" s="1111"/>
      <c r="C907" s="524"/>
      <c r="D907" s="1110"/>
      <c r="E907" s="669"/>
      <c r="F907" s="524"/>
      <c r="G907" s="165"/>
      <c r="H907" s="669"/>
      <c r="I907" s="669"/>
      <c r="J907" s="352"/>
      <c r="K907" s="271" t="str">
        <f t="shared" si="74"/>
        <v/>
      </c>
      <c r="L907" s="297"/>
      <c r="M907" s="334"/>
      <c r="N907" s="277"/>
      <c r="O907" s="315"/>
      <c r="P907" s="344">
        <f t="shared" si="69"/>
        <v>0</v>
      </c>
      <c r="Q907" s="321"/>
      <c r="R907" s="672" t="b">
        <v>0</v>
      </c>
      <c r="S907" s="318"/>
      <c r="T907" s="319"/>
      <c r="U907" s="315"/>
      <c r="V907" s="162"/>
      <c r="W907" s="149"/>
      <c r="X907" s="163"/>
      <c r="Y907" s="162"/>
      <c r="Z907" s="164"/>
      <c r="AA907" s="116"/>
      <c r="AB907" s="116"/>
      <c r="AC907" s="165"/>
      <c r="AD907" s="675" t="str">
        <f t="shared" si="76"/>
        <v/>
      </c>
      <c r="AE907" s="166"/>
      <c r="AF907" s="149" t="b">
        <v>0</v>
      </c>
      <c r="AG907" s="166"/>
      <c r="AH907" s="149" t="b">
        <v>0</v>
      </c>
      <c r="AI907" s="162"/>
      <c r="AJ907" s="143"/>
      <c r="AK907" s="143"/>
      <c r="AL907" s="143"/>
      <c r="AM907" s="143"/>
      <c r="AN907" s="143"/>
      <c r="AO907" s="143"/>
      <c r="AP907" s="143"/>
      <c r="AQ907" s="143"/>
    </row>
    <row r="908" ht="22.5" customHeight="1">
      <c r="A908" s="166"/>
      <c r="B908" s="1111"/>
      <c r="C908" s="524"/>
      <c r="D908" s="1110"/>
      <c r="E908" s="669"/>
      <c r="F908" s="524"/>
      <c r="G908" s="165"/>
      <c r="H908" s="669"/>
      <c r="I908" s="669"/>
      <c r="J908" s="352"/>
      <c r="K908" s="271" t="str">
        <f t="shared" si="74"/>
        <v/>
      </c>
      <c r="L908" s="297"/>
      <c r="M908" s="334"/>
      <c r="N908" s="277"/>
      <c r="O908" s="315"/>
      <c r="P908" s="344">
        <f t="shared" si="69"/>
        <v>0</v>
      </c>
      <c r="Q908" s="321"/>
      <c r="R908" s="672" t="b">
        <v>0</v>
      </c>
      <c r="S908" s="318"/>
      <c r="T908" s="319"/>
      <c r="U908" s="315"/>
      <c r="V908" s="162"/>
      <c r="W908" s="149"/>
      <c r="X908" s="163"/>
      <c r="Y908" s="162"/>
      <c r="Z908" s="164"/>
      <c r="AA908" s="116"/>
      <c r="AB908" s="116"/>
      <c r="AC908" s="165"/>
      <c r="AD908" s="675" t="str">
        <f t="shared" si="76"/>
        <v/>
      </c>
      <c r="AE908" s="166"/>
      <c r="AF908" s="149" t="b">
        <v>0</v>
      </c>
      <c r="AG908" s="166"/>
      <c r="AH908" s="149" t="b">
        <v>0</v>
      </c>
      <c r="AI908" s="162"/>
      <c r="AJ908" s="143"/>
      <c r="AK908" s="143"/>
      <c r="AL908" s="143"/>
      <c r="AM908" s="143"/>
      <c r="AN908" s="143"/>
      <c r="AO908" s="143"/>
      <c r="AP908" s="143"/>
      <c r="AQ908" s="143"/>
    </row>
    <row r="909" ht="22.5" customHeight="1">
      <c r="A909" s="166"/>
      <c r="B909" s="1111"/>
      <c r="C909" s="524"/>
      <c r="D909" s="1110"/>
      <c r="E909" s="669"/>
      <c r="F909" s="524"/>
      <c r="G909" s="165"/>
      <c r="H909" s="669"/>
      <c r="I909" s="669"/>
      <c r="J909" s="352"/>
      <c r="K909" s="271" t="str">
        <f t="shared" si="74"/>
        <v/>
      </c>
      <c r="L909" s="297"/>
      <c r="M909" s="334"/>
      <c r="N909" s="277"/>
      <c r="O909" s="315"/>
      <c r="P909" s="344">
        <f t="shared" si="69"/>
        <v>0</v>
      </c>
      <c r="Q909" s="321"/>
      <c r="R909" s="672" t="b">
        <v>0</v>
      </c>
      <c r="S909" s="318"/>
      <c r="T909" s="319"/>
      <c r="U909" s="315"/>
      <c r="V909" s="162"/>
      <c r="W909" s="149"/>
      <c r="X909" s="163"/>
      <c r="Y909" s="162"/>
      <c r="Z909" s="164"/>
      <c r="AA909" s="116"/>
      <c r="AB909" s="116"/>
      <c r="AC909" s="165"/>
      <c r="AD909" s="675" t="str">
        <f t="shared" si="76"/>
        <v/>
      </c>
      <c r="AE909" s="166"/>
      <c r="AF909" s="149" t="b">
        <v>0</v>
      </c>
      <c r="AG909" s="166"/>
      <c r="AH909" s="149" t="b">
        <v>0</v>
      </c>
      <c r="AI909" s="162"/>
      <c r="AJ909" s="143"/>
      <c r="AK909" s="143"/>
      <c r="AL909" s="143"/>
      <c r="AM909" s="143"/>
      <c r="AN909" s="143"/>
      <c r="AO909" s="143"/>
      <c r="AP909" s="143"/>
      <c r="AQ909" s="143"/>
    </row>
    <row r="910" ht="22.5" customHeight="1">
      <c r="A910" s="166"/>
      <c r="B910" s="1111"/>
      <c r="C910" s="524"/>
      <c r="D910" s="1110"/>
      <c r="E910" s="669"/>
      <c r="F910" s="524"/>
      <c r="G910" s="165"/>
      <c r="H910" s="669"/>
      <c r="I910" s="669"/>
      <c r="J910" s="352"/>
      <c r="K910" s="271" t="str">
        <f t="shared" si="74"/>
        <v/>
      </c>
      <c r="L910" s="297"/>
      <c r="M910" s="334"/>
      <c r="N910" s="277"/>
      <c r="O910" s="315"/>
      <c r="P910" s="344">
        <f t="shared" si="69"/>
        <v>0</v>
      </c>
      <c r="Q910" s="321"/>
      <c r="R910" s="672" t="b">
        <v>0</v>
      </c>
      <c r="S910" s="318"/>
      <c r="T910" s="319"/>
      <c r="U910" s="315"/>
      <c r="V910" s="162"/>
      <c r="W910" s="149"/>
      <c r="X910" s="163"/>
      <c r="Y910" s="162"/>
      <c r="Z910" s="164"/>
      <c r="AA910" s="116"/>
      <c r="AB910" s="116"/>
      <c r="AC910" s="165"/>
      <c r="AD910" s="675" t="str">
        <f t="shared" si="76"/>
        <v/>
      </c>
      <c r="AE910" s="166"/>
      <c r="AF910" s="149" t="b">
        <v>0</v>
      </c>
      <c r="AG910" s="166"/>
      <c r="AH910" s="149" t="b">
        <v>0</v>
      </c>
      <c r="AI910" s="162"/>
      <c r="AJ910" s="143"/>
      <c r="AK910" s="143"/>
      <c r="AL910" s="143"/>
      <c r="AM910" s="143"/>
      <c r="AN910" s="143"/>
      <c r="AO910" s="143"/>
      <c r="AP910" s="143"/>
      <c r="AQ910" s="143"/>
    </row>
    <row r="911" ht="22.5" customHeight="1">
      <c r="A911" s="166"/>
      <c r="B911" s="1111"/>
      <c r="C911" s="524"/>
      <c r="D911" s="1110"/>
      <c r="E911" s="669"/>
      <c r="F911" s="524"/>
      <c r="G911" s="165"/>
      <c r="H911" s="669"/>
      <c r="I911" s="669"/>
      <c r="J911" s="352"/>
      <c r="K911" s="271" t="str">
        <f t="shared" si="74"/>
        <v/>
      </c>
      <c r="L911" s="297"/>
      <c r="M911" s="334"/>
      <c r="N911" s="277"/>
      <c r="O911" s="315"/>
      <c r="P911" s="344">
        <f t="shared" si="69"/>
        <v>0</v>
      </c>
      <c r="Q911" s="321"/>
      <c r="R911" s="672" t="b">
        <v>0</v>
      </c>
      <c r="S911" s="318"/>
      <c r="T911" s="319"/>
      <c r="U911" s="315"/>
      <c r="V911" s="162"/>
      <c r="W911" s="149"/>
      <c r="X911" s="163"/>
      <c r="Y911" s="162"/>
      <c r="Z911" s="164"/>
      <c r="AA911" s="116"/>
      <c r="AB911" s="116"/>
      <c r="AC911" s="165"/>
      <c r="AD911" s="675" t="str">
        <f t="shared" si="76"/>
        <v/>
      </c>
      <c r="AE911" s="166"/>
      <c r="AF911" s="149" t="b">
        <v>0</v>
      </c>
      <c r="AG911" s="166"/>
      <c r="AH911" s="149" t="b">
        <v>0</v>
      </c>
      <c r="AI911" s="162"/>
      <c r="AJ911" s="143"/>
      <c r="AK911" s="143"/>
      <c r="AL911" s="143"/>
      <c r="AM911" s="143"/>
      <c r="AN911" s="143"/>
      <c r="AO911" s="143"/>
      <c r="AP911" s="143"/>
      <c r="AQ911" s="143"/>
    </row>
    <row r="912" ht="22.5" customHeight="1">
      <c r="A912" s="166"/>
      <c r="B912" s="1111"/>
      <c r="C912" s="524"/>
      <c r="D912" s="1110"/>
      <c r="E912" s="669"/>
      <c r="F912" s="524"/>
      <c r="G912" s="165"/>
      <c r="H912" s="669"/>
      <c r="I912" s="669"/>
      <c r="J912" s="352"/>
      <c r="K912" s="271" t="str">
        <f t="shared" si="74"/>
        <v/>
      </c>
      <c r="L912" s="297"/>
      <c r="M912" s="334"/>
      <c r="N912" s="277"/>
      <c r="O912" s="315"/>
      <c r="P912" s="344">
        <f t="shared" si="69"/>
        <v>0</v>
      </c>
      <c r="Q912" s="321"/>
      <c r="R912" s="672" t="b">
        <v>0</v>
      </c>
      <c r="S912" s="318"/>
      <c r="T912" s="319"/>
      <c r="U912" s="315"/>
      <c r="V912" s="162"/>
      <c r="W912" s="149"/>
      <c r="X912" s="163"/>
      <c r="Y912" s="162"/>
      <c r="Z912" s="164"/>
      <c r="AA912" s="116"/>
      <c r="AB912" s="116"/>
      <c r="AC912" s="165"/>
      <c r="AD912" s="675" t="str">
        <f t="shared" si="76"/>
        <v/>
      </c>
      <c r="AE912" s="166"/>
      <c r="AF912" s="149" t="b">
        <v>0</v>
      </c>
      <c r="AG912" s="166"/>
      <c r="AH912" s="149" t="b">
        <v>0</v>
      </c>
      <c r="AI912" s="162"/>
      <c r="AJ912" s="143"/>
      <c r="AK912" s="143"/>
      <c r="AL912" s="143"/>
      <c r="AM912" s="143"/>
      <c r="AN912" s="143"/>
      <c r="AO912" s="143"/>
      <c r="AP912" s="143"/>
      <c r="AQ912" s="143"/>
    </row>
    <row r="913" ht="22.5" customHeight="1">
      <c r="A913" s="166"/>
      <c r="B913" s="1111"/>
      <c r="C913" s="524"/>
      <c r="D913" s="1110"/>
      <c r="E913" s="669"/>
      <c r="F913" s="524"/>
      <c r="G913" s="165"/>
      <c r="H913" s="669"/>
      <c r="I913" s="669"/>
      <c r="J913" s="352"/>
      <c r="K913" s="271" t="str">
        <f t="shared" si="74"/>
        <v/>
      </c>
      <c r="L913" s="297"/>
      <c r="M913" s="334"/>
      <c r="N913" s="277"/>
      <c r="O913" s="315"/>
      <c r="P913" s="344">
        <f t="shared" si="69"/>
        <v>0</v>
      </c>
      <c r="Q913" s="321"/>
      <c r="R913" s="672" t="b">
        <v>0</v>
      </c>
      <c r="S913" s="318"/>
      <c r="T913" s="319"/>
      <c r="U913" s="315"/>
      <c r="V913" s="162"/>
      <c r="W913" s="149"/>
      <c r="X913" s="163"/>
      <c r="Y913" s="162"/>
      <c r="Z913" s="164"/>
      <c r="AA913" s="116"/>
      <c r="AB913" s="116"/>
      <c r="AC913" s="165"/>
      <c r="AD913" s="675" t="str">
        <f t="shared" si="76"/>
        <v/>
      </c>
      <c r="AE913" s="166"/>
      <c r="AF913" s="149" t="b">
        <v>0</v>
      </c>
      <c r="AG913" s="166"/>
      <c r="AH913" s="149" t="b">
        <v>0</v>
      </c>
      <c r="AI913" s="162"/>
      <c r="AJ913" s="143"/>
      <c r="AK913" s="143"/>
      <c r="AL913" s="143"/>
      <c r="AM913" s="143"/>
      <c r="AN913" s="143"/>
      <c r="AO913" s="143"/>
      <c r="AP913" s="143"/>
      <c r="AQ913" s="143"/>
    </row>
    <row r="914" ht="22.5" customHeight="1">
      <c r="A914" s="166"/>
      <c r="B914" s="1111"/>
      <c r="C914" s="524"/>
      <c r="D914" s="1110"/>
      <c r="E914" s="669"/>
      <c r="F914" s="524"/>
      <c r="G914" s="165"/>
      <c r="H914" s="669"/>
      <c r="I914" s="669"/>
      <c r="J914" s="352"/>
      <c r="K914" s="271" t="str">
        <f t="shared" si="74"/>
        <v/>
      </c>
      <c r="L914" s="297"/>
      <c r="M914" s="334"/>
      <c r="N914" s="277"/>
      <c r="O914" s="315"/>
      <c r="P914" s="344">
        <f t="shared" si="69"/>
        <v>0</v>
      </c>
      <c r="Q914" s="321"/>
      <c r="R914" s="672" t="b">
        <v>0</v>
      </c>
      <c r="S914" s="318"/>
      <c r="T914" s="319"/>
      <c r="U914" s="315"/>
      <c r="V914" s="162"/>
      <c r="W914" s="149"/>
      <c r="X914" s="163"/>
      <c r="Y914" s="162"/>
      <c r="Z914" s="164"/>
      <c r="AA914" s="116"/>
      <c r="AB914" s="116"/>
      <c r="AC914" s="165"/>
      <c r="AD914" s="675" t="str">
        <f t="shared" si="76"/>
        <v/>
      </c>
      <c r="AE914" s="166"/>
      <c r="AF914" s="149" t="b">
        <v>0</v>
      </c>
      <c r="AG914" s="166"/>
      <c r="AH914" s="149" t="b">
        <v>0</v>
      </c>
      <c r="AI914" s="162"/>
      <c r="AJ914" s="143"/>
      <c r="AK914" s="143"/>
      <c r="AL914" s="143"/>
      <c r="AM914" s="143"/>
      <c r="AN914" s="143"/>
      <c r="AO914" s="143"/>
      <c r="AP914" s="143"/>
      <c r="AQ914" s="143"/>
    </row>
    <row r="915" ht="22.5" customHeight="1">
      <c r="A915" s="166"/>
      <c r="B915" s="1111"/>
      <c r="C915" s="524"/>
      <c r="D915" s="1110"/>
      <c r="E915" s="669"/>
      <c r="F915" s="524"/>
      <c r="G915" s="165"/>
      <c r="H915" s="669"/>
      <c r="I915" s="669"/>
      <c r="J915" s="352"/>
      <c r="K915" s="271" t="str">
        <f t="shared" si="74"/>
        <v/>
      </c>
      <c r="L915" s="297"/>
      <c r="M915" s="334"/>
      <c r="N915" s="277"/>
      <c r="O915" s="315"/>
      <c r="P915" s="344">
        <f t="shared" si="69"/>
        <v>0</v>
      </c>
      <c r="Q915" s="321"/>
      <c r="R915" s="672" t="b">
        <v>0</v>
      </c>
      <c r="S915" s="318"/>
      <c r="T915" s="319"/>
      <c r="U915" s="315"/>
      <c r="V915" s="162"/>
      <c r="W915" s="149"/>
      <c r="X915" s="163"/>
      <c r="Y915" s="162"/>
      <c r="Z915" s="164"/>
      <c r="AA915" s="116"/>
      <c r="AB915" s="116"/>
      <c r="AC915" s="165"/>
      <c r="AD915" s="675" t="str">
        <f t="shared" si="76"/>
        <v/>
      </c>
      <c r="AE915" s="166"/>
      <c r="AF915" s="149" t="b">
        <v>0</v>
      </c>
      <c r="AG915" s="166"/>
      <c r="AH915" s="149" t="b">
        <v>0</v>
      </c>
      <c r="AI915" s="162"/>
      <c r="AJ915" s="143"/>
      <c r="AK915" s="143"/>
      <c r="AL915" s="143"/>
      <c r="AM915" s="143"/>
      <c r="AN915" s="143"/>
      <c r="AO915" s="143"/>
      <c r="AP915" s="143"/>
      <c r="AQ915" s="143"/>
    </row>
    <row r="916" ht="22.5" customHeight="1">
      <c r="A916" s="166"/>
      <c r="B916" s="1111"/>
      <c r="C916" s="524"/>
      <c r="D916" s="1110"/>
      <c r="E916" s="669"/>
      <c r="F916" s="524"/>
      <c r="G916" s="165"/>
      <c r="H916" s="669"/>
      <c r="I916" s="669"/>
      <c r="J916" s="352"/>
      <c r="K916" s="271" t="str">
        <f t="shared" si="74"/>
        <v/>
      </c>
      <c r="L916" s="297"/>
      <c r="M916" s="334"/>
      <c r="N916" s="277"/>
      <c r="O916" s="315"/>
      <c r="P916" s="344">
        <f t="shared" si="69"/>
        <v>0</v>
      </c>
      <c r="Q916" s="321"/>
      <c r="R916" s="672" t="b">
        <v>0</v>
      </c>
      <c r="S916" s="318"/>
      <c r="T916" s="319"/>
      <c r="U916" s="315"/>
      <c r="V916" s="162"/>
      <c r="W916" s="149"/>
      <c r="X916" s="163"/>
      <c r="Y916" s="162"/>
      <c r="Z916" s="164"/>
      <c r="AA916" s="116"/>
      <c r="AB916" s="116"/>
      <c r="AC916" s="165"/>
      <c r="AD916" s="675" t="str">
        <f t="shared" si="76"/>
        <v/>
      </c>
      <c r="AE916" s="166"/>
      <c r="AF916" s="149" t="b">
        <v>0</v>
      </c>
      <c r="AG916" s="166"/>
      <c r="AH916" s="149" t="b">
        <v>0</v>
      </c>
      <c r="AI916" s="162"/>
      <c r="AJ916" s="143"/>
      <c r="AK916" s="143"/>
      <c r="AL916" s="143"/>
      <c r="AM916" s="143"/>
      <c r="AN916" s="143"/>
      <c r="AO916" s="143"/>
      <c r="AP916" s="143"/>
      <c r="AQ916" s="143"/>
    </row>
    <row r="917" ht="22.5" customHeight="1">
      <c r="A917" s="166"/>
      <c r="B917" s="1111"/>
      <c r="C917" s="524"/>
      <c r="D917" s="1110"/>
      <c r="E917" s="669"/>
      <c r="F917" s="524"/>
      <c r="G917" s="165"/>
      <c r="H917" s="669"/>
      <c r="I917" s="669"/>
      <c r="J917" s="352"/>
      <c r="K917" s="271" t="str">
        <f t="shared" si="74"/>
        <v/>
      </c>
      <c r="L917" s="297"/>
      <c r="M917" s="334"/>
      <c r="N917" s="277"/>
      <c r="O917" s="315"/>
      <c r="P917" s="344">
        <f t="shared" si="69"/>
        <v>0</v>
      </c>
      <c r="Q917" s="321"/>
      <c r="R917" s="672" t="b">
        <v>0</v>
      </c>
      <c r="S917" s="318"/>
      <c r="T917" s="319"/>
      <c r="U917" s="315"/>
      <c r="V917" s="162"/>
      <c r="W917" s="149"/>
      <c r="X917" s="163"/>
      <c r="Y917" s="162"/>
      <c r="Z917" s="164"/>
      <c r="AA917" s="116"/>
      <c r="AB917" s="116"/>
      <c r="AC917" s="165"/>
      <c r="AD917" s="675" t="str">
        <f t="shared" si="76"/>
        <v/>
      </c>
      <c r="AE917" s="166"/>
      <c r="AF917" s="149" t="b">
        <v>0</v>
      </c>
      <c r="AG917" s="166"/>
      <c r="AH917" s="149" t="b">
        <v>0</v>
      </c>
      <c r="AI917" s="162"/>
      <c r="AJ917" s="143"/>
      <c r="AK917" s="143"/>
      <c r="AL917" s="143"/>
      <c r="AM917" s="143"/>
      <c r="AN917" s="143"/>
      <c r="AO917" s="143"/>
      <c r="AP917" s="143"/>
      <c r="AQ917" s="143"/>
    </row>
    <row r="918" ht="22.5" customHeight="1">
      <c r="A918" s="166"/>
      <c r="B918" s="1111"/>
      <c r="C918" s="524"/>
      <c r="D918" s="1110"/>
      <c r="E918" s="669"/>
      <c r="F918" s="524"/>
      <c r="G918" s="165"/>
      <c r="H918" s="669"/>
      <c r="I918" s="669"/>
      <c r="J918" s="352"/>
      <c r="K918" s="271" t="str">
        <f t="shared" si="74"/>
        <v/>
      </c>
      <c r="L918" s="297"/>
      <c r="M918" s="334"/>
      <c r="N918" s="277"/>
      <c r="O918" s="315"/>
      <c r="P918" s="344">
        <f t="shared" si="69"/>
        <v>0</v>
      </c>
      <c r="Q918" s="321"/>
      <c r="R918" s="672" t="b">
        <v>0</v>
      </c>
      <c r="S918" s="318"/>
      <c r="T918" s="319"/>
      <c r="U918" s="315"/>
      <c r="V918" s="162"/>
      <c r="W918" s="149"/>
      <c r="X918" s="163"/>
      <c r="Y918" s="162"/>
      <c r="Z918" s="164"/>
      <c r="AA918" s="116"/>
      <c r="AB918" s="116"/>
      <c r="AC918" s="165"/>
      <c r="AD918" s="675" t="str">
        <f t="shared" si="76"/>
        <v/>
      </c>
      <c r="AE918" s="166"/>
      <c r="AF918" s="149" t="b">
        <v>0</v>
      </c>
      <c r="AG918" s="166"/>
      <c r="AH918" s="149" t="b">
        <v>0</v>
      </c>
      <c r="AI918" s="162"/>
      <c r="AJ918" s="143"/>
      <c r="AK918" s="143"/>
      <c r="AL918" s="143"/>
      <c r="AM918" s="143"/>
      <c r="AN918" s="143"/>
      <c r="AO918" s="143"/>
      <c r="AP918" s="143"/>
      <c r="AQ918" s="143"/>
    </row>
    <row r="919" ht="22.5" customHeight="1">
      <c r="A919" s="166"/>
      <c r="B919" s="1111"/>
      <c r="C919" s="524"/>
      <c r="D919" s="1110"/>
      <c r="E919" s="669"/>
      <c r="F919" s="524"/>
      <c r="G919" s="165"/>
      <c r="H919" s="669"/>
      <c r="I919" s="669"/>
      <c r="J919" s="352"/>
      <c r="K919" s="271" t="str">
        <f t="shared" si="74"/>
        <v/>
      </c>
      <c r="L919" s="297"/>
      <c r="M919" s="334"/>
      <c r="N919" s="277"/>
      <c r="O919" s="315"/>
      <c r="P919" s="344">
        <f t="shared" si="69"/>
        <v>0</v>
      </c>
      <c r="Q919" s="321"/>
      <c r="R919" s="672" t="b">
        <v>0</v>
      </c>
      <c r="S919" s="318"/>
      <c r="T919" s="319"/>
      <c r="U919" s="315"/>
      <c r="V919" s="162"/>
      <c r="W919" s="149"/>
      <c r="X919" s="163"/>
      <c r="Y919" s="162"/>
      <c r="Z919" s="164"/>
      <c r="AA919" s="116"/>
      <c r="AB919" s="116"/>
      <c r="AC919" s="165"/>
      <c r="AD919" s="675" t="str">
        <f t="shared" si="76"/>
        <v/>
      </c>
      <c r="AE919" s="166"/>
      <c r="AF919" s="149" t="b">
        <v>0</v>
      </c>
      <c r="AG919" s="166"/>
      <c r="AH919" s="149" t="b">
        <v>0</v>
      </c>
      <c r="AI919" s="162"/>
      <c r="AJ919" s="143"/>
      <c r="AK919" s="143"/>
      <c r="AL919" s="143"/>
      <c r="AM919" s="143"/>
      <c r="AN919" s="143"/>
      <c r="AO919" s="143"/>
      <c r="AP919" s="143"/>
      <c r="AQ919" s="143"/>
    </row>
    <row r="920" ht="22.5" customHeight="1">
      <c r="A920" s="166"/>
      <c r="B920" s="1111"/>
      <c r="C920" s="524"/>
      <c r="D920" s="1110"/>
      <c r="E920" s="669"/>
      <c r="F920" s="524"/>
      <c r="G920" s="165"/>
      <c r="H920" s="669"/>
      <c r="I920" s="669"/>
      <c r="J920" s="352"/>
      <c r="K920" s="271" t="str">
        <f t="shared" si="74"/>
        <v/>
      </c>
      <c r="L920" s="297"/>
      <c r="M920" s="334"/>
      <c r="N920" s="277"/>
      <c r="O920" s="315"/>
      <c r="P920" s="344">
        <f t="shared" si="69"/>
        <v>0</v>
      </c>
      <c r="Q920" s="321"/>
      <c r="R920" s="672" t="b">
        <v>0</v>
      </c>
      <c r="S920" s="318"/>
      <c r="T920" s="319"/>
      <c r="U920" s="315"/>
      <c r="V920" s="162"/>
      <c r="W920" s="149"/>
      <c r="X920" s="163"/>
      <c r="Y920" s="162"/>
      <c r="Z920" s="164"/>
      <c r="AA920" s="116"/>
      <c r="AB920" s="116"/>
      <c r="AC920" s="165"/>
      <c r="AD920" s="675" t="str">
        <f t="shared" si="76"/>
        <v/>
      </c>
      <c r="AE920" s="166"/>
      <c r="AF920" s="149" t="b">
        <v>0</v>
      </c>
      <c r="AG920" s="166"/>
      <c r="AH920" s="149" t="b">
        <v>0</v>
      </c>
      <c r="AI920" s="162"/>
      <c r="AJ920" s="143"/>
      <c r="AK920" s="143"/>
      <c r="AL920" s="143"/>
      <c r="AM920" s="143"/>
      <c r="AN920" s="143"/>
      <c r="AO920" s="143"/>
      <c r="AP920" s="143"/>
      <c r="AQ920" s="143"/>
    </row>
    <row r="921" ht="22.5" customHeight="1">
      <c r="A921" s="166"/>
      <c r="B921" s="1111"/>
      <c r="C921" s="524"/>
      <c r="D921" s="1110"/>
      <c r="E921" s="669"/>
      <c r="F921" s="524"/>
      <c r="G921" s="165"/>
      <c r="H921" s="669"/>
      <c r="I921" s="669"/>
      <c r="J921" s="352"/>
      <c r="K921" s="271" t="str">
        <f t="shared" si="74"/>
        <v/>
      </c>
      <c r="L921" s="297"/>
      <c r="M921" s="334"/>
      <c r="N921" s="277"/>
      <c r="O921" s="315"/>
      <c r="P921" s="344">
        <f t="shared" si="69"/>
        <v>0</v>
      </c>
      <c r="Q921" s="321"/>
      <c r="R921" s="672" t="b">
        <v>0</v>
      </c>
      <c r="S921" s="318"/>
      <c r="T921" s="319"/>
      <c r="U921" s="315"/>
      <c r="V921" s="162"/>
      <c r="W921" s="149"/>
      <c r="X921" s="163"/>
      <c r="Y921" s="162"/>
      <c r="Z921" s="164"/>
      <c r="AA921" s="116"/>
      <c r="AB921" s="116"/>
      <c r="AC921" s="165"/>
      <c r="AD921" s="675" t="str">
        <f t="shared" si="76"/>
        <v/>
      </c>
      <c r="AE921" s="166"/>
      <c r="AF921" s="149" t="b">
        <v>0</v>
      </c>
      <c r="AG921" s="166"/>
      <c r="AH921" s="149" t="b">
        <v>0</v>
      </c>
      <c r="AI921" s="162"/>
      <c r="AJ921" s="143"/>
      <c r="AK921" s="143"/>
      <c r="AL921" s="143"/>
      <c r="AM921" s="143"/>
      <c r="AN921" s="143"/>
      <c r="AO921" s="143"/>
      <c r="AP921" s="143"/>
      <c r="AQ921" s="143"/>
    </row>
    <row r="922" ht="22.5" customHeight="1">
      <c r="A922" s="166"/>
      <c r="B922" s="1111"/>
      <c r="C922" s="524"/>
      <c r="D922" s="1110"/>
      <c r="E922" s="669"/>
      <c r="F922" s="524"/>
      <c r="G922" s="165"/>
      <c r="H922" s="669"/>
      <c r="I922" s="669"/>
      <c r="J922" s="352"/>
      <c r="K922" s="271" t="str">
        <f t="shared" si="74"/>
        <v/>
      </c>
      <c r="L922" s="297"/>
      <c r="M922" s="334"/>
      <c r="N922" s="277"/>
      <c r="O922" s="315"/>
      <c r="P922" s="344">
        <f t="shared" si="69"/>
        <v>0</v>
      </c>
      <c r="Q922" s="321"/>
      <c r="R922" s="672" t="b">
        <v>0</v>
      </c>
      <c r="S922" s="318"/>
      <c r="T922" s="319"/>
      <c r="U922" s="315"/>
      <c r="V922" s="162"/>
      <c r="W922" s="149"/>
      <c r="X922" s="163"/>
      <c r="Y922" s="162"/>
      <c r="Z922" s="164"/>
      <c r="AA922" s="116"/>
      <c r="AB922" s="116"/>
      <c r="AC922" s="165"/>
      <c r="AD922" s="675" t="str">
        <f t="shared" si="76"/>
        <v/>
      </c>
      <c r="AE922" s="166"/>
      <c r="AF922" s="149" t="b">
        <v>0</v>
      </c>
      <c r="AG922" s="166"/>
      <c r="AH922" s="149" t="b">
        <v>0</v>
      </c>
      <c r="AI922" s="162"/>
      <c r="AJ922" s="143"/>
      <c r="AK922" s="143"/>
      <c r="AL922" s="143"/>
      <c r="AM922" s="143"/>
      <c r="AN922" s="143"/>
      <c r="AO922" s="143"/>
      <c r="AP922" s="143"/>
      <c r="AQ922" s="143"/>
    </row>
    <row r="923" ht="22.5" customHeight="1">
      <c r="A923" s="166"/>
      <c r="B923" s="1111"/>
      <c r="C923" s="524"/>
      <c r="D923" s="1110"/>
      <c r="E923" s="669"/>
      <c r="F923" s="524"/>
      <c r="G923" s="165"/>
      <c r="H923" s="669"/>
      <c r="I923" s="669"/>
      <c r="J923" s="352"/>
      <c r="K923" s="271" t="str">
        <f t="shared" si="74"/>
        <v/>
      </c>
      <c r="L923" s="297"/>
      <c r="M923" s="334"/>
      <c r="N923" s="277"/>
      <c r="O923" s="315"/>
      <c r="P923" s="344">
        <f t="shared" si="69"/>
        <v>0</v>
      </c>
      <c r="Q923" s="321"/>
      <c r="R923" s="672" t="b">
        <v>0</v>
      </c>
      <c r="S923" s="318"/>
      <c r="T923" s="319"/>
      <c r="U923" s="315"/>
      <c r="V923" s="162"/>
      <c r="W923" s="149"/>
      <c r="X923" s="163"/>
      <c r="Y923" s="162"/>
      <c r="Z923" s="164"/>
      <c r="AA923" s="116"/>
      <c r="AB923" s="116"/>
      <c r="AC923" s="165"/>
      <c r="AD923" s="675" t="str">
        <f t="shared" si="76"/>
        <v/>
      </c>
      <c r="AE923" s="166"/>
      <c r="AF923" s="149" t="b">
        <v>0</v>
      </c>
      <c r="AG923" s="166"/>
      <c r="AH923" s="149" t="b">
        <v>0</v>
      </c>
      <c r="AI923" s="162"/>
      <c r="AJ923" s="143"/>
      <c r="AK923" s="143"/>
      <c r="AL923" s="143"/>
      <c r="AM923" s="143"/>
      <c r="AN923" s="143"/>
      <c r="AO923" s="143"/>
      <c r="AP923" s="143"/>
      <c r="AQ923" s="143"/>
    </row>
    <row r="924" ht="22.5" customHeight="1">
      <c r="A924" s="166"/>
      <c r="B924" s="1111"/>
      <c r="C924" s="524"/>
      <c r="D924" s="1110"/>
      <c r="E924" s="669"/>
      <c r="F924" s="524"/>
      <c r="G924" s="165"/>
      <c r="H924" s="669"/>
      <c r="I924" s="669"/>
      <c r="J924" s="352"/>
      <c r="K924" s="271" t="str">
        <f t="shared" si="74"/>
        <v/>
      </c>
      <c r="L924" s="297"/>
      <c r="M924" s="334"/>
      <c r="N924" s="277"/>
      <c r="O924" s="315"/>
      <c r="P924" s="344">
        <f t="shared" si="69"/>
        <v>0</v>
      </c>
      <c r="Q924" s="321"/>
      <c r="R924" s="672" t="b">
        <v>0</v>
      </c>
      <c r="S924" s="318"/>
      <c r="T924" s="319"/>
      <c r="U924" s="315"/>
      <c r="V924" s="162"/>
      <c r="W924" s="149"/>
      <c r="X924" s="163"/>
      <c r="Y924" s="162"/>
      <c r="Z924" s="164"/>
      <c r="AA924" s="116"/>
      <c r="AB924" s="116"/>
      <c r="AC924" s="165"/>
      <c r="AD924" s="675" t="str">
        <f t="shared" si="76"/>
        <v/>
      </c>
      <c r="AE924" s="166"/>
      <c r="AF924" s="149" t="b">
        <v>0</v>
      </c>
      <c r="AG924" s="166"/>
      <c r="AH924" s="149" t="b">
        <v>0</v>
      </c>
      <c r="AI924" s="162"/>
      <c r="AJ924" s="143"/>
      <c r="AK924" s="143"/>
      <c r="AL924" s="143"/>
      <c r="AM924" s="143"/>
      <c r="AN924" s="143"/>
      <c r="AO924" s="143"/>
      <c r="AP924" s="143"/>
      <c r="AQ924" s="143"/>
    </row>
    <row r="925" ht="22.5" customHeight="1">
      <c r="A925" s="166"/>
      <c r="B925" s="1111"/>
      <c r="C925" s="524"/>
      <c r="D925" s="1110"/>
      <c r="E925" s="669"/>
      <c r="F925" s="524"/>
      <c r="G925" s="165"/>
      <c r="H925" s="669"/>
      <c r="I925" s="669"/>
      <c r="J925" s="352"/>
      <c r="K925" s="271" t="str">
        <f t="shared" si="74"/>
        <v/>
      </c>
      <c r="L925" s="297"/>
      <c r="M925" s="334"/>
      <c r="N925" s="277"/>
      <c r="O925" s="315"/>
      <c r="P925" s="344">
        <f t="shared" si="69"/>
        <v>0</v>
      </c>
      <c r="Q925" s="321"/>
      <c r="R925" s="672" t="b">
        <v>0</v>
      </c>
      <c r="S925" s="318"/>
      <c r="T925" s="319"/>
      <c r="U925" s="315"/>
      <c r="V925" s="162"/>
      <c r="W925" s="149"/>
      <c r="X925" s="163"/>
      <c r="Y925" s="162"/>
      <c r="Z925" s="164"/>
      <c r="AA925" s="116"/>
      <c r="AB925" s="116"/>
      <c r="AC925" s="165"/>
      <c r="AD925" s="675" t="str">
        <f t="shared" si="76"/>
        <v/>
      </c>
      <c r="AE925" s="166"/>
      <c r="AF925" s="149" t="b">
        <v>0</v>
      </c>
      <c r="AG925" s="166"/>
      <c r="AH925" s="149" t="b">
        <v>0</v>
      </c>
      <c r="AI925" s="162"/>
      <c r="AJ925" s="143"/>
      <c r="AK925" s="143"/>
      <c r="AL925" s="143"/>
      <c r="AM925" s="143"/>
      <c r="AN925" s="143"/>
      <c r="AO925" s="143"/>
      <c r="AP925" s="143"/>
      <c r="AQ925" s="143"/>
    </row>
    <row r="926" ht="22.5" customHeight="1">
      <c r="A926" s="166"/>
      <c r="B926" s="1111"/>
      <c r="C926" s="524"/>
      <c r="D926" s="1110"/>
      <c r="E926" s="669"/>
      <c r="F926" s="524"/>
      <c r="G926" s="165"/>
      <c r="H926" s="669"/>
      <c r="I926" s="669"/>
      <c r="J926" s="352"/>
      <c r="K926" s="271" t="str">
        <f t="shared" si="74"/>
        <v/>
      </c>
      <c r="L926" s="297"/>
      <c r="M926" s="334"/>
      <c r="N926" s="277"/>
      <c r="O926" s="315"/>
      <c r="P926" s="344">
        <f t="shared" si="69"/>
        <v>0</v>
      </c>
      <c r="Q926" s="321"/>
      <c r="R926" s="672" t="b">
        <v>0</v>
      </c>
      <c r="S926" s="318"/>
      <c r="T926" s="319"/>
      <c r="U926" s="315"/>
      <c r="V926" s="162"/>
      <c r="W926" s="149"/>
      <c r="X926" s="163"/>
      <c r="Y926" s="162"/>
      <c r="Z926" s="164"/>
      <c r="AA926" s="116"/>
      <c r="AB926" s="116"/>
      <c r="AC926" s="165"/>
      <c r="AD926" s="675" t="str">
        <f t="shared" si="76"/>
        <v/>
      </c>
      <c r="AE926" s="166"/>
      <c r="AF926" s="149" t="b">
        <v>0</v>
      </c>
      <c r="AG926" s="166"/>
      <c r="AH926" s="149" t="b">
        <v>0</v>
      </c>
      <c r="AI926" s="162"/>
      <c r="AJ926" s="143"/>
      <c r="AK926" s="143"/>
      <c r="AL926" s="143"/>
      <c r="AM926" s="143"/>
      <c r="AN926" s="143"/>
      <c r="AO926" s="143"/>
      <c r="AP926" s="143"/>
      <c r="AQ926" s="143"/>
    </row>
    <row r="927" ht="22.5" customHeight="1">
      <c r="A927" s="166"/>
      <c r="B927" s="1111"/>
      <c r="C927" s="524"/>
      <c r="D927" s="1110"/>
      <c r="E927" s="669"/>
      <c r="F927" s="524"/>
      <c r="G927" s="165"/>
      <c r="H927" s="669"/>
      <c r="I927" s="669"/>
      <c r="J927" s="352"/>
      <c r="K927" s="271" t="str">
        <f t="shared" si="74"/>
        <v/>
      </c>
      <c r="L927" s="297"/>
      <c r="M927" s="334"/>
      <c r="N927" s="277"/>
      <c r="O927" s="315"/>
      <c r="P927" s="344">
        <f t="shared" si="69"/>
        <v>0</v>
      </c>
      <c r="Q927" s="321"/>
      <c r="R927" s="672" t="b">
        <v>0</v>
      </c>
      <c r="S927" s="318"/>
      <c r="T927" s="319"/>
      <c r="U927" s="315"/>
      <c r="V927" s="162"/>
      <c r="W927" s="149"/>
      <c r="X927" s="163"/>
      <c r="Y927" s="162"/>
      <c r="Z927" s="164"/>
      <c r="AA927" s="116"/>
      <c r="AB927" s="116"/>
      <c r="AC927" s="165"/>
      <c r="AD927" s="675" t="str">
        <f t="shared" si="76"/>
        <v/>
      </c>
      <c r="AE927" s="166"/>
      <c r="AF927" s="149" t="b">
        <v>0</v>
      </c>
      <c r="AG927" s="166"/>
      <c r="AH927" s="149" t="b">
        <v>0</v>
      </c>
      <c r="AI927" s="162"/>
      <c r="AJ927" s="143"/>
      <c r="AK927" s="143"/>
      <c r="AL927" s="143"/>
      <c r="AM927" s="143"/>
      <c r="AN927" s="143"/>
      <c r="AO927" s="143"/>
      <c r="AP927" s="143"/>
      <c r="AQ927" s="143"/>
    </row>
    <row r="928" ht="22.5" customHeight="1">
      <c r="A928" s="166"/>
      <c r="B928" s="1111"/>
      <c r="C928" s="524"/>
      <c r="D928" s="1110"/>
      <c r="E928" s="669"/>
      <c r="F928" s="524"/>
      <c r="G928" s="165"/>
      <c r="H928" s="669"/>
      <c r="I928" s="669"/>
      <c r="J928" s="352"/>
      <c r="K928" s="271" t="str">
        <f t="shared" si="74"/>
        <v/>
      </c>
      <c r="L928" s="297"/>
      <c r="M928" s="334"/>
      <c r="N928" s="277"/>
      <c r="O928" s="315"/>
      <c r="P928" s="344">
        <f t="shared" si="69"/>
        <v>0</v>
      </c>
      <c r="Q928" s="321"/>
      <c r="R928" s="672" t="b">
        <v>0</v>
      </c>
      <c r="S928" s="318"/>
      <c r="T928" s="319"/>
      <c r="U928" s="315"/>
      <c r="V928" s="162"/>
      <c r="W928" s="149"/>
      <c r="X928" s="163"/>
      <c r="Y928" s="162"/>
      <c r="Z928" s="164"/>
      <c r="AA928" s="116"/>
      <c r="AB928" s="116"/>
      <c r="AC928" s="165"/>
      <c r="AD928" s="675" t="str">
        <f t="shared" si="76"/>
        <v/>
      </c>
      <c r="AE928" s="166"/>
      <c r="AF928" s="149" t="b">
        <v>0</v>
      </c>
      <c r="AG928" s="166"/>
      <c r="AH928" s="149" t="b">
        <v>0</v>
      </c>
      <c r="AI928" s="162"/>
      <c r="AJ928" s="143"/>
      <c r="AK928" s="143"/>
      <c r="AL928" s="143"/>
      <c r="AM928" s="143"/>
      <c r="AN928" s="143"/>
      <c r="AO928" s="143"/>
      <c r="AP928" s="143"/>
      <c r="AQ928" s="143"/>
    </row>
    <row r="929" ht="22.5" customHeight="1">
      <c r="A929" s="166"/>
      <c r="B929" s="1111"/>
      <c r="C929" s="524"/>
      <c r="D929" s="1110"/>
      <c r="E929" s="669"/>
      <c r="F929" s="524"/>
      <c r="G929" s="165"/>
      <c r="H929" s="669"/>
      <c r="I929" s="669"/>
      <c r="J929" s="352"/>
      <c r="K929" s="271" t="str">
        <f t="shared" si="74"/>
        <v/>
      </c>
      <c r="L929" s="297"/>
      <c r="M929" s="334"/>
      <c r="N929" s="277"/>
      <c r="O929" s="315"/>
      <c r="P929" s="344">
        <f t="shared" si="69"/>
        <v>0</v>
      </c>
      <c r="Q929" s="321"/>
      <c r="R929" s="672" t="b">
        <v>0</v>
      </c>
      <c r="S929" s="318"/>
      <c r="T929" s="319"/>
      <c r="U929" s="315"/>
      <c r="V929" s="162"/>
      <c r="W929" s="149"/>
      <c r="X929" s="163"/>
      <c r="Y929" s="162"/>
      <c r="Z929" s="164"/>
      <c r="AA929" s="116"/>
      <c r="AB929" s="116"/>
      <c r="AC929" s="165"/>
      <c r="AD929" s="675" t="str">
        <f t="shared" si="76"/>
        <v/>
      </c>
      <c r="AE929" s="166"/>
      <c r="AF929" s="149" t="b">
        <v>0</v>
      </c>
      <c r="AG929" s="166"/>
      <c r="AH929" s="149" t="b">
        <v>0</v>
      </c>
      <c r="AI929" s="162"/>
      <c r="AJ929" s="143"/>
      <c r="AK929" s="143"/>
      <c r="AL929" s="143"/>
      <c r="AM929" s="143"/>
      <c r="AN929" s="143"/>
      <c r="AO929" s="143"/>
      <c r="AP929" s="143"/>
      <c r="AQ929" s="143"/>
    </row>
    <row r="930" ht="22.5" customHeight="1">
      <c r="A930" s="166"/>
      <c r="B930" s="1111"/>
      <c r="C930" s="524"/>
      <c r="D930" s="1110"/>
      <c r="E930" s="669"/>
      <c r="F930" s="524"/>
      <c r="G930" s="165"/>
      <c r="H930" s="669"/>
      <c r="I930" s="669"/>
      <c r="J930" s="352"/>
      <c r="K930" s="271" t="str">
        <f t="shared" si="74"/>
        <v/>
      </c>
      <c r="L930" s="297"/>
      <c r="M930" s="334"/>
      <c r="N930" s="277"/>
      <c r="O930" s="315"/>
      <c r="P930" s="344">
        <f t="shared" si="69"/>
        <v>0</v>
      </c>
      <c r="Q930" s="321"/>
      <c r="R930" s="672" t="b">
        <v>0</v>
      </c>
      <c r="S930" s="318"/>
      <c r="T930" s="319"/>
      <c r="U930" s="315"/>
      <c r="V930" s="162"/>
      <c r="W930" s="149"/>
      <c r="X930" s="163"/>
      <c r="Y930" s="162"/>
      <c r="Z930" s="164"/>
      <c r="AA930" s="116"/>
      <c r="AB930" s="116"/>
      <c r="AC930" s="165"/>
      <c r="AD930" s="675" t="str">
        <f t="shared" si="76"/>
        <v/>
      </c>
      <c r="AE930" s="166"/>
      <c r="AF930" s="149" t="b">
        <v>0</v>
      </c>
      <c r="AG930" s="166"/>
      <c r="AH930" s="149" t="b">
        <v>0</v>
      </c>
      <c r="AI930" s="162"/>
      <c r="AJ930" s="143"/>
      <c r="AK930" s="143"/>
      <c r="AL930" s="143"/>
      <c r="AM930" s="143"/>
      <c r="AN930" s="143"/>
      <c r="AO930" s="143"/>
      <c r="AP930" s="143"/>
      <c r="AQ930" s="143"/>
    </row>
    <row r="931" ht="22.5" customHeight="1">
      <c r="A931" s="166"/>
      <c r="B931" s="1111"/>
      <c r="C931" s="524"/>
      <c r="D931" s="1110"/>
      <c r="E931" s="669"/>
      <c r="F931" s="524"/>
      <c r="G931" s="165"/>
      <c r="H931" s="669"/>
      <c r="I931" s="669"/>
      <c r="J931" s="352"/>
      <c r="K931" s="271" t="str">
        <f t="shared" si="74"/>
        <v/>
      </c>
      <c r="L931" s="297"/>
      <c r="M931" s="334"/>
      <c r="N931" s="277"/>
      <c r="O931" s="315"/>
      <c r="P931" s="344">
        <f t="shared" si="69"/>
        <v>0</v>
      </c>
      <c r="Q931" s="321"/>
      <c r="R931" s="672" t="b">
        <v>0</v>
      </c>
      <c r="S931" s="318"/>
      <c r="T931" s="319"/>
      <c r="U931" s="315"/>
      <c r="V931" s="162"/>
      <c r="W931" s="149"/>
      <c r="X931" s="163"/>
      <c r="Y931" s="162"/>
      <c r="Z931" s="164"/>
      <c r="AA931" s="116"/>
      <c r="AB931" s="116"/>
      <c r="AC931" s="165"/>
      <c r="AD931" s="675" t="str">
        <f t="shared" si="76"/>
        <v/>
      </c>
      <c r="AE931" s="166"/>
      <c r="AF931" s="149" t="b">
        <v>0</v>
      </c>
      <c r="AG931" s="166"/>
      <c r="AH931" s="149" t="b">
        <v>0</v>
      </c>
      <c r="AI931" s="162"/>
      <c r="AJ931" s="143"/>
      <c r="AK931" s="143"/>
      <c r="AL931" s="143"/>
      <c r="AM931" s="143"/>
      <c r="AN931" s="143"/>
      <c r="AO931" s="143"/>
      <c r="AP931" s="143"/>
      <c r="AQ931" s="143"/>
    </row>
    <row r="932" ht="22.5" customHeight="1">
      <c r="A932" s="166"/>
      <c r="B932" s="1111"/>
      <c r="C932" s="524"/>
      <c r="D932" s="1110"/>
      <c r="E932" s="669"/>
      <c r="F932" s="524"/>
      <c r="G932" s="165"/>
      <c r="H932" s="669"/>
      <c r="I932" s="669"/>
      <c r="J932" s="352"/>
      <c r="K932" s="271" t="str">
        <f t="shared" si="74"/>
        <v/>
      </c>
      <c r="L932" s="297"/>
      <c r="M932" s="334"/>
      <c r="N932" s="277"/>
      <c r="O932" s="315"/>
      <c r="P932" s="344">
        <f t="shared" si="69"/>
        <v>0</v>
      </c>
      <c r="Q932" s="321"/>
      <c r="R932" s="672" t="b">
        <v>0</v>
      </c>
      <c r="S932" s="318"/>
      <c r="T932" s="319"/>
      <c r="U932" s="315"/>
      <c r="V932" s="162"/>
      <c r="W932" s="149"/>
      <c r="X932" s="163"/>
      <c r="Y932" s="162"/>
      <c r="Z932" s="164"/>
      <c r="AA932" s="116"/>
      <c r="AB932" s="116"/>
      <c r="AC932" s="165"/>
      <c r="AD932" s="675" t="str">
        <f t="shared" si="76"/>
        <v/>
      </c>
      <c r="AE932" s="166"/>
      <c r="AF932" s="149" t="b">
        <v>0</v>
      </c>
      <c r="AG932" s="166"/>
      <c r="AH932" s="149" t="b">
        <v>0</v>
      </c>
      <c r="AI932" s="162"/>
      <c r="AJ932" s="143"/>
      <c r="AK932" s="143"/>
      <c r="AL932" s="143"/>
      <c r="AM932" s="143"/>
      <c r="AN932" s="143"/>
      <c r="AO932" s="143"/>
      <c r="AP932" s="143"/>
      <c r="AQ932" s="143"/>
    </row>
    <row r="933" ht="22.5" customHeight="1">
      <c r="A933" s="166"/>
      <c r="B933" s="1111"/>
      <c r="C933" s="524"/>
      <c r="D933" s="1110"/>
      <c r="E933" s="669"/>
      <c r="F933" s="524"/>
      <c r="G933" s="165"/>
      <c r="H933" s="669"/>
      <c r="I933" s="669"/>
      <c r="J933" s="352"/>
      <c r="K933" s="271" t="str">
        <f t="shared" si="74"/>
        <v/>
      </c>
      <c r="L933" s="297"/>
      <c r="M933" s="334"/>
      <c r="N933" s="277"/>
      <c r="O933" s="315"/>
      <c r="P933" s="344">
        <f t="shared" si="69"/>
        <v>0</v>
      </c>
      <c r="Q933" s="321"/>
      <c r="R933" s="672" t="b">
        <v>0</v>
      </c>
      <c r="S933" s="318"/>
      <c r="T933" s="319"/>
      <c r="U933" s="315"/>
      <c r="V933" s="162"/>
      <c r="W933" s="149"/>
      <c r="X933" s="163"/>
      <c r="Y933" s="162"/>
      <c r="Z933" s="164"/>
      <c r="AA933" s="116"/>
      <c r="AB933" s="116"/>
      <c r="AC933" s="165"/>
      <c r="AD933" s="675" t="str">
        <f t="shared" si="76"/>
        <v/>
      </c>
      <c r="AE933" s="166"/>
      <c r="AF933" s="149" t="b">
        <v>0</v>
      </c>
      <c r="AG933" s="166"/>
      <c r="AH933" s="149" t="b">
        <v>0</v>
      </c>
      <c r="AI933" s="162"/>
      <c r="AJ933" s="143"/>
      <c r="AK933" s="143"/>
      <c r="AL933" s="143"/>
      <c r="AM933" s="143"/>
      <c r="AN933" s="143"/>
      <c r="AO933" s="143"/>
      <c r="AP933" s="143"/>
      <c r="AQ933" s="143"/>
    </row>
    <row r="934" ht="22.5" customHeight="1">
      <c r="A934" s="166"/>
      <c r="B934" s="1111"/>
      <c r="C934" s="524"/>
      <c r="D934" s="1110"/>
      <c r="E934" s="669"/>
      <c r="F934" s="524"/>
      <c r="G934" s="165"/>
      <c r="H934" s="669"/>
      <c r="I934" s="669"/>
      <c r="J934" s="352"/>
      <c r="K934" s="271" t="str">
        <f t="shared" si="74"/>
        <v/>
      </c>
      <c r="L934" s="297"/>
      <c r="M934" s="334"/>
      <c r="N934" s="277"/>
      <c r="O934" s="315"/>
      <c r="P934" s="344">
        <f t="shared" si="69"/>
        <v>0</v>
      </c>
      <c r="Q934" s="321"/>
      <c r="R934" s="672" t="b">
        <v>0</v>
      </c>
      <c r="S934" s="318"/>
      <c r="T934" s="319"/>
      <c r="U934" s="315"/>
      <c r="V934" s="162"/>
      <c r="W934" s="149"/>
      <c r="X934" s="163"/>
      <c r="Y934" s="162"/>
      <c r="Z934" s="164"/>
      <c r="AA934" s="116"/>
      <c r="AB934" s="116"/>
      <c r="AC934" s="165"/>
      <c r="AD934" s="675" t="str">
        <f t="shared" si="76"/>
        <v/>
      </c>
      <c r="AE934" s="166"/>
      <c r="AF934" s="149" t="b">
        <v>0</v>
      </c>
      <c r="AG934" s="166"/>
      <c r="AH934" s="149" t="b">
        <v>0</v>
      </c>
      <c r="AI934" s="162"/>
      <c r="AJ934" s="143"/>
      <c r="AK934" s="143"/>
      <c r="AL934" s="143"/>
      <c r="AM934" s="143"/>
      <c r="AN934" s="143"/>
      <c r="AO934" s="143"/>
      <c r="AP934" s="143"/>
      <c r="AQ934" s="143"/>
    </row>
    <row r="935" ht="22.5" customHeight="1">
      <c r="A935" s="166"/>
      <c r="B935" s="1111"/>
      <c r="C935" s="524"/>
      <c r="D935" s="1110"/>
      <c r="E935" s="669"/>
      <c r="F935" s="524"/>
      <c r="G935" s="165"/>
      <c r="H935" s="669"/>
      <c r="I935" s="669"/>
      <c r="J935" s="352"/>
      <c r="K935" s="271" t="str">
        <f t="shared" si="74"/>
        <v/>
      </c>
      <c r="L935" s="297"/>
      <c r="M935" s="334"/>
      <c r="N935" s="277"/>
      <c r="O935" s="315"/>
      <c r="P935" s="344">
        <f t="shared" si="69"/>
        <v>0</v>
      </c>
      <c r="Q935" s="321"/>
      <c r="R935" s="672" t="b">
        <v>0</v>
      </c>
      <c r="S935" s="318"/>
      <c r="T935" s="319"/>
      <c r="U935" s="315"/>
      <c r="V935" s="162"/>
      <c r="W935" s="149"/>
      <c r="X935" s="163"/>
      <c r="Y935" s="162"/>
      <c r="Z935" s="164"/>
      <c r="AA935" s="116"/>
      <c r="AB935" s="116"/>
      <c r="AC935" s="165"/>
      <c r="AD935" s="675" t="str">
        <f t="shared" si="76"/>
        <v/>
      </c>
      <c r="AE935" s="166"/>
      <c r="AF935" s="149" t="b">
        <v>0</v>
      </c>
      <c r="AG935" s="166"/>
      <c r="AH935" s="149" t="b">
        <v>0</v>
      </c>
      <c r="AI935" s="162"/>
      <c r="AJ935" s="143"/>
      <c r="AK935" s="143"/>
      <c r="AL935" s="143"/>
      <c r="AM935" s="143"/>
      <c r="AN935" s="143"/>
      <c r="AO935" s="143"/>
      <c r="AP935" s="143"/>
      <c r="AQ935" s="143"/>
    </row>
    <row r="936" ht="22.5" customHeight="1">
      <c r="A936" s="166"/>
      <c r="B936" s="1111"/>
      <c r="C936" s="524"/>
      <c r="D936" s="1110"/>
      <c r="E936" s="669"/>
      <c r="F936" s="524"/>
      <c r="G936" s="165"/>
      <c r="H936" s="669"/>
      <c r="I936" s="669"/>
      <c r="J936" s="352"/>
      <c r="K936" s="271" t="str">
        <f t="shared" si="74"/>
        <v/>
      </c>
      <c r="L936" s="297"/>
      <c r="M936" s="334"/>
      <c r="N936" s="277"/>
      <c r="O936" s="315"/>
      <c r="P936" s="344">
        <f t="shared" si="69"/>
        <v>0</v>
      </c>
      <c r="Q936" s="321"/>
      <c r="R936" s="672" t="b">
        <v>0</v>
      </c>
      <c r="S936" s="318"/>
      <c r="T936" s="319"/>
      <c r="U936" s="315"/>
      <c r="V936" s="162"/>
      <c r="W936" s="149"/>
      <c r="X936" s="163"/>
      <c r="Y936" s="162"/>
      <c r="Z936" s="164"/>
      <c r="AA936" s="116"/>
      <c r="AB936" s="116"/>
      <c r="AC936" s="165"/>
      <c r="AD936" s="675" t="str">
        <f t="shared" si="76"/>
        <v/>
      </c>
      <c r="AE936" s="166"/>
      <c r="AF936" s="149" t="b">
        <v>0</v>
      </c>
      <c r="AG936" s="166"/>
      <c r="AH936" s="149" t="b">
        <v>0</v>
      </c>
      <c r="AI936" s="162"/>
      <c r="AJ936" s="143"/>
      <c r="AK936" s="143"/>
      <c r="AL936" s="143"/>
      <c r="AM936" s="143"/>
      <c r="AN936" s="143"/>
      <c r="AO936" s="143"/>
      <c r="AP936" s="143"/>
      <c r="AQ936" s="143"/>
    </row>
    <row r="937" ht="22.5" customHeight="1">
      <c r="A937" s="166"/>
      <c r="B937" s="1111"/>
      <c r="C937" s="524"/>
      <c r="D937" s="1110"/>
      <c r="E937" s="669"/>
      <c r="F937" s="524"/>
      <c r="G937" s="165"/>
      <c r="H937" s="669"/>
      <c r="I937" s="669"/>
      <c r="J937" s="352"/>
      <c r="K937" s="271" t="str">
        <f t="shared" si="74"/>
        <v/>
      </c>
      <c r="L937" s="297"/>
      <c r="M937" s="334"/>
      <c r="N937" s="277"/>
      <c r="O937" s="315"/>
      <c r="P937" s="344">
        <f t="shared" si="69"/>
        <v>0</v>
      </c>
      <c r="Q937" s="321"/>
      <c r="R937" s="672" t="b">
        <v>0</v>
      </c>
      <c r="S937" s="318"/>
      <c r="T937" s="319"/>
      <c r="U937" s="315"/>
      <c r="V937" s="162"/>
      <c r="W937" s="149"/>
      <c r="X937" s="163"/>
      <c r="Y937" s="162"/>
      <c r="Z937" s="164"/>
      <c r="AA937" s="116"/>
      <c r="AB937" s="116"/>
      <c r="AC937" s="165"/>
      <c r="AD937" s="675" t="str">
        <f t="shared" si="76"/>
        <v/>
      </c>
      <c r="AE937" s="166"/>
      <c r="AF937" s="149" t="b">
        <v>0</v>
      </c>
      <c r="AG937" s="166"/>
      <c r="AH937" s="149" t="b">
        <v>0</v>
      </c>
      <c r="AI937" s="162"/>
      <c r="AJ937" s="143"/>
      <c r="AK937" s="143"/>
      <c r="AL937" s="143"/>
      <c r="AM937" s="143"/>
      <c r="AN937" s="143"/>
      <c r="AO937" s="143"/>
      <c r="AP937" s="143"/>
      <c r="AQ937" s="143"/>
    </row>
    <row r="938" ht="22.5" customHeight="1">
      <c r="A938" s="166"/>
      <c r="B938" s="1111"/>
      <c r="C938" s="524"/>
      <c r="D938" s="1110"/>
      <c r="E938" s="669"/>
      <c r="F938" s="524"/>
      <c r="G938" s="165"/>
      <c r="H938" s="669"/>
      <c r="I938" s="669"/>
      <c r="J938" s="352"/>
      <c r="K938" s="271" t="str">
        <f t="shared" si="74"/>
        <v/>
      </c>
      <c r="L938" s="297"/>
      <c r="M938" s="334"/>
      <c r="N938" s="277"/>
      <c r="O938" s="315"/>
      <c r="P938" s="344">
        <f t="shared" si="69"/>
        <v>0</v>
      </c>
      <c r="Q938" s="321"/>
      <c r="R938" s="672" t="b">
        <v>0</v>
      </c>
      <c r="S938" s="318"/>
      <c r="T938" s="319"/>
      <c r="U938" s="315"/>
      <c r="V938" s="162"/>
      <c r="W938" s="149"/>
      <c r="X938" s="163"/>
      <c r="Y938" s="162"/>
      <c r="Z938" s="164"/>
      <c r="AA938" s="116"/>
      <c r="AB938" s="116"/>
      <c r="AC938" s="165"/>
      <c r="AD938" s="675" t="str">
        <f t="shared" si="76"/>
        <v/>
      </c>
      <c r="AE938" s="166"/>
      <c r="AF938" s="149" t="b">
        <v>0</v>
      </c>
      <c r="AG938" s="166"/>
      <c r="AH938" s="149" t="b">
        <v>0</v>
      </c>
      <c r="AI938" s="162"/>
      <c r="AJ938" s="143"/>
      <c r="AK938" s="143"/>
      <c r="AL938" s="143"/>
      <c r="AM938" s="143"/>
      <c r="AN938" s="143"/>
      <c r="AO938" s="143"/>
      <c r="AP938" s="143"/>
      <c r="AQ938" s="143"/>
    </row>
    <row r="939" ht="22.5" customHeight="1">
      <c r="A939" s="166"/>
      <c r="B939" s="1111"/>
      <c r="C939" s="524"/>
      <c r="D939" s="1110"/>
      <c r="E939" s="669"/>
      <c r="F939" s="524"/>
      <c r="G939" s="165"/>
      <c r="H939" s="669"/>
      <c r="I939" s="669"/>
      <c r="J939" s="352"/>
      <c r="K939" s="271" t="str">
        <f t="shared" si="74"/>
        <v/>
      </c>
      <c r="L939" s="297"/>
      <c r="M939" s="334"/>
      <c r="N939" s="277"/>
      <c r="O939" s="315"/>
      <c r="P939" s="344">
        <f t="shared" si="69"/>
        <v>0</v>
      </c>
      <c r="Q939" s="321"/>
      <c r="R939" s="672" t="b">
        <v>0</v>
      </c>
      <c r="S939" s="318"/>
      <c r="T939" s="319"/>
      <c r="U939" s="315"/>
      <c r="V939" s="162"/>
      <c r="W939" s="149"/>
      <c r="X939" s="163"/>
      <c r="Y939" s="162"/>
      <c r="Z939" s="164"/>
      <c r="AA939" s="116"/>
      <c r="AB939" s="116"/>
      <c r="AC939" s="165"/>
      <c r="AD939" s="675" t="str">
        <f t="shared" si="76"/>
        <v/>
      </c>
      <c r="AE939" s="166"/>
      <c r="AF939" s="149" t="b">
        <v>0</v>
      </c>
      <c r="AG939" s="166"/>
      <c r="AH939" s="149" t="b">
        <v>0</v>
      </c>
      <c r="AI939" s="162"/>
      <c r="AJ939" s="143"/>
      <c r="AK939" s="143"/>
      <c r="AL939" s="143"/>
      <c r="AM939" s="143"/>
      <c r="AN939" s="143"/>
      <c r="AO939" s="143"/>
      <c r="AP939" s="143"/>
      <c r="AQ939" s="143"/>
    </row>
    <row r="940" ht="22.5" customHeight="1">
      <c r="A940" s="166"/>
      <c r="B940" s="1111"/>
      <c r="C940" s="524"/>
      <c r="D940" s="1110"/>
      <c r="E940" s="669"/>
      <c r="F940" s="524"/>
      <c r="G940" s="165"/>
      <c r="H940" s="669"/>
      <c r="I940" s="669"/>
      <c r="J940" s="352"/>
      <c r="K940" s="271" t="str">
        <f t="shared" si="74"/>
        <v/>
      </c>
      <c r="L940" s="297"/>
      <c r="M940" s="334"/>
      <c r="N940" s="277"/>
      <c r="O940" s="315"/>
      <c r="P940" s="344">
        <f t="shared" si="69"/>
        <v>0</v>
      </c>
      <c r="Q940" s="321"/>
      <c r="R940" s="672" t="b">
        <v>0</v>
      </c>
      <c r="S940" s="318"/>
      <c r="T940" s="319"/>
      <c r="U940" s="315"/>
      <c r="V940" s="162"/>
      <c r="W940" s="149"/>
      <c r="X940" s="163"/>
      <c r="Y940" s="162"/>
      <c r="Z940" s="164"/>
      <c r="AA940" s="116"/>
      <c r="AB940" s="116"/>
      <c r="AC940" s="165"/>
      <c r="AD940" s="675" t="str">
        <f t="shared" si="76"/>
        <v/>
      </c>
      <c r="AE940" s="166"/>
      <c r="AF940" s="149" t="b">
        <v>0</v>
      </c>
      <c r="AG940" s="166"/>
      <c r="AH940" s="149" t="b">
        <v>0</v>
      </c>
      <c r="AI940" s="162"/>
      <c r="AJ940" s="143"/>
      <c r="AK940" s="143"/>
      <c r="AL940" s="143"/>
      <c r="AM940" s="143"/>
      <c r="AN940" s="143"/>
      <c r="AO940" s="143"/>
      <c r="AP940" s="143"/>
      <c r="AQ940" s="143"/>
    </row>
    <row r="941" ht="22.5" customHeight="1">
      <c r="A941" s="166"/>
      <c r="B941" s="1111"/>
      <c r="C941" s="524"/>
      <c r="D941" s="1110"/>
      <c r="E941" s="669"/>
      <c r="F941" s="524"/>
      <c r="G941" s="165"/>
      <c r="H941" s="669"/>
      <c r="I941" s="669"/>
      <c r="J941" s="352"/>
      <c r="K941" s="271" t="str">
        <f t="shared" si="74"/>
        <v/>
      </c>
      <c r="L941" s="297"/>
      <c r="M941" s="334"/>
      <c r="N941" s="277"/>
      <c r="O941" s="315"/>
      <c r="P941" s="344">
        <f t="shared" si="69"/>
        <v>0</v>
      </c>
      <c r="Q941" s="321"/>
      <c r="R941" s="672" t="b">
        <v>0</v>
      </c>
      <c r="S941" s="318"/>
      <c r="T941" s="319"/>
      <c r="U941" s="315"/>
      <c r="V941" s="162"/>
      <c r="W941" s="149"/>
      <c r="X941" s="163"/>
      <c r="Y941" s="162"/>
      <c r="Z941" s="164"/>
      <c r="AA941" s="116"/>
      <c r="AB941" s="116"/>
      <c r="AC941" s="165"/>
      <c r="AD941" s="675" t="str">
        <f t="shared" si="76"/>
        <v/>
      </c>
      <c r="AE941" s="166"/>
      <c r="AF941" s="149" t="b">
        <v>0</v>
      </c>
      <c r="AG941" s="166"/>
      <c r="AH941" s="149" t="b">
        <v>0</v>
      </c>
      <c r="AI941" s="162"/>
      <c r="AJ941" s="143"/>
      <c r="AK941" s="143"/>
      <c r="AL941" s="143"/>
      <c r="AM941" s="143"/>
      <c r="AN941" s="143"/>
      <c r="AO941" s="143"/>
      <c r="AP941" s="143"/>
      <c r="AQ941" s="143"/>
    </row>
    <row r="942" ht="22.5" customHeight="1">
      <c r="A942" s="166"/>
      <c r="B942" s="1111"/>
      <c r="C942" s="524"/>
      <c r="D942" s="1110"/>
      <c r="E942" s="669"/>
      <c r="F942" s="524"/>
      <c r="G942" s="165"/>
      <c r="H942" s="669"/>
      <c r="I942" s="669"/>
      <c r="J942" s="352"/>
      <c r="K942" s="271" t="str">
        <f t="shared" si="74"/>
        <v/>
      </c>
      <c r="L942" s="297"/>
      <c r="M942" s="334"/>
      <c r="N942" s="277"/>
      <c r="O942" s="315"/>
      <c r="P942" s="344">
        <f t="shared" si="69"/>
        <v>0</v>
      </c>
      <c r="Q942" s="321"/>
      <c r="R942" s="672" t="b">
        <v>0</v>
      </c>
      <c r="S942" s="318"/>
      <c r="T942" s="319"/>
      <c r="U942" s="315"/>
      <c r="V942" s="162"/>
      <c r="W942" s="149"/>
      <c r="X942" s="163"/>
      <c r="Y942" s="162"/>
      <c r="Z942" s="164"/>
      <c r="AA942" s="116"/>
      <c r="AB942" s="116"/>
      <c r="AC942" s="165"/>
      <c r="AD942" s="675" t="str">
        <f t="shared" si="76"/>
        <v/>
      </c>
      <c r="AE942" s="166"/>
      <c r="AF942" s="149" t="b">
        <v>0</v>
      </c>
      <c r="AG942" s="166"/>
      <c r="AH942" s="149" t="b">
        <v>0</v>
      </c>
      <c r="AI942" s="162"/>
      <c r="AJ942" s="143"/>
      <c r="AK942" s="143"/>
      <c r="AL942" s="143"/>
      <c r="AM942" s="143"/>
      <c r="AN942" s="143"/>
      <c r="AO942" s="143"/>
      <c r="AP942" s="143"/>
      <c r="AQ942" s="143"/>
    </row>
    <row r="943" ht="22.5" customHeight="1">
      <c r="A943" s="166"/>
      <c r="B943" s="1111"/>
      <c r="C943" s="524"/>
      <c r="D943" s="1110"/>
      <c r="E943" s="669"/>
      <c r="F943" s="524"/>
      <c r="G943" s="165"/>
      <c r="H943" s="669"/>
      <c r="I943" s="669"/>
      <c r="J943" s="352"/>
      <c r="K943" s="271" t="str">
        <f t="shared" si="74"/>
        <v/>
      </c>
      <c r="L943" s="297"/>
      <c r="M943" s="334"/>
      <c r="N943" s="277"/>
      <c r="O943" s="315"/>
      <c r="P943" s="344">
        <f t="shared" si="69"/>
        <v>0</v>
      </c>
      <c r="Q943" s="321"/>
      <c r="R943" s="672" t="b">
        <v>0</v>
      </c>
      <c r="S943" s="318"/>
      <c r="T943" s="319"/>
      <c r="U943" s="315"/>
      <c r="V943" s="162"/>
      <c r="W943" s="149"/>
      <c r="X943" s="163"/>
      <c r="Y943" s="162"/>
      <c r="Z943" s="164"/>
      <c r="AA943" s="116"/>
      <c r="AB943" s="116"/>
      <c r="AC943" s="165"/>
      <c r="AD943" s="675" t="str">
        <f t="shared" si="76"/>
        <v/>
      </c>
      <c r="AE943" s="166"/>
      <c r="AF943" s="149" t="b">
        <v>0</v>
      </c>
      <c r="AG943" s="166"/>
      <c r="AH943" s="149" t="b">
        <v>0</v>
      </c>
      <c r="AI943" s="162"/>
      <c r="AJ943" s="143"/>
      <c r="AK943" s="143"/>
      <c r="AL943" s="143"/>
      <c r="AM943" s="143"/>
      <c r="AN943" s="143"/>
      <c r="AO943" s="143"/>
      <c r="AP943" s="143"/>
      <c r="AQ943" s="143"/>
    </row>
    <row r="944" ht="22.5" customHeight="1">
      <c r="A944" s="166"/>
      <c r="B944" s="1111"/>
      <c r="C944" s="524"/>
      <c r="D944" s="1110"/>
      <c r="E944" s="669"/>
      <c r="F944" s="524"/>
      <c r="G944" s="165"/>
      <c r="H944" s="669"/>
      <c r="I944" s="669"/>
      <c r="J944" s="352"/>
      <c r="K944" s="271" t="str">
        <f t="shared" si="74"/>
        <v/>
      </c>
      <c r="L944" s="297"/>
      <c r="M944" s="334"/>
      <c r="N944" s="277"/>
      <c r="O944" s="315"/>
      <c r="P944" s="344">
        <f t="shared" si="69"/>
        <v>0</v>
      </c>
      <c r="Q944" s="321"/>
      <c r="R944" s="672" t="b">
        <v>0</v>
      </c>
      <c r="S944" s="318"/>
      <c r="T944" s="319"/>
      <c r="U944" s="315"/>
      <c r="V944" s="162"/>
      <c r="W944" s="149"/>
      <c r="X944" s="163"/>
      <c r="Y944" s="162"/>
      <c r="Z944" s="164"/>
      <c r="AA944" s="116"/>
      <c r="AB944" s="116"/>
      <c r="AC944" s="165"/>
      <c r="AD944" s="675" t="str">
        <f t="shared" si="76"/>
        <v/>
      </c>
      <c r="AE944" s="166"/>
      <c r="AF944" s="149" t="b">
        <v>0</v>
      </c>
      <c r="AG944" s="166"/>
      <c r="AH944" s="149" t="b">
        <v>0</v>
      </c>
      <c r="AI944" s="162"/>
      <c r="AJ944" s="143"/>
      <c r="AK944" s="143"/>
      <c r="AL944" s="143"/>
      <c r="AM944" s="143"/>
      <c r="AN944" s="143"/>
      <c r="AO944" s="143"/>
      <c r="AP944" s="143"/>
      <c r="AQ944" s="143"/>
    </row>
    <row r="945" ht="22.5" customHeight="1">
      <c r="A945" s="166"/>
      <c r="B945" s="1111"/>
      <c r="C945" s="524"/>
      <c r="D945" s="1110"/>
      <c r="E945" s="669"/>
      <c r="F945" s="524"/>
      <c r="G945" s="165"/>
      <c r="H945" s="669"/>
      <c r="I945" s="669"/>
      <c r="J945" s="352"/>
      <c r="K945" s="271" t="str">
        <f t="shared" si="74"/>
        <v/>
      </c>
      <c r="L945" s="297"/>
      <c r="M945" s="334"/>
      <c r="N945" s="277"/>
      <c r="O945" s="315"/>
      <c r="P945" s="344">
        <f t="shared" si="69"/>
        <v>0</v>
      </c>
      <c r="Q945" s="321"/>
      <c r="R945" s="672" t="b">
        <v>0</v>
      </c>
      <c r="S945" s="318"/>
      <c r="T945" s="319"/>
      <c r="U945" s="315"/>
      <c r="V945" s="162"/>
      <c r="W945" s="149"/>
      <c r="X945" s="163"/>
      <c r="Y945" s="162"/>
      <c r="Z945" s="164"/>
      <c r="AA945" s="116"/>
      <c r="AB945" s="116"/>
      <c r="AC945" s="165"/>
      <c r="AD945" s="675" t="str">
        <f t="shared" si="76"/>
        <v/>
      </c>
      <c r="AE945" s="166"/>
      <c r="AF945" s="149" t="b">
        <v>0</v>
      </c>
      <c r="AG945" s="166"/>
      <c r="AH945" s="149" t="b">
        <v>0</v>
      </c>
      <c r="AI945" s="162"/>
      <c r="AJ945" s="143"/>
      <c r="AK945" s="143"/>
      <c r="AL945" s="143"/>
      <c r="AM945" s="143"/>
      <c r="AN945" s="143"/>
      <c r="AO945" s="143"/>
      <c r="AP945" s="143"/>
      <c r="AQ945" s="143"/>
    </row>
    <row r="946" ht="22.5" customHeight="1">
      <c r="A946" s="166"/>
      <c r="B946" s="1111"/>
      <c r="C946" s="524"/>
      <c r="D946" s="1110"/>
      <c r="E946" s="669"/>
      <c r="F946" s="524"/>
      <c r="G946" s="165"/>
      <c r="H946" s="669"/>
      <c r="I946" s="669"/>
      <c r="J946" s="352"/>
      <c r="K946" s="271" t="str">
        <f t="shared" si="74"/>
        <v/>
      </c>
      <c r="L946" s="297"/>
      <c r="M946" s="334"/>
      <c r="N946" s="277"/>
      <c r="O946" s="315"/>
      <c r="P946" s="344">
        <f t="shared" si="69"/>
        <v>0</v>
      </c>
      <c r="Q946" s="321"/>
      <c r="R946" s="672" t="b">
        <v>0</v>
      </c>
      <c r="S946" s="318"/>
      <c r="T946" s="319"/>
      <c r="U946" s="315"/>
      <c r="V946" s="162"/>
      <c r="W946" s="149"/>
      <c r="X946" s="163"/>
      <c r="Y946" s="162"/>
      <c r="Z946" s="164"/>
      <c r="AA946" s="116"/>
      <c r="AB946" s="116"/>
      <c r="AC946" s="165"/>
      <c r="AD946" s="675" t="str">
        <f t="shared" si="76"/>
        <v/>
      </c>
      <c r="AE946" s="166"/>
      <c r="AF946" s="149" t="b">
        <v>0</v>
      </c>
      <c r="AG946" s="166"/>
      <c r="AH946" s="149" t="b">
        <v>0</v>
      </c>
      <c r="AI946" s="162"/>
      <c r="AJ946" s="143"/>
      <c r="AK946" s="143"/>
      <c r="AL946" s="143"/>
      <c r="AM946" s="143"/>
      <c r="AN946" s="143"/>
      <c r="AO946" s="143"/>
      <c r="AP946" s="143"/>
      <c r="AQ946" s="143"/>
    </row>
    <row r="947" ht="22.5" customHeight="1">
      <c r="A947" s="166"/>
      <c r="B947" s="1111"/>
      <c r="C947" s="524"/>
      <c r="D947" s="1110"/>
      <c r="E947" s="669"/>
      <c r="F947" s="524"/>
      <c r="G947" s="165"/>
      <c r="H947" s="669"/>
      <c r="I947" s="669"/>
      <c r="J947" s="352"/>
      <c r="K947" s="271" t="str">
        <f t="shared" si="74"/>
        <v/>
      </c>
      <c r="L947" s="297"/>
      <c r="M947" s="334"/>
      <c r="N947" s="277"/>
      <c r="O947" s="315"/>
      <c r="P947" s="344">
        <f t="shared" si="69"/>
        <v>0</v>
      </c>
      <c r="Q947" s="321"/>
      <c r="R947" s="672" t="b">
        <v>0</v>
      </c>
      <c r="S947" s="318"/>
      <c r="T947" s="319"/>
      <c r="U947" s="315"/>
      <c r="V947" s="162"/>
      <c r="W947" s="149"/>
      <c r="X947" s="163"/>
      <c r="Y947" s="162"/>
      <c r="Z947" s="164"/>
      <c r="AA947" s="116"/>
      <c r="AB947" s="116"/>
      <c r="AC947" s="165"/>
      <c r="AD947" s="675" t="str">
        <f t="shared" si="76"/>
        <v/>
      </c>
      <c r="AE947" s="166"/>
      <c r="AF947" s="149" t="b">
        <v>0</v>
      </c>
      <c r="AG947" s="166"/>
      <c r="AH947" s="149" t="b">
        <v>0</v>
      </c>
      <c r="AI947" s="162"/>
      <c r="AJ947" s="143"/>
      <c r="AK947" s="143"/>
      <c r="AL947" s="143"/>
      <c r="AM947" s="143"/>
      <c r="AN947" s="143"/>
      <c r="AO947" s="143"/>
      <c r="AP947" s="143"/>
      <c r="AQ947" s="143"/>
    </row>
    <row r="948" ht="22.5" customHeight="1">
      <c r="A948" s="166"/>
      <c r="B948" s="1111"/>
      <c r="C948" s="524"/>
      <c r="D948" s="1110"/>
      <c r="E948" s="669"/>
      <c r="F948" s="524"/>
      <c r="G948" s="165"/>
      <c r="H948" s="669"/>
      <c r="I948" s="669"/>
      <c r="J948" s="352"/>
      <c r="K948" s="271" t="str">
        <f t="shared" si="74"/>
        <v/>
      </c>
      <c r="L948" s="297"/>
      <c r="M948" s="334"/>
      <c r="N948" s="277"/>
      <c r="O948" s="315"/>
      <c r="P948" s="344">
        <f t="shared" si="69"/>
        <v>0</v>
      </c>
      <c r="Q948" s="321"/>
      <c r="R948" s="672" t="b">
        <v>0</v>
      </c>
      <c r="S948" s="318"/>
      <c r="T948" s="319"/>
      <c r="U948" s="315"/>
      <c r="V948" s="162"/>
      <c r="W948" s="149"/>
      <c r="X948" s="163"/>
      <c r="Y948" s="162"/>
      <c r="Z948" s="164"/>
      <c r="AA948" s="116"/>
      <c r="AB948" s="116"/>
      <c r="AC948" s="165"/>
      <c r="AD948" s="675" t="str">
        <f t="shared" si="76"/>
        <v/>
      </c>
      <c r="AE948" s="166"/>
      <c r="AF948" s="149" t="b">
        <v>0</v>
      </c>
      <c r="AG948" s="166"/>
      <c r="AH948" s="149" t="b">
        <v>0</v>
      </c>
      <c r="AI948" s="162"/>
      <c r="AJ948" s="143"/>
      <c r="AK948" s="143"/>
      <c r="AL948" s="143"/>
      <c r="AM948" s="143"/>
      <c r="AN948" s="143"/>
      <c r="AO948" s="143"/>
      <c r="AP948" s="143"/>
      <c r="AQ948" s="143"/>
    </row>
    <row r="949" ht="22.5" customHeight="1">
      <c r="A949" s="166"/>
      <c r="B949" s="1111"/>
      <c r="C949" s="524"/>
      <c r="D949" s="1110"/>
      <c r="E949" s="669"/>
      <c r="F949" s="524"/>
      <c r="G949" s="165"/>
      <c r="H949" s="669"/>
      <c r="I949" s="669"/>
      <c r="J949" s="352"/>
      <c r="K949" s="271" t="str">
        <f t="shared" si="74"/>
        <v/>
      </c>
      <c r="L949" s="297"/>
      <c r="M949" s="334"/>
      <c r="N949" s="277"/>
      <c r="O949" s="315"/>
      <c r="P949" s="344">
        <f t="shared" si="69"/>
        <v>0</v>
      </c>
      <c r="Q949" s="321"/>
      <c r="R949" s="672" t="b">
        <v>0</v>
      </c>
      <c r="S949" s="318"/>
      <c r="T949" s="319"/>
      <c r="U949" s="315"/>
      <c r="V949" s="162"/>
      <c r="W949" s="149"/>
      <c r="X949" s="163"/>
      <c r="Y949" s="162"/>
      <c r="Z949" s="164"/>
      <c r="AA949" s="116"/>
      <c r="AB949" s="116"/>
      <c r="AC949" s="165"/>
      <c r="AD949" s="675" t="str">
        <f t="shared" si="76"/>
        <v/>
      </c>
      <c r="AE949" s="166"/>
      <c r="AF949" s="149" t="b">
        <v>0</v>
      </c>
      <c r="AG949" s="166"/>
      <c r="AH949" s="149" t="b">
        <v>0</v>
      </c>
      <c r="AI949" s="162"/>
      <c r="AJ949" s="143"/>
      <c r="AK949" s="143"/>
      <c r="AL949" s="143"/>
      <c r="AM949" s="143"/>
      <c r="AN949" s="143"/>
      <c r="AO949" s="143"/>
      <c r="AP949" s="143"/>
      <c r="AQ949" s="143"/>
    </row>
    <row r="950" ht="22.5" customHeight="1">
      <c r="A950" s="166"/>
      <c r="B950" s="1111"/>
      <c r="C950" s="524"/>
      <c r="D950" s="1110"/>
      <c r="E950" s="669"/>
      <c r="F950" s="524"/>
      <c r="G950" s="165"/>
      <c r="H950" s="669"/>
      <c r="I950" s="669"/>
      <c r="J950" s="352"/>
      <c r="K950" s="271" t="str">
        <f t="shared" si="74"/>
        <v/>
      </c>
      <c r="L950" s="297"/>
      <c r="M950" s="334"/>
      <c r="N950" s="277"/>
      <c r="O950" s="315"/>
      <c r="P950" s="344">
        <f t="shared" si="69"/>
        <v>0</v>
      </c>
      <c r="Q950" s="321"/>
      <c r="R950" s="672" t="b">
        <v>0</v>
      </c>
      <c r="S950" s="318"/>
      <c r="T950" s="319"/>
      <c r="U950" s="315"/>
      <c r="V950" s="162"/>
      <c r="W950" s="149"/>
      <c r="X950" s="163"/>
      <c r="Y950" s="162"/>
      <c r="Z950" s="164"/>
      <c r="AA950" s="116"/>
      <c r="AB950" s="116"/>
      <c r="AC950" s="165"/>
      <c r="AD950" s="675" t="str">
        <f t="shared" si="76"/>
        <v/>
      </c>
      <c r="AE950" s="166"/>
      <c r="AF950" s="149" t="b">
        <v>0</v>
      </c>
      <c r="AG950" s="166"/>
      <c r="AH950" s="149" t="b">
        <v>0</v>
      </c>
      <c r="AI950" s="162"/>
      <c r="AJ950" s="143"/>
      <c r="AK950" s="143"/>
      <c r="AL950" s="143"/>
      <c r="AM950" s="143"/>
      <c r="AN950" s="143"/>
      <c r="AO950" s="143"/>
      <c r="AP950" s="143"/>
      <c r="AQ950" s="143"/>
    </row>
    <row r="951" ht="22.5" customHeight="1">
      <c r="A951" s="166"/>
      <c r="B951" s="1111"/>
      <c r="C951" s="524"/>
      <c r="D951" s="1110"/>
      <c r="E951" s="669"/>
      <c r="F951" s="524"/>
      <c r="G951" s="165"/>
      <c r="H951" s="669"/>
      <c r="I951" s="669"/>
      <c r="J951" s="352"/>
      <c r="K951" s="271" t="str">
        <f t="shared" si="74"/>
        <v/>
      </c>
      <c r="L951" s="297"/>
      <c r="M951" s="334"/>
      <c r="N951" s="277"/>
      <c r="O951" s="315"/>
      <c r="P951" s="344">
        <f t="shared" si="69"/>
        <v>0</v>
      </c>
      <c r="Q951" s="321"/>
      <c r="R951" s="672" t="b">
        <v>0</v>
      </c>
      <c r="S951" s="318"/>
      <c r="T951" s="319"/>
      <c r="U951" s="315"/>
      <c r="V951" s="162"/>
      <c r="W951" s="149"/>
      <c r="X951" s="163"/>
      <c r="Y951" s="162"/>
      <c r="Z951" s="164"/>
      <c r="AA951" s="116"/>
      <c r="AB951" s="116"/>
      <c r="AC951" s="165"/>
      <c r="AD951" s="675" t="str">
        <f t="shared" si="76"/>
        <v/>
      </c>
      <c r="AE951" s="166"/>
      <c r="AF951" s="149" t="b">
        <v>0</v>
      </c>
      <c r="AG951" s="166"/>
      <c r="AH951" s="149" t="b">
        <v>0</v>
      </c>
      <c r="AI951" s="162"/>
      <c r="AJ951" s="143"/>
      <c r="AK951" s="143"/>
      <c r="AL951" s="143"/>
      <c r="AM951" s="143"/>
      <c r="AN951" s="143"/>
      <c r="AO951" s="143"/>
      <c r="AP951" s="143"/>
      <c r="AQ951" s="143"/>
    </row>
    <row r="952" ht="22.5" customHeight="1">
      <c r="A952" s="166"/>
      <c r="B952" s="1111"/>
      <c r="C952" s="524"/>
      <c r="D952" s="1110"/>
      <c r="E952" s="669"/>
      <c r="F952" s="524"/>
      <c r="G952" s="165"/>
      <c r="H952" s="669"/>
      <c r="I952" s="669"/>
      <c r="J952" s="352"/>
      <c r="K952" s="271" t="str">
        <f t="shared" si="74"/>
        <v/>
      </c>
      <c r="L952" s="297"/>
      <c r="M952" s="334"/>
      <c r="N952" s="277"/>
      <c r="O952" s="315"/>
      <c r="P952" s="344">
        <f t="shared" si="69"/>
        <v>0</v>
      </c>
      <c r="Q952" s="321"/>
      <c r="R952" s="672" t="b">
        <v>0</v>
      </c>
      <c r="S952" s="318"/>
      <c r="T952" s="319"/>
      <c r="U952" s="315"/>
      <c r="V952" s="162"/>
      <c r="W952" s="149"/>
      <c r="X952" s="163"/>
      <c r="Y952" s="162"/>
      <c r="Z952" s="164"/>
      <c r="AA952" s="116"/>
      <c r="AB952" s="116"/>
      <c r="AC952" s="165"/>
      <c r="AD952" s="675" t="str">
        <f t="shared" si="76"/>
        <v/>
      </c>
      <c r="AE952" s="166"/>
      <c r="AF952" s="149" t="b">
        <v>0</v>
      </c>
      <c r="AG952" s="166"/>
      <c r="AH952" s="149" t="b">
        <v>0</v>
      </c>
      <c r="AI952" s="162"/>
      <c r="AJ952" s="143"/>
      <c r="AK952" s="143"/>
      <c r="AL952" s="143"/>
      <c r="AM952" s="143"/>
      <c r="AN952" s="143"/>
      <c r="AO952" s="143"/>
      <c r="AP952" s="143"/>
      <c r="AQ952" s="143"/>
    </row>
    <row r="953" ht="22.5" customHeight="1">
      <c r="A953" s="166"/>
      <c r="B953" s="1111"/>
      <c r="C953" s="524"/>
      <c r="D953" s="1110"/>
      <c r="E953" s="669"/>
      <c r="F953" s="524"/>
      <c r="G953" s="165"/>
      <c r="H953" s="669"/>
      <c r="I953" s="669"/>
      <c r="J953" s="352"/>
      <c r="K953" s="271" t="str">
        <f t="shared" si="74"/>
        <v/>
      </c>
      <c r="L953" s="297"/>
      <c r="M953" s="334"/>
      <c r="N953" s="277"/>
      <c r="O953" s="315"/>
      <c r="P953" s="344">
        <f t="shared" si="69"/>
        <v>0</v>
      </c>
      <c r="Q953" s="321"/>
      <c r="R953" s="672" t="b">
        <v>0</v>
      </c>
      <c r="S953" s="318"/>
      <c r="T953" s="319"/>
      <c r="U953" s="315"/>
      <c r="V953" s="162"/>
      <c r="W953" s="149"/>
      <c r="X953" s="163"/>
      <c r="Y953" s="162"/>
      <c r="Z953" s="164"/>
      <c r="AA953" s="116"/>
      <c r="AB953" s="116"/>
      <c r="AC953" s="165"/>
      <c r="AD953" s="675" t="str">
        <f t="shared" si="76"/>
        <v/>
      </c>
      <c r="AE953" s="166"/>
      <c r="AF953" s="149" t="b">
        <v>0</v>
      </c>
      <c r="AG953" s="166"/>
      <c r="AH953" s="149" t="b">
        <v>0</v>
      </c>
      <c r="AI953" s="162"/>
      <c r="AJ953" s="143"/>
      <c r="AK953" s="143"/>
      <c r="AL953" s="143"/>
      <c r="AM953" s="143"/>
      <c r="AN953" s="143"/>
      <c r="AO953" s="143"/>
      <c r="AP953" s="143"/>
      <c r="AQ953" s="143"/>
    </row>
    <row r="954" ht="22.5" customHeight="1">
      <c r="A954" s="166"/>
      <c r="B954" s="1111"/>
      <c r="C954" s="524"/>
      <c r="D954" s="1110"/>
      <c r="E954" s="669"/>
      <c r="F954" s="524"/>
      <c r="G954" s="165"/>
      <c r="H954" s="669"/>
      <c r="I954" s="669"/>
      <c r="J954" s="352"/>
      <c r="K954" s="271" t="str">
        <f t="shared" si="74"/>
        <v/>
      </c>
      <c r="L954" s="297"/>
      <c r="M954" s="334"/>
      <c r="N954" s="277"/>
      <c r="O954" s="315"/>
      <c r="P954" s="344">
        <f t="shared" si="69"/>
        <v>0</v>
      </c>
      <c r="Q954" s="321"/>
      <c r="R954" s="672" t="b">
        <v>0</v>
      </c>
      <c r="S954" s="318"/>
      <c r="T954" s="319"/>
      <c r="U954" s="315"/>
      <c r="V954" s="162"/>
      <c r="W954" s="149"/>
      <c r="X954" s="163"/>
      <c r="Y954" s="162"/>
      <c r="Z954" s="164"/>
      <c r="AA954" s="116"/>
      <c r="AB954" s="116"/>
      <c r="AC954" s="165"/>
      <c r="AD954" s="675" t="str">
        <f t="shared" si="76"/>
        <v/>
      </c>
      <c r="AE954" s="166"/>
      <c r="AF954" s="149" t="b">
        <v>0</v>
      </c>
      <c r="AG954" s="166"/>
      <c r="AH954" s="149" t="b">
        <v>0</v>
      </c>
      <c r="AI954" s="162"/>
      <c r="AJ954" s="143"/>
      <c r="AK954" s="143"/>
      <c r="AL954" s="143"/>
      <c r="AM954" s="143"/>
      <c r="AN954" s="143"/>
      <c r="AO954" s="143"/>
      <c r="AP954" s="143"/>
      <c r="AQ954" s="143"/>
    </row>
    <row r="955" ht="22.5" customHeight="1">
      <c r="A955" s="166"/>
      <c r="B955" s="1111"/>
      <c r="C955" s="524"/>
      <c r="D955" s="1110"/>
      <c r="E955" s="669"/>
      <c r="F955" s="524"/>
      <c r="G955" s="165"/>
      <c r="H955" s="669"/>
      <c r="I955" s="669"/>
      <c r="J955" s="352"/>
      <c r="K955" s="271" t="str">
        <f t="shared" si="74"/>
        <v/>
      </c>
      <c r="L955" s="297"/>
      <c r="M955" s="334"/>
      <c r="N955" s="277"/>
      <c r="O955" s="315"/>
      <c r="P955" s="344">
        <f t="shared" si="69"/>
        <v>0</v>
      </c>
      <c r="Q955" s="321"/>
      <c r="R955" s="672" t="b">
        <v>0</v>
      </c>
      <c r="S955" s="318"/>
      <c r="T955" s="319"/>
      <c r="U955" s="315"/>
      <c r="V955" s="162"/>
      <c r="W955" s="149"/>
      <c r="X955" s="163"/>
      <c r="Y955" s="162"/>
      <c r="Z955" s="164"/>
      <c r="AA955" s="116"/>
      <c r="AB955" s="116"/>
      <c r="AC955" s="165"/>
      <c r="AD955" s="675" t="str">
        <f t="shared" si="76"/>
        <v/>
      </c>
      <c r="AE955" s="166"/>
      <c r="AF955" s="149" t="b">
        <v>0</v>
      </c>
      <c r="AG955" s="166"/>
      <c r="AH955" s="149" t="b">
        <v>0</v>
      </c>
      <c r="AI955" s="162"/>
      <c r="AJ955" s="143"/>
      <c r="AK955" s="143"/>
      <c r="AL955" s="143"/>
      <c r="AM955" s="143"/>
      <c r="AN955" s="143"/>
      <c r="AO955" s="143"/>
      <c r="AP955" s="143"/>
      <c r="AQ955" s="143"/>
    </row>
    <row r="956" ht="22.5" customHeight="1">
      <c r="A956" s="166"/>
      <c r="B956" s="1111"/>
      <c r="C956" s="524"/>
      <c r="D956" s="1110"/>
      <c r="E956" s="669"/>
      <c r="F956" s="524"/>
      <c r="G956" s="165"/>
      <c r="H956" s="669"/>
      <c r="I956" s="669"/>
      <c r="J956" s="352"/>
      <c r="K956" s="271" t="str">
        <f t="shared" si="74"/>
        <v/>
      </c>
      <c r="L956" s="297"/>
      <c r="M956" s="334"/>
      <c r="N956" s="277"/>
      <c r="O956" s="315"/>
      <c r="P956" s="344">
        <f t="shared" si="69"/>
        <v>0</v>
      </c>
      <c r="Q956" s="321"/>
      <c r="R956" s="672" t="b">
        <v>0</v>
      </c>
      <c r="S956" s="318"/>
      <c r="T956" s="319"/>
      <c r="U956" s="315"/>
      <c r="V956" s="162"/>
      <c r="W956" s="149"/>
      <c r="X956" s="163"/>
      <c r="Y956" s="162"/>
      <c r="Z956" s="164"/>
      <c r="AA956" s="116"/>
      <c r="AB956" s="116"/>
      <c r="AC956" s="165"/>
      <c r="AD956" s="675" t="str">
        <f t="shared" si="76"/>
        <v/>
      </c>
      <c r="AE956" s="166"/>
      <c r="AF956" s="149" t="b">
        <v>0</v>
      </c>
      <c r="AG956" s="166"/>
      <c r="AH956" s="149" t="b">
        <v>0</v>
      </c>
      <c r="AI956" s="162"/>
      <c r="AJ956" s="143"/>
      <c r="AK956" s="143"/>
      <c r="AL956" s="143"/>
      <c r="AM956" s="143"/>
      <c r="AN956" s="143"/>
      <c r="AO956" s="143"/>
      <c r="AP956" s="143"/>
      <c r="AQ956" s="143"/>
    </row>
    <row r="957" ht="22.5" customHeight="1">
      <c r="A957" s="166"/>
      <c r="B957" s="1111"/>
      <c r="C957" s="524"/>
      <c r="D957" s="1110"/>
      <c r="E957" s="669"/>
      <c r="F957" s="524"/>
      <c r="G957" s="165"/>
      <c r="H957" s="669"/>
      <c r="I957" s="669"/>
      <c r="J957" s="352"/>
      <c r="K957" s="271" t="str">
        <f t="shared" si="74"/>
        <v/>
      </c>
      <c r="L957" s="297"/>
      <c r="M957" s="334"/>
      <c r="N957" s="277"/>
      <c r="O957" s="315"/>
      <c r="P957" s="344">
        <f t="shared" si="69"/>
        <v>0</v>
      </c>
      <c r="Q957" s="321"/>
      <c r="R957" s="672" t="b">
        <v>0</v>
      </c>
      <c r="S957" s="318"/>
      <c r="T957" s="319"/>
      <c r="U957" s="315"/>
      <c r="V957" s="162"/>
      <c r="W957" s="149"/>
      <c r="X957" s="163"/>
      <c r="Y957" s="162"/>
      <c r="Z957" s="164"/>
      <c r="AA957" s="116"/>
      <c r="AB957" s="116"/>
      <c r="AC957" s="165"/>
      <c r="AD957" s="675" t="str">
        <f t="shared" si="76"/>
        <v/>
      </c>
      <c r="AE957" s="166"/>
      <c r="AF957" s="149" t="b">
        <v>0</v>
      </c>
      <c r="AG957" s="166"/>
      <c r="AH957" s="149" t="b">
        <v>0</v>
      </c>
      <c r="AI957" s="162"/>
      <c r="AJ957" s="143"/>
      <c r="AK957" s="143"/>
      <c r="AL957" s="143"/>
      <c r="AM957" s="143"/>
      <c r="AN957" s="143"/>
      <c r="AO957" s="143"/>
      <c r="AP957" s="143"/>
      <c r="AQ957" s="143"/>
    </row>
    <row r="958" ht="22.5" customHeight="1">
      <c r="A958" s="166"/>
      <c r="B958" s="1111"/>
      <c r="C958" s="524"/>
      <c r="D958" s="1110"/>
      <c r="E958" s="669"/>
      <c r="F958" s="524"/>
      <c r="G958" s="165"/>
      <c r="H958" s="669"/>
      <c r="I958" s="669"/>
      <c r="J958" s="352"/>
      <c r="K958" s="271" t="str">
        <f t="shared" si="74"/>
        <v/>
      </c>
      <c r="L958" s="297"/>
      <c r="M958" s="334"/>
      <c r="N958" s="277"/>
      <c r="O958" s="315"/>
      <c r="P958" s="344">
        <f t="shared" si="69"/>
        <v>0</v>
      </c>
      <c r="Q958" s="321"/>
      <c r="R958" s="672" t="b">
        <v>0</v>
      </c>
      <c r="S958" s="318"/>
      <c r="T958" s="319"/>
      <c r="U958" s="315"/>
      <c r="V958" s="162"/>
      <c r="W958" s="149"/>
      <c r="X958" s="163"/>
      <c r="Y958" s="162"/>
      <c r="Z958" s="164"/>
      <c r="AA958" s="116"/>
      <c r="AB958" s="116"/>
      <c r="AC958" s="165"/>
      <c r="AD958" s="675" t="str">
        <f t="shared" si="76"/>
        <v/>
      </c>
      <c r="AE958" s="166"/>
      <c r="AF958" s="149" t="b">
        <v>0</v>
      </c>
      <c r="AG958" s="166"/>
      <c r="AH958" s="149" t="b">
        <v>0</v>
      </c>
      <c r="AI958" s="162"/>
      <c r="AJ958" s="143"/>
      <c r="AK958" s="143"/>
      <c r="AL958" s="143"/>
      <c r="AM958" s="143"/>
      <c r="AN958" s="143"/>
      <c r="AO958" s="143"/>
      <c r="AP958" s="143"/>
      <c r="AQ958" s="143"/>
    </row>
    <row r="959" ht="22.5" customHeight="1">
      <c r="A959" s="166"/>
      <c r="B959" s="1111"/>
      <c r="C959" s="524"/>
      <c r="D959" s="1110"/>
      <c r="E959" s="669"/>
      <c r="F959" s="524"/>
      <c r="G959" s="165"/>
      <c r="H959" s="669"/>
      <c r="I959" s="669"/>
      <c r="J959" s="352"/>
      <c r="K959" s="271" t="str">
        <f t="shared" si="74"/>
        <v/>
      </c>
      <c r="L959" s="297"/>
      <c r="M959" s="334"/>
      <c r="N959" s="277"/>
      <c r="O959" s="315"/>
      <c r="P959" s="344">
        <f t="shared" si="69"/>
        <v>0</v>
      </c>
      <c r="Q959" s="321"/>
      <c r="R959" s="672" t="b">
        <v>0</v>
      </c>
      <c r="S959" s="318"/>
      <c r="T959" s="319"/>
      <c r="U959" s="315"/>
      <c r="V959" s="162"/>
      <c r="W959" s="149"/>
      <c r="X959" s="163"/>
      <c r="Y959" s="162"/>
      <c r="Z959" s="164"/>
      <c r="AA959" s="116"/>
      <c r="AB959" s="116"/>
      <c r="AC959" s="165"/>
      <c r="AD959" s="675" t="str">
        <f t="shared" si="76"/>
        <v/>
      </c>
      <c r="AE959" s="166"/>
      <c r="AF959" s="149" t="b">
        <v>0</v>
      </c>
      <c r="AG959" s="166"/>
      <c r="AH959" s="149" t="b">
        <v>0</v>
      </c>
      <c r="AI959" s="162"/>
      <c r="AJ959" s="143"/>
      <c r="AK959" s="143"/>
      <c r="AL959" s="143"/>
      <c r="AM959" s="143"/>
      <c r="AN959" s="143"/>
      <c r="AO959" s="143"/>
      <c r="AP959" s="143"/>
      <c r="AQ959" s="143"/>
    </row>
    <row r="960" ht="22.5" customHeight="1">
      <c r="A960" s="166"/>
      <c r="B960" s="1111"/>
      <c r="C960" s="524"/>
      <c r="D960" s="1110"/>
      <c r="E960" s="669"/>
      <c r="F960" s="524"/>
      <c r="G960" s="165"/>
      <c r="H960" s="669"/>
      <c r="I960" s="669"/>
      <c r="J960" s="352"/>
      <c r="K960" s="271" t="str">
        <f t="shared" si="74"/>
        <v/>
      </c>
      <c r="L960" s="297"/>
      <c r="M960" s="334"/>
      <c r="N960" s="277"/>
      <c r="O960" s="315"/>
      <c r="P960" s="344">
        <f t="shared" si="69"/>
        <v>0</v>
      </c>
      <c r="Q960" s="321"/>
      <c r="R960" s="672" t="b">
        <v>0</v>
      </c>
      <c r="S960" s="318"/>
      <c r="T960" s="319"/>
      <c r="U960" s="315"/>
      <c r="V960" s="162"/>
      <c r="W960" s="149"/>
      <c r="X960" s="163"/>
      <c r="Y960" s="162"/>
      <c r="Z960" s="164"/>
      <c r="AA960" s="116"/>
      <c r="AB960" s="116"/>
      <c r="AC960" s="165"/>
      <c r="AD960" s="675" t="str">
        <f t="shared" si="76"/>
        <v/>
      </c>
      <c r="AE960" s="166"/>
      <c r="AF960" s="149" t="b">
        <v>0</v>
      </c>
      <c r="AG960" s="166"/>
      <c r="AH960" s="149" t="b">
        <v>0</v>
      </c>
      <c r="AI960" s="162"/>
      <c r="AJ960" s="143"/>
      <c r="AK960" s="143"/>
      <c r="AL960" s="143"/>
      <c r="AM960" s="143"/>
      <c r="AN960" s="143"/>
      <c r="AO960" s="143"/>
      <c r="AP960" s="143"/>
      <c r="AQ960" s="143"/>
    </row>
    <row r="961" ht="22.5" customHeight="1">
      <c r="A961" s="166"/>
      <c r="B961" s="1111"/>
      <c r="C961" s="524"/>
      <c r="D961" s="1110"/>
      <c r="E961" s="669"/>
      <c r="F961" s="524"/>
      <c r="G961" s="165"/>
      <c r="H961" s="669"/>
      <c r="I961" s="669"/>
      <c r="J961" s="352"/>
      <c r="K961" s="271" t="str">
        <f t="shared" si="74"/>
        <v/>
      </c>
      <c r="L961" s="297"/>
      <c r="M961" s="334"/>
      <c r="N961" s="277"/>
      <c r="O961" s="315"/>
      <c r="P961" s="344">
        <f t="shared" si="69"/>
        <v>0</v>
      </c>
      <c r="Q961" s="321"/>
      <c r="R961" s="672" t="b">
        <v>0</v>
      </c>
      <c r="S961" s="318"/>
      <c r="T961" s="319"/>
      <c r="U961" s="315"/>
      <c r="V961" s="162"/>
      <c r="W961" s="149"/>
      <c r="X961" s="163"/>
      <c r="Y961" s="162"/>
      <c r="Z961" s="164"/>
      <c r="AA961" s="116"/>
      <c r="AB961" s="116"/>
      <c r="AC961" s="165"/>
      <c r="AD961" s="675" t="str">
        <f t="shared" si="76"/>
        <v/>
      </c>
      <c r="AE961" s="166"/>
      <c r="AF961" s="149" t="b">
        <v>0</v>
      </c>
      <c r="AG961" s="166"/>
      <c r="AH961" s="149" t="b">
        <v>0</v>
      </c>
      <c r="AI961" s="162"/>
      <c r="AJ961" s="143"/>
      <c r="AK961" s="143"/>
      <c r="AL961" s="143"/>
      <c r="AM961" s="143"/>
      <c r="AN961" s="143"/>
      <c r="AO961" s="143"/>
      <c r="AP961" s="143"/>
      <c r="AQ961" s="143"/>
    </row>
    <row r="962" ht="22.5" customHeight="1">
      <c r="A962" s="166"/>
      <c r="B962" s="1111"/>
      <c r="C962" s="524"/>
      <c r="D962" s="1110"/>
      <c r="E962" s="669"/>
      <c r="F962" s="524"/>
      <c r="G962" s="165"/>
      <c r="H962" s="669"/>
      <c r="I962" s="669"/>
      <c r="J962" s="352"/>
      <c r="K962" s="271" t="str">
        <f t="shared" si="74"/>
        <v/>
      </c>
      <c r="L962" s="297"/>
      <c r="M962" s="334"/>
      <c r="N962" s="277"/>
      <c r="O962" s="315"/>
      <c r="P962" s="344">
        <f t="shared" si="69"/>
        <v>0</v>
      </c>
      <c r="Q962" s="321"/>
      <c r="R962" s="672" t="b">
        <v>0</v>
      </c>
      <c r="S962" s="318"/>
      <c r="T962" s="319"/>
      <c r="U962" s="315"/>
      <c r="V962" s="162"/>
      <c r="W962" s="149"/>
      <c r="X962" s="163"/>
      <c r="Y962" s="162"/>
      <c r="Z962" s="164"/>
      <c r="AA962" s="116"/>
      <c r="AB962" s="116"/>
      <c r="AC962" s="165"/>
      <c r="AD962" s="675" t="str">
        <f t="shared" si="76"/>
        <v/>
      </c>
      <c r="AE962" s="166"/>
      <c r="AF962" s="149" t="b">
        <v>0</v>
      </c>
      <c r="AG962" s="166"/>
      <c r="AH962" s="149" t="b">
        <v>0</v>
      </c>
      <c r="AI962" s="162"/>
      <c r="AJ962" s="143"/>
      <c r="AK962" s="143"/>
      <c r="AL962" s="143"/>
      <c r="AM962" s="143"/>
      <c r="AN962" s="143"/>
      <c r="AO962" s="143"/>
      <c r="AP962" s="143"/>
      <c r="AQ962" s="143"/>
    </row>
    <row r="963" ht="22.5" customHeight="1">
      <c r="A963" s="166"/>
      <c r="B963" s="1111"/>
      <c r="C963" s="524"/>
      <c r="D963" s="1110"/>
      <c r="E963" s="669"/>
      <c r="F963" s="524"/>
      <c r="G963" s="165"/>
      <c r="H963" s="669"/>
      <c r="I963" s="669"/>
      <c r="J963" s="352"/>
      <c r="K963" s="271" t="str">
        <f t="shared" si="74"/>
        <v/>
      </c>
      <c r="L963" s="297"/>
      <c r="M963" s="334"/>
      <c r="N963" s="277"/>
      <c r="O963" s="315"/>
      <c r="P963" s="344">
        <f t="shared" si="69"/>
        <v>0</v>
      </c>
      <c r="Q963" s="321"/>
      <c r="R963" s="672" t="b">
        <v>0</v>
      </c>
      <c r="S963" s="318"/>
      <c r="T963" s="319"/>
      <c r="U963" s="315"/>
      <c r="V963" s="162"/>
      <c r="W963" s="149"/>
      <c r="X963" s="163"/>
      <c r="Y963" s="162"/>
      <c r="Z963" s="164"/>
      <c r="AA963" s="116"/>
      <c r="AB963" s="116"/>
      <c r="AC963" s="165"/>
      <c r="AD963" s="675" t="str">
        <f t="shared" si="76"/>
        <v/>
      </c>
      <c r="AE963" s="166"/>
      <c r="AF963" s="149" t="b">
        <v>0</v>
      </c>
      <c r="AG963" s="166"/>
      <c r="AH963" s="149" t="b">
        <v>0</v>
      </c>
      <c r="AI963" s="162"/>
      <c r="AJ963" s="143"/>
      <c r="AK963" s="143"/>
      <c r="AL963" s="143"/>
      <c r="AM963" s="143"/>
      <c r="AN963" s="143"/>
      <c r="AO963" s="143"/>
      <c r="AP963" s="143"/>
      <c r="AQ963" s="143"/>
    </row>
    <row r="964" ht="22.5" customHeight="1">
      <c r="A964" s="166"/>
      <c r="B964" s="1111"/>
      <c r="C964" s="524"/>
      <c r="D964" s="1110"/>
      <c r="E964" s="669"/>
      <c r="F964" s="524"/>
      <c r="G964" s="165"/>
      <c r="H964" s="669"/>
      <c r="I964" s="669"/>
      <c r="J964" s="352"/>
      <c r="K964" s="271" t="str">
        <f t="shared" si="74"/>
        <v/>
      </c>
      <c r="L964" s="297"/>
      <c r="M964" s="334"/>
      <c r="N964" s="277"/>
      <c r="O964" s="315"/>
      <c r="P964" s="344">
        <f t="shared" si="69"/>
        <v>0</v>
      </c>
      <c r="Q964" s="321"/>
      <c r="R964" s="672" t="b">
        <v>0</v>
      </c>
      <c r="S964" s="318"/>
      <c r="T964" s="319"/>
      <c r="U964" s="315"/>
      <c r="V964" s="162"/>
      <c r="W964" s="149"/>
      <c r="X964" s="163"/>
      <c r="Y964" s="162"/>
      <c r="Z964" s="164"/>
      <c r="AA964" s="116"/>
      <c r="AB964" s="116"/>
      <c r="AC964" s="165"/>
      <c r="AD964" s="675" t="str">
        <f t="shared" si="76"/>
        <v/>
      </c>
      <c r="AE964" s="166"/>
      <c r="AF964" s="149" t="b">
        <v>0</v>
      </c>
      <c r="AG964" s="166"/>
      <c r="AH964" s="149" t="b">
        <v>0</v>
      </c>
      <c r="AI964" s="162"/>
      <c r="AJ964" s="143"/>
      <c r="AK964" s="143"/>
      <c r="AL964" s="143"/>
      <c r="AM964" s="143"/>
      <c r="AN964" s="143"/>
      <c r="AO964" s="143"/>
      <c r="AP964" s="143"/>
      <c r="AQ964" s="143"/>
    </row>
    <row r="965" ht="22.5" customHeight="1">
      <c r="A965" s="166"/>
      <c r="B965" s="1111"/>
      <c r="C965" s="524"/>
      <c r="D965" s="1110"/>
      <c r="E965" s="669"/>
      <c r="F965" s="524"/>
      <c r="G965" s="165"/>
      <c r="H965" s="669"/>
      <c r="I965" s="669"/>
      <c r="J965" s="352"/>
      <c r="K965" s="271" t="str">
        <f t="shared" si="74"/>
        <v/>
      </c>
      <c r="L965" s="297"/>
      <c r="M965" s="334"/>
      <c r="N965" s="277"/>
      <c r="O965" s="315"/>
      <c r="P965" s="344">
        <f t="shared" si="69"/>
        <v>0</v>
      </c>
      <c r="Q965" s="321"/>
      <c r="R965" s="672" t="b">
        <v>0</v>
      </c>
      <c r="S965" s="318"/>
      <c r="T965" s="319"/>
      <c r="U965" s="315"/>
      <c r="V965" s="162"/>
      <c r="W965" s="149"/>
      <c r="X965" s="163"/>
      <c r="Y965" s="162"/>
      <c r="Z965" s="164"/>
      <c r="AA965" s="116"/>
      <c r="AB965" s="116"/>
      <c r="AC965" s="165"/>
      <c r="AD965" s="675" t="str">
        <f t="shared" si="76"/>
        <v/>
      </c>
      <c r="AE965" s="166"/>
      <c r="AF965" s="149" t="b">
        <v>0</v>
      </c>
      <c r="AG965" s="166"/>
      <c r="AH965" s="149" t="b">
        <v>0</v>
      </c>
      <c r="AI965" s="162"/>
      <c r="AJ965" s="143"/>
      <c r="AK965" s="143"/>
      <c r="AL965" s="143"/>
      <c r="AM965" s="143"/>
      <c r="AN965" s="143"/>
      <c r="AO965" s="143"/>
      <c r="AP965" s="143"/>
      <c r="AQ965" s="143"/>
    </row>
    <row r="966" ht="22.5" customHeight="1">
      <c r="A966" s="166"/>
      <c r="B966" s="1111"/>
      <c r="C966" s="524"/>
      <c r="D966" s="1110"/>
      <c r="E966" s="669"/>
      <c r="F966" s="524"/>
      <c r="G966" s="165"/>
      <c r="H966" s="669"/>
      <c r="I966" s="669"/>
      <c r="J966" s="352"/>
      <c r="K966" s="271" t="str">
        <f t="shared" si="74"/>
        <v/>
      </c>
      <c r="L966" s="297"/>
      <c r="M966" s="334"/>
      <c r="N966" s="277"/>
      <c r="O966" s="315"/>
      <c r="P966" s="344">
        <f t="shared" si="69"/>
        <v>0</v>
      </c>
      <c r="Q966" s="321"/>
      <c r="R966" s="672" t="b">
        <v>0</v>
      </c>
      <c r="S966" s="318"/>
      <c r="T966" s="319"/>
      <c r="U966" s="315"/>
      <c r="V966" s="162"/>
      <c r="W966" s="149"/>
      <c r="X966" s="163"/>
      <c r="Y966" s="162"/>
      <c r="Z966" s="164"/>
      <c r="AA966" s="116"/>
      <c r="AB966" s="116"/>
      <c r="AC966" s="165"/>
      <c r="AD966" s="675" t="str">
        <f t="shared" si="76"/>
        <v/>
      </c>
      <c r="AE966" s="166"/>
      <c r="AF966" s="149" t="b">
        <v>0</v>
      </c>
      <c r="AG966" s="166"/>
      <c r="AH966" s="149" t="b">
        <v>0</v>
      </c>
      <c r="AI966" s="162"/>
      <c r="AJ966" s="143"/>
      <c r="AK966" s="143"/>
      <c r="AL966" s="143"/>
      <c r="AM966" s="143"/>
      <c r="AN966" s="143"/>
      <c r="AO966" s="143"/>
      <c r="AP966" s="143"/>
      <c r="AQ966" s="143"/>
    </row>
    <row r="967" ht="22.5" customHeight="1">
      <c r="A967" s="166"/>
      <c r="B967" s="1111"/>
      <c r="C967" s="524"/>
      <c r="D967" s="1110"/>
      <c r="E967" s="669"/>
      <c r="F967" s="524"/>
      <c r="G967" s="165"/>
      <c r="H967" s="669"/>
      <c r="I967" s="669"/>
      <c r="J967" s="352"/>
      <c r="K967" s="271" t="str">
        <f t="shared" si="74"/>
        <v/>
      </c>
      <c r="L967" s="297"/>
      <c r="M967" s="334"/>
      <c r="N967" s="277"/>
      <c r="O967" s="315"/>
      <c r="P967" s="344">
        <f t="shared" si="69"/>
        <v>0</v>
      </c>
      <c r="Q967" s="321"/>
      <c r="R967" s="672" t="b">
        <v>0</v>
      </c>
      <c r="S967" s="318"/>
      <c r="T967" s="319"/>
      <c r="U967" s="315"/>
      <c r="V967" s="162"/>
      <c r="W967" s="149"/>
      <c r="X967" s="163"/>
      <c r="Y967" s="162"/>
      <c r="Z967" s="164"/>
      <c r="AA967" s="116"/>
      <c r="AB967" s="116"/>
      <c r="AC967" s="165"/>
      <c r="AD967" s="675" t="str">
        <f t="shared" si="76"/>
        <v/>
      </c>
      <c r="AE967" s="166"/>
      <c r="AF967" s="149" t="b">
        <v>0</v>
      </c>
      <c r="AG967" s="166"/>
      <c r="AH967" s="149" t="b">
        <v>0</v>
      </c>
      <c r="AI967" s="162"/>
      <c r="AJ967" s="143"/>
      <c r="AK967" s="143"/>
      <c r="AL967" s="143"/>
      <c r="AM967" s="143"/>
      <c r="AN967" s="143"/>
      <c r="AO967" s="143"/>
      <c r="AP967" s="143"/>
      <c r="AQ967" s="143"/>
    </row>
    <row r="968" ht="22.5" customHeight="1">
      <c r="A968" s="166"/>
      <c r="B968" s="1111"/>
      <c r="C968" s="524"/>
      <c r="D968" s="1110"/>
      <c r="E968" s="669"/>
      <c r="F968" s="524"/>
      <c r="G968" s="165"/>
      <c r="H968" s="669"/>
      <c r="I968" s="669"/>
      <c r="J968" s="352"/>
      <c r="K968" s="271" t="str">
        <f t="shared" si="74"/>
        <v/>
      </c>
      <c r="L968" s="297"/>
      <c r="M968" s="334"/>
      <c r="N968" s="277"/>
      <c r="O968" s="315"/>
      <c r="P968" s="344">
        <f t="shared" si="69"/>
        <v>0</v>
      </c>
      <c r="Q968" s="321"/>
      <c r="R968" s="672" t="b">
        <v>0</v>
      </c>
      <c r="S968" s="318"/>
      <c r="T968" s="319"/>
      <c r="U968" s="315"/>
      <c r="V968" s="162"/>
      <c r="W968" s="149"/>
      <c r="X968" s="163"/>
      <c r="Y968" s="162"/>
      <c r="Z968" s="164"/>
      <c r="AA968" s="116"/>
      <c r="AB968" s="116"/>
      <c r="AC968" s="165"/>
      <c r="AD968" s="675" t="str">
        <f t="shared" si="76"/>
        <v/>
      </c>
      <c r="AE968" s="166"/>
      <c r="AF968" s="149" t="b">
        <v>0</v>
      </c>
      <c r="AG968" s="166"/>
      <c r="AH968" s="149" t="b">
        <v>0</v>
      </c>
      <c r="AI968" s="162"/>
      <c r="AJ968" s="143"/>
      <c r="AK968" s="143"/>
      <c r="AL968" s="143"/>
      <c r="AM968" s="143"/>
      <c r="AN968" s="143"/>
      <c r="AO968" s="143"/>
      <c r="AP968" s="143"/>
      <c r="AQ968" s="143"/>
    </row>
    <row r="969" ht="22.5" customHeight="1">
      <c r="A969" s="166"/>
      <c r="B969" s="1111"/>
      <c r="C969" s="524"/>
      <c r="D969" s="1110"/>
      <c r="E969" s="669"/>
      <c r="F969" s="524"/>
      <c r="G969" s="165"/>
      <c r="H969" s="669"/>
      <c r="I969" s="669"/>
      <c r="J969" s="352"/>
      <c r="K969" s="271" t="str">
        <f t="shared" si="74"/>
        <v/>
      </c>
      <c r="L969" s="297"/>
      <c r="M969" s="334"/>
      <c r="N969" s="277"/>
      <c r="O969" s="315"/>
      <c r="P969" s="344">
        <f t="shared" si="69"/>
        <v>0</v>
      </c>
      <c r="Q969" s="321"/>
      <c r="R969" s="672" t="b">
        <v>0</v>
      </c>
      <c r="S969" s="318"/>
      <c r="T969" s="319"/>
      <c r="U969" s="315"/>
      <c r="V969" s="162"/>
      <c r="W969" s="149"/>
      <c r="X969" s="163"/>
      <c r="Y969" s="162"/>
      <c r="Z969" s="164"/>
      <c r="AA969" s="116"/>
      <c r="AB969" s="116"/>
      <c r="AC969" s="165"/>
      <c r="AD969" s="675" t="str">
        <f t="shared" si="76"/>
        <v/>
      </c>
      <c r="AE969" s="166"/>
      <c r="AF969" s="149" t="b">
        <v>0</v>
      </c>
      <c r="AG969" s="166"/>
      <c r="AH969" s="149" t="b">
        <v>0</v>
      </c>
      <c r="AI969" s="162"/>
      <c r="AJ969" s="143"/>
      <c r="AK969" s="143"/>
      <c r="AL969" s="143"/>
      <c r="AM969" s="143"/>
      <c r="AN969" s="143"/>
      <c r="AO969" s="143"/>
      <c r="AP969" s="143"/>
      <c r="AQ969" s="143"/>
    </row>
    <row r="970" ht="22.5" customHeight="1">
      <c r="A970" s="166"/>
      <c r="B970" s="1111"/>
      <c r="C970" s="524"/>
      <c r="D970" s="1110"/>
      <c r="E970" s="669"/>
      <c r="F970" s="524"/>
      <c r="G970" s="165"/>
      <c r="H970" s="669"/>
      <c r="I970" s="669"/>
      <c r="J970" s="352"/>
      <c r="K970" s="271" t="str">
        <f t="shared" si="74"/>
        <v/>
      </c>
      <c r="L970" s="297"/>
      <c r="M970" s="334"/>
      <c r="N970" s="277"/>
      <c r="O970" s="315"/>
      <c r="P970" s="344">
        <f t="shared" si="69"/>
        <v>0</v>
      </c>
      <c r="Q970" s="321"/>
      <c r="R970" s="672" t="b">
        <v>0</v>
      </c>
      <c r="S970" s="318"/>
      <c r="T970" s="319"/>
      <c r="U970" s="315"/>
      <c r="V970" s="162"/>
      <c r="W970" s="149"/>
      <c r="X970" s="163"/>
      <c r="Y970" s="162"/>
      <c r="Z970" s="164"/>
      <c r="AA970" s="116"/>
      <c r="AB970" s="116"/>
      <c r="AC970" s="165"/>
      <c r="AD970" s="675" t="str">
        <f t="shared" si="76"/>
        <v/>
      </c>
      <c r="AE970" s="166"/>
      <c r="AF970" s="149" t="b">
        <v>0</v>
      </c>
      <c r="AG970" s="166"/>
      <c r="AH970" s="149" t="b">
        <v>0</v>
      </c>
      <c r="AI970" s="162"/>
      <c r="AJ970" s="143"/>
      <c r="AK970" s="143"/>
      <c r="AL970" s="143"/>
      <c r="AM970" s="143"/>
      <c r="AN970" s="143"/>
      <c r="AO970" s="143"/>
      <c r="AP970" s="143"/>
      <c r="AQ970" s="143"/>
    </row>
    <row r="971" ht="22.5" customHeight="1">
      <c r="A971" s="166"/>
      <c r="B971" s="1111"/>
      <c r="C971" s="524"/>
      <c r="D971" s="1110"/>
      <c r="E971" s="669"/>
      <c r="F971" s="524"/>
      <c r="G971" s="165"/>
      <c r="H971" s="669"/>
      <c r="I971" s="669"/>
      <c r="J971" s="352"/>
      <c r="K971" s="271" t="str">
        <f t="shared" si="74"/>
        <v/>
      </c>
      <c r="L971" s="297"/>
      <c r="M971" s="334"/>
      <c r="N971" s="277"/>
      <c r="O971" s="315"/>
      <c r="P971" s="344">
        <f t="shared" si="69"/>
        <v>0</v>
      </c>
      <c r="Q971" s="321"/>
      <c r="R971" s="672" t="b">
        <v>0</v>
      </c>
      <c r="S971" s="318"/>
      <c r="T971" s="319"/>
      <c r="U971" s="315"/>
      <c r="V971" s="162"/>
      <c r="W971" s="149"/>
      <c r="X971" s="163"/>
      <c r="Y971" s="162"/>
      <c r="Z971" s="164"/>
      <c r="AA971" s="116"/>
      <c r="AB971" s="116"/>
      <c r="AC971" s="165"/>
      <c r="AD971" s="675" t="str">
        <f t="shared" si="76"/>
        <v/>
      </c>
      <c r="AE971" s="166"/>
      <c r="AF971" s="149" t="b">
        <v>0</v>
      </c>
      <c r="AG971" s="166"/>
      <c r="AH971" s="149" t="b">
        <v>0</v>
      </c>
      <c r="AI971" s="162"/>
      <c r="AJ971" s="143"/>
      <c r="AK971" s="143"/>
      <c r="AL971" s="143"/>
      <c r="AM971" s="143"/>
      <c r="AN971" s="143"/>
      <c r="AO971" s="143"/>
      <c r="AP971" s="143"/>
      <c r="AQ971" s="143"/>
    </row>
    <row r="972" ht="22.5" customHeight="1">
      <c r="A972" s="166"/>
      <c r="B972" s="1111"/>
      <c r="C972" s="524"/>
      <c r="D972" s="1110"/>
      <c r="E972" s="669"/>
      <c r="F972" s="524"/>
      <c r="G972" s="165"/>
      <c r="H972" s="669"/>
      <c r="I972" s="669"/>
      <c r="J972" s="352"/>
      <c r="K972" s="271" t="str">
        <f t="shared" si="74"/>
        <v/>
      </c>
      <c r="L972" s="297"/>
      <c r="M972" s="334"/>
      <c r="N972" s="277"/>
      <c r="O972" s="315"/>
      <c r="P972" s="344">
        <f t="shared" si="69"/>
        <v>0</v>
      </c>
      <c r="Q972" s="321"/>
      <c r="R972" s="672" t="b">
        <v>0</v>
      </c>
      <c r="S972" s="318"/>
      <c r="T972" s="319"/>
      <c r="U972" s="315"/>
      <c r="V972" s="162"/>
      <c r="W972" s="149"/>
      <c r="X972" s="163"/>
      <c r="Y972" s="162"/>
      <c r="Z972" s="164"/>
      <c r="AA972" s="116"/>
      <c r="AB972" s="116"/>
      <c r="AC972" s="165"/>
      <c r="AD972" s="675" t="str">
        <f t="shared" si="76"/>
        <v/>
      </c>
      <c r="AE972" s="166"/>
      <c r="AF972" s="149" t="b">
        <v>0</v>
      </c>
      <c r="AG972" s="166"/>
      <c r="AH972" s="149" t="b">
        <v>0</v>
      </c>
      <c r="AI972" s="162"/>
      <c r="AJ972" s="143"/>
      <c r="AK972" s="143"/>
      <c r="AL972" s="143"/>
      <c r="AM972" s="143"/>
      <c r="AN972" s="143"/>
      <c r="AO972" s="143"/>
      <c r="AP972" s="143"/>
      <c r="AQ972" s="143"/>
    </row>
    <row r="973" ht="22.5" customHeight="1">
      <c r="A973" s="166"/>
      <c r="B973" s="1111"/>
      <c r="C973" s="524"/>
      <c r="D973" s="1110"/>
      <c r="E973" s="669"/>
      <c r="F973" s="524"/>
      <c r="G973" s="165"/>
      <c r="H973" s="669"/>
      <c r="I973" s="669"/>
      <c r="J973" s="352"/>
      <c r="K973" s="271" t="str">
        <f t="shared" si="74"/>
        <v/>
      </c>
      <c r="L973" s="297"/>
      <c r="M973" s="334"/>
      <c r="N973" s="277"/>
      <c r="O973" s="315"/>
      <c r="P973" s="344">
        <f t="shared" si="69"/>
        <v>0</v>
      </c>
      <c r="Q973" s="321"/>
      <c r="R973" s="672" t="b">
        <v>0</v>
      </c>
      <c r="S973" s="318"/>
      <c r="T973" s="319"/>
      <c r="U973" s="315"/>
      <c r="V973" s="162"/>
      <c r="W973" s="149"/>
      <c r="X973" s="163"/>
      <c r="Y973" s="162"/>
      <c r="Z973" s="164"/>
      <c r="AA973" s="116"/>
      <c r="AB973" s="116"/>
      <c r="AC973" s="165"/>
      <c r="AD973" s="675" t="str">
        <f t="shared" si="76"/>
        <v/>
      </c>
      <c r="AE973" s="166"/>
      <c r="AF973" s="149" t="b">
        <v>0</v>
      </c>
      <c r="AG973" s="166"/>
      <c r="AH973" s="149" t="b">
        <v>0</v>
      </c>
      <c r="AI973" s="162"/>
      <c r="AJ973" s="143"/>
      <c r="AK973" s="143"/>
      <c r="AL973" s="143"/>
      <c r="AM973" s="143"/>
      <c r="AN973" s="143"/>
      <c r="AO973" s="143"/>
      <c r="AP973" s="143"/>
      <c r="AQ973" s="143"/>
    </row>
    <row r="974" ht="22.5" customHeight="1">
      <c r="A974" s="166"/>
      <c r="B974" s="1111"/>
      <c r="C974" s="524"/>
      <c r="D974" s="1110"/>
      <c r="E974" s="669"/>
      <c r="F974" s="524"/>
      <c r="G974" s="165"/>
      <c r="H974" s="669"/>
      <c r="I974" s="669"/>
      <c r="J974" s="352"/>
      <c r="K974" s="271" t="str">
        <f t="shared" si="74"/>
        <v/>
      </c>
      <c r="L974" s="297"/>
      <c r="M974" s="334"/>
      <c r="N974" s="277"/>
      <c r="O974" s="315"/>
      <c r="P974" s="344">
        <f t="shared" si="69"/>
        <v>0</v>
      </c>
      <c r="Q974" s="321"/>
      <c r="R974" s="672" t="b">
        <v>0</v>
      </c>
      <c r="S974" s="318"/>
      <c r="T974" s="319"/>
      <c r="U974" s="315"/>
      <c r="V974" s="162"/>
      <c r="W974" s="149"/>
      <c r="X974" s="163"/>
      <c r="Y974" s="162"/>
      <c r="Z974" s="164"/>
      <c r="AA974" s="116"/>
      <c r="AB974" s="116"/>
      <c r="AC974" s="165"/>
      <c r="AD974" s="675" t="str">
        <f t="shared" si="76"/>
        <v/>
      </c>
      <c r="AE974" s="166"/>
      <c r="AF974" s="149" t="b">
        <v>0</v>
      </c>
      <c r="AG974" s="166"/>
      <c r="AH974" s="149" t="b">
        <v>0</v>
      </c>
      <c r="AI974" s="162"/>
      <c r="AJ974" s="143"/>
      <c r="AK974" s="143"/>
      <c r="AL974" s="143"/>
      <c r="AM974" s="143"/>
      <c r="AN974" s="143"/>
      <c r="AO974" s="143"/>
      <c r="AP974" s="143"/>
      <c r="AQ974" s="143"/>
    </row>
    <row r="975" ht="22.5" customHeight="1">
      <c r="A975" s="166"/>
      <c r="B975" s="1111"/>
      <c r="C975" s="524"/>
      <c r="D975" s="1110"/>
      <c r="E975" s="669"/>
      <c r="F975" s="524"/>
      <c r="G975" s="165"/>
      <c r="H975" s="669"/>
      <c r="I975" s="669"/>
      <c r="J975" s="352"/>
      <c r="K975" s="271" t="str">
        <f t="shared" si="74"/>
        <v/>
      </c>
      <c r="L975" s="297"/>
      <c r="M975" s="334"/>
      <c r="N975" s="277"/>
      <c r="O975" s="315"/>
      <c r="P975" s="344">
        <f t="shared" si="69"/>
        <v>0</v>
      </c>
      <c r="Q975" s="321"/>
      <c r="R975" s="672" t="b">
        <v>0</v>
      </c>
      <c r="S975" s="318"/>
      <c r="T975" s="319"/>
      <c r="U975" s="315"/>
      <c r="V975" s="162"/>
      <c r="W975" s="149"/>
      <c r="X975" s="163"/>
      <c r="Y975" s="162"/>
      <c r="Z975" s="164"/>
      <c r="AA975" s="116"/>
      <c r="AB975" s="116"/>
      <c r="AC975" s="165"/>
      <c r="AD975" s="675" t="str">
        <f t="shared" si="76"/>
        <v/>
      </c>
      <c r="AE975" s="166"/>
      <c r="AF975" s="149" t="b">
        <v>0</v>
      </c>
      <c r="AG975" s="166"/>
      <c r="AH975" s="149" t="b">
        <v>0</v>
      </c>
      <c r="AI975" s="162"/>
      <c r="AJ975" s="143"/>
      <c r="AK975" s="143"/>
      <c r="AL975" s="143"/>
      <c r="AM975" s="143"/>
      <c r="AN975" s="143"/>
      <c r="AO975" s="143"/>
      <c r="AP975" s="143"/>
      <c r="AQ975" s="143"/>
    </row>
    <row r="976" ht="22.5" customHeight="1">
      <c r="A976" s="166"/>
      <c r="B976" s="1111"/>
      <c r="C976" s="524"/>
      <c r="D976" s="1110"/>
      <c r="E976" s="669"/>
      <c r="F976" s="524"/>
      <c r="G976" s="165"/>
      <c r="H976" s="669"/>
      <c r="I976" s="669"/>
      <c r="J976" s="352"/>
      <c r="K976" s="271" t="str">
        <f t="shared" si="74"/>
        <v/>
      </c>
      <c r="L976" s="297"/>
      <c r="M976" s="334"/>
      <c r="N976" s="277"/>
      <c r="O976" s="315"/>
      <c r="P976" s="344">
        <f t="shared" si="69"/>
        <v>0</v>
      </c>
      <c r="Q976" s="321"/>
      <c r="R976" s="672" t="b">
        <v>0</v>
      </c>
      <c r="S976" s="318"/>
      <c r="T976" s="319"/>
      <c r="U976" s="315"/>
      <c r="V976" s="162"/>
      <c r="W976" s="149"/>
      <c r="X976" s="163"/>
      <c r="Y976" s="162"/>
      <c r="Z976" s="164"/>
      <c r="AA976" s="116"/>
      <c r="AB976" s="116"/>
      <c r="AC976" s="165"/>
      <c r="AD976" s="675" t="str">
        <f t="shared" si="76"/>
        <v/>
      </c>
      <c r="AE976" s="166"/>
      <c r="AF976" s="149" t="b">
        <v>0</v>
      </c>
      <c r="AG976" s="166"/>
      <c r="AH976" s="149" t="b">
        <v>0</v>
      </c>
      <c r="AI976" s="162"/>
      <c r="AJ976" s="143"/>
      <c r="AK976" s="143"/>
      <c r="AL976" s="143"/>
      <c r="AM976" s="143"/>
      <c r="AN976" s="143"/>
      <c r="AO976" s="143"/>
      <c r="AP976" s="143"/>
      <c r="AQ976" s="143"/>
    </row>
    <row r="977" ht="22.5" customHeight="1">
      <c r="A977" s="166"/>
      <c r="B977" s="1111"/>
      <c r="C977" s="524"/>
      <c r="D977" s="1110"/>
      <c r="E977" s="669"/>
      <c r="F977" s="524"/>
      <c r="G977" s="165"/>
      <c r="H977" s="669"/>
      <c r="I977" s="669"/>
      <c r="J977" s="352"/>
      <c r="K977" s="271" t="str">
        <f t="shared" si="74"/>
        <v/>
      </c>
      <c r="L977" s="297"/>
      <c r="M977" s="334"/>
      <c r="N977" s="277"/>
      <c r="O977" s="315"/>
      <c r="P977" s="344">
        <f t="shared" si="69"/>
        <v>0</v>
      </c>
      <c r="Q977" s="321"/>
      <c r="R977" s="672" t="b">
        <v>0</v>
      </c>
      <c r="S977" s="318"/>
      <c r="T977" s="319"/>
      <c r="U977" s="315"/>
      <c r="V977" s="162"/>
      <c r="W977" s="149"/>
      <c r="X977" s="163"/>
      <c r="Y977" s="162"/>
      <c r="Z977" s="164"/>
      <c r="AA977" s="116"/>
      <c r="AB977" s="116"/>
      <c r="AC977" s="165"/>
      <c r="AD977" s="675" t="str">
        <f t="shared" si="76"/>
        <v/>
      </c>
      <c r="AE977" s="166"/>
      <c r="AF977" s="149" t="b">
        <v>0</v>
      </c>
      <c r="AG977" s="166"/>
      <c r="AH977" s="149" t="b">
        <v>0</v>
      </c>
      <c r="AI977" s="162"/>
      <c r="AJ977" s="143"/>
      <c r="AK977" s="143"/>
      <c r="AL977" s="143"/>
      <c r="AM977" s="143"/>
      <c r="AN977" s="143"/>
      <c r="AO977" s="143"/>
      <c r="AP977" s="143"/>
      <c r="AQ977" s="143"/>
    </row>
    <row r="978" ht="22.5" customHeight="1">
      <c r="A978" s="166"/>
      <c r="B978" s="1111"/>
      <c r="C978" s="524"/>
      <c r="D978" s="1110"/>
      <c r="E978" s="669"/>
      <c r="F978" s="524"/>
      <c r="G978" s="165"/>
      <c r="H978" s="669"/>
      <c r="I978" s="669"/>
      <c r="J978" s="352"/>
      <c r="K978" s="271" t="str">
        <f t="shared" si="74"/>
        <v/>
      </c>
      <c r="L978" s="297"/>
      <c r="M978" s="334"/>
      <c r="N978" s="277"/>
      <c r="O978" s="315"/>
      <c r="P978" s="344">
        <f t="shared" si="69"/>
        <v>0</v>
      </c>
      <c r="Q978" s="321"/>
      <c r="R978" s="672" t="b">
        <v>0</v>
      </c>
      <c r="S978" s="318"/>
      <c r="T978" s="319"/>
      <c r="U978" s="315"/>
      <c r="V978" s="162"/>
      <c r="W978" s="149"/>
      <c r="X978" s="163"/>
      <c r="Y978" s="162"/>
      <c r="Z978" s="164"/>
      <c r="AA978" s="116"/>
      <c r="AB978" s="116"/>
      <c r="AC978" s="165"/>
      <c r="AD978" s="675" t="str">
        <f t="shared" si="76"/>
        <v/>
      </c>
      <c r="AE978" s="166"/>
      <c r="AF978" s="149" t="b">
        <v>0</v>
      </c>
      <c r="AG978" s="166"/>
      <c r="AH978" s="149" t="b">
        <v>0</v>
      </c>
      <c r="AI978" s="162"/>
      <c r="AJ978" s="143"/>
      <c r="AK978" s="143"/>
      <c r="AL978" s="143"/>
      <c r="AM978" s="143"/>
      <c r="AN978" s="143"/>
      <c r="AO978" s="143"/>
      <c r="AP978" s="143"/>
      <c r="AQ978" s="143"/>
    </row>
    <row r="979" ht="22.5" customHeight="1">
      <c r="A979" s="166"/>
      <c r="B979" s="1111"/>
      <c r="C979" s="524"/>
      <c r="D979" s="1110"/>
      <c r="E979" s="669"/>
      <c r="F979" s="524"/>
      <c r="G979" s="165"/>
      <c r="H979" s="669"/>
      <c r="I979" s="669"/>
      <c r="J979" s="352"/>
      <c r="K979" s="271" t="str">
        <f t="shared" si="74"/>
        <v/>
      </c>
      <c r="L979" s="297"/>
      <c r="M979" s="334"/>
      <c r="N979" s="277"/>
      <c r="O979" s="315"/>
      <c r="P979" s="344">
        <f t="shared" si="69"/>
        <v>0</v>
      </c>
      <c r="Q979" s="321"/>
      <c r="R979" s="672" t="b">
        <v>0</v>
      </c>
      <c r="S979" s="318"/>
      <c r="T979" s="319"/>
      <c r="U979" s="315"/>
      <c r="V979" s="162"/>
      <c r="W979" s="149"/>
      <c r="X979" s="163"/>
      <c r="Y979" s="162"/>
      <c r="Z979" s="164"/>
      <c r="AA979" s="116"/>
      <c r="AB979" s="116"/>
      <c r="AC979" s="165"/>
      <c r="AD979" s="675" t="str">
        <f t="shared" si="76"/>
        <v/>
      </c>
      <c r="AE979" s="166"/>
      <c r="AF979" s="149" t="b">
        <v>0</v>
      </c>
      <c r="AG979" s="166"/>
      <c r="AH979" s="149" t="b">
        <v>0</v>
      </c>
      <c r="AI979" s="162"/>
      <c r="AJ979" s="143"/>
      <c r="AK979" s="143"/>
      <c r="AL979" s="143"/>
      <c r="AM979" s="143"/>
      <c r="AN979" s="143"/>
      <c r="AO979" s="143"/>
      <c r="AP979" s="143"/>
      <c r="AQ979" s="143"/>
    </row>
    <row r="980" ht="22.5" customHeight="1">
      <c r="A980" s="166"/>
      <c r="B980" s="1111"/>
      <c r="C980" s="524"/>
      <c r="D980" s="1110"/>
      <c r="E980" s="669"/>
      <c r="F980" s="524"/>
      <c r="G980" s="165"/>
      <c r="H980" s="669"/>
      <c r="I980" s="669"/>
      <c r="J980" s="352"/>
      <c r="K980" s="271" t="str">
        <f t="shared" si="74"/>
        <v/>
      </c>
      <c r="L980" s="297"/>
      <c r="M980" s="334"/>
      <c r="N980" s="277"/>
      <c r="O980" s="315"/>
      <c r="P980" s="344">
        <f t="shared" si="69"/>
        <v>0</v>
      </c>
      <c r="Q980" s="321"/>
      <c r="R980" s="672" t="b">
        <v>0</v>
      </c>
      <c r="S980" s="318"/>
      <c r="T980" s="319"/>
      <c r="U980" s="315"/>
      <c r="V980" s="162"/>
      <c r="W980" s="149"/>
      <c r="X980" s="163"/>
      <c r="Y980" s="162"/>
      <c r="Z980" s="164"/>
      <c r="AA980" s="116"/>
      <c r="AB980" s="116"/>
      <c r="AC980" s="165"/>
      <c r="AD980" s="675" t="str">
        <f t="shared" si="76"/>
        <v/>
      </c>
      <c r="AE980" s="166"/>
      <c r="AF980" s="149" t="b">
        <v>0</v>
      </c>
      <c r="AG980" s="166"/>
      <c r="AH980" s="149" t="b">
        <v>0</v>
      </c>
      <c r="AI980" s="162"/>
      <c r="AJ980" s="143"/>
      <c r="AK980" s="143"/>
      <c r="AL980" s="143"/>
      <c r="AM980" s="143"/>
      <c r="AN980" s="143"/>
      <c r="AO980" s="143"/>
      <c r="AP980" s="143"/>
      <c r="AQ980" s="143"/>
    </row>
    <row r="981" ht="22.5" customHeight="1">
      <c r="A981" s="166"/>
      <c r="B981" s="1111"/>
      <c r="C981" s="524"/>
      <c r="D981" s="1110"/>
      <c r="E981" s="669"/>
      <c r="F981" s="524"/>
      <c r="G981" s="165"/>
      <c r="H981" s="669"/>
      <c r="I981" s="669"/>
      <c r="J981" s="352"/>
      <c r="K981" s="271" t="str">
        <f t="shared" si="74"/>
        <v/>
      </c>
      <c r="L981" s="297"/>
      <c r="M981" s="334"/>
      <c r="N981" s="277"/>
      <c r="O981" s="315"/>
      <c r="P981" s="344">
        <f t="shared" si="69"/>
        <v>0</v>
      </c>
      <c r="Q981" s="321"/>
      <c r="R981" s="672" t="b">
        <v>0</v>
      </c>
      <c r="S981" s="318"/>
      <c r="T981" s="319"/>
      <c r="U981" s="315"/>
      <c r="V981" s="162"/>
      <c r="W981" s="149"/>
      <c r="X981" s="163"/>
      <c r="Y981" s="162"/>
      <c r="Z981" s="164"/>
      <c r="AA981" s="116"/>
      <c r="AB981" s="116"/>
      <c r="AC981" s="165"/>
      <c r="AD981" s="675" t="str">
        <f t="shared" si="76"/>
        <v/>
      </c>
      <c r="AE981" s="166"/>
      <c r="AF981" s="149" t="b">
        <v>0</v>
      </c>
      <c r="AG981" s="166"/>
      <c r="AH981" s="149" t="b">
        <v>0</v>
      </c>
      <c r="AI981" s="162"/>
      <c r="AJ981" s="143"/>
      <c r="AK981" s="143"/>
      <c r="AL981" s="143"/>
      <c r="AM981" s="143"/>
      <c r="AN981" s="143"/>
      <c r="AO981" s="143"/>
      <c r="AP981" s="143"/>
      <c r="AQ981" s="143"/>
    </row>
    <row r="982" ht="22.5" customHeight="1">
      <c r="A982" s="166"/>
      <c r="B982" s="1111"/>
      <c r="C982" s="524"/>
      <c r="D982" s="1110"/>
      <c r="E982" s="669"/>
      <c r="F982" s="524"/>
      <c r="G982" s="165"/>
      <c r="H982" s="669"/>
      <c r="I982" s="669"/>
      <c r="J982" s="352"/>
      <c r="K982" s="271" t="str">
        <f t="shared" si="74"/>
        <v/>
      </c>
      <c r="L982" s="297"/>
      <c r="M982" s="334"/>
      <c r="N982" s="277"/>
      <c r="O982" s="315"/>
      <c r="P982" s="344">
        <f t="shared" si="69"/>
        <v>0</v>
      </c>
      <c r="Q982" s="321"/>
      <c r="R982" s="672" t="b">
        <v>0</v>
      </c>
      <c r="S982" s="318"/>
      <c r="T982" s="319"/>
      <c r="U982" s="315"/>
      <c r="V982" s="162"/>
      <c r="W982" s="149"/>
      <c r="X982" s="163"/>
      <c r="Y982" s="162"/>
      <c r="Z982" s="164"/>
      <c r="AA982" s="116"/>
      <c r="AB982" s="116"/>
      <c r="AC982" s="165"/>
      <c r="AD982" s="675" t="str">
        <f t="shared" si="76"/>
        <v/>
      </c>
      <c r="AE982" s="166"/>
      <c r="AF982" s="149" t="b">
        <v>0</v>
      </c>
      <c r="AG982" s="166"/>
      <c r="AH982" s="149" t="b">
        <v>0</v>
      </c>
      <c r="AI982" s="162"/>
      <c r="AJ982" s="143"/>
      <c r="AK982" s="143"/>
      <c r="AL982" s="143"/>
      <c r="AM982" s="143"/>
      <c r="AN982" s="143"/>
      <c r="AO982" s="143"/>
      <c r="AP982" s="143"/>
      <c r="AQ982" s="143"/>
    </row>
    <row r="983" ht="22.5" customHeight="1">
      <c r="A983" s="166"/>
      <c r="B983" s="1111"/>
      <c r="C983" s="524"/>
      <c r="D983" s="1110"/>
      <c r="E983" s="669"/>
      <c r="F983" s="524"/>
      <c r="G983" s="165"/>
      <c r="H983" s="669"/>
      <c r="I983" s="669"/>
      <c r="J983" s="352"/>
      <c r="K983" s="271" t="str">
        <f t="shared" si="74"/>
        <v/>
      </c>
      <c r="L983" s="297"/>
      <c r="M983" s="334"/>
      <c r="N983" s="277"/>
      <c r="O983" s="315"/>
      <c r="P983" s="344">
        <f t="shared" si="69"/>
        <v>0</v>
      </c>
      <c r="Q983" s="321"/>
      <c r="R983" s="672" t="b">
        <v>0</v>
      </c>
      <c r="S983" s="318"/>
      <c r="T983" s="319"/>
      <c r="U983" s="315"/>
      <c r="V983" s="162"/>
      <c r="W983" s="149"/>
      <c r="X983" s="163"/>
      <c r="Y983" s="162"/>
      <c r="Z983" s="164"/>
      <c r="AA983" s="116"/>
      <c r="AB983" s="116"/>
      <c r="AC983" s="165"/>
      <c r="AD983" s="675" t="str">
        <f t="shared" si="76"/>
        <v/>
      </c>
      <c r="AE983" s="166"/>
      <c r="AF983" s="149" t="b">
        <v>0</v>
      </c>
      <c r="AG983" s="166"/>
      <c r="AH983" s="149" t="b">
        <v>0</v>
      </c>
      <c r="AI983" s="162"/>
      <c r="AJ983" s="143"/>
      <c r="AK983" s="143"/>
      <c r="AL983" s="143"/>
      <c r="AM983" s="143"/>
      <c r="AN983" s="143"/>
      <c r="AO983" s="143"/>
      <c r="AP983" s="143"/>
      <c r="AQ983" s="143"/>
    </row>
    <row r="984" ht="22.5" customHeight="1">
      <c r="A984" s="166"/>
      <c r="B984" s="1111"/>
      <c r="C984" s="524"/>
      <c r="D984" s="1110"/>
      <c r="E984" s="669"/>
      <c r="F984" s="524"/>
      <c r="G984" s="165"/>
      <c r="H984" s="669"/>
      <c r="I984" s="669"/>
      <c r="J984" s="352"/>
      <c r="K984" s="271" t="str">
        <f t="shared" si="74"/>
        <v/>
      </c>
      <c r="L984" s="297"/>
      <c r="M984" s="334"/>
      <c r="N984" s="277"/>
      <c r="O984" s="315"/>
      <c r="P984" s="344">
        <f t="shared" si="69"/>
        <v>0</v>
      </c>
      <c r="Q984" s="321"/>
      <c r="R984" s="672" t="b">
        <v>0</v>
      </c>
      <c r="S984" s="318"/>
      <c r="T984" s="319"/>
      <c r="U984" s="315"/>
      <c r="V984" s="162"/>
      <c r="W984" s="149"/>
      <c r="X984" s="163"/>
      <c r="Y984" s="162"/>
      <c r="Z984" s="164"/>
      <c r="AA984" s="116"/>
      <c r="AB984" s="116"/>
      <c r="AC984" s="165"/>
      <c r="AD984" s="675" t="str">
        <f t="shared" si="76"/>
        <v/>
      </c>
      <c r="AE984" s="166"/>
      <c r="AF984" s="149" t="b">
        <v>0</v>
      </c>
      <c r="AG984" s="166"/>
      <c r="AH984" s="149" t="b">
        <v>0</v>
      </c>
      <c r="AI984" s="162"/>
      <c r="AJ984" s="143"/>
      <c r="AK984" s="143"/>
      <c r="AL984" s="143"/>
      <c r="AM984" s="143"/>
      <c r="AN984" s="143"/>
      <c r="AO984" s="143"/>
      <c r="AP984" s="143"/>
      <c r="AQ984" s="143"/>
    </row>
    <row r="985" ht="22.5" customHeight="1">
      <c r="A985" s="166"/>
      <c r="B985" s="1111"/>
      <c r="C985" s="524"/>
      <c r="D985" s="1110"/>
      <c r="E985" s="669"/>
      <c r="F985" s="524"/>
      <c r="G985" s="165"/>
      <c r="H985" s="669"/>
      <c r="I985" s="669"/>
      <c r="J985" s="352"/>
      <c r="K985" s="271" t="str">
        <f t="shared" si="74"/>
        <v/>
      </c>
      <c r="L985" s="297"/>
      <c r="M985" s="334"/>
      <c r="N985" s="277"/>
      <c r="O985" s="315"/>
      <c r="P985" s="344">
        <f t="shared" si="69"/>
        <v>0</v>
      </c>
      <c r="Q985" s="321"/>
      <c r="R985" s="672" t="b">
        <v>0</v>
      </c>
      <c r="S985" s="318"/>
      <c r="T985" s="319"/>
      <c r="U985" s="315"/>
      <c r="V985" s="162"/>
      <c r="W985" s="149"/>
      <c r="X985" s="163"/>
      <c r="Y985" s="162"/>
      <c r="Z985" s="164"/>
      <c r="AA985" s="116"/>
      <c r="AB985" s="116"/>
      <c r="AC985" s="165"/>
      <c r="AD985" s="675" t="str">
        <f t="shared" si="76"/>
        <v/>
      </c>
      <c r="AE985" s="166"/>
      <c r="AF985" s="149" t="b">
        <v>0</v>
      </c>
      <c r="AG985" s="166"/>
      <c r="AH985" s="149" t="b">
        <v>0</v>
      </c>
      <c r="AI985" s="162"/>
      <c r="AJ985" s="143"/>
      <c r="AK985" s="143"/>
      <c r="AL985" s="143"/>
      <c r="AM985" s="143"/>
      <c r="AN985" s="143"/>
      <c r="AO985" s="143"/>
      <c r="AP985" s="143"/>
      <c r="AQ985" s="143"/>
    </row>
    <row r="986" ht="22.5" customHeight="1">
      <c r="A986" s="166"/>
      <c r="B986" s="1111"/>
      <c r="C986" s="524"/>
      <c r="D986" s="1110"/>
      <c r="E986" s="669"/>
      <c r="F986" s="524"/>
      <c r="G986" s="165"/>
      <c r="H986" s="669"/>
      <c r="I986" s="669"/>
      <c r="J986" s="352"/>
      <c r="K986" s="271" t="str">
        <f t="shared" si="74"/>
        <v/>
      </c>
      <c r="L986" s="297"/>
      <c r="M986" s="334"/>
      <c r="N986" s="277"/>
      <c r="O986" s="315"/>
      <c r="P986" s="344">
        <f t="shared" si="69"/>
        <v>0</v>
      </c>
      <c r="Q986" s="321"/>
      <c r="R986" s="672" t="b">
        <v>0</v>
      </c>
      <c r="S986" s="318"/>
      <c r="T986" s="319"/>
      <c r="U986" s="315"/>
      <c r="V986" s="162"/>
      <c r="W986" s="149"/>
      <c r="X986" s="163"/>
      <c r="Y986" s="162"/>
      <c r="Z986" s="164"/>
      <c r="AA986" s="116"/>
      <c r="AB986" s="116"/>
      <c r="AC986" s="165"/>
      <c r="AD986" s="675" t="str">
        <f t="shared" si="76"/>
        <v/>
      </c>
      <c r="AE986" s="166"/>
      <c r="AF986" s="149" t="b">
        <v>0</v>
      </c>
      <c r="AG986" s="166"/>
      <c r="AH986" s="149" t="b">
        <v>0</v>
      </c>
      <c r="AI986" s="162"/>
      <c r="AJ986" s="143"/>
      <c r="AK986" s="143"/>
      <c r="AL986" s="143"/>
      <c r="AM986" s="143"/>
      <c r="AN986" s="143"/>
      <c r="AO986" s="143"/>
      <c r="AP986" s="143"/>
      <c r="AQ986" s="143"/>
    </row>
    <row r="987" ht="22.5" customHeight="1">
      <c r="A987" s="166"/>
      <c r="B987" s="1111"/>
      <c r="C987" s="524"/>
      <c r="D987" s="1110"/>
      <c r="E987" s="669"/>
      <c r="F987" s="524"/>
      <c r="G987" s="165"/>
      <c r="H987" s="669"/>
      <c r="I987" s="669"/>
      <c r="J987" s="352"/>
      <c r="K987" s="271" t="str">
        <f t="shared" si="74"/>
        <v/>
      </c>
      <c r="L987" s="297"/>
      <c r="M987" s="334"/>
      <c r="N987" s="277"/>
      <c r="O987" s="315"/>
      <c r="P987" s="344">
        <f t="shared" si="69"/>
        <v>0</v>
      </c>
      <c r="Q987" s="321"/>
      <c r="R987" s="672" t="b">
        <v>0</v>
      </c>
      <c r="S987" s="318"/>
      <c r="T987" s="319"/>
      <c r="U987" s="315"/>
      <c r="V987" s="162"/>
      <c r="W987" s="149"/>
      <c r="X987" s="163"/>
      <c r="Y987" s="162"/>
      <c r="Z987" s="164"/>
      <c r="AA987" s="116"/>
      <c r="AB987" s="116"/>
      <c r="AC987" s="165"/>
      <c r="AD987" s="675" t="str">
        <f t="shared" si="76"/>
        <v/>
      </c>
      <c r="AE987" s="166"/>
      <c r="AF987" s="149" t="b">
        <v>0</v>
      </c>
      <c r="AG987" s="166"/>
      <c r="AH987" s="149" t="b">
        <v>0</v>
      </c>
      <c r="AI987" s="162"/>
      <c r="AJ987" s="143"/>
      <c r="AK987" s="143"/>
      <c r="AL987" s="1112"/>
      <c r="AM987" s="1112"/>
      <c r="AN987" s="1112"/>
      <c r="AO987" s="1112"/>
      <c r="AP987" s="1112"/>
      <c r="AQ987" s="1112"/>
    </row>
    <row r="988" ht="22.5" customHeight="1">
      <c r="A988" s="166"/>
      <c r="B988" s="1111"/>
      <c r="C988" s="524"/>
      <c r="D988" s="1110"/>
      <c r="E988" s="669"/>
      <c r="F988" s="524"/>
      <c r="G988" s="165"/>
      <c r="H988" s="669"/>
      <c r="I988" s="669"/>
      <c r="J988" s="352"/>
      <c r="K988" s="271" t="str">
        <f t="shared" si="74"/>
        <v/>
      </c>
      <c r="L988" s="297"/>
      <c r="M988" s="334"/>
      <c r="N988" s="277"/>
      <c r="O988" s="315"/>
      <c r="P988" s="344">
        <f t="shared" si="69"/>
        <v>0</v>
      </c>
      <c r="Q988" s="321"/>
      <c r="R988" s="672" t="b">
        <v>0</v>
      </c>
      <c r="S988" s="318"/>
      <c r="T988" s="319"/>
      <c r="U988" s="315"/>
      <c r="V988" s="162"/>
      <c r="W988" s="149"/>
      <c r="X988" s="163"/>
      <c r="Y988" s="162"/>
      <c r="Z988" s="164"/>
      <c r="AA988" s="116"/>
      <c r="AB988" s="116"/>
      <c r="AC988" s="165"/>
      <c r="AD988" s="675" t="str">
        <f t="shared" si="76"/>
        <v/>
      </c>
      <c r="AE988" s="166"/>
      <c r="AF988" s="149" t="b">
        <v>0</v>
      </c>
      <c r="AG988" s="166"/>
      <c r="AH988" s="149" t="b">
        <v>0</v>
      </c>
      <c r="AI988" s="162"/>
      <c r="AJ988" s="143"/>
      <c r="AK988" s="143"/>
      <c r="AL988" s="1112"/>
      <c r="AM988" s="1112"/>
      <c r="AN988" s="1112"/>
      <c r="AO988" s="1112"/>
      <c r="AP988" s="1112"/>
      <c r="AQ988" s="1112"/>
    </row>
    <row r="989" ht="22.5" customHeight="1">
      <c r="A989" s="166"/>
      <c r="B989" s="1111"/>
      <c r="C989" s="524"/>
      <c r="D989" s="1110"/>
      <c r="E989" s="669"/>
      <c r="F989" s="524"/>
      <c r="G989" s="165"/>
      <c r="H989" s="669"/>
      <c r="I989" s="669"/>
      <c r="J989" s="352"/>
      <c r="K989" s="271" t="str">
        <f t="shared" si="74"/>
        <v/>
      </c>
      <c r="L989" s="297"/>
      <c r="M989" s="334"/>
      <c r="N989" s="277"/>
      <c r="O989" s="315"/>
      <c r="P989" s="344">
        <f t="shared" si="69"/>
        <v>0</v>
      </c>
      <c r="Q989" s="321"/>
      <c r="R989" s="672" t="b">
        <v>0</v>
      </c>
      <c r="S989" s="318"/>
      <c r="T989" s="319"/>
      <c r="U989" s="315"/>
      <c r="V989" s="162"/>
      <c r="W989" s="149"/>
      <c r="X989" s="163"/>
      <c r="Y989" s="162"/>
      <c r="Z989" s="164"/>
      <c r="AA989" s="116"/>
      <c r="AB989" s="116"/>
      <c r="AC989" s="165"/>
      <c r="AD989" s="675" t="str">
        <f t="shared" si="76"/>
        <v/>
      </c>
      <c r="AE989" s="166"/>
      <c r="AF989" s="149" t="b">
        <v>0</v>
      </c>
      <c r="AG989" s="166"/>
      <c r="AH989" s="149" t="b">
        <v>0</v>
      </c>
      <c r="AI989" s="162"/>
      <c r="AJ989" s="143"/>
      <c r="AK989" s="143"/>
      <c r="AL989" s="1112"/>
      <c r="AM989" s="1112"/>
      <c r="AN989" s="1112"/>
      <c r="AO989" s="1112"/>
      <c r="AP989" s="1112"/>
      <c r="AQ989" s="1112"/>
    </row>
    <row r="990" ht="22.5" customHeight="1">
      <c r="A990" s="166"/>
      <c r="B990" s="1111"/>
      <c r="C990" s="524"/>
      <c r="D990" s="1110"/>
      <c r="E990" s="669"/>
      <c r="F990" s="524"/>
      <c r="G990" s="165"/>
      <c r="H990" s="669"/>
      <c r="I990" s="669"/>
      <c r="J990" s="352"/>
      <c r="K990" s="271" t="str">
        <f t="shared" si="74"/>
        <v/>
      </c>
      <c r="L990" s="297"/>
      <c r="M990" s="334"/>
      <c r="N990" s="277"/>
      <c r="O990" s="315"/>
      <c r="P990" s="344">
        <f t="shared" si="69"/>
        <v>0</v>
      </c>
      <c r="Q990" s="321"/>
      <c r="R990" s="672" t="b">
        <v>0</v>
      </c>
      <c r="S990" s="318"/>
      <c r="T990" s="319"/>
      <c r="U990" s="315"/>
      <c r="V990" s="162"/>
      <c r="W990" s="149"/>
      <c r="X990" s="163"/>
      <c r="Y990" s="162"/>
      <c r="Z990" s="164"/>
      <c r="AA990" s="116"/>
      <c r="AB990" s="116"/>
      <c r="AC990" s="165"/>
      <c r="AD990" s="675" t="str">
        <f t="shared" si="76"/>
        <v/>
      </c>
      <c r="AE990" s="166"/>
      <c r="AF990" s="149" t="b">
        <v>0</v>
      </c>
      <c r="AG990" s="166"/>
      <c r="AH990" s="149" t="b">
        <v>0</v>
      </c>
      <c r="AI990" s="162"/>
      <c r="AJ990" s="143"/>
      <c r="AK990" s="143"/>
      <c r="AL990" s="1112"/>
      <c r="AM990" s="1112"/>
      <c r="AN990" s="1112"/>
      <c r="AO990" s="1112"/>
      <c r="AP990" s="1112"/>
      <c r="AQ990" s="1112"/>
    </row>
    <row r="991" ht="22.5" customHeight="1">
      <c r="A991" s="166"/>
      <c r="B991" s="1111"/>
      <c r="C991" s="524"/>
      <c r="D991" s="1110"/>
      <c r="E991" s="669"/>
      <c r="F991" s="524"/>
      <c r="G991" s="165"/>
      <c r="H991" s="669"/>
      <c r="I991" s="669"/>
      <c r="J991" s="352"/>
      <c r="K991" s="271" t="str">
        <f t="shared" si="74"/>
        <v/>
      </c>
      <c r="L991" s="297"/>
      <c r="M991" s="334"/>
      <c r="N991" s="277"/>
      <c r="O991" s="315"/>
      <c r="P991" s="344">
        <f t="shared" si="69"/>
        <v>0</v>
      </c>
      <c r="Q991" s="321"/>
      <c r="R991" s="672" t="b">
        <v>0</v>
      </c>
      <c r="S991" s="318"/>
      <c r="T991" s="319"/>
      <c r="U991" s="315"/>
      <c r="V991" s="162"/>
      <c r="W991" s="149"/>
      <c r="X991" s="163"/>
      <c r="Y991" s="162"/>
      <c r="Z991" s="164"/>
      <c r="AA991" s="116"/>
      <c r="AB991" s="116"/>
      <c r="AC991" s="165"/>
      <c r="AD991" s="675" t="str">
        <f t="shared" si="76"/>
        <v/>
      </c>
      <c r="AE991" s="166"/>
      <c r="AF991" s="149" t="b">
        <v>0</v>
      </c>
      <c r="AG991" s="166"/>
      <c r="AH991" s="149" t="b">
        <v>0</v>
      </c>
      <c r="AI991" s="162"/>
      <c r="AJ991" s="143"/>
      <c r="AK991" s="143"/>
      <c r="AL991" s="1112"/>
      <c r="AM991" s="1112"/>
      <c r="AN991" s="1112"/>
      <c r="AO991" s="1112"/>
      <c r="AP991" s="1112"/>
      <c r="AQ991" s="1112"/>
    </row>
    <row r="992" ht="22.5" customHeight="1">
      <c r="A992" s="166"/>
      <c r="B992" s="1111"/>
      <c r="C992" s="524"/>
      <c r="D992" s="1110"/>
      <c r="E992" s="669"/>
      <c r="F992" s="524"/>
      <c r="G992" s="165"/>
      <c r="H992" s="669"/>
      <c r="I992" s="669"/>
      <c r="J992" s="352"/>
      <c r="K992" s="271" t="str">
        <f t="shared" si="74"/>
        <v/>
      </c>
      <c r="L992" s="297"/>
      <c r="M992" s="334"/>
      <c r="N992" s="277"/>
      <c r="O992" s="315"/>
      <c r="P992" s="344">
        <f t="shared" si="69"/>
        <v>0</v>
      </c>
      <c r="Q992" s="321"/>
      <c r="R992" s="672" t="b">
        <v>0</v>
      </c>
      <c r="S992" s="318"/>
      <c r="T992" s="319"/>
      <c r="U992" s="315"/>
      <c r="V992" s="162"/>
      <c r="W992" s="149"/>
      <c r="X992" s="163"/>
      <c r="Y992" s="162"/>
      <c r="Z992" s="164"/>
      <c r="AA992" s="116"/>
      <c r="AB992" s="116"/>
      <c r="AC992" s="165"/>
      <c r="AD992" s="675" t="str">
        <f t="shared" si="76"/>
        <v/>
      </c>
      <c r="AE992" s="166"/>
      <c r="AF992" s="149" t="b">
        <v>0</v>
      </c>
      <c r="AG992" s="166"/>
      <c r="AH992" s="149" t="b">
        <v>0</v>
      </c>
      <c r="AI992" s="162"/>
      <c r="AJ992" s="143"/>
      <c r="AK992" s="143"/>
      <c r="AL992" s="1112"/>
      <c r="AM992" s="1112"/>
      <c r="AN992" s="1112"/>
      <c r="AO992" s="1112"/>
      <c r="AP992" s="1112"/>
      <c r="AQ992" s="1112"/>
    </row>
    <row r="993" ht="22.5" customHeight="1">
      <c r="A993" s="166"/>
      <c r="B993" s="1111"/>
      <c r="C993" s="524"/>
      <c r="D993" s="1110"/>
      <c r="E993" s="669"/>
      <c r="F993" s="524"/>
      <c r="G993" s="165"/>
      <c r="H993" s="669"/>
      <c r="I993" s="669"/>
      <c r="J993" s="352"/>
      <c r="K993" s="271" t="str">
        <f t="shared" si="74"/>
        <v/>
      </c>
      <c r="L993" s="297"/>
      <c r="M993" s="334"/>
      <c r="N993" s="277"/>
      <c r="O993" s="315"/>
      <c r="P993" s="344">
        <f t="shared" si="69"/>
        <v>0</v>
      </c>
      <c r="Q993" s="321"/>
      <c r="R993" s="672" t="b">
        <v>0</v>
      </c>
      <c r="S993" s="318"/>
      <c r="T993" s="319"/>
      <c r="U993" s="315"/>
      <c r="V993" s="162"/>
      <c r="W993" s="149"/>
      <c r="X993" s="163"/>
      <c r="Y993" s="162"/>
      <c r="Z993" s="164"/>
      <c r="AA993" s="116"/>
      <c r="AB993" s="116"/>
      <c r="AC993" s="165"/>
      <c r="AD993" s="675" t="str">
        <f t="shared" si="76"/>
        <v/>
      </c>
      <c r="AE993" s="166"/>
      <c r="AF993" s="149" t="b">
        <v>0</v>
      </c>
      <c r="AG993" s="166"/>
      <c r="AH993" s="149" t="b">
        <v>0</v>
      </c>
      <c r="AI993" s="162"/>
      <c r="AJ993" s="143"/>
      <c r="AK993" s="143"/>
      <c r="AL993" s="1112"/>
      <c r="AM993" s="1112"/>
      <c r="AN993" s="1112"/>
      <c r="AO993" s="1112"/>
      <c r="AP993" s="1112"/>
      <c r="AQ993" s="1112"/>
    </row>
    <row r="994" ht="22.5" customHeight="1">
      <c r="A994" s="166"/>
      <c r="B994" s="1111"/>
      <c r="C994" s="524"/>
      <c r="D994" s="1110"/>
      <c r="E994" s="669"/>
      <c r="F994" s="524"/>
      <c r="G994" s="165"/>
      <c r="H994" s="669"/>
      <c r="I994" s="669"/>
      <c r="J994" s="352"/>
      <c r="K994" s="271" t="str">
        <f t="shared" si="74"/>
        <v/>
      </c>
      <c r="L994" s="297"/>
      <c r="M994" s="334"/>
      <c r="N994" s="277"/>
      <c r="O994" s="315"/>
      <c r="P994" s="344">
        <f t="shared" si="69"/>
        <v>0</v>
      </c>
      <c r="Q994" s="321"/>
      <c r="R994" s="672" t="b">
        <v>0</v>
      </c>
      <c r="S994" s="318"/>
      <c r="T994" s="319"/>
      <c r="U994" s="315"/>
      <c r="V994" s="162"/>
      <c r="W994" s="149"/>
      <c r="X994" s="163"/>
      <c r="Y994" s="162"/>
      <c r="Z994" s="164"/>
      <c r="AA994" s="116"/>
      <c r="AB994" s="116"/>
      <c r="AC994" s="165"/>
      <c r="AD994" s="675" t="str">
        <f t="shared" si="76"/>
        <v/>
      </c>
      <c r="AE994" s="166"/>
      <c r="AF994" s="149" t="b">
        <v>0</v>
      </c>
      <c r="AG994" s="166"/>
      <c r="AH994" s="149" t="b">
        <v>0</v>
      </c>
      <c r="AI994" s="162"/>
      <c r="AJ994" s="143"/>
      <c r="AK994" s="143"/>
      <c r="AL994" s="1112"/>
      <c r="AM994" s="1112"/>
      <c r="AN994" s="1112"/>
      <c r="AO994" s="1112"/>
      <c r="AP994" s="1112"/>
      <c r="AQ994" s="1112"/>
    </row>
    <row r="995" ht="22.5" customHeight="1">
      <c r="A995" s="166"/>
      <c r="B995" s="1111"/>
      <c r="C995" s="524"/>
      <c r="D995" s="1110"/>
      <c r="E995" s="669"/>
      <c r="F995" s="524"/>
      <c r="G995" s="165"/>
      <c r="H995" s="669"/>
      <c r="I995" s="669"/>
      <c r="J995" s="352"/>
      <c r="K995" s="271" t="str">
        <f t="shared" si="74"/>
        <v/>
      </c>
      <c r="L995" s="297"/>
      <c r="M995" s="334"/>
      <c r="N995" s="277"/>
      <c r="O995" s="315"/>
      <c r="P995" s="344">
        <f t="shared" si="69"/>
        <v>0</v>
      </c>
      <c r="Q995" s="321"/>
      <c r="R995" s="672" t="b">
        <v>0</v>
      </c>
      <c r="S995" s="318"/>
      <c r="T995" s="319"/>
      <c r="U995" s="315"/>
      <c r="V995" s="162"/>
      <c r="W995" s="149"/>
      <c r="X995" s="163"/>
      <c r="Y995" s="162"/>
      <c r="Z995" s="164"/>
      <c r="AA995" s="116"/>
      <c r="AB995" s="116"/>
      <c r="AC995" s="165"/>
      <c r="AD995" s="675" t="str">
        <f t="shared" si="76"/>
        <v/>
      </c>
      <c r="AE995" s="166"/>
      <c r="AF995" s="149" t="b">
        <v>0</v>
      </c>
      <c r="AG995" s="166"/>
      <c r="AH995" s="149" t="b">
        <v>0</v>
      </c>
      <c r="AI995" s="162"/>
      <c r="AJ995" s="143"/>
      <c r="AK995" s="143"/>
      <c r="AL995" s="1112"/>
      <c r="AM995" s="1112"/>
      <c r="AN995" s="1112"/>
      <c r="AO995" s="1112"/>
      <c r="AP995" s="1112"/>
      <c r="AQ995" s="1112"/>
    </row>
    <row r="996" ht="22.5" customHeight="1">
      <c r="A996" s="166"/>
      <c r="B996" s="1111"/>
      <c r="C996" s="524"/>
      <c r="D996" s="1110"/>
      <c r="E996" s="669"/>
      <c r="F996" s="524"/>
      <c r="G996" s="165"/>
      <c r="H996" s="669"/>
      <c r="I996" s="669"/>
      <c r="J996" s="352"/>
      <c r="K996" s="271" t="str">
        <f t="shared" si="74"/>
        <v/>
      </c>
      <c r="L996" s="297"/>
      <c r="M996" s="334"/>
      <c r="N996" s="277"/>
      <c r="O996" s="315"/>
      <c r="P996" s="344">
        <f t="shared" si="69"/>
        <v>0</v>
      </c>
      <c r="Q996" s="321"/>
      <c r="R996" s="672" t="b">
        <v>0</v>
      </c>
      <c r="S996" s="318"/>
      <c r="T996" s="319"/>
      <c r="U996" s="315"/>
      <c r="V996" s="162"/>
      <c r="W996" s="149"/>
      <c r="X996" s="163"/>
      <c r="Y996" s="162"/>
      <c r="Z996" s="164"/>
      <c r="AA996" s="116"/>
      <c r="AB996" s="116"/>
      <c r="AC996" s="165"/>
      <c r="AD996" s="675" t="str">
        <f t="shared" si="76"/>
        <v/>
      </c>
      <c r="AE996" s="166"/>
      <c r="AF996" s="149" t="b">
        <v>0</v>
      </c>
      <c r="AG996" s="166"/>
      <c r="AH996" s="149" t="b">
        <v>0</v>
      </c>
      <c r="AI996" s="162"/>
      <c r="AJ996" s="143"/>
      <c r="AK996" s="143"/>
      <c r="AL996" s="1112"/>
      <c r="AM996" s="1112"/>
      <c r="AN996" s="1112"/>
      <c r="AO996" s="1112"/>
      <c r="AP996" s="1112"/>
      <c r="AQ996" s="1112"/>
    </row>
    <row r="997" ht="22.5" customHeight="1">
      <c r="A997" s="166"/>
      <c r="B997" s="1111"/>
      <c r="C997" s="524"/>
      <c r="D997" s="1110"/>
      <c r="E997" s="669"/>
      <c r="F997" s="524"/>
      <c r="G997" s="165"/>
      <c r="H997" s="669"/>
      <c r="I997" s="669"/>
      <c r="J997" s="352"/>
      <c r="K997" s="271" t="str">
        <f t="shared" si="74"/>
        <v/>
      </c>
      <c r="L997" s="297"/>
      <c r="M997" s="334"/>
      <c r="N997" s="277"/>
      <c r="O997" s="315"/>
      <c r="P997" s="344">
        <f t="shared" si="69"/>
        <v>0</v>
      </c>
      <c r="Q997" s="321"/>
      <c r="R997" s="672" t="b">
        <v>0</v>
      </c>
      <c r="S997" s="318"/>
      <c r="T997" s="319"/>
      <c r="U997" s="315"/>
      <c r="V997" s="162"/>
      <c r="W997" s="149"/>
      <c r="X997" s="163"/>
      <c r="Y997" s="162"/>
      <c r="Z997" s="164"/>
      <c r="AA997" s="116"/>
      <c r="AB997" s="116"/>
      <c r="AC997" s="165"/>
      <c r="AD997" s="675" t="str">
        <f t="shared" si="76"/>
        <v/>
      </c>
      <c r="AE997" s="166"/>
      <c r="AF997" s="149" t="b">
        <v>0</v>
      </c>
      <c r="AG997" s="166"/>
      <c r="AH997" s="149" t="b">
        <v>0</v>
      </c>
      <c r="AI997" s="162"/>
      <c r="AJ997" s="143"/>
      <c r="AK997" s="143"/>
      <c r="AL997" s="1112"/>
      <c r="AM997" s="1112"/>
      <c r="AN997" s="1112"/>
      <c r="AO997" s="1112"/>
      <c r="AP997" s="1112"/>
      <c r="AQ997" s="1112"/>
    </row>
    <row r="998" ht="22.5" customHeight="1">
      <c r="A998" s="166"/>
      <c r="B998" s="1111"/>
      <c r="C998" s="524"/>
      <c r="D998" s="1110"/>
      <c r="E998" s="669"/>
      <c r="F998" s="524"/>
      <c r="G998" s="165"/>
      <c r="H998" s="669"/>
      <c r="I998" s="669"/>
      <c r="J998" s="352"/>
      <c r="K998" s="271" t="str">
        <f t="shared" si="74"/>
        <v/>
      </c>
      <c r="L998" s="297"/>
      <c r="M998" s="334"/>
      <c r="N998" s="277"/>
      <c r="O998" s="315"/>
      <c r="P998" s="344">
        <f t="shared" si="69"/>
        <v>0</v>
      </c>
      <c r="Q998" s="321"/>
      <c r="R998" s="672" t="b">
        <v>0</v>
      </c>
      <c r="S998" s="318"/>
      <c r="T998" s="319"/>
      <c r="U998" s="315"/>
      <c r="V998" s="162"/>
      <c r="W998" s="149"/>
      <c r="X998" s="163"/>
      <c r="Y998" s="162"/>
      <c r="Z998" s="164"/>
      <c r="AA998" s="116"/>
      <c r="AB998" s="116"/>
      <c r="AC998" s="165"/>
      <c r="AD998" s="675" t="str">
        <f t="shared" si="76"/>
        <v/>
      </c>
      <c r="AE998" s="166"/>
      <c r="AF998" s="149" t="b">
        <v>0</v>
      </c>
      <c r="AG998" s="166"/>
      <c r="AH998" s="149" t="b">
        <v>0</v>
      </c>
      <c r="AI998" s="162"/>
      <c r="AJ998" s="143"/>
      <c r="AK998" s="143"/>
      <c r="AL998" s="1112"/>
      <c r="AM998" s="1112"/>
      <c r="AN998" s="1112"/>
      <c r="AO998" s="1112"/>
      <c r="AP998" s="1112"/>
      <c r="AQ998" s="1112"/>
    </row>
    <row r="999" ht="22.5" customHeight="1">
      <c r="A999" s="166"/>
      <c r="B999" s="1111"/>
      <c r="C999" s="524"/>
      <c r="D999" s="1110"/>
      <c r="E999" s="669"/>
      <c r="F999" s="524"/>
      <c r="G999" s="165"/>
      <c r="H999" s="669"/>
      <c r="I999" s="669"/>
      <c r="J999" s="352"/>
      <c r="K999" s="271" t="str">
        <f t="shared" si="74"/>
        <v/>
      </c>
      <c r="L999" s="297"/>
      <c r="M999" s="334"/>
      <c r="N999" s="277"/>
      <c r="O999" s="315"/>
      <c r="P999" s="344">
        <f t="shared" si="69"/>
        <v>0</v>
      </c>
      <c r="Q999" s="321"/>
      <c r="R999" s="672" t="b">
        <v>0</v>
      </c>
      <c r="S999" s="318"/>
      <c r="T999" s="319"/>
      <c r="U999" s="315"/>
      <c r="V999" s="162"/>
      <c r="W999" s="149"/>
      <c r="X999" s="163"/>
      <c r="Y999" s="162"/>
      <c r="Z999" s="164"/>
      <c r="AA999" s="116"/>
      <c r="AB999" s="116"/>
      <c r="AC999" s="165"/>
      <c r="AD999" s="675" t="str">
        <f t="shared" si="76"/>
        <v/>
      </c>
      <c r="AE999" s="166"/>
      <c r="AF999" s="149" t="b">
        <v>0</v>
      </c>
      <c r="AG999" s="166"/>
      <c r="AH999" s="149" t="b">
        <v>0</v>
      </c>
      <c r="AI999" s="162"/>
      <c r="AJ999" s="143"/>
      <c r="AK999" s="143"/>
      <c r="AL999" s="1112"/>
      <c r="AM999" s="1112"/>
      <c r="AN999" s="1112"/>
      <c r="AO999" s="1112"/>
      <c r="AP999" s="1112"/>
      <c r="AQ999" s="1112"/>
    </row>
    <row r="1000" ht="22.5" customHeight="1">
      <c r="A1000" s="166"/>
      <c r="B1000" s="1111"/>
      <c r="C1000" s="524"/>
      <c r="D1000" s="1110"/>
      <c r="E1000" s="669"/>
      <c r="F1000" s="524"/>
      <c r="G1000" s="165"/>
      <c r="H1000" s="669"/>
      <c r="I1000" s="669"/>
      <c r="J1000" s="352"/>
      <c r="K1000" s="271" t="str">
        <f t="shared" si="74"/>
        <v/>
      </c>
      <c r="L1000" s="297"/>
      <c r="M1000" s="334"/>
      <c r="N1000" s="277"/>
      <c r="O1000" s="315"/>
      <c r="P1000" s="344">
        <f t="shared" si="69"/>
        <v>0</v>
      </c>
      <c r="Q1000" s="321"/>
      <c r="R1000" s="672" t="b">
        <v>0</v>
      </c>
      <c r="S1000" s="318"/>
      <c r="T1000" s="319"/>
      <c r="U1000" s="315"/>
      <c r="V1000" s="162"/>
      <c r="W1000" s="149"/>
      <c r="X1000" s="163"/>
      <c r="Y1000" s="162"/>
      <c r="Z1000" s="164"/>
      <c r="AA1000" s="116"/>
      <c r="AB1000" s="116"/>
      <c r="AC1000" s="165"/>
      <c r="AD1000" s="675" t="str">
        <f t="shared" si="76"/>
        <v/>
      </c>
      <c r="AE1000" s="166"/>
      <c r="AF1000" s="149" t="b">
        <v>0</v>
      </c>
      <c r="AG1000" s="166"/>
      <c r="AH1000" s="149" t="b">
        <v>0</v>
      </c>
      <c r="AI1000" s="162"/>
      <c r="AJ1000" s="143"/>
      <c r="AK1000" s="143"/>
      <c r="AL1000" s="1112"/>
      <c r="AM1000" s="1112"/>
      <c r="AN1000" s="1112"/>
      <c r="AO1000" s="1112"/>
      <c r="AP1000" s="1112"/>
      <c r="AQ1000" s="1112"/>
    </row>
    <row r="1001" ht="22.5" customHeight="1">
      <c r="A1001" s="166"/>
      <c r="B1001" s="1111"/>
      <c r="C1001" s="524"/>
      <c r="D1001" s="1110"/>
      <c r="E1001" s="669"/>
      <c r="F1001" s="524"/>
      <c r="G1001" s="165"/>
      <c r="H1001" s="669"/>
      <c r="I1001" s="669"/>
      <c r="J1001" s="352"/>
      <c r="K1001" s="271" t="str">
        <f t="shared" si="74"/>
        <v/>
      </c>
      <c r="L1001" s="297"/>
      <c r="M1001" s="334"/>
      <c r="N1001" s="277"/>
      <c r="O1001" s="315"/>
      <c r="P1001" s="344">
        <f t="shared" si="69"/>
        <v>0</v>
      </c>
      <c r="Q1001" s="321"/>
      <c r="R1001" s="672" t="b">
        <v>0</v>
      </c>
      <c r="S1001" s="318"/>
      <c r="T1001" s="319"/>
      <c r="U1001" s="315"/>
      <c r="V1001" s="162"/>
      <c r="W1001" s="149"/>
      <c r="X1001" s="163"/>
      <c r="Y1001" s="162"/>
      <c r="Z1001" s="164"/>
      <c r="AA1001" s="116"/>
      <c r="AB1001" s="116"/>
      <c r="AC1001" s="165"/>
      <c r="AD1001" s="675" t="str">
        <f t="shared" si="76"/>
        <v/>
      </c>
      <c r="AE1001" s="166"/>
      <c r="AF1001" s="149" t="b">
        <v>0</v>
      </c>
      <c r="AG1001" s="166"/>
      <c r="AH1001" s="149" t="b">
        <v>0</v>
      </c>
      <c r="AI1001" s="162"/>
      <c r="AJ1001" s="143"/>
      <c r="AK1001" s="143"/>
      <c r="AL1001" s="1112"/>
      <c r="AM1001" s="1112"/>
      <c r="AN1001" s="1112"/>
      <c r="AO1001" s="1112"/>
      <c r="AP1001" s="1112"/>
      <c r="AQ1001" s="1112"/>
    </row>
    <row r="1002" ht="22.5" customHeight="1">
      <c r="A1002" s="166"/>
      <c r="B1002" s="1111"/>
      <c r="C1002" s="524"/>
      <c r="D1002" s="1110"/>
      <c r="E1002" s="669"/>
      <c r="F1002" s="524"/>
      <c r="G1002" s="165"/>
      <c r="H1002" s="669"/>
      <c r="I1002" s="669"/>
      <c r="J1002" s="352"/>
      <c r="K1002" s="271" t="str">
        <f t="shared" si="74"/>
        <v/>
      </c>
      <c r="L1002" s="297"/>
      <c r="M1002" s="334"/>
      <c r="N1002" s="277"/>
      <c r="O1002" s="315"/>
      <c r="P1002" s="344">
        <f t="shared" si="69"/>
        <v>0</v>
      </c>
      <c r="Q1002" s="321"/>
      <c r="R1002" s="672" t="b">
        <v>0</v>
      </c>
      <c r="S1002" s="318"/>
      <c r="T1002" s="319"/>
      <c r="U1002" s="315"/>
      <c r="V1002" s="162"/>
      <c r="W1002" s="149"/>
      <c r="X1002" s="163"/>
      <c r="Y1002" s="162"/>
      <c r="Z1002" s="164"/>
      <c r="AA1002" s="116"/>
      <c r="AB1002" s="116"/>
      <c r="AC1002" s="165"/>
      <c r="AD1002" s="675" t="str">
        <f t="shared" si="76"/>
        <v/>
      </c>
      <c r="AE1002" s="166"/>
      <c r="AF1002" s="149" t="b">
        <v>0</v>
      </c>
      <c r="AG1002" s="166"/>
      <c r="AH1002" s="149" t="b">
        <v>0</v>
      </c>
      <c r="AI1002" s="162"/>
      <c r="AJ1002" s="143"/>
      <c r="AK1002" s="143"/>
      <c r="AL1002" s="1112"/>
      <c r="AM1002" s="1112"/>
      <c r="AN1002" s="1112"/>
      <c r="AO1002" s="1112"/>
      <c r="AP1002" s="1112"/>
      <c r="AQ1002" s="1112"/>
    </row>
    <row r="1003" ht="22.5" customHeight="1">
      <c r="A1003" s="166"/>
      <c r="B1003" s="1111"/>
      <c r="C1003" s="524"/>
      <c r="D1003" s="1110"/>
      <c r="E1003" s="669"/>
      <c r="F1003" s="524"/>
      <c r="G1003" s="165"/>
      <c r="H1003" s="669"/>
      <c r="I1003" s="669"/>
      <c r="J1003" s="352"/>
      <c r="K1003" s="271" t="str">
        <f t="shared" si="74"/>
        <v/>
      </c>
      <c r="L1003" s="297"/>
      <c r="M1003" s="334"/>
      <c r="N1003" s="277"/>
      <c r="O1003" s="315"/>
      <c r="P1003" s="344">
        <f t="shared" si="69"/>
        <v>0</v>
      </c>
      <c r="Q1003" s="321"/>
      <c r="R1003" s="672" t="b">
        <v>0</v>
      </c>
      <c r="S1003" s="318"/>
      <c r="T1003" s="319"/>
      <c r="U1003" s="315"/>
      <c r="V1003" s="162"/>
      <c r="W1003" s="149"/>
      <c r="X1003" s="163"/>
      <c r="Y1003" s="162"/>
      <c r="Z1003" s="164"/>
      <c r="AA1003" s="116"/>
      <c r="AB1003" s="116"/>
      <c r="AC1003" s="165"/>
      <c r="AD1003" s="675" t="str">
        <f t="shared" si="76"/>
        <v/>
      </c>
      <c r="AE1003" s="166"/>
      <c r="AF1003" s="149" t="b">
        <v>0</v>
      </c>
      <c r="AG1003" s="166"/>
      <c r="AH1003" s="149" t="b">
        <v>0</v>
      </c>
      <c r="AI1003" s="162"/>
      <c r="AJ1003" s="143"/>
      <c r="AK1003" s="143"/>
      <c r="AL1003" s="1112"/>
      <c r="AM1003" s="1112"/>
      <c r="AN1003" s="1112"/>
      <c r="AO1003" s="1112"/>
      <c r="AP1003" s="1112"/>
      <c r="AQ1003" s="1112"/>
    </row>
    <row r="1004" ht="22.5" customHeight="1">
      <c r="A1004" s="166"/>
      <c r="B1004" s="1111"/>
      <c r="C1004" s="524"/>
      <c r="D1004" s="1110"/>
      <c r="E1004" s="669"/>
      <c r="F1004" s="524"/>
      <c r="G1004" s="165"/>
      <c r="H1004" s="669"/>
      <c r="I1004" s="669"/>
      <c r="J1004" s="352"/>
      <c r="K1004" s="271" t="str">
        <f t="shared" si="74"/>
        <v/>
      </c>
      <c r="L1004" s="297"/>
      <c r="M1004" s="334"/>
      <c r="N1004" s="277"/>
      <c r="O1004" s="315"/>
      <c r="P1004" s="344">
        <f t="shared" si="69"/>
        <v>0</v>
      </c>
      <c r="Q1004" s="321"/>
      <c r="R1004" s="672" t="b">
        <v>0</v>
      </c>
      <c r="S1004" s="318"/>
      <c r="T1004" s="319"/>
      <c r="U1004" s="315"/>
      <c r="V1004" s="162"/>
      <c r="W1004" s="149"/>
      <c r="X1004" s="163"/>
      <c r="Y1004" s="162"/>
      <c r="Z1004" s="164"/>
      <c r="AA1004" s="116"/>
      <c r="AB1004" s="116"/>
      <c r="AC1004" s="165"/>
      <c r="AD1004" s="675" t="str">
        <f t="shared" si="76"/>
        <v/>
      </c>
      <c r="AE1004" s="166"/>
      <c r="AF1004" s="149" t="b">
        <v>0</v>
      </c>
      <c r="AG1004" s="166"/>
      <c r="AH1004" s="149" t="b">
        <v>0</v>
      </c>
      <c r="AI1004" s="162"/>
      <c r="AJ1004" s="143"/>
      <c r="AK1004" s="143"/>
      <c r="AL1004" s="1112"/>
      <c r="AM1004" s="1112"/>
      <c r="AN1004" s="1112"/>
      <c r="AO1004" s="1112"/>
      <c r="AP1004" s="1112"/>
      <c r="AQ1004" s="1112"/>
    </row>
    <row r="1005" ht="22.5" customHeight="1">
      <c r="A1005" s="166"/>
      <c r="B1005" s="1111"/>
      <c r="C1005" s="524"/>
      <c r="D1005" s="1110"/>
      <c r="E1005" s="669"/>
      <c r="F1005" s="524"/>
      <c r="G1005" s="165"/>
      <c r="H1005" s="669"/>
      <c r="I1005" s="669"/>
      <c r="J1005" s="352"/>
      <c r="K1005" s="271" t="str">
        <f t="shared" si="74"/>
        <v/>
      </c>
      <c r="L1005" s="297"/>
      <c r="M1005" s="334"/>
      <c r="N1005" s="277"/>
      <c r="O1005" s="315"/>
      <c r="P1005" s="344">
        <f t="shared" si="69"/>
        <v>0</v>
      </c>
      <c r="Q1005" s="321"/>
      <c r="R1005" s="672" t="b">
        <v>0</v>
      </c>
      <c r="S1005" s="318"/>
      <c r="T1005" s="319"/>
      <c r="U1005" s="315"/>
      <c r="V1005" s="162"/>
      <c r="W1005" s="149"/>
      <c r="X1005" s="163"/>
      <c r="Y1005" s="162"/>
      <c r="Z1005" s="164"/>
      <c r="AA1005" s="116"/>
      <c r="AB1005" s="116"/>
      <c r="AC1005" s="165"/>
      <c r="AD1005" s="675" t="str">
        <f t="shared" si="76"/>
        <v/>
      </c>
      <c r="AE1005" s="166"/>
      <c r="AF1005" s="149" t="b">
        <v>0</v>
      </c>
      <c r="AG1005" s="166"/>
      <c r="AH1005" s="149" t="b">
        <v>0</v>
      </c>
      <c r="AI1005" s="162"/>
      <c r="AJ1005" s="143"/>
      <c r="AK1005" s="143"/>
      <c r="AL1005" s="1112"/>
      <c r="AM1005" s="1112"/>
      <c r="AN1005" s="1112"/>
      <c r="AO1005" s="1112"/>
      <c r="AP1005" s="1112"/>
      <c r="AQ1005" s="1112"/>
    </row>
    <row r="1006" ht="22.5" customHeight="1">
      <c r="A1006" s="166"/>
      <c r="B1006" s="1111"/>
      <c r="C1006" s="524"/>
      <c r="D1006" s="1110"/>
      <c r="E1006" s="669"/>
      <c r="F1006" s="524"/>
      <c r="G1006" s="165"/>
      <c r="H1006" s="669"/>
      <c r="I1006" s="669"/>
      <c r="J1006" s="352"/>
      <c r="K1006" s="271" t="str">
        <f t="shared" si="74"/>
        <v/>
      </c>
      <c r="L1006" s="297"/>
      <c r="M1006" s="334"/>
      <c r="N1006" s="277"/>
      <c r="O1006" s="315"/>
      <c r="P1006" s="344">
        <f t="shared" si="69"/>
        <v>0</v>
      </c>
      <c r="Q1006" s="321"/>
      <c r="R1006" s="672" t="b">
        <v>0</v>
      </c>
      <c r="S1006" s="318"/>
      <c r="T1006" s="319"/>
      <c r="U1006" s="315"/>
      <c r="V1006" s="162"/>
      <c r="W1006" s="149"/>
      <c r="X1006" s="163"/>
      <c r="Y1006" s="162"/>
      <c r="Z1006" s="164"/>
      <c r="AA1006" s="116"/>
      <c r="AB1006" s="116"/>
      <c r="AC1006" s="165"/>
      <c r="AD1006" s="675" t="str">
        <f t="shared" si="76"/>
        <v/>
      </c>
      <c r="AE1006" s="166"/>
      <c r="AF1006" s="149" t="b">
        <v>0</v>
      </c>
      <c r="AG1006" s="166"/>
      <c r="AH1006" s="149" t="b">
        <v>0</v>
      </c>
      <c r="AI1006" s="162"/>
      <c r="AJ1006" s="143"/>
      <c r="AK1006" s="143"/>
      <c r="AL1006" s="1112"/>
      <c r="AM1006" s="1112"/>
      <c r="AN1006" s="1112"/>
      <c r="AO1006" s="1112"/>
      <c r="AP1006" s="1112"/>
      <c r="AQ1006" s="1112"/>
    </row>
    <row r="1007" ht="22.5" customHeight="1">
      <c r="A1007" s="166"/>
      <c r="B1007" s="1111"/>
      <c r="C1007" s="524"/>
      <c r="D1007" s="1110"/>
      <c r="E1007" s="669"/>
      <c r="F1007" s="524"/>
      <c r="G1007" s="165"/>
      <c r="H1007" s="669"/>
      <c r="I1007" s="669"/>
      <c r="J1007" s="352"/>
      <c r="K1007" s="271" t="str">
        <f t="shared" si="74"/>
        <v/>
      </c>
      <c r="L1007" s="297"/>
      <c r="M1007" s="334"/>
      <c r="N1007" s="277"/>
      <c r="O1007" s="315"/>
      <c r="P1007" s="344">
        <f t="shared" si="69"/>
        <v>0</v>
      </c>
      <c r="Q1007" s="321"/>
      <c r="R1007" s="672" t="b">
        <v>0</v>
      </c>
      <c r="S1007" s="318"/>
      <c r="T1007" s="319"/>
      <c r="U1007" s="315"/>
      <c r="V1007" s="162"/>
      <c r="W1007" s="149"/>
      <c r="X1007" s="163"/>
      <c r="Y1007" s="162"/>
      <c r="Z1007" s="164"/>
      <c r="AA1007" s="116"/>
      <c r="AB1007" s="116"/>
      <c r="AC1007" s="165"/>
      <c r="AD1007" s="675" t="str">
        <f t="shared" si="76"/>
        <v/>
      </c>
      <c r="AE1007" s="166"/>
      <c r="AF1007" s="149" t="b">
        <v>0</v>
      </c>
      <c r="AG1007" s="166"/>
      <c r="AH1007" s="149" t="b">
        <v>0</v>
      </c>
      <c r="AI1007" s="162"/>
      <c r="AJ1007" s="143"/>
      <c r="AK1007" s="143"/>
      <c r="AL1007" s="1112"/>
      <c r="AM1007" s="1112"/>
      <c r="AN1007" s="1112"/>
      <c r="AO1007" s="1112"/>
      <c r="AP1007" s="1112"/>
      <c r="AQ1007" s="1112"/>
    </row>
    <row r="1008" ht="22.5" customHeight="1">
      <c r="A1008" s="166"/>
      <c r="B1008" s="1111"/>
      <c r="C1008" s="524"/>
      <c r="D1008" s="1110"/>
      <c r="E1008" s="669"/>
      <c r="F1008" s="524"/>
      <c r="G1008" s="165"/>
      <c r="H1008" s="669"/>
      <c r="I1008" s="669"/>
      <c r="J1008" s="352"/>
      <c r="K1008" s="271" t="str">
        <f t="shared" si="74"/>
        <v/>
      </c>
      <c r="L1008" s="297"/>
      <c r="M1008" s="334"/>
      <c r="N1008" s="277"/>
      <c r="O1008" s="315"/>
      <c r="P1008" s="344">
        <f t="shared" si="69"/>
        <v>0</v>
      </c>
      <c r="Q1008" s="321"/>
      <c r="R1008" s="672" t="b">
        <v>0</v>
      </c>
      <c r="S1008" s="318"/>
      <c r="T1008" s="319"/>
      <c r="U1008" s="315"/>
      <c r="V1008" s="162"/>
      <c r="W1008" s="149"/>
      <c r="X1008" s="163"/>
      <c r="Y1008" s="162"/>
      <c r="Z1008" s="164"/>
      <c r="AA1008" s="116"/>
      <c r="AB1008" s="116"/>
      <c r="AC1008" s="165"/>
      <c r="AD1008" s="675" t="str">
        <f t="shared" si="76"/>
        <v/>
      </c>
      <c r="AE1008" s="166"/>
      <c r="AF1008" s="149" t="b">
        <v>0</v>
      </c>
      <c r="AG1008" s="166"/>
      <c r="AH1008" s="149" t="b">
        <v>0</v>
      </c>
      <c r="AI1008" s="162"/>
      <c r="AJ1008" s="143"/>
      <c r="AK1008" s="143"/>
      <c r="AL1008" s="1112"/>
      <c r="AM1008" s="1112"/>
      <c r="AN1008" s="1112"/>
      <c r="AO1008" s="1112"/>
      <c r="AP1008" s="1112"/>
      <c r="AQ1008" s="1112"/>
    </row>
    <row r="1009" ht="22.5" customHeight="1">
      <c r="A1009" s="166"/>
      <c r="B1009" s="1111"/>
      <c r="C1009" s="524"/>
      <c r="D1009" s="1110"/>
      <c r="E1009" s="669"/>
      <c r="F1009" s="524"/>
      <c r="G1009" s="165"/>
      <c r="H1009" s="669"/>
      <c r="I1009" s="669"/>
      <c r="J1009" s="352"/>
      <c r="K1009" s="271" t="str">
        <f t="shared" si="74"/>
        <v/>
      </c>
      <c r="L1009" s="297"/>
      <c r="M1009" s="334"/>
      <c r="N1009" s="277"/>
      <c r="O1009" s="315"/>
      <c r="P1009" s="344">
        <f t="shared" si="69"/>
        <v>0</v>
      </c>
      <c r="Q1009" s="321"/>
      <c r="R1009" s="672" t="b">
        <v>0</v>
      </c>
      <c r="S1009" s="318"/>
      <c r="T1009" s="319"/>
      <c r="U1009" s="315"/>
      <c r="V1009" s="162"/>
      <c r="W1009" s="149"/>
      <c r="X1009" s="163"/>
      <c r="Y1009" s="162"/>
      <c r="Z1009" s="164"/>
      <c r="AA1009" s="116"/>
      <c r="AB1009" s="116"/>
      <c r="AC1009" s="165"/>
      <c r="AD1009" s="675" t="str">
        <f t="shared" si="76"/>
        <v/>
      </c>
      <c r="AE1009" s="166"/>
      <c r="AF1009" s="149" t="b">
        <v>0</v>
      </c>
      <c r="AG1009" s="166"/>
      <c r="AH1009" s="149" t="b">
        <v>0</v>
      </c>
      <c r="AI1009" s="162"/>
      <c r="AJ1009" s="143"/>
      <c r="AK1009" s="143"/>
      <c r="AL1009" s="1112"/>
      <c r="AM1009" s="1112"/>
      <c r="AN1009" s="1112"/>
      <c r="AO1009" s="1112"/>
      <c r="AP1009" s="1112"/>
      <c r="AQ1009" s="1112"/>
    </row>
    <row r="1010" ht="22.5" customHeight="1">
      <c r="A1010" s="166"/>
      <c r="B1010" s="1111"/>
      <c r="C1010" s="524"/>
      <c r="D1010" s="1110"/>
      <c r="E1010" s="669"/>
      <c r="F1010" s="524"/>
      <c r="G1010" s="165"/>
      <c r="H1010" s="669"/>
      <c r="I1010" s="669"/>
      <c r="J1010" s="352"/>
      <c r="K1010" s="271" t="str">
        <f t="shared" si="74"/>
        <v/>
      </c>
      <c r="L1010" s="297"/>
      <c r="M1010" s="334"/>
      <c r="N1010" s="277"/>
      <c r="O1010" s="315"/>
      <c r="P1010" s="344">
        <f t="shared" si="69"/>
        <v>0</v>
      </c>
      <c r="Q1010" s="321"/>
      <c r="R1010" s="672" t="b">
        <v>0</v>
      </c>
      <c r="S1010" s="318"/>
      <c r="T1010" s="319"/>
      <c r="U1010" s="315"/>
      <c r="V1010" s="162"/>
      <c r="W1010" s="149"/>
      <c r="X1010" s="163"/>
      <c r="Y1010" s="162"/>
      <c r="Z1010" s="164"/>
      <c r="AA1010" s="116"/>
      <c r="AB1010" s="116"/>
      <c r="AC1010" s="165"/>
      <c r="AD1010" s="675" t="str">
        <f t="shared" si="76"/>
        <v/>
      </c>
      <c r="AE1010" s="166"/>
      <c r="AF1010" s="149" t="b">
        <v>0</v>
      </c>
      <c r="AG1010" s="166"/>
      <c r="AH1010" s="149" t="b">
        <v>0</v>
      </c>
      <c r="AI1010" s="162"/>
      <c r="AJ1010" s="143"/>
      <c r="AK1010" s="143"/>
      <c r="AL1010" s="1112"/>
      <c r="AM1010" s="1112"/>
      <c r="AN1010" s="1112"/>
      <c r="AO1010" s="1112"/>
      <c r="AP1010" s="1112"/>
      <c r="AQ1010" s="1112"/>
    </row>
    <row r="1011" ht="22.5" customHeight="1">
      <c r="A1011" s="166"/>
      <c r="B1011" s="1111"/>
      <c r="C1011" s="524"/>
      <c r="D1011" s="1110"/>
      <c r="E1011" s="669"/>
      <c r="F1011" s="524"/>
      <c r="G1011" s="165"/>
      <c r="H1011" s="669"/>
      <c r="I1011" s="669"/>
      <c r="J1011" s="352"/>
      <c r="K1011" s="271" t="str">
        <f t="shared" si="74"/>
        <v/>
      </c>
      <c r="L1011" s="297"/>
      <c r="M1011" s="334"/>
      <c r="N1011" s="277"/>
      <c r="O1011" s="315"/>
      <c r="P1011" s="344">
        <f t="shared" si="69"/>
        <v>0</v>
      </c>
      <c r="Q1011" s="321"/>
      <c r="R1011" s="672" t="b">
        <v>0</v>
      </c>
      <c r="S1011" s="318"/>
      <c r="T1011" s="319"/>
      <c r="U1011" s="315"/>
      <c r="V1011" s="162"/>
      <c r="W1011" s="149"/>
      <c r="X1011" s="163"/>
      <c r="Y1011" s="162"/>
      <c r="Z1011" s="164"/>
      <c r="AA1011" s="116"/>
      <c r="AB1011" s="116"/>
      <c r="AC1011" s="165"/>
      <c r="AD1011" s="675" t="str">
        <f t="shared" si="76"/>
        <v/>
      </c>
      <c r="AE1011" s="166"/>
      <c r="AF1011" s="149" t="b">
        <v>0</v>
      </c>
      <c r="AG1011" s="166"/>
      <c r="AH1011" s="149" t="b">
        <v>0</v>
      </c>
      <c r="AI1011" s="162"/>
      <c r="AJ1011" s="143"/>
      <c r="AK1011" s="143"/>
      <c r="AL1011" s="1112"/>
      <c r="AM1011" s="1112"/>
      <c r="AN1011" s="1112"/>
      <c r="AO1011" s="1112"/>
      <c r="AP1011" s="1112"/>
      <c r="AQ1011" s="1112"/>
    </row>
    <row r="1012" ht="22.5" customHeight="1">
      <c r="A1012" s="166"/>
      <c r="B1012" s="1111"/>
      <c r="C1012" s="524"/>
      <c r="D1012" s="1110"/>
      <c r="E1012" s="669"/>
      <c r="F1012" s="524"/>
      <c r="G1012" s="165"/>
      <c r="H1012" s="669"/>
      <c r="I1012" s="669"/>
      <c r="J1012" s="352"/>
      <c r="K1012" s="271" t="str">
        <f t="shared" si="74"/>
        <v/>
      </c>
      <c r="L1012" s="297"/>
      <c r="M1012" s="334"/>
      <c r="N1012" s="277"/>
      <c r="O1012" s="315"/>
      <c r="P1012" s="344">
        <f t="shared" si="69"/>
        <v>0</v>
      </c>
      <c r="Q1012" s="321"/>
      <c r="R1012" s="672" t="b">
        <v>0</v>
      </c>
      <c r="S1012" s="318"/>
      <c r="T1012" s="319"/>
      <c r="U1012" s="315"/>
      <c r="V1012" s="162"/>
      <c r="W1012" s="149"/>
      <c r="X1012" s="163"/>
      <c r="Y1012" s="162"/>
      <c r="Z1012" s="164"/>
      <c r="AA1012" s="116"/>
      <c r="AB1012" s="116"/>
      <c r="AC1012" s="165"/>
      <c r="AD1012" s="675" t="str">
        <f t="shared" si="76"/>
        <v/>
      </c>
      <c r="AE1012" s="166"/>
      <c r="AF1012" s="149" t="b">
        <v>0</v>
      </c>
      <c r="AG1012" s="166"/>
      <c r="AH1012" s="149" t="b">
        <v>0</v>
      </c>
      <c r="AI1012" s="162"/>
      <c r="AJ1012" s="143"/>
      <c r="AK1012" s="143"/>
      <c r="AL1012" s="1112"/>
      <c r="AM1012" s="1112"/>
      <c r="AN1012" s="1112"/>
      <c r="AO1012" s="1112"/>
      <c r="AP1012" s="1112"/>
      <c r="AQ1012" s="1112"/>
    </row>
    <row r="1013" ht="22.5" customHeight="1">
      <c r="A1013" s="166"/>
      <c r="B1013" s="1111"/>
      <c r="C1013" s="524"/>
      <c r="D1013" s="1110"/>
      <c r="E1013" s="669"/>
      <c r="F1013" s="524"/>
      <c r="G1013" s="165"/>
      <c r="H1013" s="669"/>
      <c r="I1013" s="669"/>
      <c r="J1013" s="352"/>
      <c r="K1013" s="271" t="str">
        <f t="shared" si="74"/>
        <v/>
      </c>
      <c r="L1013" s="297"/>
      <c r="M1013" s="334"/>
      <c r="N1013" s="277"/>
      <c r="O1013" s="315"/>
      <c r="P1013" s="344">
        <f t="shared" si="69"/>
        <v>0</v>
      </c>
      <c r="Q1013" s="321"/>
      <c r="R1013" s="672" t="b">
        <v>0</v>
      </c>
      <c r="S1013" s="318"/>
      <c r="T1013" s="319"/>
      <c r="U1013" s="315"/>
      <c r="V1013" s="162"/>
      <c r="W1013" s="149"/>
      <c r="X1013" s="163"/>
      <c r="Y1013" s="162"/>
      <c r="Z1013" s="164"/>
      <c r="AA1013" s="116"/>
      <c r="AB1013" s="116"/>
      <c r="AC1013" s="165"/>
      <c r="AD1013" s="675" t="str">
        <f t="shared" si="76"/>
        <v/>
      </c>
      <c r="AE1013" s="166"/>
      <c r="AF1013" s="149" t="b">
        <v>0</v>
      </c>
      <c r="AG1013" s="166"/>
      <c r="AH1013" s="149" t="b">
        <v>0</v>
      </c>
      <c r="AI1013" s="162"/>
      <c r="AJ1013" s="143"/>
      <c r="AK1013" s="143"/>
      <c r="AL1013" s="1112"/>
      <c r="AM1013" s="1112"/>
      <c r="AN1013" s="1112"/>
      <c r="AO1013" s="1112"/>
      <c r="AP1013" s="1112"/>
      <c r="AQ1013" s="1112"/>
    </row>
    <row r="1014" ht="22.5" customHeight="1">
      <c r="A1014" s="166"/>
      <c r="B1014" s="1111"/>
      <c r="C1014" s="524"/>
      <c r="D1014" s="1110"/>
      <c r="E1014" s="669"/>
      <c r="F1014" s="524"/>
      <c r="G1014" s="165"/>
      <c r="H1014" s="669"/>
      <c r="I1014" s="669"/>
      <c r="J1014" s="352"/>
      <c r="K1014" s="271" t="str">
        <f t="shared" si="74"/>
        <v/>
      </c>
      <c r="L1014" s="297"/>
      <c r="M1014" s="334"/>
      <c r="N1014" s="277"/>
      <c r="O1014" s="315"/>
      <c r="P1014" s="344">
        <f t="shared" si="69"/>
        <v>0</v>
      </c>
      <c r="Q1014" s="321"/>
      <c r="R1014" s="672" t="b">
        <v>0</v>
      </c>
      <c r="S1014" s="318"/>
      <c r="T1014" s="319"/>
      <c r="U1014" s="315"/>
      <c r="V1014" s="162"/>
      <c r="W1014" s="149"/>
      <c r="X1014" s="163"/>
      <c r="Y1014" s="162"/>
      <c r="Z1014" s="164"/>
      <c r="AA1014" s="116"/>
      <c r="AB1014" s="116"/>
      <c r="AC1014" s="165"/>
      <c r="AD1014" s="675" t="str">
        <f t="shared" si="76"/>
        <v/>
      </c>
      <c r="AE1014" s="166"/>
      <c r="AF1014" s="149" t="b">
        <v>0</v>
      </c>
      <c r="AG1014" s="166"/>
      <c r="AH1014" s="149" t="b">
        <v>0</v>
      </c>
      <c r="AI1014" s="162"/>
      <c r="AJ1014" s="143"/>
      <c r="AK1014" s="143"/>
      <c r="AL1014" s="1112"/>
      <c r="AM1014" s="1112"/>
      <c r="AN1014" s="1112"/>
      <c r="AO1014" s="1112"/>
      <c r="AP1014" s="1112"/>
      <c r="AQ1014" s="1112"/>
    </row>
    <row r="1015" ht="22.5" customHeight="1">
      <c r="A1015" s="166"/>
      <c r="B1015" s="1111"/>
      <c r="C1015" s="524"/>
      <c r="D1015" s="1110"/>
      <c r="E1015" s="669"/>
      <c r="F1015" s="524"/>
      <c r="G1015" s="165"/>
      <c r="H1015" s="669"/>
      <c r="I1015" s="669"/>
      <c r="J1015" s="352"/>
      <c r="K1015" s="271" t="str">
        <f t="shared" si="74"/>
        <v/>
      </c>
      <c r="L1015" s="297"/>
      <c r="M1015" s="334"/>
      <c r="N1015" s="277"/>
      <c r="O1015" s="315"/>
      <c r="P1015" s="344">
        <f t="shared" si="69"/>
        <v>0</v>
      </c>
      <c r="Q1015" s="321"/>
      <c r="R1015" s="672" t="b">
        <v>0</v>
      </c>
      <c r="S1015" s="318"/>
      <c r="T1015" s="319"/>
      <c r="U1015" s="315"/>
      <c r="V1015" s="162"/>
      <c r="W1015" s="149"/>
      <c r="X1015" s="163"/>
      <c r="Y1015" s="162"/>
      <c r="Z1015" s="164"/>
      <c r="AA1015" s="116"/>
      <c r="AB1015" s="116"/>
      <c r="AC1015" s="165"/>
      <c r="AD1015" s="675" t="str">
        <f t="shared" si="76"/>
        <v/>
      </c>
      <c r="AE1015" s="166"/>
      <c r="AF1015" s="149" t="b">
        <v>0</v>
      </c>
      <c r="AG1015" s="166"/>
      <c r="AH1015" s="149" t="b">
        <v>0</v>
      </c>
      <c r="AI1015" s="162"/>
      <c r="AJ1015" s="143"/>
      <c r="AK1015" s="143"/>
      <c r="AL1015" s="1112"/>
      <c r="AM1015" s="1112"/>
      <c r="AN1015" s="1112"/>
      <c r="AO1015" s="1112"/>
      <c r="AP1015" s="1112"/>
      <c r="AQ1015" s="1112"/>
    </row>
    <row r="1016" ht="22.5" customHeight="1">
      <c r="A1016" s="166"/>
      <c r="B1016" s="1111"/>
      <c r="C1016" s="524"/>
      <c r="D1016" s="1110"/>
      <c r="E1016" s="669"/>
      <c r="F1016" s="524"/>
      <c r="G1016" s="165"/>
      <c r="H1016" s="669"/>
      <c r="I1016" s="669"/>
      <c r="J1016" s="352"/>
      <c r="K1016" s="271" t="str">
        <f t="shared" si="74"/>
        <v/>
      </c>
      <c r="L1016" s="297"/>
      <c r="M1016" s="334"/>
      <c r="N1016" s="277"/>
      <c r="O1016" s="315"/>
      <c r="P1016" s="344">
        <f t="shared" si="69"/>
        <v>0</v>
      </c>
      <c r="Q1016" s="321"/>
      <c r="R1016" s="672" t="b">
        <v>0</v>
      </c>
      <c r="S1016" s="318"/>
      <c r="T1016" s="319"/>
      <c r="U1016" s="315"/>
      <c r="V1016" s="162"/>
      <c r="W1016" s="149"/>
      <c r="X1016" s="163"/>
      <c r="Y1016" s="162"/>
      <c r="Z1016" s="164"/>
      <c r="AA1016" s="116"/>
      <c r="AB1016" s="116"/>
      <c r="AC1016" s="165"/>
      <c r="AD1016" s="675" t="str">
        <f t="shared" si="76"/>
        <v/>
      </c>
      <c r="AE1016" s="166"/>
      <c r="AF1016" s="149" t="b">
        <v>0</v>
      </c>
      <c r="AG1016" s="166"/>
      <c r="AH1016" s="149" t="b">
        <v>0</v>
      </c>
      <c r="AI1016" s="162"/>
      <c r="AJ1016" s="143"/>
      <c r="AK1016" s="143"/>
      <c r="AL1016" s="1112"/>
      <c r="AM1016" s="1112"/>
      <c r="AN1016" s="1112"/>
      <c r="AO1016" s="1112"/>
      <c r="AP1016" s="1112"/>
      <c r="AQ1016" s="1112"/>
    </row>
    <row r="1017" ht="22.5" customHeight="1">
      <c r="A1017" s="166"/>
      <c r="B1017" s="1111"/>
      <c r="C1017" s="524"/>
      <c r="D1017" s="1110"/>
      <c r="E1017" s="669"/>
      <c r="F1017" s="524"/>
      <c r="G1017" s="165"/>
      <c r="H1017" s="669"/>
      <c r="I1017" s="669"/>
      <c r="J1017" s="352"/>
      <c r="K1017" s="271" t="str">
        <f t="shared" si="74"/>
        <v/>
      </c>
      <c r="L1017" s="297"/>
      <c r="M1017" s="334"/>
      <c r="N1017" s="277"/>
      <c r="O1017" s="315"/>
      <c r="P1017" s="344">
        <f t="shared" si="69"/>
        <v>0</v>
      </c>
      <c r="Q1017" s="321"/>
      <c r="R1017" s="672" t="b">
        <v>0</v>
      </c>
      <c r="S1017" s="318"/>
      <c r="T1017" s="319"/>
      <c r="U1017" s="315"/>
      <c r="V1017" s="162"/>
      <c r="W1017" s="149"/>
      <c r="X1017" s="163"/>
      <c r="Y1017" s="162"/>
      <c r="Z1017" s="164"/>
      <c r="AA1017" s="116"/>
      <c r="AB1017" s="116"/>
      <c r="AC1017" s="165"/>
      <c r="AD1017" s="675" t="str">
        <f t="shared" si="76"/>
        <v/>
      </c>
      <c r="AE1017" s="166"/>
      <c r="AF1017" s="149" t="b">
        <v>0</v>
      </c>
      <c r="AG1017" s="166"/>
      <c r="AH1017" s="149" t="b">
        <v>0</v>
      </c>
      <c r="AI1017" s="162"/>
      <c r="AJ1017" s="143"/>
      <c r="AK1017" s="143"/>
      <c r="AL1017" s="1112"/>
      <c r="AM1017" s="1112"/>
      <c r="AN1017" s="1112"/>
      <c r="AO1017" s="1112"/>
      <c r="AP1017" s="1112"/>
      <c r="AQ1017" s="1112"/>
    </row>
    <row r="1018" ht="22.5" customHeight="1">
      <c r="A1018" s="166"/>
      <c r="B1018" s="1111"/>
      <c r="C1018" s="524"/>
      <c r="D1018" s="1110"/>
      <c r="E1018" s="669"/>
      <c r="F1018" s="524"/>
      <c r="G1018" s="165"/>
      <c r="H1018" s="669"/>
      <c r="I1018" s="669"/>
      <c r="J1018" s="352"/>
      <c r="K1018" s="271" t="str">
        <f t="shared" si="74"/>
        <v/>
      </c>
      <c r="L1018" s="297"/>
      <c r="M1018" s="334"/>
      <c r="N1018" s="277"/>
      <c r="O1018" s="315"/>
      <c r="P1018" s="344">
        <f t="shared" si="69"/>
        <v>0</v>
      </c>
      <c r="Q1018" s="321"/>
      <c r="R1018" s="672" t="b">
        <v>0</v>
      </c>
      <c r="S1018" s="318"/>
      <c r="T1018" s="319"/>
      <c r="U1018" s="315"/>
      <c r="V1018" s="162"/>
      <c r="W1018" s="149"/>
      <c r="X1018" s="163"/>
      <c r="Y1018" s="162"/>
      <c r="Z1018" s="164"/>
      <c r="AA1018" s="116"/>
      <c r="AB1018" s="116"/>
      <c r="AC1018" s="165"/>
      <c r="AD1018" s="675" t="str">
        <f t="shared" si="76"/>
        <v/>
      </c>
      <c r="AE1018" s="166"/>
      <c r="AF1018" s="149" t="b">
        <v>0</v>
      </c>
      <c r="AG1018" s="166"/>
      <c r="AH1018" s="149" t="b">
        <v>0</v>
      </c>
      <c r="AI1018" s="162"/>
      <c r="AJ1018" s="143"/>
      <c r="AK1018" s="143"/>
      <c r="AL1018" s="1112"/>
      <c r="AM1018" s="1112"/>
      <c r="AN1018" s="1112"/>
      <c r="AO1018" s="1112"/>
      <c r="AP1018" s="1112"/>
      <c r="AQ1018" s="1112"/>
    </row>
    <row r="1019" ht="22.5" customHeight="1">
      <c r="A1019" s="166"/>
      <c r="B1019" s="1111"/>
      <c r="C1019" s="524"/>
      <c r="D1019" s="1110"/>
      <c r="E1019" s="669"/>
      <c r="F1019" s="524"/>
      <c r="G1019" s="165"/>
      <c r="H1019" s="669"/>
      <c r="I1019" s="669"/>
      <c r="J1019" s="352"/>
      <c r="K1019" s="271" t="str">
        <f t="shared" si="74"/>
        <v/>
      </c>
      <c r="L1019" s="297"/>
      <c r="M1019" s="334"/>
      <c r="N1019" s="277"/>
      <c r="O1019" s="315"/>
      <c r="P1019" s="344">
        <f t="shared" si="69"/>
        <v>0</v>
      </c>
      <c r="Q1019" s="321"/>
      <c r="R1019" s="672" t="b">
        <v>0</v>
      </c>
      <c r="S1019" s="318"/>
      <c r="T1019" s="319"/>
      <c r="U1019" s="315"/>
      <c r="V1019" s="162"/>
      <c r="W1019" s="149"/>
      <c r="X1019" s="163"/>
      <c r="Y1019" s="162"/>
      <c r="Z1019" s="164"/>
      <c r="AA1019" s="116"/>
      <c r="AB1019" s="116"/>
      <c r="AC1019" s="165"/>
      <c r="AD1019" s="675" t="str">
        <f t="shared" si="76"/>
        <v/>
      </c>
      <c r="AE1019" s="166"/>
      <c r="AF1019" s="149" t="b">
        <v>0</v>
      </c>
      <c r="AG1019" s="166"/>
      <c r="AH1019" s="149" t="b">
        <v>0</v>
      </c>
      <c r="AI1019" s="162"/>
      <c r="AJ1019" s="143"/>
      <c r="AK1019" s="143"/>
      <c r="AL1019" s="1112"/>
      <c r="AM1019" s="1112"/>
      <c r="AN1019" s="1112"/>
      <c r="AO1019" s="1112"/>
      <c r="AP1019" s="1112"/>
      <c r="AQ1019" s="1112"/>
    </row>
    <row r="1020" ht="22.5" customHeight="1">
      <c r="A1020" s="166"/>
      <c r="B1020" s="1111"/>
      <c r="C1020" s="524"/>
      <c r="D1020" s="1110"/>
      <c r="E1020" s="669"/>
      <c r="F1020" s="524"/>
      <c r="G1020" s="165"/>
      <c r="H1020" s="669"/>
      <c r="I1020" s="669"/>
      <c r="J1020" s="352"/>
      <c r="K1020" s="271" t="str">
        <f t="shared" si="74"/>
        <v/>
      </c>
      <c r="L1020" s="297"/>
      <c r="M1020" s="334"/>
      <c r="N1020" s="277"/>
      <c r="O1020" s="315"/>
      <c r="P1020" s="344">
        <f t="shared" si="69"/>
        <v>0</v>
      </c>
      <c r="Q1020" s="321"/>
      <c r="R1020" s="672" t="b">
        <v>0</v>
      </c>
      <c r="S1020" s="318"/>
      <c r="T1020" s="319"/>
      <c r="U1020" s="315"/>
      <c r="V1020" s="162"/>
      <c r="W1020" s="149"/>
      <c r="X1020" s="163"/>
      <c r="Y1020" s="162"/>
      <c r="Z1020" s="164"/>
      <c r="AA1020" s="116"/>
      <c r="AB1020" s="116"/>
      <c r="AC1020" s="165"/>
      <c r="AD1020" s="675" t="str">
        <f t="shared" si="76"/>
        <v/>
      </c>
      <c r="AE1020" s="166"/>
      <c r="AF1020" s="149" t="b">
        <v>0</v>
      </c>
      <c r="AG1020" s="166"/>
      <c r="AH1020" s="149" t="b">
        <v>0</v>
      </c>
      <c r="AI1020" s="162"/>
      <c r="AJ1020" s="143"/>
      <c r="AK1020" s="143"/>
      <c r="AL1020" s="1112"/>
      <c r="AM1020" s="1112"/>
      <c r="AN1020" s="1112"/>
      <c r="AO1020" s="1112"/>
      <c r="AP1020" s="1112"/>
      <c r="AQ1020" s="1112"/>
    </row>
    <row r="1021" ht="22.5" customHeight="1">
      <c r="A1021" s="166"/>
      <c r="B1021" s="1111"/>
      <c r="C1021" s="524"/>
      <c r="D1021" s="1110"/>
      <c r="E1021" s="669"/>
      <c r="F1021" s="524"/>
      <c r="G1021" s="165"/>
      <c r="H1021" s="669"/>
      <c r="I1021" s="669"/>
      <c r="J1021" s="352"/>
      <c r="K1021" s="271" t="str">
        <f t="shared" si="74"/>
        <v/>
      </c>
      <c r="L1021" s="297"/>
      <c r="M1021" s="334"/>
      <c r="N1021" s="277"/>
      <c r="O1021" s="315"/>
      <c r="P1021" s="344">
        <f t="shared" si="69"/>
        <v>0</v>
      </c>
      <c r="Q1021" s="321"/>
      <c r="R1021" s="672" t="b">
        <v>0</v>
      </c>
      <c r="S1021" s="318"/>
      <c r="T1021" s="319"/>
      <c r="U1021" s="315"/>
      <c r="V1021" s="162"/>
      <c r="W1021" s="149"/>
      <c r="X1021" s="163"/>
      <c r="Y1021" s="162"/>
      <c r="Z1021" s="164"/>
      <c r="AA1021" s="116"/>
      <c r="AB1021" s="116"/>
      <c r="AC1021" s="165"/>
      <c r="AD1021" s="675" t="str">
        <f t="shared" si="76"/>
        <v/>
      </c>
      <c r="AE1021" s="166"/>
      <c r="AF1021" s="149" t="b">
        <v>0</v>
      </c>
      <c r="AG1021" s="166"/>
      <c r="AH1021" s="149" t="b">
        <v>0</v>
      </c>
      <c r="AI1021" s="162"/>
      <c r="AJ1021" s="143"/>
      <c r="AK1021" s="143"/>
      <c r="AL1021" s="1112"/>
      <c r="AM1021" s="1112"/>
      <c r="AN1021" s="1112"/>
      <c r="AO1021" s="1112"/>
      <c r="AP1021" s="1112"/>
      <c r="AQ1021" s="1112"/>
    </row>
    <row r="1022" ht="22.5" customHeight="1">
      <c r="A1022" s="166"/>
      <c r="B1022" s="1111"/>
      <c r="C1022" s="524"/>
      <c r="D1022" s="1110"/>
      <c r="E1022" s="669"/>
      <c r="F1022" s="524"/>
      <c r="G1022" s="165"/>
      <c r="H1022" s="669"/>
      <c r="I1022" s="669"/>
      <c r="J1022" s="352"/>
      <c r="K1022" s="271" t="str">
        <f t="shared" si="74"/>
        <v/>
      </c>
      <c r="L1022" s="297"/>
      <c r="M1022" s="334"/>
      <c r="N1022" s="277"/>
      <c r="O1022" s="315"/>
      <c r="P1022" s="344">
        <f t="shared" si="69"/>
        <v>0</v>
      </c>
      <c r="Q1022" s="321"/>
      <c r="R1022" s="672" t="b">
        <v>0</v>
      </c>
      <c r="S1022" s="318"/>
      <c r="T1022" s="319"/>
      <c r="U1022" s="315"/>
      <c r="V1022" s="162"/>
      <c r="W1022" s="149"/>
      <c r="X1022" s="163"/>
      <c r="Y1022" s="162"/>
      <c r="Z1022" s="164"/>
      <c r="AA1022" s="116"/>
      <c r="AB1022" s="116"/>
      <c r="AC1022" s="165"/>
      <c r="AD1022" s="675" t="str">
        <f t="shared" si="76"/>
        <v/>
      </c>
      <c r="AE1022" s="166"/>
      <c r="AF1022" s="149" t="b">
        <v>0</v>
      </c>
      <c r="AG1022" s="166"/>
      <c r="AH1022" s="149" t="b">
        <v>0</v>
      </c>
      <c r="AI1022" s="162"/>
      <c r="AJ1022" s="143"/>
      <c r="AK1022" s="143"/>
      <c r="AL1022" s="1112"/>
      <c r="AM1022" s="1112"/>
      <c r="AN1022" s="1112"/>
      <c r="AO1022" s="1112"/>
      <c r="AP1022" s="1112"/>
      <c r="AQ1022" s="1112"/>
    </row>
    <row r="1023" ht="22.5" customHeight="1">
      <c r="A1023" s="166"/>
      <c r="B1023" s="1111"/>
      <c r="C1023" s="524"/>
      <c r="D1023" s="1110"/>
      <c r="E1023" s="669"/>
      <c r="F1023" s="524"/>
      <c r="G1023" s="165"/>
      <c r="H1023" s="669"/>
      <c r="I1023" s="669"/>
      <c r="J1023" s="352"/>
      <c r="K1023" s="271" t="str">
        <f t="shared" si="74"/>
        <v/>
      </c>
      <c r="L1023" s="297"/>
      <c r="M1023" s="334"/>
      <c r="N1023" s="277"/>
      <c r="O1023" s="315"/>
      <c r="P1023" s="344">
        <f t="shared" si="69"/>
        <v>0</v>
      </c>
      <c r="Q1023" s="321"/>
      <c r="R1023" s="672" t="b">
        <v>0</v>
      </c>
      <c r="S1023" s="318"/>
      <c r="T1023" s="319"/>
      <c r="U1023" s="315"/>
      <c r="V1023" s="162"/>
      <c r="W1023" s="149"/>
      <c r="X1023" s="163"/>
      <c r="Y1023" s="162"/>
      <c r="Z1023" s="164"/>
      <c r="AA1023" s="116"/>
      <c r="AB1023" s="116"/>
      <c r="AC1023" s="165"/>
      <c r="AD1023" s="675" t="str">
        <f t="shared" si="76"/>
        <v/>
      </c>
      <c r="AE1023" s="166"/>
      <c r="AF1023" s="149" t="b">
        <v>0</v>
      </c>
      <c r="AG1023" s="166"/>
      <c r="AH1023" s="149" t="b">
        <v>0</v>
      </c>
      <c r="AI1023" s="162"/>
      <c r="AJ1023" s="143"/>
      <c r="AK1023" s="143"/>
      <c r="AL1023" s="1112"/>
      <c r="AM1023" s="1112"/>
      <c r="AN1023" s="1112"/>
      <c r="AO1023" s="1112"/>
      <c r="AP1023" s="1112"/>
      <c r="AQ1023" s="1112"/>
    </row>
    <row r="1024" ht="22.5" customHeight="1">
      <c r="A1024" s="166"/>
      <c r="B1024" s="1111"/>
      <c r="C1024" s="524"/>
      <c r="D1024" s="1110"/>
      <c r="E1024" s="669"/>
      <c r="F1024" s="524"/>
      <c r="G1024" s="165"/>
      <c r="H1024" s="669"/>
      <c r="I1024" s="669"/>
      <c r="J1024" s="352"/>
      <c r="K1024" s="271" t="str">
        <f t="shared" si="74"/>
        <v/>
      </c>
      <c r="L1024" s="297"/>
      <c r="M1024" s="334"/>
      <c r="N1024" s="277"/>
      <c r="O1024" s="315"/>
      <c r="P1024" s="344">
        <f t="shared" si="69"/>
        <v>0</v>
      </c>
      <c r="Q1024" s="321"/>
      <c r="R1024" s="672" t="b">
        <v>0</v>
      </c>
      <c r="S1024" s="318"/>
      <c r="T1024" s="319"/>
      <c r="U1024" s="315"/>
      <c r="V1024" s="162"/>
      <c r="W1024" s="149"/>
      <c r="X1024" s="163"/>
      <c r="Y1024" s="162"/>
      <c r="Z1024" s="164"/>
      <c r="AA1024" s="116"/>
      <c r="AB1024" s="116"/>
      <c r="AC1024" s="165"/>
      <c r="AD1024" s="675" t="str">
        <f t="shared" si="76"/>
        <v/>
      </c>
      <c r="AE1024" s="166"/>
      <c r="AF1024" s="149" t="b">
        <v>0</v>
      </c>
      <c r="AG1024" s="166"/>
      <c r="AH1024" s="149" t="b">
        <v>0</v>
      </c>
      <c r="AI1024" s="162"/>
      <c r="AJ1024" s="143"/>
      <c r="AK1024" s="143"/>
      <c r="AL1024" s="1112"/>
      <c r="AM1024" s="1112"/>
      <c r="AN1024" s="1112"/>
      <c r="AO1024" s="1112"/>
      <c r="AP1024" s="1112"/>
      <c r="AQ1024" s="1112"/>
    </row>
    <row r="1025" ht="22.5" customHeight="1">
      <c r="A1025" s="166"/>
      <c r="B1025" s="1111"/>
      <c r="C1025" s="524"/>
      <c r="D1025" s="1110"/>
      <c r="E1025" s="669"/>
      <c r="F1025" s="524"/>
      <c r="G1025" s="165"/>
      <c r="H1025" s="669"/>
      <c r="I1025" s="669"/>
      <c r="J1025" s="352"/>
      <c r="K1025" s="271" t="str">
        <f t="shared" si="74"/>
        <v/>
      </c>
      <c r="L1025" s="297"/>
      <c r="M1025" s="334"/>
      <c r="N1025" s="277"/>
      <c r="O1025" s="315"/>
      <c r="P1025" s="344">
        <f t="shared" si="69"/>
        <v>0</v>
      </c>
      <c r="Q1025" s="321"/>
      <c r="R1025" s="672" t="b">
        <v>0</v>
      </c>
      <c r="S1025" s="318"/>
      <c r="T1025" s="319"/>
      <c r="U1025" s="315"/>
      <c r="V1025" s="162"/>
      <c r="W1025" s="149"/>
      <c r="X1025" s="163"/>
      <c r="Y1025" s="162"/>
      <c r="Z1025" s="164"/>
      <c r="AA1025" s="116"/>
      <c r="AB1025" s="116"/>
      <c r="AC1025" s="165"/>
      <c r="AD1025" s="675" t="str">
        <f t="shared" si="76"/>
        <v/>
      </c>
      <c r="AE1025" s="166"/>
      <c r="AF1025" s="149" t="b">
        <v>0</v>
      </c>
      <c r="AG1025" s="166"/>
      <c r="AH1025" s="149" t="b">
        <v>0</v>
      </c>
      <c r="AI1025" s="162"/>
      <c r="AJ1025" s="143"/>
      <c r="AK1025" s="143"/>
      <c r="AL1025" s="1112"/>
      <c r="AM1025" s="1112"/>
      <c r="AN1025" s="1112"/>
      <c r="AO1025" s="1112"/>
      <c r="AP1025" s="1112"/>
      <c r="AQ1025" s="1112"/>
    </row>
    <row r="1026" ht="22.5" customHeight="1">
      <c r="A1026" s="166"/>
      <c r="B1026" s="1111"/>
      <c r="C1026" s="524"/>
      <c r="D1026" s="1110"/>
      <c r="E1026" s="669"/>
      <c r="F1026" s="524"/>
      <c r="G1026" s="165"/>
      <c r="H1026" s="669"/>
      <c r="I1026" s="669"/>
      <c r="J1026" s="352"/>
      <c r="K1026" s="271" t="str">
        <f t="shared" si="74"/>
        <v/>
      </c>
      <c r="L1026" s="297"/>
      <c r="M1026" s="334"/>
      <c r="N1026" s="277"/>
      <c r="O1026" s="315"/>
      <c r="P1026" s="344">
        <f t="shared" si="69"/>
        <v>0</v>
      </c>
      <c r="Q1026" s="321"/>
      <c r="R1026" s="672" t="b">
        <v>0</v>
      </c>
      <c r="S1026" s="318"/>
      <c r="T1026" s="319"/>
      <c r="U1026" s="315"/>
      <c r="V1026" s="162"/>
      <c r="W1026" s="149"/>
      <c r="X1026" s="163"/>
      <c r="Y1026" s="162"/>
      <c r="Z1026" s="164"/>
      <c r="AA1026" s="116"/>
      <c r="AB1026" s="116"/>
      <c r="AC1026" s="165"/>
      <c r="AD1026" s="675" t="str">
        <f t="shared" si="76"/>
        <v/>
      </c>
      <c r="AE1026" s="166"/>
      <c r="AF1026" s="149" t="b">
        <v>0</v>
      </c>
      <c r="AG1026" s="166"/>
      <c r="AH1026" s="149" t="b">
        <v>0</v>
      </c>
      <c r="AI1026" s="162"/>
      <c r="AJ1026" s="143"/>
      <c r="AK1026" s="143"/>
      <c r="AL1026" s="1112"/>
      <c r="AM1026" s="1112"/>
      <c r="AN1026" s="1112"/>
      <c r="AO1026" s="1112"/>
      <c r="AP1026" s="1112"/>
      <c r="AQ1026" s="1112"/>
    </row>
    <row r="1027" ht="22.5" customHeight="1">
      <c r="A1027" s="166"/>
      <c r="B1027" s="1111"/>
      <c r="C1027" s="524"/>
      <c r="D1027" s="1110"/>
      <c r="E1027" s="669"/>
      <c r="F1027" s="524"/>
      <c r="G1027" s="165"/>
      <c r="H1027" s="669"/>
      <c r="I1027" s="669"/>
      <c r="J1027" s="352"/>
      <c r="K1027" s="271" t="str">
        <f t="shared" si="74"/>
        <v/>
      </c>
      <c r="L1027" s="297"/>
      <c r="M1027" s="334"/>
      <c r="N1027" s="277"/>
      <c r="O1027" s="315"/>
      <c r="P1027" s="344">
        <f t="shared" si="69"/>
        <v>0</v>
      </c>
      <c r="Q1027" s="321"/>
      <c r="R1027" s="672" t="b">
        <v>0</v>
      </c>
      <c r="S1027" s="318"/>
      <c r="T1027" s="319"/>
      <c r="U1027" s="315"/>
      <c r="V1027" s="162"/>
      <c r="W1027" s="149"/>
      <c r="X1027" s="163"/>
      <c r="Y1027" s="162"/>
      <c r="Z1027" s="164"/>
      <c r="AA1027" s="116"/>
      <c r="AB1027" s="116"/>
      <c r="AC1027" s="165"/>
      <c r="AD1027" s="675" t="str">
        <f t="shared" si="76"/>
        <v/>
      </c>
      <c r="AE1027" s="166"/>
      <c r="AF1027" s="149" t="b">
        <v>0</v>
      </c>
      <c r="AG1027" s="166"/>
      <c r="AH1027" s="149" t="b">
        <v>0</v>
      </c>
      <c r="AI1027" s="162"/>
      <c r="AJ1027" s="143"/>
      <c r="AK1027" s="143"/>
      <c r="AL1027" s="1112"/>
      <c r="AM1027" s="1112"/>
      <c r="AN1027" s="1112"/>
      <c r="AO1027" s="1112"/>
      <c r="AP1027" s="1112"/>
      <c r="AQ1027" s="1112"/>
    </row>
    <row r="1028" ht="22.5" customHeight="1">
      <c r="A1028" s="166"/>
      <c r="B1028" s="1111"/>
      <c r="C1028" s="524"/>
      <c r="D1028" s="1110"/>
      <c r="E1028" s="669"/>
      <c r="F1028" s="524"/>
      <c r="G1028" s="165"/>
      <c r="H1028" s="669"/>
      <c r="I1028" s="669"/>
      <c r="J1028" s="352"/>
      <c r="K1028" s="271" t="str">
        <f t="shared" si="74"/>
        <v/>
      </c>
      <c r="L1028" s="297"/>
      <c r="M1028" s="334"/>
      <c r="N1028" s="277"/>
      <c r="O1028" s="315"/>
      <c r="P1028" s="344">
        <f t="shared" si="69"/>
        <v>0</v>
      </c>
      <c r="Q1028" s="321"/>
      <c r="R1028" s="672" t="b">
        <v>0</v>
      </c>
      <c r="S1028" s="318"/>
      <c r="T1028" s="319"/>
      <c r="U1028" s="315"/>
      <c r="V1028" s="162"/>
      <c r="W1028" s="149"/>
      <c r="X1028" s="163"/>
      <c r="Y1028" s="162"/>
      <c r="Z1028" s="164"/>
      <c r="AA1028" s="116"/>
      <c r="AB1028" s="116"/>
      <c r="AC1028" s="165"/>
      <c r="AD1028" s="675" t="str">
        <f t="shared" si="76"/>
        <v/>
      </c>
      <c r="AE1028" s="166"/>
      <c r="AF1028" s="149" t="b">
        <v>0</v>
      </c>
      <c r="AG1028" s="166"/>
      <c r="AH1028" s="149" t="b">
        <v>0</v>
      </c>
      <c r="AI1028" s="162"/>
      <c r="AJ1028" s="143"/>
      <c r="AK1028" s="143"/>
      <c r="AL1028" s="1112"/>
      <c r="AM1028" s="1112"/>
      <c r="AN1028" s="1112"/>
      <c r="AO1028" s="1112"/>
      <c r="AP1028" s="1112"/>
      <c r="AQ1028" s="1112"/>
    </row>
    <row r="1029" ht="22.5" customHeight="1">
      <c r="A1029" s="166"/>
      <c r="B1029" s="1111"/>
      <c r="C1029" s="524"/>
      <c r="D1029" s="1110"/>
      <c r="E1029" s="669"/>
      <c r="F1029" s="524"/>
      <c r="G1029" s="165"/>
      <c r="H1029" s="669"/>
      <c r="I1029" s="669"/>
      <c r="J1029" s="352"/>
      <c r="K1029" s="271" t="str">
        <f t="shared" si="74"/>
        <v/>
      </c>
      <c r="L1029" s="297"/>
      <c r="M1029" s="334"/>
      <c r="N1029" s="277"/>
      <c r="O1029" s="315"/>
      <c r="P1029" s="344">
        <f t="shared" si="69"/>
        <v>0</v>
      </c>
      <c r="Q1029" s="321"/>
      <c r="R1029" s="672" t="b">
        <v>0</v>
      </c>
      <c r="S1029" s="318"/>
      <c r="T1029" s="319"/>
      <c r="U1029" s="315"/>
      <c r="V1029" s="162"/>
      <c r="W1029" s="149"/>
      <c r="X1029" s="163"/>
      <c r="Y1029" s="162"/>
      <c r="Z1029" s="164"/>
      <c r="AA1029" s="116"/>
      <c r="AB1029" s="116"/>
      <c r="AC1029" s="165"/>
      <c r="AD1029" s="675" t="str">
        <f t="shared" si="76"/>
        <v/>
      </c>
      <c r="AE1029" s="166"/>
      <c r="AF1029" s="149" t="b">
        <v>0</v>
      </c>
      <c r="AG1029" s="166"/>
      <c r="AH1029" s="149" t="b">
        <v>0</v>
      </c>
      <c r="AI1029" s="162"/>
      <c r="AJ1029" s="143"/>
      <c r="AK1029" s="143"/>
      <c r="AL1029" s="1112"/>
      <c r="AM1029" s="1112"/>
      <c r="AN1029" s="1112"/>
      <c r="AO1029" s="1112"/>
      <c r="AP1029" s="1112"/>
      <c r="AQ1029" s="1112"/>
    </row>
    <row r="1030" ht="22.5" customHeight="1">
      <c r="A1030" s="166"/>
      <c r="B1030" s="1111"/>
      <c r="C1030" s="524"/>
      <c r="D1030" s="1110"/>
      <c r="E1030" s="669"/>
      <c r="F1030" s="524"/>
      <c r="G1030" s="165"/>
      <c r="H1030" s="669"/>
      <c r="I1030" s="669"/>
      <c r="J1030" s="352"/>
      <c r="K1030" s="271" t="str">
        <f t="shared" si="74"/>
        <v/>
      </c>
      <c r="L1030" s="297"/>
      <c r="M1030" s="334"/>
      <c r="N1030" s="277"/>
      <c r="O1030" s="315"/>
      <c r="P1030" s="344">
        <f t="shared" si="69"/>
        <v>0</v>
      </c>
      <c r="Q1030" s="321"/>
      <c r="R1030" s="672" t="b">
        <v>0</v>
      </c>
      <c r="S1030" s="318"/>
      <c r="T1030" s="319"/>
      <c r="U1030" s="315"/>
      <c r="V1030" s="162"/>
      <c r="W1030" s="149"/>
      <c r="X1030" s="163"/>
      <c r="Y1030" s="162"/>
      <c r="Z1030" s="164"/>
      <c r="AA1030" s="116"/>
      <c r="AB1030" s="116"/>
      <c r="AC1030" s="165"/>
      <c r="AD1030" s="675" t="str">
        <f t="shared" si="76"/>
        <v/>
      </c>
      <c r="AE1030" s="166"/>
      <c r="AF1030" s="149" t="b">
        <v>0</v>
      </c>
      <c r="AG1030" s="166"/>
      <c r="AH1030" s="149" t="b">
        <v>0</v>
      </c>
      <c r="AI1030" s="162"/>
      <c r="AJ1030" s="143"/>
      <c r="AK1030" s="143"/>
      <c r="AL1030" s="1112"/>
      <c r="AM1030" s="1112"/>
      <c r="AN1030" s="1112"/>
      <c r="AO1030" s="1112"/>
      <c r="AP1030" s="1112"/>
      <c r="AQ1030" s="1112"/>
    </row>
    <row r="1031" ht="22.5" customHeight="1">
      <c r="A1031" s="166"/>
      <c r="B1031" s="1111"/>
      <c r="C1031" s="524"/>
      <c r="D1031" s="1110"/>
      <c r="E1031" s="669"/>
      <c r="F1031" s="524"/>
      <c r="G1031" s="165"/>
      <c r="H1031" s="669"/>
      <c r="I1031" s="669"/>
      <c r="J1031" s="352"/>
      <c r="K1031" s="271" t="str">
        <f t="shared" si="74"/>
        <v/>
      </c>
      <c r="L1031" s="297"/>
      <c r="M1031" s="334"/>
      <c r="N1031" s="277"/>
      <c r="O1031" s="315"/>
      <c r="P1031" s="344">
        <f t="shared" si="69"/>
        <v>0</v>
      </c>
      <c r="Q1031" s="321"/>
      <c r="R1031" s="672" t="b">
        <v>0</v>
      </c>
      <c r="S1031" s="318"/>
      <c r="T1031" s="319"/>
      <c r="U1031" s="315"/>
      <c r="V1031" s="162"/>
      <c r="W1031" s="149"/>
      <c r="X1031" s="163"/>
      <c r="Y1031" s="162"/>
      <c r="Z1031" s="164"/>
      <c r="AA1031" s="116"/>
      <c r="AB1031" s="116"/>
      <c r="AC1031" s="165"/>
      <c r="AD1031" s="675" t="str">
        <f t="shared" si="76"/>
        <v/>
      </c>
      <c r="AE1031" s="166"/>
      <c r="AF1031" s="149" t="b">
        <v>0</v>
      </c>
      <c r="AG1031" s="166"/>
      <c r="AH1031" s="149" t="b">
        <v>0</v>
      </c>
      <c r="AI1031" s="162"/>
      <c r="AJ1031" s="143"/>
      <c r="AK1031" s="143"/>
      <c r="AL1031" s="1112"/>
      <c r="AM1031" s="1112"/>
      <c r="AN1031" s="1112"/>
      <c r="AO1031" s="1112"/>
      <c r="AP1031" s="1112"/>
      <c r="AQ1031" s="1112"/>
    </row>
    <row r="1032" ht="22.5" customHeight="1">
      <c r="A1032" s="166"/>
      <c r="B1032" s="1111"/>
      <c r="C1032" s="524"/>
      <c r="D1032" s="1110"/>
      <c r="E1032" s="669"/>
      <c r="F1032" s="524"/>
      <c r="G1032" s="165"/>
      <c r="H1032" s="669"/>
      <c r="I1032" s="669"/>
      <c r="J1032" s="352"/>
      <c r="K1032" s="271" t="str">
        <f t="shared" si="74"/>
        <v/>
      </c>
      <c r="L1032" s="297"/>
      <c r="M1032" s="334"/>
      <c r="N1032" s="277"/>
      <c r="O1032" s="315"/>
      <c r="P1032" s="344">
        <f t="shared" si="69"/>
        <v>0</v>
      </c>
      <c r="Q1032" s="321"/>
      <c r="R1032" s="672" t="b">
        <v>0</v>
      </c>
      <c r="S1032" s="318"/>
      <c r="T1032" s="319"/>
      <c r="U1032" s="315"/>
      <c r="V1032" s="162"/>
      <c r="W1032" s="149"/>
      <c r="X1032" s="163"/>
      <c r="Y1032" s="162"/>
      <c r="Z1032" s="164"/>
      <c r="AA1032" s="116"/>
      <c r="AB1032" s="116"/>
      <c r="AC1032" s="165"/>
      <c r="AD1032" s="675" t="str">
        <f t="shared" si="76"/>
        <v/>
      </c>
      <c r="AE1032" s="166"/>
      <c r="AF1032" s="149" t="b">
        <v>0</v>
      </c>
      <c r="AG1032" s="166"/>
      <c r="AH1032" s="149" t="b">
        <v>0</v>
      </c>
      <c r="AI1032" s="162"/>
      <c r="AJ1032" s="143"/>
      <c r="AK1032" s="143"/>
      <c r="AL1032" s="1112"/>
      <c r="AM1032" s="1112"/>
      <c r="AN1032" s="1112"/>
      <c r="AO1032" s="1112"/>
      <c r="AP1032" s="1112"/>
      <c r="AQ1032" s="1112"/>
    </row>
    <row r="1033" ht="22.5" customHeight="1">
      <c r="A1033" s="166"/>
      <c r="B1033" s="1111"/>
      <c r="C1033" s="524"/>
      <c r="D1033" s="1110"/>
      <c r="E1033" s="669"/>
      <c r="F1033" s="524"/>
      <c r="G1033" s="165"/>
      <c r="H1033" s="669"/>
      <c r="I1033" s="669"/>
      <c r="J1033" s="352"/>
      <c r="K1033" s="271" t="str">
        <f t="shared" si="74"/>
        <v/>
      </c>
      <c r="L1033" s="297"/>
      <c r="M1033" s="334"/>
      <c r="N1033" s="277"/>
      <c r="O1033" s="315"/>
      <c r="P1033" s="344">
        <f t="shared" si="69"/>
        <v>0</v>
      </c>
      <c r="Q1033" s="321"/>
      <c r="R1033" s="672" t="b">
        <v>0</v>
      </c>
      <c r="S1033" s="318"/>
      <c r="T1033" s="319"/>
      <c r="U1033" s="315"/>
      <c r="V1033" s="162"/>
      <c r="W1033" s="149"/>
      <c r="X1033" s="163"/>
      <c r="Y1033" s="162"/>
      <c r="Z1033" s="164"/>
      <c r="AA1033" s="116"/>
      <c r="AB1033" s="116"/>
      <c r="AC1033" s="165"/>
      <c r="AD1033" s="675" t="str">
        <f t="shared" si="76"/>
        <v/>
      </c>
      <c r="AE1033" s="166"/>
      <c r="AF1033" s="149" t="b">
        <v>0</v>
      </c>
      <c r="AG1033" s="166"/>
      <c r="AH1033" s="149" t="b">
        <v>0</v>
      </c>
      <c r="AI1033" s="162"/>
      <c r="AJ1033" s="143"/>
      <c r="AK1033" s="143"/>
      <c r="AL1033" s="1112"/>
      <c r="AM1033" s="1112"/>
      <c r="AN1033" s="1112"/>
      <c r="AO1033" s="1112"/>
      <c r="AP1033" s="1112"/>
      <c r="AQ1033" s="1112"/>
    </row>
    <row r="1034" ht="22.5" customHeight="1">
      <c r="A1034" s="166"/>
      <c r="B1034" s="1111"/>
      <c r="C1034" s="524"/>
      <c r="D1034" s="1110"/>
      <c r="E1034" s="669"/>
      <c r="F1034" s="524"/>
      <c r="G1034" s="165"/>
      <c r="H1034" s="669"/>
      <c r="I1034" s="669"/>
      <c r="J1034" s="352"/>
      <c r="K1034" s="271" t="str">
        <f t="shared" si="74"/>
        <v/>
      </c>
      <c r="L1034" s="297"/>
      <c r="M1034" s="334"/>
      <c r="N1034" s="277"/>
      <c r="O1034" s="315"/>
      <c r="P1034" s="344">
        <f t="shared" si="69"/>
        <v>0</v>
      </c>
      <c r="Q1034" s="321"/>
      <c r="R1034" s="672" t="b">
        <v>0</v>
      </c>
      <c r="S1034" s="318"/>
      <c r="T1034" s="319"/>
      <c r="U1034" s="315"/>
      <c r="V1034" s="162"/>
      <c r="W1034" s="149"/>
      <c r="X1034" s="163"/>
      <c r="Y1034" s="162"/>
      <c r="Z1034" s="164"/>
      <c r="AA1034" s="116"/>
      <c r="AB1034" s="116"/>
      <c r="AC1034" s="165"/>
      <c r="AD1034" s="675" t="str">
        <f t="shared" si="76"/>
        <v/>
      </c>
      <c r="AE1034" s="166"/>
      <c r="AF1034" s="149" t="b">
        <v>0</v>
      </c>
      <c r="AG1034" s="166"/>
      <c r="AH1034" s="149" t="b">
        <v>0</v>
      </c>
      <c r="AI1034" s="162"/>
      <c r="AJ1034" s="143"/>
      <c r="AK1034" s="143"/>
      <c r="AL1034" s="1112"/>
      <c r="AM1034" s="1112"/>
      <c r="AN1034" s="1112"/>
      <c r="AO1034" s="1112"/>
      <c r="AP1034" s="1112"/>
      <c r="AQ1034" s="1112"/>
    </row>
    <row r="1035" ht="22.5" customHeight="1">
      <c r="A1035" s="166"/>
      <c r="B1035" s="1111"/>
      <c r="C1035" s="524"/>
      <c r="D1035" s="1110"/>
      <c r="E1035" s="669"/>
      <c r="F1035" s="524"/>
      <c r="G1035" s="165"/>
      <c r="H1035" s="669"/>
      <c r="I1035" s="669"/>
      <c r="J1035" s="352"/>
      <c r="K1035" s="271" t="str">
        <f t="shared" si="74"/>
        <v/>
      </c>
      <c r="L1035" s="297"/>
      <c r="M1035" s="334"/>
      <c r="N1035" s="277"/>
      <c r="O1035" s="315"/>
      <c r="P1035" s="344">
        <f t="shared" si="69"/>
        <v>0</v>
      </c>
      <c r="Q1035" s="321"/>
      <c r="R1035" s="672" t="b">
        <v>0</v>
      </c>
      <c r="S1035" s="318"/>
      <c r="T1035" s="319"/>
      <c r="U1035" s="315"/>
      <c r="V1035" s="162"/>
      <c r="W1035" s="149"/>
      <c r="X1035" s="163"/>
      <c r="Y1035" s="162"/>
      <c r="Z1035" s="164"/>
      <c r="AA1035" s="116"/>
      <c r="AB1035" s="116"/>
      <c r="AC1035" s="165"/>
      <c r="AD1035" s="675" t="str">
        <f t="shared" si="76"/>
        <v/>
      </c>
      <c r="AE1035" s="166"/>
      <c r="AF1035" s="149" t="b">
        <v>0</v>
      </c>
      <c r="AG1035" s="166"/>
      <c r="AH1035" s="149" t="b">
        <v>0</v>
      </c>
      <c r="AI1035" s="162"/>
      <c r="AJ1035" s="143"/>
      <c r="AK1035" s="143"/>
      <c r="AL1035" s="1112"/>
      <c r="AM1035" s="1112"/>
      <c r="AN1035" s="1112"/>
      <c r="AO1035" s="1112"/>
      <c r="AP1035" s="1112"/>
      <c r="AQ1035" s="1112"/>
    </row>
    <row r="1036" ht="22.5" customHeight="1">
      <c r="A1036" s="166"/>
      <c r="B1036" s="1111"/>
      <c r="C1036" s="524"/>
      <c r="D1036" s="1110"/>
      <c r="E1036" s="669"/>
      <c r="F1036" s="524"/>
      <c r="G1036" s="165"/>
      <c r="H1036" s="669"/>
      <c r="I1036" s="669"/>
      <c r="J1036" s="352"/>
      <c r="K1036" s="271" t="str">
        <f t="shared" si="74"/>
        <v/>
      </c>
      <c r="L1036" s="297"/>
      <c r="M1036" s="334"/>
      <c r="N1036" s="277"/>
      <c r="O1036" s="315"/>
      <c r="P1036" s="344">
        <f t="shared" si="69"/>
        <v>0</v>
      </c>
      <c r="Q1036" s="321"/>
      <c r="R1036" s="672" t="b">
        <v>0</v>
      </c>
      <c r="S1036" s="318"/>
      <c r="T1036" s="319"/>
      <c r="U1036" s="315"/>
      <c r="V1036" s="162"/>
      <c r="W1036" s="149"/>
      <c r="X1036" s="163"/>
      <c r="Y1036" s="162"/>
      <c r="Z1036" s="164"/>
      <c r="AA1036" s="116"/>
      <c r="AB1036" s="116"/>
      <c r="AC1036" s="165"/>
      <c r="AD1036" s="675" t="str">
        <f t="shared" si="76"/>
        <v/>
      </c>
      <c r="AE1036" s="166"/>
      <c r="AF1036" s="149" t="b">
        <v>0</v>
      </c>
      <c r="AG1036" s="166"/>
      <c r="AH1036" s="149" t="b">
        <v>0</v>
      </c>
      <c r="AI1036" s="162"/>
      <c r="AJ1036" s="143"/>
      <c r="AK1036" s="143"/>
      <c r="AL1036" s="1112"/>
      <c r="AM1036" s="1112"/>
      <c r="AN1036" s="1112"/>
      <c r="AO1036" s="1112"/>
      <c r="AP1036" s="1112"/>
      <c r="AQ1036" s="1112"/>
    </row>
    <row r="1037" ht="22.5" customHeight="1">
      <c r="A1037" s="166"/>
      <c r="B1037" s="1111"/>
      <c r="C1037" s="524"/>
      <c r="D1037" s="1110"/>
      <c r="E1037" s="669"/>
      <c r="F1037" s="524"/>
      <c r="G1037" s="165"/>
      <c r="H1037" s="669"/>
      <c r="I1037" s="669"/>
      <c r="J1037" s="352"/>
      <c r="K1037" s="271" t="str">
        <f t="shared" si="74"/>
        <v/>
      </c>
      <c r="L1037" s="297"/>
      <c r="M1037" s="334"/>
      <c r="N1037" s="277"/>
      <c r="O1037" s="315"/>
      <c r="P1037" s="344">
        <f t="shared" si="69"/>
        <v>0</v>
      </c>
      <c r="Q1037" s="321"/>
      <c r="R1037" s="672" t="b">
        <v>0</v>
      </c>
      <c r="S1037" s="318"/>
      <c r="T1037" s="319"/>
      <c r="U1037" s="315"/>
      <c r="V1037" s="162"/>
      <c r="W1037" s="149"/>
      <c r="X1037" s="163"/>
      <c r="Y1037" s="162"/>
      <c r="Z1037" s="164"/>
      <c r="AA1037" s="116"/>
      <c r="AB1037" s="116"/>
      <c r="AC1037" s="165"/>
      <c r="AD1037" s="675" t="str">
        <f t="shared" si="76"/>
        <v/>
      </c>
      <c r="AE1037" s="166"/>
      <c r="AF1037" s="149" t="b">
        <v>0</v>
      </c>
      <c r="AG1037" s="166"/>
      <c r="AH1037" s="149" t="b">
        <v>0</v>
      </c>
      <c r="AI1037" s="162"/>
      <c r="AJ1037" s="143"/>
      <c r="AK1037" s="143"/>
      <c r="AL1037" s="1112"/>
      <c r="AM1037" s="1112"/>
      <c r="AN1037" s="1112"/>
      <c r="AO1037" s="1112"/>
      <c r="AP1037" s="1112"/>
      <c r="AQ1037" s="1112"/>
    </row>
    <row r="1038" ht="22.5" customHeight="1">
      <c r="A1038" s="166"/>
      <c r="B1038" s="1111"/>
      <c r="C1038" s="524"/>
      <c r="D1038" s="1110"/>
      <c r="E1038" s="669"/>
      <c r="F1038" s="524"/>
      <c r="G1038" s="165"/>
      <c r="H1038" s="669"/>
      <c r="I1038" s="669"/>
      <c r="J1038" s="352"/>
      <c r="K1038" s="271" t="str">
        <f t="shared" si="74"/>
        <v/>
      </c>
      <c r="L1038" s="297"/>
      <c r="M1038" s="334"/>
      <c r="N1038" s="277"/>
      <c r="O1038" s="315"/>
      <c r="P1038" s="344">
        <f t="shared" si="69"/>
        <v>0</v>
      </c>
      <c r="Q1038" s="321"/>
      <c r="R1038" s="672" t="b">
        <v>0</v>
      </c>
      <c r="S1038" s="318"/>
      <c r="T1038" s="319"/>
      <c r="U1038" s="315"/>
      <c r="V1038" s="162"/>
      <c r="W1038" s="149"/>
      <c r="X1038" s="163"/>
      <c r="Y1038" s="162"/>
      <c r="Z1038" s="164"/>
      <c r="AA1038" s="116"/>
      <c r="AB1038" s="116"/>
      <c r="AC1038" s="165"/>
      <c r="AD1038" s="675" t="str">
        <f t="shared" si="76"/>
        <v/>
      </c>
      <c r="AE1038" s="166"/>
      <c r="AF1038" s="149" t="b">
        <v>0</v>
      </c>
      <c r="AG1038" s="166"/>
      <c r="AH1038" s="149" t="b">
        <v>0</v>
      </c>
      <c r="AI1038" s="162"/>
      <c r="AJ1038" s="143"/>
      <c r="AK1038" s="143"/>
      <c r="AL1038" s="1112"/>
      <c r="AM1038" s="1112"/>
      <c r="AN1038" s="1112"/>
      <c r="AO1038" s="1112"/>
      <c r="AP1038" s="1112"/>
      <c r="AQ1038" s="1112"/>
    </row>
    <row r="1039" ht="22.5" customHeight="1">
      <c r="A1039" s="166"/>
      <c r="B1039" s="1111"/>
      <c r="C1039" s="524"/>
      <c r="D1039" s="1110"/>
      <c r="E1039" s="669"/>
      <c r="F1039" s="524"/>
      <c r="G1039" s="165"/>
      <c r="H1039" s="669"/>
      <c r="I1039" s="669"/>
      <c r="J1039" s="352"/>
      <c r="K1039" s="271" t="str">
        <f t="shared" si="74"/>
        <v/>
      </c>
      <c r="L1039" s="297"/>
      <c r="M1039" s="334"/>
      <c r="N1039" s="277"/>
      <c r="O1039" s="315"/>
      <c r="P1039" s="344">
        <f t="shared" si="69"/>
        <v>0</v>
      </c>
      <c r="Q1039" s="321"/>
      <c r="R1039" s="672" t="b">
        <v>0</v>
      </c>
      <c r="S1039" s="318"/>
      <c r="T1039" s="319"/>
      <c r="U1039" s="315"/>
      <c r="V1039" s="162"/>
      <c r="W1039" s="149"/>
      <c r="X1039" s="163"/>
      <c r="Y1039" s="162"/>
      <c r="Z1039" s="164"/>
      <c r="AA1039" s="116"/>
      <c r="AB1039" s="116"/>
      <c r="AC1039" s="165"/>
      <c r="AD1039" s="675" t="str">
        <f t="shared" si="76"/>
        <v/>
      </c>
      <c r="AE1039" s="166"/>
      <c r="AF1039" s="149" t="b">
        <v>0</v>
      </c>
      <c r="AG1039" s="166"/>
      <c r="AH1039" s="149" t="b">
        <v>0</v>
      </c>
      <c r="AI1039" s="162"/>
      <c r="AJ1039" s="143"/>
      <c r="AK1039" s="143"/>
      <c r="AL1039" s="1112"/>
      <c r="AM1039" s="1112"/>
      <c r="AN1039" s="1112"/>
      <c r="AO1039" s="1112"/>
      <c r="AP1039" s="1112"/>
      <c r="AQ1039" s="1112"/>
    </row>
    <row r="1040" ht="22.5" customHeight="1">
      <c r="A1040" s="166"/>
      <c r="B1040" s="1111"/>
      <c r="C1040" s="524"/>
      <c r="D1040" s="1110"/>
      <c r="E1040" s="669"/>
      <c r="F1040" s="524"/>
      <c r="G1040" s="165"/>
      <c r="H1040" s="669"/>
      <c r="I1040" s="669"/>
      <c r="J1040" s="352"/>
      <c r="K1040" s="271" t="str">
        <f t="shared" si="74"/>
        <v/>
      </c>
      <c r="L1040" s="297"/>
      <c r="M1040" s="334"/>
      <c r="N1040" s="277"/>
      <c r="O1040" s="315"/>
      <c r="P1040" s="344">
        <f t="shared" si="69"/>
        <v>0</v>
      </c>
      <c r="Q1040" s="321"/>
      <c r="R1040" s="672" t="b">
        <v>0</v>
      </c>
      <c r="S1040" s="318"/>
      <c r="T1040" s="319"/>
      <c r="U1040" s="315"/>
      <c r="V1040" s="162"/>
      <c r="W1040" s="149"/>
      <c r="X1040" s="163"/>
      <c r="Y1040" s="162"/>
      <c r="Z1040" s="164"/>
      <c r="AA1040" s="116"/>
      <c r="AB1040" s="116"/>
      <c r="AC1040" s="165"/>
      <c r="AD1040" s="675" t="str">
        <f t="shared" si="76"/>
        <v/>
      </c>
      <c r="AE1040" s="166"/>
      <c r="AF1040" s="149" t="b">
        <v>0</v>
      </c>
      <c r="AG1040" s="166"/>
      <c r="AH1040" s="149" t="b">
        <v>0</v>
      </c>
      <c r="AI1040" s="162"/>
      <c r="AJ1040" s="143"/>
      <c r="AK1040" s="143"/>
      <c r="AL1040" s="1112"/>
      <c r="AM1040" s="1112"/>
      <c r="AN1040" s="1112"/>
      <c r="AO1040" s="1112"/>
      <c r="AP1040" s="1112"/>
      <c r="AQ1040" s="1112"/>
    </row>
    <row r="1041" ht="22.5" customHeight="1">
      <c r="A1041" s="166"/>
      <c r="B1041" s="1111"/>
      <c r="C1041" s="524"/>
      <c r="D1041" s="1110"/>
      <c r="E1041" s="669"/>
      <c r="F1041" s="524"/>
      <c r="G1041" s="165"/>
      <c r="H1041" s="669"/>
      <c r="I1041" s="669"/>
      <c r="J1041" s="352"/>
      <c r="K1041" s="271" t="str">
        <f t="shared" si="74"/>
        <v/>
      </c>
      <c r="L1041" s="297"/>
      <c r="M1041" s="334"/>
      <c r="N1041" s="277"/>
      <c r="O1041" s="315"/>
      <c r="P1041" s="344">
        <f t="shared" si="69"/>
        <v>0</v>
      </c>
      <c r="Q1041" s="321"/>
      <c r="R1041" s="672" t="b">
        <v>0</v>
      </c>
      <c r="S1041" s="318"/>
      <c r="T1041" s="319"/>
      <c r="U1041" s="315"/>
      <c r="V1041" s="162"/>
      <c r="W1041" s="149"/>
      <c r="X1041" s="163"/>
      <c r="Y1041" s="162"/>
      <c r="Z1041" s="164"/>
      <c r="AA1041" s="116"/>
      <c r="AB1041" s="116"/>
      <c r="AC1041" s="165"/>
      <c r="AD1041" s="675" t="str">
        <f t="shared" si="76"/>
        <v/>
      </c>
      <c r="AE1041" s="166"/>
      <c r="AF1041" s="149" t="b">
        <v>0</v>
      </c>
      <c r="AG1041" s="166"/>
      <c r="AH1041" s="149" t="b">
        <v>0</v>
      </c>
      <c r="AI1041" s="162"/>
      <c r="AJ1041" s="143"/>
      <c r="AK1041" s="143"/>
      <c r="AL1041" s="1112"/>
      <c r="AM1041" s="1112"/>
      <c r="AN1041" s="1112"/>
      <c r="AO1041" s="1112"/>
      <c r="AP1041" s="1112"/>
      <c r="AQ1041" s="1112"/>
    </row>
    <row r="1042" ht="22.5" customHeight="1">
      <c r="A1042" s="166"/>
      <c r="B1042" s="1111"/>
      <c r="C1042" s="524"/>
      <c r="D1042" s="1110"/>
      <c r="E1042" s="669"/>
      <c r="F1042" s="524"/>
      <c r="G1042" s="165"/>
      <c r="H1042" s="669"/>
      <c r="I1042" s="669"/>
      <c r="J1042" s="352"/>
      <c r="K1042" s="271" t="str">
        <f t="shared" si="74"/>
        <v/>
      </c>
      <c r="L1042" s="297"/>
      <c r="M1042" s="334"/>
      <c r="N1042" s="277"/>
      <c r="O1042" s="315"/>
      <c r="P1042" s="344">
        <f t="shared" si="69"/>
        <v>0</v>
      </c>
      <c r="Q1042" s="321"/>
      <c r="R1042" s="672" t="b">
        <v>0</v>
      </c>
      <c r="S1042" s="318"/>
      <c r="T1042" s="319"/>
      <c r="U1042" s="315"/>
      <c r="V1042" s="162"/>
      <c r="W1042" s="149"/>
      <c r="X1042" s="163"/>
      <c r="Y1042" s="162"/>
      <c r="Z1042" s="164"/>
      <c r="AA1042" s="116"/>
      <c r="AB1042" s="116"/>
      <c r="AC1042" s="165"/>
      <c r="AD1042" s="675" t="str">
        <f t="shared" si="76"/>
        <v/>
      </c>
      <c r="AE1042" s="166"/>
      <c r="AF1042" s="149" t="b">
        <v>0</v>
      </c>
      <c r="AG1042" s="166"/>
      <c r="AH1042" s="149" t="b">
        <v>0</v>
      </c>
      <c r="AI1042" s="162"/>
      <c r="AJ1042" s="143"/>
      <c r="AK1042" s="143"/>
      <c r="AL1042" s="1112"/>
      <c r="AM1042" s="1112"/>
      <c r="AN1042" s="1112"/>
      <c r="AO1042" s="1112"/>
      <c r="AP1042" s="1112"/>
      <c r="AQ1042" s="1112"/>
    </row>
    <row r="1043" ht="22.5" customHeight="1">
      <c r="A1043" s="166"/>
      <c r="B1043" s="1111"/>
      <c r="C1043" s="524"/>
      <c r="D1043" s="1110"/>
      <c r="E1043" s="669"/>
      <c r="F1043" s="524"/>
      <c r="G1043" s="165"/>
      <c r="H1043" s="669"/>
      <c r="I1043" s="669"/>
      <c r="J1043" s="352"/>
      <c r="K1043" s="271" t="str">
        <f t="shared" si="74"/>
        <v/>
      </c>
      <c r="L1043" s="297"/>
      <c r="M1043" s="334"/>
      <c r="N1043" s="277"/>
      <c r="O1043" s="315"/>
      <c r="P1043" s="344">
        <f t="shared" si="69"/>
        <v>0</v>
      </c>
      <c r="Q1043" s="321"/>
      <c r="R1043" s="672" t="b">
        <v>0</v>
      </c>
      <c r="S1043" s="318"/>
      <c r="T1043" s="319"/>
      <c r="U1043" s="315"/>
      <c r="V1043" s="162"/>
      <c r="W1043" s="149"/>
      <c r="X1043" s="163"/>
      <c r="Y1043" s="162"/>
      <c r="Z1043" s="164"/>
      <c r="AA1043" s="116"/>
      <c r="AB1043" s="116"/>
      <c r="AC1043" s="165"/>
      <c r="AD1043" s="675" t="str">
        <f t="shared" si="76"/>
        <v/>
      </c>
      <c r="AE1043" s="166"/>
      <c r="AF1043" s="149" t="b">
        <v>0</v>
      </c>
      <c r="AG1043" s="166"/>
      <c r="AH1043" s="149" t="b">
        <v>0</v>
      </c>
      <c r="AI1043" s="162"/>
      <c r="AJ1043" s="143"/>
      <c r="AK1043" s="143"/>
      <c r="AL1043" s="1112"/>
      <c r="AM1043" s="1112"/>
      <c r="AN1043" s="1112"/>
      <c r="AO1043" s="1112"/>
      <c r="AP1043" s="1112"/>
      <c r="AQ1043" s="1112"/>
    </row>
    <row r="1044" ht="22.5" customHeight="1">
      <c r="A1044" s="166"/>
      <c r="B1044" s="1111"/>
      <c r="C1044" s="524"/>
      <c r="D1044" s="1110"/>
      <c r="E1044" s="669"/>
      <c r="F1044" s="524"/>
      <c r="G1044" s="165"/>
      <c r="H1044" s="669"/>
      <c r="I1044" s="669"/>
      <c r="J1044" s="352"/>
      <c r="K1044" s="271" t="str">
        <f t="shared" si="74"/>
        <v/>
      </c>
      <c r="L1044" s="297"/>
      <c r="M1044" s="334"/>
      <c r="N1044" s="277"/>
      <c r="O1044" s="315"/>
      <c r="P1044" s="344">
        <f t="shared" si="69"/>
        <v>0</v>
      </c>
      <c r="Q1044" s="321"/>
      <c r="R1044" s="672" t="b">
        <v>0</v>
      </c>
      <c r="S1044" s="318"/>
      <c r="T1044" s="319"/>
      <c r="U1044" s="315"/>
      <c r="V1044" s="162"/>
      <c r="W1044" s="149"/>
      <c r="X1044" s="163"/>
      <c r="Y1044" s="162"/>
      <c r="Z1044" s="164"/>
      <c r="AA1044" s="116"/>
      <c r="AB1044" s="116"/>
      <c r="AC1044" s="165"/>
      <c r="AD1044" s="675" t="str">
        <f t="shared" si="76"/>
        <v/>
      </c>
      <c r="AE1044" s="166"/>
      <c r="AF1044" s="149" t="b">
        <v>0</v>
      </c>
      <c r="AG1044" s="166"/>
      <c r="AH1044" s="149" t="b">
        <v>0</v>
      </c>
      <c r="AI1044" s="162"/>
      <c r="AJ1044" s="143"/>
      <c r="AK1044" s="143"/>
      <c r="AL1044" s="1112"/>
      <c r="AM1044" s="1112"/>
      <c r="AN1044" s="1112"/>
      <c r="AO1044" s="1112"/>
      <c r="AP1044" s="1112"/>
      <c r="AQ1044" s="1112"/>
    </row>
    <row r="1045" ht="22.5" customHeight="1">
      <c r="A1045" s="166"/>
      <c r="B1045" s="1111"/>
      <c r="C1045" s="524"/>
      <c r="D1045" s="1110"/>
      <c r="E1045" s="669"/>
      <c r="F1045" s="524"/>
      <c r="G1045" s="165"/>
      <c r="H1045" s="669"/>
      <c r="I1045" s="669"/>
      <c r="J1045" s="352"/>
      <c r="K1045" s="271" t="str">
        <f t="shared" si="74"/>
        <v/>
      </c>
      <c r="L1045" s="297"/>
      <c r="M1045" s="334"/>
      <c r="N1045" s="277"/>
      <c r="O1045" s="315"/>
      <c r="P1045" s="344">
        <f t="shared" si="69"/>
        <v>0</v>
      </c>
      <c r="Q1045" s="321"/>
      <c r="R1045" s="672" t="b">
        <v>0</v>
      </c>
      <c r="S1045" s="318"/>
      <c r="T1045" s="319"/>
      <c r="U1045" s="315"/>
      <c r="V1045" s="162"/>
      <c r="W1045" s="149"/>
      <c r="X1045" s="163"/>
      <c r="Y1045" s="162"/>
      <c r="Z1045" s="164"/>
      <c r="AA1045" s="116"/>
      <c r="AB1045" s="116"/>
      <c r="AC1045" s="165"/>
      <c r="AD1045" s="675" t="str">
        <f t="shared" si="76"/>
        <v/>
      </c>
      <c r="AE1045" s="166"/>
      <c r="AF1045" s="149" t="b">
        <v>0</v>
      </c>
      <c r="AG1045" s="166"/>
      <c r="AH1045" s="149" t="b">
        <v>0</v>
      </c>
      <c r="AI1045" s="162"/>
      <c r="AJ1045" s="143"/>
      <c r="AK1045" s="143"/>
      <c r="AL1045" s="1112"/>
      <c r="AM1045" s="1112"/>
      <c r="AN1045" s="1112"/>
      <c r="AO1045" s="1112"/>
      <c r="AP1045" s="1112"/>
      <c r="AQ1045" s="1112"/>
    </row>
    <row r="1046" ht="22.5" customHeight="1">
      <c r="A1046" s="166"/>
      <c r="B1046" s="1111"/>
      <c r="C1046" s="524"/>
      <c r="D1046" s="1110"/>
      <c r="E1046" s="669"/>
      <c r="F1046" s="524"/>
      <c r="G1046" s="165"/>
      <c r="H1046" s="669"/>
      <c r="I1046" s="669"/>
      <c r="J1046" s="352"/>
      <c r="K1046" s="271" t="str">
        <f t="shared" si="74"/>
        <v/>
      </c>
      <c r="L1046" s="297"/>
      <c r="M1046" s="334"/>
      <c r="N1046" s="277"/>
      <c r="O1046" s="315"/>
      <c r="P1046" s="344">
        <f t="shared" si="69"/>
        <v>0</v>
      </c>
      <c r="Q1046" s="321"/>
      <c r="R1046" s="672" t="b">
        <v>0</v>
      </c>
      <c r="S1046" s="318"/>
      <c r="T1046" s="319"/>
      <c r="U1046" s="315"/>
      <c r="V1046" s="162"/>
      <c r="W1046" s="149"/>
      <c r="X1046" s="163"/>
      <c r="Y1046" s="162"/>
      <c r="Z1046" s="164"/>
      <c r="AA1046" s="116"/>
      <c r="AB1046" s="116"/>
      <c r="AC1046" s="165"/>
      <c r="AD1046" s="675" t="str">
        <f t="shared" si="76"/>
        <v/>
      </c>
      <c r="AE1046" s="166"/>
      <c r="AF1046" s="149" t="b">
        <v>0</v>
      </c>
      <c r="AG1046" s="166"/>
      <c r="AH1046" s="149" t="b">
        <v>0</v>
      </c>
      <c r="AI1046" s="162"/>
      <c r="AJ1046" s="143"/>
      <c r="AK1046" s="143"/>
      <c r="AL1046" s="1112"/>
      <c r="AM1046" s="1112"/>
      <c r="AN1046" s="1112"/>
      <c r="AO1046" s="1112"/>
      <c r="AP1046" s="1112"/>
      <c r="AQ1046" s="1112"/>
    </row>
    <row r="1047" ht="22.5" customHeight="1">
      <c r="A1047" s="166"/>
      <c r="B1047" s="1111"/>
      <c r="C1047" s="524"/>
      <c r="D1047" s="1110"/>
      <c r="E1047" s="669"/>
      <c r="F1047" s="524"/>
      <c r="G1047" s="165"/>
      <c r="H1047" s="669"/>
      <c r="I1047" s="669"/>
      <c r="J1047" s="352"/>
      <c r="K1047" s="271" t="str">
        <f t="shared" si="74"/>
        <v/>
      </c>
      <c r="L1047" s="297"/>
      <c r="M1047" s="334"/>
      <c r="N1047" s="277"/>
      <c r="O1047" s="315"/>
      <c r="P1047" s="344">
        <f t="shared" si="69"/>
        <v>0</v>
      </c>
      <c r="Q1047" s="321"/>
      <c r="R1047" s="672" t="b">
        <v>0</v>
      </c>
      <c r="S1047" s="318"/>
      <c r="T1047" s="319"/>
      <c r="U1047" s="315"/>
      <c r="V1047" s="162"/>
      <c r="W1047" s="149"/>
      <c r="X1047" s="163"/>
      <c r="Y1047" s="162"/>
      <c r="Z1047" s="164"/>
      <c r="AA1047" s="116"/>
      <c r="AB1047" s="116"/>
      <c r="AC1047" s="165"/>
      <c r="AD1047" s="675" t="str">
        <f t="shared" si="76"/>
        <v/>
      </c>
      <c r="AE1047" s="166"/>
      <c r="AF1047" s="149" t="b">
        <v>0</v>
      </c>
      <c r="AG1047" s="166"/>
      <c r="AH1047" s="149" t="b">
        <v>0</v>
      </c>
      <c r="AI1047" s="162"/>
      <c r="AJ1047" s="143"/>
      <c r="AK1047" s="143"/>
      <c r="AL1047" s="1112"/>
      <c r="AM1047" s="1112"/>
      <c r="AN1047" s="1112"/>
      <c r="AO1047" s="1112"/>
      <c r="AP1047" s="1112"/>
      <c r="AQ1047" s="1112"/>
    </row>
    <row r="1048" ht="22.5" customHeight="1">
      <c r="A1048" s="166"/>
      <c r="B1048" s="1111"/>
      <c r="C1048" s="524"/>
      <c r="D1048" s="1110"/>
      <c r="E1048" s="669"/>
      <c r="F1048" s="524"/>
      <c r="G1048" s="165"/>
      <c r="H1048" s="669"/>
      <c r="I1048" s="669"/>
      <c r="J1048" s="352"/>
      <c r="K1048" s="271" t="str">
        <f t="shared" si="74"/>
        <v/>
      </c>
      <c r="L1048" s="297"/>
      <c r="M1048" s="334"/>
      <c r="N1048" s="277"/>
      <c r="O1048" s="315"/>
      <c r="P1048" s="344">
        <f t="shared" si="69"/>
        <v>0</v>
      </c>
      <c r="Q1048" s="321"/>
      <c r="R1048" s="672" t="b">
        <v>0</v>
      </c>
      <c r="S1048" s="318"/>
      <c r="T1048" s="319"/>
      <c r="U1048" s="315"/>
      <c r="V1048" s="162"/>
      <c r="W1048" s="149"/>
      <c r="X1048" s="163"/>
      <c r="Y1048" s="162"/>
      <c r="Z1048" s="164"/>
      <c r="AA1048" s="116"/>
      <c r="AB1048" s="116"/>
      <c r="AC1048" s="165"/>
      <c r="AD1048" s="675" t="str">
        <f t="shared" si="76"/>
        <v/>
      </c>
      <c r="AE1048" s="166"/>
      <c r="AF1048" s="149" t="b">
        <v>0</v>
      </c>
      <c r="AG1048" s="166"/>
      <c r="AH1048" s="149" t="b">
        <v>0</v>
      </c>
      <c r="AI1048" s="162"/>
      <c r="AJ1048" s="143"/>
      <c r="AK1048" s="143"/>
      <c r="AL1048" s="1112"/>
      <c r="AM1048" s="1112"/>
      <c r="AN1048" s="1112"/>
      <c r="AO1048" s="1112"/>
      <c r="AP1048" s="1112"/>
      <c r="AQ1048" s="1112"/>
    </row>
    <row r="1049" ht="22.5" customHeight="1">
      <c r="A1049" s="166"/>
      <c r="B1049" s="1111"/>
      <c r="C1049" s="524"/>
      <c r="D1049" s="1110"/>
      <c r="E1049" s="669"/>
      <c r="F1049" s="524"/>
      <c r="G1049" s="165"/>
      <c r="H1049" s="669"/>
      <c r="I1049" s="669"/>
      <c r="J1049" s="352"/>
      <c r="K1049" s="271" t="str">
        <f t="shared" si="74"/>
        <v/>
      </c>
      <c r="L1049" s="297"/>
      <c r="M1049" s="334"/>
      <c r="N1049" s="277"/>
      <c r="O1049" s="315"/>
      <c r="P1049" s="344">
        <f t="shared" si="69"/>
        <v>0</v>
      </c>
      <c r="Q1049" s="321"/>
      <c r="R1049" s="672" t="b">
        <v>0</v>
      </c>
      <c r="S1049" s="318"/>
      <c r="T1049" s="319"/>
      <c r="U1049" s="315"/>
      <c r="V1049" s="162"/>
      <c r="W1049" s="149"/>
      <c r="X1049" s="163"/>
      <c r="Y1049" s="162"/>
      <c r="Z1049" s="164"/>
      <c r="AA1049" s="116"/>
      <c r="AB1049" s="116"/>
      <c r="AC1049" s="165"/>
      <c r="AD1049" s="675" t="str">
        <f t="shared" si="76"/>
        <v/>
      </c>
      <c r="AE1049" s="166"/>
      <c r="AF1049" s="149" t="b">
        <v>0</v>
      </c>
      <c r="AG1049" s="166"/>
      <c r="AH1049" s="149" t="b">
        <v>0</v>
      </c>
      <c r="AI1049" s="162"/>
      <c r="AJ1049" s="143"/>
      <c r="AK1049" s="143"/>
      <c r="AL1049" s="1112"/>
      <c r="AM1049" s="1112"/>
      <c r="AN1049" s="1112"/>
      <c r="AO1049" s="1112"/>
      <c r="AP1049" s="1112"/>
      <c r="AQ1049" s="1112"/>
    </row>
    <row r="1050" ht="22.5" customHeight="1">
      <c r="A1050" s="166"/>
      <c r="B1050" s="1111"/>
      <c r="C1050" s="524"/>
      <c r="D1050" s="1110"/>
      <c r="E1050" s="669"/>
      <c r="F1050" s="524"/>
      <c r="G1050" s="165"/>
      <c r="H1050" s="669"/>
      <c r="I1050" s="669"/>
      <c r="J1050" s="352"/>
      <c r="K1050" s="271" t="str">
        <f t="shared" si="74"/>
        <v/>
      </c>
      <c r="L1050" s="297"/>
      <c r="M1050" s="334"/>
      <c r="N1050" s="277"/>
      <c r="O1050" s="315"/>
      <c r="P1050" s="344">
        <f t="shared" si="69"/>
        <v>0</v>
      </c>
      <c r="Q1050" s="321"/>
      <c r="R1050" s="672" t="b">
        <v>0</v>
      </c>
      <c r="S1050" s="318"/>
      <c r="T1050" s="319"/>
      <c r="U1050" s="315"/>
      <c r="V1050" s="162"/>
      <c r="W1050" s="149"/>
      <c r="X1050" s="163"/>
      <c r="Y1050" s="162"/>
      <c r="Z1050" s="164"/>
      <c r="AA1050" s="116"/>
      <c r="AB1050" s="116"/>
      <c r="AC1050" s="165"/>
      <c r="AD1050" s="675" t="str">
        <f t="shared" si="76"/>
        <v/>
      </c>
      <c r="AE1050" s="166"/>
      <c r="AF1050" s="149" t="b">
        <v>0</v>
      </c>
      <c r="AG1050" s="166"/>
      <c r="AH1050" s="149" t="b">
        <v>0</v>
      </c>
      <c r="AI1050" s="162"/>
      <c r="AJ1050" s="143"/>
      <c r="AK1050" s="143"/>
      <c r="AL1050" s="1112"/>
      <c r="AM1050" s="1112"/>
      <c r="AN1050" s="1112"/>
      <c r="AO1050" s="1112"/>
      <c r="AP1050" s="1112"/>
      <c r="AQ1050" s="1112"/>
    </row>
    <row r="1051" ht="22.5" customHeight="1">
      <c r="A1051" s="166"/>
      <c r="B1051" s="1111"/>
      <c r="C1051" s="524"/>
      <c r="D1051" s="1110"/>
      <c r="E1051" s="669"/>
      <c r="F1051" s="524"/>
      <c r="G1051" s="165"/>
      <c r="H1051" s="669"/>
      <c r="I1051" s="669"/>
      <c r="J1051" s="352"/>
      <c r="K1051" s="271" t="str">
        <f t="shared" si="74"/>
        <v/>
      </c>
      <c r="L1051" s="297"/>
      <c r="M1051" s="334"/>
      <c r="N1051" s="277"/>
      <c r="O1051" s="315"/>
      <c r="P1051" s="344">
        <f t="shared" si="69"/>
        <v>0</v>
      </c>
      <c r="Q1051" s="321"/>
      <c r="R1051" s="672" t="b">
        <v>0</v>
      </c>
      <c r="S1051" s="318"/>
      <c r="T1051" s="319"/>
      <c r="U1051" s="315"/>
      <c r="V1051" s="162"/>
      <c r="W1051" s="149"/>
      <c r="X1051" s="163"/>
      <c r="Y1051" s="162"/>
      <c r="Z1051" s="164"/>
      <c r="AA1051" s="116"/>
      <c r="AB1051" s="116"/>
      <c r="AC1051" s="165"/>
      <c r="AD1051" s="675" t="str">
        <f t="shared" si="76"/>
        <v/>
      </c>
      <c r="AE1051" s="166"/>
      <c r="AF1051" s="149" t="b">
        <v>0</v>
      </c>
      <c r="AG1051" s="166"/>
      <c r="AH1051" s="149" t="b">
        <v>0</v>
      </c>
      <c r="AI1051" s="162"/>
      <c r="AJ1051" s="143"/>
      <c r="AK1051" s="143"/>
      <c r="AL1051" s="1112"/>
      <c r="AM1051" s="1112"/>
      <c r="AN1051" s="1112"/>
      <c r="AO1051" s="1112"/>
      <c r="AP1051" s="1112"/>
      <c r="AQ1051" s="1112"/>
    </row>
    <row r="1052" ht="22.5" customHeight="1">
      <c r="A1052" s="166"/>
      <c r="B1052" s="1111"/>
      <c r="C1052" s="524"/>
      <c r="D1052" s="1110"/>
      <c r="E1052" s="669"/>
      <c r="F1052" s="524"/>
      <c r="G1052" s="165"/>
      <c r="H1052" s="669"/>
      <c r="I1052" s="669"/>
      <c r="J1052" s="352"/>
      <c r="K1052" s="271" t="str">
        <f t="shared" si="74"/>
        <v/>
      </c>
      <c r="L1052" s="297"/>
      <c r="M1052" s="334"/>
      <c r="N1052" s="277"/>
      <c r="O1052" s="315"/>
      <c r="P1052" s="344">
        <f t="shared" si="69"/>
        <v>0</v>
      </c>
      <c r="Q1052" s="321"/>
      <c r="R1052" s="672" t="b">
        <v>0</v>
      </c>
      <c r="S1052" s="318"/>
      <c r="T1052" s="319"/>
      <c r="U1052" s="315"/>
      <c r="V1052" s="162"/>
      <c r="W1052" s="149"/>
      <c r="X1052" s="163"/>
      <c r="Y1052" s="162"/>
      <c r="Z1052" s="164"/>
      <c r="AA1052" s="116"/>
      <c r="AB1052" s="116"/>
      <c r="AC1052" s="165"/>
      <c r="AD1052" s="675" t="str">
        <f t="shared" si="76"/>
        <v/>
      </c>
      <c r="AE1052" s="166"/>
      <c r="AF1052" s="149" t="b">
        <v>0</v>
      </c>
      <c r="AG1052" s="166"/>
      <c r="AH1052" s="149" t="b">
        <v>0</v>
      </c>
      <c r="AI1052" s="162"/>
      <c r="AJ1052" s="143"/>
      <c r="AK1052" s="143"/>
      <c r="AL1052" s="1112"/>
      <c r="AM1052" s="1112"/>
      <c r="AN1052" s="1112"/>
      <c r="AO1052" s="1112"/>
      <c r="AP1052" s="1112"/>
      <c r="AQ1052" s="1112"/>
    </row>
    <row r="1053" ht="22.5" customHeight="1">
      <c r="A1053" s="166"/>
      <c r="B1053" s="1111"/>
      <c r="C1053" s="524"/>
      <c r="D1053" s="1110"/>
      <c r="E1053" s="669"/>
      <c r="F1053" s="524"/>
      <c r="G1053" s="165"/>
      <c r="H1053" s="669"/>
      <c r="I1053" s="669"/>
      <c r="J1053" s="352"/>
      <c r="K1053" s="271" t="str">
        <f t="shared" si="74"/>
        <v/>
      </c>
      <c r="L1053" s="297"/>
      <c r="M1053" s="334"/>
      <c r="N1053" s="277"/>
      <c r="O1053" s="315"/>
      <c r="P1053" s="344">
        <f t="shared" si="69"/>
        <v>0</v>
      </c>
      <c r="Q1053" s="321"/>
      <c r="R1053" s="672" t="b">
        <v>0</v>
      </c>
      <c r="S1053" s="318"/>
      <c r="T1053" s="319"/>
      <c r="U1053" s="315"/>
      <c r="V1053" s="162"/>
      <c r="W1053" s="149"/>
      <c r="X1053" s="163"/>
      <c r="Y1053" s="162"/>
      <c r="Z1053" s="164"/>
      <c r="AA1053" s="116"/>
      <c r="AB1053" s="116"/>
      <c r="AC1053" s="165"/>
      <c r="AD1053" s="675" t="str">
        <f t="shared" si="76"/>
        <v/>
      </c>
      <c r="AE1053" s="166"/>
      <c r="AF1053" s="149" t="b">
        <v>0</v>
      </c>
      <c r="AG1053" s="166"/>
      <c r="AH1053" s="149" t="b">
        <v>0</v>
      </c>
      <c r="AI1053" s="162"/>
      <c r="AJ1053" s="143"/>
      <c r="AK1053" s="143"/>
      <c r="AL1053" s="1112"/>
      <c r="AM1053" s="1112"/>
      <c r="AN1053" s="1112"/>
      <c r="AO1053" s="1112"/>
      <c r="AP1053" s="1112"/>
      <c r="AQ1053" s="1112"/>
    </row>
    <row r="1054" ht="22.5" customHeight="1">
      <c r="A1054" s="166"/>
      <c r="B1054" s="1111"/>
      <c r="C1054" s="524"/>
      <c r="D1054" s="1110"/>
      <c r="E1054" s="669"/>
      <c r="F1054" s="524"/>
      <c r="G1054" s="165"/>
      <c r="H1054" s="669"/>
      <c r="I1054" s="669"/>
      <c r="J1054" s="352"/>
      <c r="K1054" s="271" t="str">
        <f t="shared" si="74"/>
        <v/>
      </c>
      <c r="L1054" s="297"/>
      <c r="M1054" s="334"/>
      <c r="N1054" s="277"/>
      <c r="O1054" s="315"/>
      <c r="P1054" s="344">
        <f t="shared" si="69"/>
        <v>0</v>
      </c>
      <c r="Q1054" s="321"/>
      <c r="R1054" s="672" t="b">
        <v>0</v>
      </c>
      <c r="S1054" s="318"/>
      <c r="T1054" s="319"/>
      <c r="U1054" s="315"/>
      <c r="V1054" s="162"/>
      <c r="W1054" s="149"/>
      <c r="X1054" s="163"/>
      <c r="Y1054" s="162"/>
      <c r="Z1054" s="164"/>
      <c r="AA1054" s="116"/>
      <c r="AB1054" s="116"/>
      <c r="AC1054" s="165"/>
      <c r="AD1054" s="675" t="str">
        <f t="shared" si="76"/>
        <v/>
      </c>
      <c r="AE1054" s="166"/>
      <c r="AF1054" s="149" t="b">
        <v>0</v>
      </c>
      <c r="AG1054" s="166"/>
      <c r="AH1054" s="149" t="b">
        <v>0</v>
      </c>
      <c r="AI1054" s="162"/>
      <c r="AJ1054" s="143"/>
      <c r="AK1054" s="143"/>
      <c r="AL1054" s="1112"/>
      <c r="AM1054" s="1112"/>
      <c r="AN1054" s="1112"/>
      <c r="AO1054" s="1112"/>
      <c r="AP1054" s="1112"/>
      <c r="AQ1054" s="1112"/>
    </row>
    <row r="1055" ht="22.5" customHeight="1">
      <c r="A1055" s="166"/>
      <c r="B1055" s="1111"/>
      <c r="C1055" s="524"/>
      <c r="D1055" s="1110"/>
      <c r="E1055" s="669"/>
      <c r="F1055" s="524"/>
      <c r="G1055" s="165"/>
      <c r="H1055" s="669"/>
      <c r="I1055" s="669"/>
      <c r="J1055" s="352"/>
      <c r="K1055" s="271" t="str">
        <f t="shared" si="74"/>
        <v/>
      </c>
      <c r="L1055" s="297"/>
      <c r="M1055" s="334"/>
      <c r="N1055" s="277"/>
      <c r="O1055" s="315"/>
      <c r="P1055" s="344">
        <f t="shared" si="69"/>
        <v>0</v>
      </c>
      <c r="Q1055" s="321"/>
      <c r="R1055" s="672" t="b">
        <v>0</v>
      </c>
      <c r="S1055" s="318"/>
      <c r="T1055" s="319"/>
      <c r="U1055" s="315"/>
      <c r="V1055" s="162"/>
      <c r="W1055" s="149"/>
      <c r="X1055" s="163"/>
      <c r="Y1055" s="162"/>
      <c r="Z1055" s="164"/>
      <c r="AA1055" s="116"/>
      <c r="AB1055" s="116"/>
      <c r="AC1055" s="165"/>
      <c r="AD1055" s="675" t="str">
        <f t="shared" si="76"/>
        <v/>
      </c>
      <c r="AE1055" s="166"/>
      <c r="AF1055" s="149" t="b">
        <v>0</v>
      </c>
      <c r="AG1055" s="166"/>
      <c r="AH1055" s="149" t="b">
        <v>0</v>
      </c>
      <c r="AI1055" s="162"/>
      <c r="AJ1055" s="143"/>
      <c r="AK1055" s="143"/>
      <c r="AL1055" s="1112"/>
      <c r="AM1055" s="1112"/>
      <c r="AN1055" s="1112"/>
      <c r="AO1055" s="1112"/>
      <c r="AP1055" s="1112"/>
      <c r="AQ1055" s="1112"/>
    </row>
    <row r="1056" ht="22.5" customHeight="1">
      <c r="A1056" s="166"/>
      <c r="B1056" s="1111"/>
      <c r="C1056" s="524"/>
      <c r="D1056" s="1110"/>
      <c r="E1056" s="669"/>
      <c r="F1056" s="524"/>
      <c r="G1056" s="165"/>
      <c r="H1056" s="669"/>
      <c r="I1056" s="669"/>
      <c r="J1056" s="352"/>
      <c r="K1056" s="271" t="str">
        <f t="shared" si="74"/>
        <v/>
      </c>
      <c r="L1056" s="297"/>
      <c r="M1056" s="334"/>
      <c r="N1056" s="277"/>
      <c r="O1056" s="315"/>
      <c r="P1056" s="344">
        <f t="shared" si="69"/>
        <v>0</v>
      </c>
      <c r="Q1056" s="321"/>
      <c r="R1056" s="672" t="b">
        <v>0</v>
      </c>
      <c r="S1056" s="318"/>
      <c r="T1056" s="319"/>
      <c r="U1056" s="315"/>
      <c r="V1056" s="162"/>
      <c r="W1056" s="149"/>
      <c r="X1056" s="163"/>
      <c r="Y1056" s="162"/>
      <c r="Z1056" s="164"/>
      <c r="AA1056" s="116"/>
      <c r="AB1056" s="116"/>
      <c r="AC1056" s="165"/>
      <c r="AD1056" s="675" t="str">
        <f t="shared" si="76"/>
        <v/>
      </c>
      <c r="AE1056" s="166"/>
      <c r="AF1056" s="149" t="b">
        <v>0</v>
      </c>
      <c r="AG1056" s="166"/>
      <c r="AH1056" s="149" t="b">
        <v>0</v>
      </c>
      <c r="AI1056" s="162"/>
      <c r="AJ1056" s="143"/>
      <c r="AK1056" s="143"/>
      <c r="AL1056" s="1112"/>
      <c r="AM1056" s="1112"/>
      <c r="AN1056" s="1112"/>
      <c r="AO1056" s="1112"/>
      <c r="AP1056" s="1112"/>
      <c r="AQ1056" s="1112"/>
    </row>
    <row r="1057" ht="22.5" customHeight="1">
      <c r="A1057" s="166"/>
      <c r="B1057" s="1111"/>
      <c r="C1057" s="524"/>
      <c r="D1057" s="1110"/>
      <c r="E1057" s="669"/>
      <c r="F1057" s="524"/>
      <c r="G1057" s="165"/>
      <c r="H1057" s="669"/>
      <c r="I1057" s="669"/>
      <c r="J1057" s="352"/>
      <c r="K1057" s="271" t="str">
        <f t="shared" si="74"/>
        <v/>
      </c>
      <c r="L1057" s="297"/>
      <c r="M1057" s="334"/>
      <c r="N1057" s="277"/>
      <c r="O1057" s="315"/>
      <c r="P1057" s="344">
        <f t="shared" si="69"/>
        <v>0</v>
      </c>
      <c r="Q1057" s="321"/>
      <c r="R1057" s="672" t="b">
        <v>0</v>
      </c>
      <c r="S1057" s="318"/>
      <c r="T1057" s="319"/>
      <c r="U1057" s="315"/>
      <c r="V1057" s="162"/>
      <c r="W1057" s="149"/>
      <c r="X1057" s="163"/>
      <c r="Y1057" s="162"/>
      <c r="Z1057" s="164"/>
      <c r="AA1057" s="116"/>
      <c r="AB1057" s="116"/>
      <c r="AC1057" s="165"/>
      <c r="AD1057" s="675" t="str">
        <f t="shared" si="76"/>
        <v/>
      </c>
      <c r="AE1057" s="166"/>
      <c r="AF1057" s="149" t="b">
        <v>0</v>
      </c>
      <c r="AG1057" s="166"/>
      <c r="AH1057" s="149" t="b">
        <v>0</v>
      </c>
      <c r="AI1057" s="162"/>
      <c r="AJ1057" s="143"/>
      <c r="AK1057" s="143"/>
      <c r="AL1057" s="1112"/>
      <c r="AM1057" s="1112"/>
      <c r="AN1057" s="1112"/>
      <c r="AO1057" s="1112"/>
      <c r="AP1057" s="1112"/>
      <c r="AQ1057" s="1112"/>
    </row>
    <row r="1058" ht="22.5" customHeight="1">
      <c r="A1058" s="166"/>
      <c r="B1058" s="1111"/>
      <c r="C1058" s="524"/>
      <c r="D1058" s="1110"/>
      <c r="E1058" s="669"/>
      <c r="F1058" s="524"/>
      <c r="G1058" s="165"/>
      <c r="H1058" s="669"/>
      <c r="I1058" s="669"/>
      <c r="J1058" s="352"/>
      <c r="K1058" s="271" t="str">
        <f t="shared" si="74"/>
        <v/>
      </c>
      <c r="L1058" s="297"/>
      <c r="M1058" s="334"/>
      <c r="N1058" s="277"/>
      <c r="O1058" s="315"/>
      <c r="P1058" s="344">
        <f t="shared" si="69"/>
        <v>0</v>
      </c>
      <c r="Q1058" s="321"/>
      <c r="R1058" s="672" t="b">
        <v>0</v>
      </c>
      <c r="S1058" s="318"/>
      <c r="T1058" s="319"/>
      <c r="U1058" s="315"/>
      <c r="V1058" s="162"/>
      <c r="W1058" s="149"/>
      <c r="X1058" s="163"/>
      <c r="Y1058" s="162"/>
      <c r="Z1058" s="164"/>
      <c r="AA1058" s="116"/>
      <c r="AB1058" s="116"/>
      <c r="AC1058" s="165"/>
      <c r="AD1058" s="675" t="str">
        <f t="shared" si="76"/>
        <v/>
      </c>
      <c r="AE1058" s="166"/>
      <c r="AF1058" s="149" t="b">
        <v>0</v>
      </c>
      <c r="AG1058" s="166"/>
      <c r="AH1058" s="149" t="b">
        <v>0</v>
      </c>
      <c r="AI1058" s="162"/>
      <c r="AJ1058" s="143"/>
      <c r="AK1058" s="143"/>
      <c r="AL1058" s="1112"/>
      <c r="AM1058" s="1112"/>
      <c r="AN1058" s="1112"/>
      <c r="AO1058" s="1112"/>
      <c r="AP1058" s="1112"/>
      <c r="AQ1058" s="1112"/>
    </row>
    <row r="1059" ht="22.5" customHeight="1">
      <c r="A1059" s="166"/>
      <c r="B1059" s="1111"/>
      <c r="C1059" s="524"/>
      <c r="D1059" s="1110"/>
      <c r="E1059" s="669"/>
      <c r="F1059" s="524"/>
      <c r="G1059" s="165"/>
      <c r="H1059" s="669"/>
      <c r="I1059" s="669"/>
      <c r="J1059" s="352"/>
      <c r="K1059" s="271" t="str">
        <f t="shared" si="74"/>
        <v/>
      </c>
      <c r="L1059" s="297"/>
      <c r="M1059" s="334"/>
      <c r="N1059" s="277"/>
      <c r="O1059" s="315"/>
      <c r="P1059" s="344">
        <f t="shared" si="69"/>
        <v>0</v>
      </c>
      <c r="Q1059" s="321"/>
      <c r="R1059" s="672" t="b">
        <v>0</v>
      </c>
      <c r="S1059" s="318"/>
      <c r="T1059" s="319"/>
      <c r="U1059" s="315"/>
      <c r="V1059" s="162"/>
      <c r="W1059" s="149"/>
      <c r="X1059" s="163"/>
      <c r="Y1059" s="162"/>
      <c r="Z1059" s="164"/>
      <c r="AA1059" s="116"/>
      <c r="AB1059" s="116"/>
      <c r="AC1059" s="165"/>
      <c r="AD1059" s="675" t="str">
        <f t="shared" si="76"/>
        <v/>
      </c>
      <c r="AE1059" s="166"/>
      <c r="AF1059" s="149" t="b">
        <v>0</v>
      </c>
      <c r="AG1059" s="166"/>
      <c r="AH1059" s="149" t="b">
        <v>0</v>
      </c>
      <c r="AI1059" s="162"/>
      <c r="AJ1059" s="143"/>
      <c r="AK1059" s="143"/>
      <c r="AL1059" s="1112"/>
      <c r="AM1059" s="1112"/>
      <c r="AN1059" s="1112"/>
      <c r="AO1059" s="1112"/>
      <c r="AP1059" s="1112"/>
      <c r="AQ1059" s="1112"/>
    </row>
    <row r="1060" ht="22.5" customHeight="1">
      <c r="A1060" s="166"/>
      <c r="B1060" s="1111"/>
      <c r="C1060" s="524"/>
      <c r="D1060" s="1110"/>
      <c r="E1060" s="669"/>
      <c r="F1060" s="524"/>
      <c r="G1060" s="165"/>
      <c r="H1060" s="669"/>
      <c r="I1060" s="669"/>
      <c r="J1060" s="352"/>
      <c r="K1060" s="271" t="str">
        <f t="shared" si="74"/>
        <v/>
      </c>
      <c r="L1060" s="297"/>
      <c r="M1060" s="334"/>
      <c r="N1060" s="277"/>
      <c r="O1060" s="315"/>
      <c r="P1060" s="344">
        <f t="shared" si="69"/>
        <v>0</v>
      </c>
      <c r="Q1060" s="321"/>
      <c r="R1060" s="672" t="b">
        <v>0</v>
      </c>
      <c r="S1060" s="318"/>
      <c r="T1060" s="319"/>
      <c r="U1060" s="315"/>
      <c r="V1060" s="162"/>
      <c r="W1060" s="149"/>
      <c r="X1060" s="163"/>
      <c r="Y1060" s="162"/>
      <c r="Z1060" s="164"/>
      <c r="AA1060" s="116"/>
      <c r="AB1060" s="116"/>
      <c r="AC1060" s="165"/>
      <c r="AD1060" s="675" t="str">
        <f t="shared" si="76"/>
        <v/>
      </c>
      <c r="AE1060" s="166"/>
      <c r="AF1060" s="149" t="b">
        <v>0</v>
      </c>
      <c r="AG1060" s="166"/>
      <c r="AH1060" s="149" t="b">
        <v>0</v>
      </c>
      <c r="AI1060" s="162"/>
      <c r="AJ1060" s="143"/>
      <c r="AK1060" s="143"/>
      <c r="AL1060" s="1112"/>
      <c r="AM1060" s="1112"/>
      <c r="AN1060" s="1112"/>
      <c r="AO1060" s="1112"/>
      <c r="AP1060" s="1112"/>
      <c r="AQ1060" s="1112"/>
    </row>
    <row r="1061" ht="22.5" customHeight="1">
      <c r="A1061" s="166"/>
      <c r="B1061" s="1111"/>
      <c r="C1061" s="524"/>
      <c r="D1061" s="1110"/>
      <c r="E1061" s="669"/>
      <c r="F1061" s="524"/>
      <c r="G1061" s="165"/>
      <c r="H1061" s="669"/>
      <c r="I1061" s="669"/>
      <c r="J1061" s="352"/>
      <c r="K1061" s="271" t="str">
        <f t="shared" si="74"/>
        <v/>
      </c>
      <c r="L1061" s="297"/>
      <c r="M1061" s="334"/>
      <c r="N1061" s="277"/>
      <c r="O1061" s="315"/>
      <c r="P1061" s="344">
        <f t="shared" si="69"/>
        <v>0</v>
      </c>
      <c r="Q1061" s="321"/>
      <c r="R1061" s="672" t="b">
        <v>0</v>
      </c>
      <c r="S1061" s="318"/>
      <c r="T1061" s="319"/>
      <c r="U1061" s="315"/>
      <c r="V1061" s="162"/>
      <c r="W1061" s="149"/>
      <c r="X1061" s="163"/>
      <c r="Y1061" s="162"/>
      <c r="Z1061" s="164"/>
      <c r="AA1061" s="116"/>
      <c r="AB1061" s="116"/>
      <c r="AC1061" s="165"/>
      <c r="AD1061" s="675" t="str">
        <f t="shared" si="76"/>
        <v/>
      </c>
      <c r="AE1061" s="166"/>
      <c r="AF1061" s="149" t="b">
        <v>0</v>
      </c>
      <c r="AG1061" s="166"/>
      <c r="AH1061" s="149" t="b">
        <v>0</v>
      </c>
      <c r="AI1061" s="162"/>
      <c r="AJ1061" s="143"/>
      <c r="AK1061" s="143"/>
      <c r="AL1061" s="1112"/>
      <c r="AM1061" s="1112"/>
      <c r="AN1061" s="1112"/>
      <c r="AO1061" s="1112"/>
      <c r="AP1061" s="1112"/>
      <c r="AQ1061" s="1112"/>
    </row>
    <row r="1062" ht="22.5" customHeight="1">
      <c r="A1062" s="166"/>
      <c r="B1062" s="1111"/>
      <c r="C1062" s="524"/>
      <c r="D1062" s="1110"/>
      <c r="E1062" s="669"/>
      <c r="F1062" s="524"/>
      <c r="G1062" s="165"/>
      <c r="H1062" s="669"/>
      <c r="I1062" s="669"/>
      <c r="J1062" s="352"/>
      <c r="K1062" s="271" t="str">
        <f t="shared" si="74"/>
        <v/>
      </c>
      <c r="L1062" s="297"/>
      <c r="M1062" s="334"/>
      <c r="N1062" s="277"/>
      <c r="O1062" s="315"/>
      <c r="P1062" s="344">
        <f t="shared" si="69"/>
        <v>0</v>
      </c>
      <c r="Q1062" s="321"/>
      <c r="R1062" s="672" t="b">
        <v>0</v>
      </c>
      <c r="S1062" s="318"/>
      <c r="T1062" s="319"/>
      <c r="U1062" s="315"/>
      <c r="V1062" s="162"/>
      <c r="W1062" s="149"/>
      <c r="X1062" s="163"/>
      <c r="Y1062" s="162"/>
      <c r="Z1062" s="164"/>
      <c r="AA1062" s="116"/>
      <c r="AB1062" s="116"/>
      <c r="AC1062" s="165"/>
      <c r="AD1062" s="675" t="str">
        <f t="shared" si="76"/>
        <v/>
      </c>
      <c r="AE1062" s="166"/>
      <c r="AF1062" s="149" t="b">
        <v>0</v>
      </c>
      <c r="AG1062" s="166"/>
      <c r="AH1062" s="149" t="b">
        <v>0</v>
      </c>
      <c r="AI1062" s="162"/>
      <c r="AJ1062" s="143"/>
      <c r="AK1062" s="143"/>
      <c r="AL1062" s="1112"/>
      <c r="AM1062" s="1112"/>
      <c r="AN1062" s="1112"/>
      <c r="AO1062" s="1112"/>
      <c r="AP1062" s="1112"/>
      <c r="AQ1062" s="1112"/>
    </row>
    <row r="1063" ht="22.5" customHeight="1">
      <c r="A1063" s="166"/>
      <c r="B1063" s="1111"/>
      <c r="C1063" s="524"/>
      <c r="D1063" s="1110"/>
      <c r="E1063" s="669"/>
      <c r="F1063" s="524"/>
      <c r="G1063" s="165"/>
      <c r="H1063" s="669"/>
      <c r="I1063" s="669"/>
      <c r="J1063" s="352"/>
      <c r="K1063" s="271" t="str">
        <f t="shared" si="74"/>
        <v/>
      </c>
      <c r="L1063" s="297"/>
      <c r="M1063" s="334"/>
      <c r="N1063" s="277"/>
      <c r="O1063" s="315"/>
      <c r="P1063" s="344">
        <f t="shared" si="69"/>
        <v>0</v>
      </c>
      <c r="Q1063" s="321"/>
      <c r="R1063" s="672" t="b">
        <v>0</v>
      </c>
      <c r="S1063" s="318"/>
      <c r="T1063" s="319"/>
      <c r="U1063" s="315"/>
      <c r="V1063" s="162"/>
      <c r="W1063" s="149"/>
      <c r="X1063" s="163"/>
      <c r="Y1063" s="162"/>
      <c r="Z1063" s="164"/>
      <c r="AA1063" s="116"/>
      <c r="AB1063" s="116"/>
      <c r="AC1063" s="165"/>
      <c r="AD1063" s="675" t="str">
        <f t="shared" si="76"/>
        <v/>
      </c>
      <c r="AE1063" s="166"/>
      <c r="AF1063" s="149" t="b">
        <v>0</v>
      </c>
      <c r="AG1063" s="166"/>
      <c r="AH1063" s="149" t="b">
        <v>0</v>
      </c>
      <c r="AI1063" s="162"/>
      <c r="AJ1063" s="143"/>
      <c r="AK1063" s="143"/>
      <c r="AL1063" s="1112"/>
      <c r="AM1063" s="1112"/>
      <c r="AN1063" s="1112"/>
      <c r="AO1063" s="1112"/>
      <c r="AP1063" s="1112"/>
      <c r="AQ1063" s="1112"/>
    </row>
    <row r="1064" ht="22.5" customHeight="1">
      <c r="A1064" s="166"/>
      <c r="B1064" s="1111"/>
      <c r="C1064" s="524"/>
      <c r="D1064" s="1110"/>
      <c r="E1064" s="669"/>
      <c r="F1064" s="524"/>
      <c r="G1064" s="165"/>
      <c r="H1064" s="669"/>
      <c r="I1064" s="669"/>
      <c r="J1064" s="352"/>
      <c r="K1064" s="271" t="str">
        <f t="shared" si="74"/>
        <v/>
      </c>
      <c r="L1064" s="297"/>
      <c r="M1064" s="334"/>
      <c r="N1064" s="277"/>
      <c r="O1064" s="315"/>
      <c r="P1064" s="344">
        <f t="shared" si="69"/>
        <v>0</v>
      </c>
      <c r="Q1064" s="321"/>
      <c r="R1064" s="672" t="b">
        <v>0</v>
      </c>
      <c r="S1064" s="318"/>
      <c r="T1064" s="319"/>
      <c r="U1064" s="315"/>
      <c r="V1064" s="162"/>
      <c r="W1064" s="149"/>
      <c r="X1064" s="163"/>
      <c r="Y1064" s="162"/>
      <c r="Z1064" s="164"/>
      <c r="AA1064" s="116"/>
      <c r="AB1064" s="116"/>
      <c r="AC1064" s="165"/>
      <c r="AD1064" s="675" t="str">
        <f t="shared" si="76"/>
        <v/>
      </c>
      <c r="AE1064" s="166"/>
      <c r="AF1064" s="149" t="b">
        <v>0</v>
      </c>
      <c r="AG1064" s="166"/>
      <c r="AH1064" s="149" t="b">
        <v>0</v>
      </c>
      <c r="AI1064" s="162"/>
      <c r="AJ1064" s="143"/>
      <c r="AK1064" s="143"/>
      <c r="AL1064" s="1112"/>
      <c r="AM1064" s="1112"/>
      <c r="AN1064" s="1112"/>
      <c r="AO1064" s="1112"/>
      <c r="AP1064" s="1112"/>
      <c r="AQ1064" s="1112"/>
    </row>
    <row r="1065" ht="22.5" customHeight="1">
      <c r="A1065" s="166"/>
      <c r="B1065" s="1111"/>
      <c r="C1065" s="524"/>
      <c r="D1065" s="1110"/>
      <c r="E1065" s="669"/>
      <c r="F1065" s="524"/>
      <c r="G1065" s="165"/>
      <c r="H1065" s="669"/>
      <c r="I1065" s="669"/>
      <c r="J1065" s="352"/>
      <c r="K1065" s="271" t="str">
        <f t="shared" si="74"/>
        <v/>
      </c>
      <c r="L1065" s="297"/>
      <c r="M1065" s="334"/>
      <c r="N1065" s="277"/>
      <c r="O1065" s="315"/>
      <c r="P1065" s="344">
        <f t="shared" si="69"/>
        <v>0</v>
      </c>
      <c r="Q1065" s="321"/>
      <c r="R1065" s="672" t="b">
        <v>0</v>
      </c>
      <c r="S1065" s="318"/>
      <c r="T1065" s="319"/>
      <c r="U1065" s="315"/>
      <c r="V1065" s="162"/>
      <c r="W1065" s="149"/>
      <c r="X1065" s="163"/>
      <c r="Y1065" s="162"/>
      <c r="Z1065" s="164"/>
      <c r="AA1065" s="116"/>
      <c r="AB1065" s="116"/>
      <c r="AC1065" s="165"/>
      <c r="AD1065" s="675" t="str">
        <f t="shared" si="76"/>
        <v/>
      </c>
      <c r="AE1065" s="166"/>
      <c r="AF1065" s="149" t="b">
        <v>0</v>
      </c>
      <c r="AG1065" s="166"/>
      <c r="AH1065" s="149" t="b">
        <v>0</v>
      </c>
      <c r="AI1065" s="162"/>
      <c r="AJ1065" s="143"/>
      <c r="AK1065" s="143"/>
      <c r="AL1065" s="1112"/>
      <c r="AM1065" s="1112"/>
      <c r="AN1065" s="1112"/>
      <c r="AO1065" s="1112"/>
      <c r="AP1065" s="1112"/>
      <c r="AQ1065" s="1112"/>
    </row>
    <row r="1066" ht="22.5" customHeight="1">
      <c r="A1066" s="166"/>
      <c r="B1066" s="1111"/>
      <c r="C1066" s="524"/>
      <c r="D1066" s="1110"/>
      <c r="E1066" s="669"/>
      <c r="F1066" s="524"/>
      <c r="G1066" s="165"/>
      <c r="H1066" s="669"/>
      <c r="I1066" s="669"/>
      <c r="J1066" s="352"/>
      <c r="K1066" s="271" t="str">
        <f t="shared" si="74"/>
        <v/>
      </c>
      <c r="L1066" s="297"/>
      <c r="M1066" s="334"/>
      <c r="N1066" s="277"/>
      <c r="O1066" s="315"/>
      <c r="P1066" s="344">
        <f t="shared" si="69"/>
        <v>0</v>
      </c>
      <c r="Q1066" s="321"/>
      <c r="R1066" s="672" t="b">
        <v>0</v>
      </c>
      <c r="S1066" s="318"/>
      <c r="T1066" s="319"/>
      <c r="U1066" s="315"/>
      <c r="V1066" s="162"/>
      <c r="W1066" s="149"/>
      <c r="X1066" s="163"/>
      <c r="Y1066" s="162"/>
      <c r="Z1066" s="164"/>
      <c r="AA1066" s="116"/>
      <c r="AB1066" s="116"/>
      <c r="AC1066" s="165"/>
      <c r="AD1066" s="675" t="str">
        <f t="shared" si="76"/>
        <v/>
      </c>
      <c r="AE1066" s="166"/>
      <c r="AF1066" s="149" t="b">
        <v>0</v>
      </c>
      <c r="AG1066" s="166"/>
      <c r="AH1066" s="149" t="b">
        <v>0</v>
      </c>
      <c r="AI1066" s="162"/>
      <c r="AJ1066" s="143"/>
      <c r="AK1066" s="143"/>
      <c r="AL1066" s="1112"/>
      <c r="AM1066" s="1112"/>
      <c r="AN1066" s="1112"/>
      <c r="AO1066" s="1112"/>
      <c r="AP1066" s="1112"/>
      <c r="AQ1066" s="1112"/>
    </row>
    <row r="1067" ht="22.5" customHeight="1">
      <c r="A1067" s="166"/>
      <c r="B1067" s="1111"/>
      <c r="C1067" s="524"/>
      <c r="D1067" s="1110"/>
      <c r="E1067" s="669"/>
      <c r="F1067" s="524"/>
      <c r="G1067" s="165"/>
      <c r="H1067" s="669"/>
      <c r="I1067" s="669"/>
      <c r="J1067" s="352"/>
      <c r="K1067" s="271" t="str">
        <f t="shared" si="74"/>
        <v/>
      </c>
      <c r="L1067" s="297"/>
      <c r="M1067" s="334"/>
      <c r="N1067" s="277"/>
      <c r="O1067" s="315"/>
      <c r="P1067" s="344">
        <f t="shared" si="69"/>
        <v>0</v>
      </c>
      <c r="Q1067" s="321"/>
      <c r="R1067" s="672" t="b">
        <v>0</v>
      </c>
      <c r="S1067" s="318"/>
      <c r="T1067" s="319"/>
      <c r="U1067" s="315"/>
      <c r="V1067" s="162"/>
      <c r="W1067" s="149"/>
      <c r="X1067" s="163"/>
      <c r="Y1067" s="162"/>
      <c r="Z1067" s="164"/>
      <c r="AA1067" s="116"/>
      <c r="AB1067" s="116"/>
      <c r="AC1067" s="165"/>
      <c r="AD1067" s="675" t="str">
        <f t="shared" si="76"/>
        <v/>
      </c>
      <c r="AE1067" s="166"/>
      <c r="AF1067" s="149" t="b">
        <v>0</v>
      </c>
      <c r="AG1067" s="166"/>
      <c r="AH1067" s="149" t="b">
        <v>0</v>
      </c>
      <c r="AI1067" s="162"/>
      <c r="AJ1067" s="143"/>
      <c r="AK1067" s="143"/>
      <c r="AL1067" s="1112"/>
      <c r="AM1067" s="1112"/>
      <c r="AN1067" s="1112"/>
      <c r="AO1067" s="1112"/>
      <c r="AP1067" s="1112"/>
      <c r="AQ1067" s="1112"/>
    </row>
    <row r="1068" ht="22.5" customHeight="1">
      <c r="A1068" s="166"/>
      <c r="B1068" s="1111"/>
      <c r="C1068" s="524"/>
      <c r="D1068" s="1110"/>
      <c r="E1068" s="669"/>
      <c r="F1068" s="524"/>
      <c r="G1068" s="165"/>
      <c r="H1068" s="669"/>
      <c r="I1068" s="669"/>
      <c r="J1068" s="352"/>
      <c r="K1068" s="271" t="str">
        <f t="shared" si="74"/>
        <v/>
      </c>
      <c r="L1068" s="297"/>
      <c r="M1068" s="334"/>
      <c r="N1068" s="277"/>
      <c r="O1068" s="315"/>
      <c r="P1068" s="344">
        <f t="shared" si="69"/>
        <v>0</v>
      </c>
      <c r="Q1068" s="321"/>
      <c r="R1068" s="672" t="b">
        <v>0</v>
      </c>
      <c r="S1068" s="318"/>
      <c r="T1068" s="319"/>
      <c r="U1068" s="315"/>
      <c r="V1068" s="162"/>
      <c r="W1068" s="149"/>
      <c r="X1068" s="163"/>
      <c r="Y1068" s="162"/>
      <c r="Z1068" s="164"/>
      <c r="AA1068" s="116"/>
      <c r="AB1068" s="116"/>
      <c r="AC1068" s="165"/>
      <c r="AD1068" s="675" t="str">
        <f t="shared" si="76"/>
        <v/>
      </c>
      <c r="AE1068" s="166"/>
      <c r="AF1068" s="149" t="b">
        <v>0</v>
      </c>
      <c r="AG1068" s="166"/>
      <c r="AH1068" s="149" t="b">
        <v>0</v>
      </c>
      <c r="AI1068" s="162"/>
      <c r="AJ1068" s="143"/>
      <c r="AK1068" s="143"/>
      <c r="AL1068" s="1112"/>
      <c r="AM1068" s="1112"/>
      <c r="AN1068" s="1112"/>
      <c r="AO1068" s="1112"/>
      <c r="AP1068" s="1112"/>
      <c r="AQ1068" s="1112"/>
    </row>
    <row r="1069" ht="22.5" customHeight="1">
      <c r="A1069" s="166"/>
      <c r="B1069" s="1111"/>
      <c r="C1069" s="524"/>
      <c r="D1069" s="1110"/>
      <c r="E1069" s="669"/>
      <c r="F1069" s="524"/>
      <c r="G1069" s="165"/>
      <c r="H1069" s="669"/>
      <c r="I1069" s="669"/>
      <c r="J1069" s="352"/>
      <c r="K1069" s="271" t="str">
        <f t="shared" si="74"/>
        <v/>
      </c>
      <c r="L1069" s="297"/>
      <c r="M1069" s="334"/>
      <c r="N1069" s="277"/>
      <c r="O1069" s="315"/>
      <c r="P1069" s="344">
        <f t="shared" si="69"/>
        <v>0</v>
      </c>
      <c r="Q1069" s="321"/>
      <c r="R1069" s="672" t="b">
        <v>0</v>
      </c>
      <c r="S1069" s="318"/>
      <c r="T1069" s="319"/>
      <c r="U1069" s="315"/>
      <c r="V1069" s="162"/>
      <c r="W1069" s="149"/>
      <c r="X1069" s="163"/>
      <c r="Y1069" s="162"/>
      <c r="Z1069" s="164"/>
      <c r="AA1069" s="116"/>
      <c r="AB1069" s="116"/>
      <c r="AC1069" s="165"/>
      <c r="AD1069" s="675" t="str">
        <f t="shared" si="76"/>
        <v/>
      </c>
      <c r="AE1069" s="166"/>
      <c r="AF1069" s="149" t="b">
        <v>0</v>
      </c>
      <c r="AG1069" s="166"/>
      <c r="AH1069" s="149" t="b">
        <v>0</v>
      </c>
      <c r="AI1069" s="162"/>
      <c r="AJ1069" s="143"/>
      <c r="AK1069" s="143"/>
      <c r="AL1069" s="1112"/>
      <c r="AM1069" s="1112"/>
      <c r="AN1069" s="1112"/>
      <c r="AO1069" s="1112"/>
      <c r="AP1069" s="1112"/>
      <c r="AQ1069" s="1112"/>
    </row>
    <row r="1070" ht="22.5" customHeight="1">
      <c r="A1070" s="166"/>
      <c r="B1070" s="1111"/>
      <c r="C1070" s="524"/>
      <c r="D1070" s="1110"/>
      <c r="E1070" s="669"/>
      <c r="F1070" s="524"/>
      <c r="G1070" s="165"/>
      <c r="H1070" s="669"/>
      <c r="I1070" s="669"/>
      <c r="J1070" s="352"/>
      <c r="K1070" s="271" t="str">
        <f t="shared" si="74"/>
        <v/>
      </c>
      <c r="L1070" s="297"/>
      <c r="M1070" s="334"/>
      <c r="N1070" s="277"/>
      <c r="O1070" s="315"/>
      <c r="P1070" s="344">
        <f t="shared" si="69"/>
        <v>0</v>
      </c>
      <c r="Q1070" s="321"/>
      <c r="R1070" s="672" t="b">
        <v>0</v>
      </c>
      <c r="S1070" s="318"/>
      <c r="T1070" s="319"/>
      <c r="U1070" s="315"/>
      <c r="V1070" s="162"/>
      <c r="W1070" s="149"/>
      <c r="X1070" s="163"/>
      <c r="Y1070" s="162"/>
      <c r="Z1070" s="164"/>
      <c r="AA1070" s="116"/>
      <c r="AB1070" s="116"/>
      <c r="AC1070" s="165"/>
      <c r="AD1070" s="675" t="str">
        <f t="shared" si="76"/>
        <v/>
      </c>
      <c r="AE1070" s="166"/>
      <c r="AF1070" s="149" t="b">
        <v>0</v>
      </c>
      <c r="AG1070" s="166"/>
      <c r="AH1070" s="149" t="b">
        <v>0</v>
      </c>
      <c r="AI1070" s="162"/>
      <c r="AJ1070" s="143"/>
      <c r="AK1070" s="143"/>
      <c r="AL1070" s="1112"/>
      <c r="AM1070" s="1112"/>
      <c r="AN1070" s="1112"/>
      <c r="AO1070" s="1112"/>
      <c r="AP1070" s="1112"/>
      <c r="AQ1070" s="1112"/>
    </row>
    <row r="1071" ht="22.5" customHeight="1">
      <c r="A1071" s="166"/>
      <c r="B1071" s="1111"/>
      <c r="C1071" s="524"/>
      <c r="D1071" s="1110"/>
      <c r="E1071" s="669"/>
      <c r="F1071" s="524"/>
      <c r="G1071" s="165"/>
      <c r="H1071" s="669"/>
      <c r="I1071" s="669"/>
      <c r="J1071" s="352"/>
      <c r="K1071" s="271" t="str">
        <f t="shared" si="74"/>
        <v/>
      </c>
      <c r="L1071" s="297"/>
      <c r="M1071" s="334"/>
      <c r="N1071" s="277"/>
      <c r="O1071" s="315"/>
      <c r="P1071" s="344">
        <f t="shared" si="69"/>
        <v>0</v>
      </c>
      <c r="Q1071" s="321"/>
      <c r="R1071" s="672" t="b">
        <v>0</v>
      </c>
      <c r="S1071" s="318"/>
      <c r="T1071" s="319"/>
      <c r="U1071" s="315"/>
      <c r="V1071" s="162"/>
      <c r="W1071" s="149"/>
      <c r="X1071" s="163"/>
      <c r="Y1071" s="162"/>
      <c r="Z1071" s="164"/>
      <c r="AA1071" s="116"/>
      <c r="AB1071" s="116"/>
      <c r="AC1071" s="165"/>
      <c r="AD1071" s="675" t="str">
        <f t="shared" si="76"/>
        <v/>
      </c>
      <c r="AE1071" s="166"/>
      <c r="AF1071" s="149" t="b">
        <v>0</v>
      </c>
      <c r="AG1071" s="166"/>
      <c r="AH1071" s="149" t="b">
        <v>0</v>
      </c>
      <c r="AI1071" s="162"/>
      <c r="AJ1071" s="143"/>
      <c r="AK1071" s="143"/>
      <c r="AL1071" s="1112"/>
      <c r="AM1071" s="1112"/>
      <c r="AN1071" s="1112"/>
      <c r="AO1071" s="1112"/>
      <c r="AP1071" s="1112"/>
      <c r="AQ1071" s="1112"/>
    </row>
    <row r="1072" ht="22.5" customHeight="1">
      <c r="A1072" s="166"/>
      <c r="B1072" s="1111"/>
      <c r="C1072" s="524"/>
      <c r="D1072" s="1110"/>
      <c r="E1072" s="669"/>
      <c r="F1072" s="524"/>
      <c r="G1072" s="165"/>
      <c r="H1072" s="669"/>
      <c r="I1072" s="669"/>
      <c r="J1072" s="352"/>
      <c r="K1072" s="271" t="str">
        <f t="shared" si="74"/>
        <v/>
      </c>
      <c r="L1072" s="297"/>
      <c r="M1072" s="334"/>
      <c r="N1072" s="277"/>
      <c r="O1072" s="315"/>
      <c r="P1072" s="344">
        <f t="shared" si="69"/>
        <v>0</v>
      </c>
      <c r="Q1072" s="321"/>
      <c r="R1072" s="672" t="b">
        <v>0</v>
      </c>
      <c r="S1072" s="318"/>
      <c r="T1072" s="319"/>
      <c r="U1072" s="315"/>
      <c r="V1072" s="162"/>
      <c r="W1072" s="149"/>
      <c r="X1072" s="163"/>
      <c r="Y1072" s="162"/>
      <c r="Z1072" s="164"/>
      <c r="AA1072" s="116"/>
      <c r="AB1072" s="116"/>
      <c r="AC1072" s="165"/>
      <c r="AD1072" s="675" t="str">
        <f t="shared" si="76"/>
        <v/>
      </c>
      <c r="AE1072" s="166"/>
      <c r="AF1072" s="149" t="b">
        <v>0</v>
      </c>
      <c r="AG1072" s="166"/>
      <c r="AH1072" s="149" t="b">
        <v>0</v>
      </c>
      <c r="AI1072" s="162"/>
      <c r="AJ1072" s="143"/>
      <c r="AK1072" s="143"/>
      <c r="AL1072" s="1112"/>
      <c r="AM1072" s="1112"/>
      <c r="AN1072" s="1112"/>
      <c r="AO1072" s="1112"/>
      <c r="AP1072" s="1112"/>
      <c r="AQ1072" s="1112"/>
    </row>
    <row r="1073" ht="22.5" customHeight="1">
      <c r="A1073" s="166"/>
      <c r="B1073" s="1111"/>
      <c r="C1073" s="524"/>
      <c r="D1073" s="1110"/>
      <c r="E1073" s="669"/>
      <c r="F1073" s="524"/>
      <c r="G1073" s="165"/>
      <c r="H1073" s="669"/>
      <c r="I1073" s="669"/>
      <c r="J1073" s="352"/>
      <c r="K1073" s="271" t="str">
        <f t="shared" si="74"/>
        <v/>
      </c>
      <c r="L1073" s="297"/>
      <c r="M1073" s="334"/>
      <c r="N1073" s="277"/>
      <c r="O1073" s="315"/>
      <c r="P1073" s="344">
        <f t="shared" si="69"/>
        <v>0</v>
      </c>
      <c r="Q1073" s="321"/>
      <c r="R1073" s="672" t="b">
        <v>0</v>
      </c>
      <c r="S1073" s="318"/>
      <c r="T1073" s="319"/>
      <c r="U1073" s="315"/>
      <c r="V1073" s="162"/>
      <c r="W1073" s="149"/>
      <c r="X1073" s="163"/>
      <c r="Y1073" s="162"/>
      <c r="Z1073" s="164"/>
      <c r="AA1073" s="116"/>
      <c r="AB1073" s="116"/>
      <c r="AC1073" s="165"/>
      <c r="AD1073" s="675" t="str">
        <f t="shared" si="76"/>
        <v/>
      </c>
      <c r="AE1073" s="166"/>
      <c r="AF1073" s="149" t="b">
        <v>0</v>
      </c>
      <c r="AG1073" s="166"/>
      <c r="AH1073" s="149" t="b">
        <v>0</v>
      </c>
      <c r="AI1073" s="162"/>
      <c r="AJ1073" s="143"/>
      <c r="AK1073" s="143"/>
      <c r="AL1073" s="1112"/>
      <c r="AM1073" s="1112"/>
      <c r="AN1073" s="1112"/>
      <c r="AO1073" s="1112"/>
      <c r="AP1073" s="1112"/>
      <c r="AQ1073" s="1112"/>
    </row>
    <row r="1074" ht="22.5" customHeight="1">
      <c r="A1074" s="166"/>
      <c r="B1074" s="1111"/>
      <c r="C1074" s="524"/>
      <c r="D1074" s="1110"/>
      <c r="E1074" s="669"/>
      <c r="F1074" s="524"/>
      <c r="G1074" s="165"/>
      <c r="H1074" s="669"/>
      <c r="I1074" s="669"/>
      <c r="J1074" s="352"/>
      <c r="K1074" s="271" t="str">
        <f t="shared" si="74"/>
        <v/>
      </c>
      <c r="L1074" s="297"/>
      <c r="M1074" s="334"/>
      <c r="N1074" s="277"/>
      <c r="O1074" s="315"/>
      <c r="P1074" s="344">
        <f t="shared" si="69"/>
        <v>0</v>
      </c>
      <c r="Q1074" s="321"/>
      <c r="R1074" s="672" t="b">
        <v>0</v>
      </c>
      <c r="S1074" s="318"/>
      <c r="T1074" s="319"/>
      <c r="U1074" s="315"/>
      <c r="V1074" s="162"/>
      <c r="W1074" s="149"/>
      <c r="X1074" s="163"/>
      <c r="Y1074" s="162"/>
      <c r="Z1074" s="164"/>
      <c r="AA1074" s="116"/>
      <c r="AB1074" s="116"/>
      <c r="AC1074" s="165"/>
      <c r="AD1074" s="675" t="str">
        <f t="shared" si="76"/>
        <v/>
      </c>
      <c r="AE1074" s="166"/>
      <c r="AF1074" s="149" t="b">
        <v>0</v>
      </c>
      <c r="AG1074" s="166"/>
      <c r="AH1074" s="149" t="b">
        <v>0</v>
      </c>
      <c r="AI1074" s="162"/>
      <c r="AJ1074" s="143"/>
      <c r="AK1074" s="143"/>
      <c r="AL1074" s="1112"/>
      <c r="AM1074" s="1112"/>
      <c r="AN1074" s="1112"/>
      <c r="AO1074" s="1112"/>
      <c r="AP1074" s="1112"/>
      <c r="AQ1074" s="1112"/>
    </row>
    <row r="1075" ht="22.5" customHeight="1">
      <c r="A1075" s="166"/>
      <c r="B1075" s="1111"/>
      <c r="C1075" s="524"/>
      <c r="D1075" s="1110"/>
      <c r="E1075" s="669"/>
      <c r="F1075" s="524"/>
      <c r="G1075" s="165"/>
      <c r="H1075" s="669"/>
      <c r="I1075" s="669"/>
      <c r="J1075" s="352"/>
      <c r="K1075" s="271" t="str">
        <f t="shared" si="74"/>
        <v/>
      </c>
      <c r="L1075" s="297"/>
      <c r="M1075" s="334"/>
      <c r="N1075" s="277"/>
      <c r="O1075" s="315"/>
      <c r="P1075" s="344">
        <f t="shared" si="69"/>
        <v>0</v>
      </c>
      <c r="Q1075" s="321"/>
      <c r="R1075" s="672" t="b">
        <v>0</v>
      </c>
      <c r="S1075" s="318"/>
      <c r="T1075" s="319"/>
      <c r="U1075" s="315"/>
      <c r="V1075" s="162"/>
      <c r="W1075" s="149"/>
      <c r="X1075" s="163"/>
      <c r="Y1075" s="162"/>
      <c r="Z1075" s="164"/>
      <c r="AA1075" s="116"/>
      <c r="AB1075" s="116"/>
      <c r="AC1075" s="165"/>
      <c r="AD1075" s="675" t="str">
        <f t="shared" si="76"/>
        <v/>
      </c>
      <c r="AE1075" s="166"/>
      <c r="AF1075" s="149" t="b">
        <v>0</v>
      </c>
      <c r="AG1075" s="166"/>
      <c r="AH1075" s="149" t="b">
        <v>0</v>
      </c>
      <c r="AI1075" s="162"/>
      <c r="AJ1075" s="143"/>
      <c r="AK1075" s="143"/>
      <c r="AL1075" s="1112"/>
      <c r="AM1075" s="1112"/>
      <c r="AN1075" s="1112"/>
      <c r="AO1075" s="1112"/>
      <c r="AP1075" s="1112"/>
      <c r="AQ1075" s="1112"/>
    </row>
    <row r="1076" ht="22.5" customHeight="1">
      <c r="A1076" s="166"/>
      <c r="B1076" s="1111"/>
      <c r="C1076" s="524"/>
      <c r="D1076" s="1110"/>
      <c r="E1076" s="669"/>
      <c r="F1076" s="524"/>
      <c r="G1076" s="165"/>
      <c r="H1076" s="669"/>
      <c r="I1076" s="669"/>
      <c r="J1076" s="352"/>
      <c r="K1076" s="271" t="str">
        <f t="shared" si="74"/>
        <v/>
      </c>
      <c r="L1076" s="297"/>
      <c r="M1076" s="334"/>
      <c r="N1076" s="277"/>
      <c r="O1076" s="315"/>
      <c r="P1076" s="344">
        <f t="shared" si="69"/>
        <v>0</v>
      </c>
      <c r="Q1076" s="321"/>
      <c r="R1076" s="672" t="b">
        <v>0</v>
      </c>
      <c r="S1076" s="318"/>
      <c r="T1076" s="319"/>
      <c r="U1076" s="315"/>
      <c r="V1076" s="162"/>
      <c r="W1076" s="149"/>
      <c r="X1076" s="163"/>
      <c r="Y1076" s="162"/>
      <c r="Z1076" s="164"/>
      <c r="AA1076" s="116"/>
      <c r="AB1076" s="116"/>
      <c r="AC1076" s="165"/>
      <c r="AD1076" s="675" t="str">
        <f t="shared" si="76"/>
        <v/>
      </c>
      <c r="AE1076" s="166"/>
      <c r="AF1076" s="149" t="b">
        <v>0</v>
      </c>
      <c r="AG1076" s="166"/>
      <c r="AH1076" s="149" t="b">
        <v>0</v>
      </c>
      <c r="AI1076" s="162"/>
      <c r="AJ1076" s="143"/>
      <c r="AK1076" s="143"/>
      <c r="AL1076" s="1112"/>
      <c r="AM1076" s="1112"/>
      <c r="AN1076" s="1112"/>
      <c r="AO1076" s="1112"/>
      <c r="AP1076" s="1112"/>
      <c r="AQ1076" s="1112"/>
    </row>
    <row r="1077" ht="22.5" customHeight="1">
      <c r="A1077" s="166"/>
      <c r="B1077" s="1111"/>
      <c r="C1077" s="524"/>
      <c r="D1077" s="1110"/>
      <c r="E1077" s="669"/>
      <c r="F1077" s="524"/>
      <c r="G1077" s="165"/>
      <c r="H1077" s="669"/>
      <c r="I1077" s="669"/>
      <c r="J1077" s="352"/>
      <c r="K1077" s="271" t="str">
        <f t="shared" si="74"/>
        <v/>
      </c>
      <c r="L1077" s="297"/>
      <c r="M1077" s="334"/>
      <c r="N1077" s="277"/>
      <c r="O1077" s="315"/>
      <c r="P1077" s="344">
        <f t="shared" si="69"/>
        <v>0</v>
      </c>
      <c r="Q1077" s="321"/>
      <c r="R1077" s="672" t="b">
        <v>0</v>
      </c>
      <c r="S1077" s="318"/>
      <c r="T1077" s="319"/>
      <c r="U1077" s="315"/>
      <c r="V1077" s="162"/>
      <c r="W1077" s="149"/>
      <c r="X1077" s="163"/>
      <c r="Y1077" s="162"/>
      <c r="Z1077" s="164"/>
      <c r="AA1077" s="116"/>
      <c r="AB1077" s="116"/>
      <c r="AC1077" s="165"/>
      <c r="AD1077" s="675" t="str">
        <f t="shared" si="76"/>
        <v/>
      </c>
      <c r="AE1077" s="166"/>
      <c r="AF1077" s="149" t="b">
        <v>0</v>
      </c>
      <c r="AG1077" s="166"/>
      <c r="AH1077" s="149" t="b">
        <v>0</v>
      </c>
      <c r="AI1077" s="162"/>
      <c r="AJ1077" s="143"/>
      <c r="AK1077" s="143"/>
      <c r="AL1077" s="1112"/>
      <c r="AM1077" s="1112"/>
      <c r="AN1077" s="1112"/>
      <c r="AO1077" s="1112"/>
      <c r="AP1077" s="1112"/>
      <c r="AQ1077" s="1112"/>
    </row>
    <row r="1078" ht="22.5" customHeight="1">
      <c r="A1078" s="166"/>
      <c r="B1078" s="1111"/>
      <c r="C1078" s="524"/>
      <c r="D1078" s="1110"/>
      <c r="E1078" s="669"/>
      <c r="F1078" s="524"/>
      <c r="G1078" s="165"/>
      <c r="H1078" s="669"/>
      <c r="I1078" s="669"/>
      <c r="J1078" s="352"/>
      <c r="K1078" s="271" t="str">
        <f t="shared" si="74"/>
        <v/>
      </c>
      <c r="L1078" s="297"/>
      <c r="M1078" s="334"/>
      <c r="N1078" s="277"/>
      <c r="O1078" s="315"/>
      <c r="P1078" s="344">
        <f t="shared" si="69"/>
        <v>0</v>
      </c>
      <c r="Q1078" s="321"/>
      <c r="R1078" s="672" t="b">
        <v>0</v>
      </c>
      <c r="S1078" s="318"/>
      <c r="T1078" s="319"/>
      <c r="U1078" s="315"/>
      <c r="V1078" s="162"/>
      <c r="W1078" s="149"/>
      <c r="X1078" s="163"/>
      <c r="Y1078" s="162"/>
      <c r="Z1078" s="164"/>
      <c r="AA1078" s="116"/>
      <c r="AB1078" s="116"/>
      <c r="AC1078" s="165"/>
      <c r="AD1078" s="675" t="str">
        <f t="shared" si="76"/>
        <v/>
      </c>
      <c r="AE1078" s="166"/>
      <c r="AF1078" s="149" t="b">
        <v>0</v>
      </c>
      <c r="AG1078" s="166"/>
      <c r="AH1078" s="149" t="b">
        <v>0</v>
      </c>
      <c r="AI1078" s="162"/>
      <c r="AJ1078" s="143"/>
      <c r="AK1078" s="143"/>
      <c r="AL1078" s="1112"/>
      <c r="AM1078" s="1112"/>
      <c r="AN1078" s="1112"/>
      <c r="AO1078" s="1112"/>
      <c r="AP1078" s="1112"/>
      <c r="AQ1078" s="1112"/>
    </row>
    <row r="1079" ht="22.5" customHeight="1">
      <c r="A1079" s="166"/>
      <c r="B1079" s="1111"/>
      <c r="C1079" s="524"/>
      <c r="D1079" s="1110"/>
      <c r="E1079" s="669"/>
      <c r="F1079" s="524"/>
      <c r="G1079" s="165"/>
      <c r="H1079" s="669"/>
      <c r="I1079" s="669"/>
      <c r="J1079" s="352"/>
      <c r="K1079" s="271" t="str">
        <f t="shared" si="74"/>
        <v/>
      </c>
      <c r="L1079" s="297"/>
      <c r="M1079" s="334"/>
      <c r="N1079" s="277"/>
      <c r="O1079" s="315"/>
      <c r="P1079" s="344">
        <f t="shared" si="69"/>
        <v>0</v>
      </c>
      <c r="Q1079" s="321"/>
      <c r="R1079" s="672" t="b">
        <v>0</v>
      </c>
      <c r="S1079" s="318"/>
      <c r="T1079" s="319"/>
      <c r="U1079" s="315"/>
      <c r="V1079" s="162"/>
      <c r="W1079" s="149"/>
      <c r="X1079" s="163"/>
      <c r="Y1079" s="162"/>
      <c r="Z1079" s="164"/>
      <c r="AA1079" s="116"/>
      <c r="AB1079" s="116"/>
      <c r="AC1079" s="165"/>
      <c r="AD1079" s="675" t="str">
        <f t="shared" si="76"/>
        <v/>
      </c>
      <c r="AE1079" s="166"/>
      <c r="AF1079" s="149" t="b">
        <v>0</v>
      </c>
      <c r="AG1079" s="166"/>
      <c r="AH1079" s="149" t="b">
        <v>0</v>
      </c>
      <c r="AI1079" s="162"/>
      <c r="AJ1079" s="143"/>
      <c r="AK1079" s="143"/>
      <c r="AL1079" s="1112"/>
      <c r="AM1079" s="1112"/>
      <c r="AN1079" s="1112"/>
      <c r="AO1079" s="1112"/>
      <c r="AP1079" s="1112"/>
      <c r="AQ1079" s="1112"/>
    </row>
    <row r="1080" ht="22.5" customHeight="1">
      <c r="A1080" s="166"/>
      <c r="B1080" s="1111"/>
      <c r="C1080" s="524"/>
      <c r="D1080" s="1110"/>
      <c r="E1080" s="669"/>
      <c r="F1080" s="524"/>
      <c r="G1080" s="165"/>
      <c r="H1080" s="669"/>
      <c r="I1080" s="669"/>
      <c r="J1080" s="352"/>
      <c r="K1080" s="271" t="str">
        <f t="shared" si="74"/>
        <v/>
      </c>
      <c r="L1080" s="297"/>
      <c r="M1080" s="334"/>
      <c r="N1080" s="277"/>
      <c r="O1080" s="315"/>
      <c r="P1080" s="344">
        <f t="shared" si="69"/>
        <v>0</v>
      </c>
      <c r="Q1080" s="321"/>
      <c r="R1080" s="672" t="b">
        <v>0</v>
      </c>
      <c r="S1080" s="318"/>
      <c r="T1080" s="319"/>
      <c r="U1080" s="315"/>
      <c r="V1080" s="162"/>
      <c r="W1080" s="149"/>
      <c r="X1080" s="163"/>
      <c r="Y1080" s="162"/>
      <c r="Z1080" s="164"/>
      <c r="AA1080" s="116"/>
      <c r="AB1080" s="116"/>
      <c r="AC1080" s="165"/>
      <c r="AD1080" s="675" t="str">
        <f t="shared" si="76"/>
        <v/>
      </c>
      <c r="AE1080" s="166"/>
      <c r="AF1080" s="149" t="b">
        <v>0</v>
      </c>
      <c r="AG1080" s="166"/>
      <c r="AH1080" s="149" t="b">
        <v>0</v>
      </c>
      <c r="AI1080" s="162"/>
      <c r="AJ1080" s="143"/>
      <c r="AK1080" s="143"/>
      <c r="AL1080" s="1112"/>
      <c r="AM1080" s="1112"/>
      <c r="AN1080" s="1112"/>
      <c r="AO1080" s="1112"/>
      <c r="AP1080" s="1112"/>
      <c r="AQ1080" s="1112"/>
    </row>
    <row r="1081" ht="22.5" customHeight="1">
      <c r="A1081" s="166"/>
      <c r="B1081" s="1111"/>
      <c r="C1081" s="524"/>
      <c r="D1081" s="1110"/>
      <c r="E1081" s="669"/>
      <c r="F1081" s="524"/>
      <c r="G1081" s="165"/>
      <c r="H1081" s="669"/>
      <c r="I1081" s="669"/>
      <c r="J1081" s="352"/>
      <c r="K1081" s="271" t="str">
        <f t="shared" si="74"/>
        <v/>
      </c>
      <c r="L1081" s="297"/>
      <c r="M1081" s="334"/>
      <c r="N1081" s="277"/>
      <c r="O1081" s="315"/>
      <c r="P1081" s="344">
        <f t="shared" si="69"/>
        <v>0</v>
      </c>
      <c r="Q1081" s="321"/>
      <c r="R1081" s="672" t="b">
        <v>0</v>
      </c>
      <c r="S1081" s="318"/>
      <c r="T1081" s="319"/>
      <c r="U1081" s="315"/>
      <c r="V1081" s="162"/>
      <c r="W1081" s="149"/>
      <c r="X1081" s="163"/>
      <c r="Y1081" s="162"/>
      <c r="Z1081" s="164"/>
      <c r="AA1081" s="116"/>
      <c r="AB1081" s="116"/>
      <c r="AC1081" s="165"/>
      <c r="AD1081" s="675" t="str">
        <f t="shared" si="76"/>
        <v/>
      </c>
      <c r="AE1081" s="166"/>
      <c r="AF1081" s="149" t="b">
        <v>0</v>
      </c>
      <c r="AG1081" s="166"/>
      <c r="AH1081" s="149" t="b">
        <v>0</v>
      </c>
      <c r="AI1081" s="162"/>
      <c r="AJ1081" s="143"/>
      <c r="AK1081" s="143"/>
      <c r="AL1081" s="1112"/>
      <c r="AM1081" s="1112"/>
      <c r="AN1081" s="1112"/>
      <c r="AO1081" s="1112"/>
      <c r="AP1081" s="1112"/>
      <c r="AQ1081" s="1112"/>
    </row>
    <row r="1082" ht="22.5" customHeight="1">
      <c r="A1082" s="166"/>
      <c r="B1082" s="1111"/>
      <c r="C1082" s="524"/>
      <c r="D1082" s="1110"/>
      <c r="E1082" s="669"/>
      <c r="F1082" s="524"/>
      <c r="G1082" s="165"/>
      <c r="H1082" s="669"/>
      <c r="I1082" s="669"/>
      <c r="J1082" s="352"/>
      <c r="K1082" s="271" t="str">
        <f t="shared" si="74"/>
        <v/>
      </c>
      <c r="L1082" s="297"/>
      <c r="M1082" s="334"/>
      <c r="N1082" s="277"/>
      <c r="O1082" s="315"/>
      <c r="P1082" s="344">
        <f t="shared" si="69"/>
        <v>0</v>
      </c>
      <c r="Q1082" s="321"/>
      <c r="R1082" s="672" t="b">
        <v>0</v>
      </c>
      <c r="S1082" s="318"/>
      <c r="T1082" s="319"/>
      <c r="U1082" s="315"/>
      <c r="V1082" s="162"/>
      <c r="W1082" s="149"/>
      <c r="X1082" s="163"/>
      <c r="Y1082" s="162"/>
      <c r="Z1082" s="164"/>
      <c r="AA1082" s="116"/>
      <c r="AB1082" s="116"/>
      <c r="AC1082" s="165"/>
      <c r="AD1082" s="675" t="str">
        <f t="shared" si="76"/>
        <v/>
      </c>
      <c r="AE1082" s="166"/>
      <c r="AF1082" s="149" t="b">
        <v>0</v>
      </c>
      <c r="AG1082" s="166"/>
      <c r="AH1082" s="149" t="b">
        <v>0</v>
      </c>
      <c r="AI1082" s="162"/>
      <c r="AJ1082" s="143"/>
      <c r="AK1082" s="143"/>
      <c r="AL1082" s="1112"/>
      <c r="AM1082" s="1112"/>
      <c r="AN1082" s="1112"/>
      <c r="AO1082" s="1112"/>
      <c r="AP1082" s="1112"/>
      <c r="AQ1082" s="1112"/>
    </row>
    <row r="1083" ht="22.5" customHeight="1">
      <c r="A1083" s="166"/>
      <c r="B1083" s="1111"/>
      <c r="C1083" s="524"/>
      <c r="D1083" s="1110"/>
      <c r="E1083" s="669"/>
      <c r="F1083" s="524"/>
      <c r="G1083" s="165"/>
      <c r="H1083" s="669"/>
      <c r="I1083" s="669"/>
      <c r="J1083" s="352"/>
      <c r="K1083" s="271" t="str">
        <f t="shared" si="74"/>
        <v/>
      </c>
      <c r="L1083" s="297"/>
      <c r="M1083" s="334"/>
      <c r="N1083" s="277"/>
      <c r="O1083" s="315"/>
      <c r="P1083" s="344">
        <f t="shared" si="69"/>
        <v>0</v>
      </c>
      <c r="Q1083" s="321"/>
      <c r="R1083" s="672" t="b">
        <v>0</v>
      </c>
      <c r="S1083" s="318"/>
      <c r="T1083" s="319"/>
      <c r="U1083" s="315"/>
      <c r="V1083" s="162"/>
      <c r="W1083" s="149"/>
      <c r="X1083" s="163"/>
      <c r="Y1083" s="162"/>
      <c r="Z1083" s="164"/>
      <c r="AA1083" s="116"/>
      <c r="AB1083" s="116"/>
      <c r="AC1083" s="165"/>
      <c r="AD1083" s="675" t="str">
        <f t="shared" si="76"/>
        <v/>
      </c>
      <c r="AE1083" s="166"/>
      <c r="AF1083" s="149" t="b">
        <v>0</v>
      </c>
      <c r="AG1083" s="166"/>
      <c r="AH1083" s="149" t="b">
        <v>0</v>
      </c>
      <c r="AI1083" s="162"/>
      <c r="AJ1083" s="143"/>
      <c r="AK1083" s="143"/>
      <c r="AL1083" s="1112"/>
      <c r="AM1083" s="1112"/>
      <c r="AN1083" s="1112"/>
      <c r="AO1083" s="1112"/>
      <c r="AP1083" s="1112"/>
      <c r="AQ1083" s="1112"/>
    </row>
    <row r="1084" ht="22.5" customHeight="1">
      <c r="A1084" s="166"/>
      <c r="B1084" s="1111"/>
      <c r="C1084" s="524"/>
      <c r="D1084" s="1110"/>
      <c r="E1084" s="669"/>
      <c r="F1084" s="524"/>
      <c r="G1084" s="165"/>
      <c r="H1084" s="669"/>
      <c r="I1084" s="669"/>
      <c r="J1084" s="352"/>
      <c r="K1084" s="271" t="str">
        <f t="shared" si="74"/>
        <v/>
      </c>
      <c r="L1084" s="297"/>
      <c r="M1084" s="334"/>
      <c r="N1084" s="277"/>
      <c r="O1084" s="315"/>
      <c r="P1084" s="344">
        <f t="shared" si="69"/>
        <v>0</v>
      </c>
      <c r="Q1084" s="321"/>
      <c r="R1084" s="672" t="b">
        <v>0</v>
      </c>
      <c r="S1084" s="318"/>
      <c r="T1084" s="319"/>
      <c r="U1084" s="315"/>
      <c r="V1084" s="162"/>
      <c r="W1084" s="149"/>
      <c r="X1084" s="163"/>
      <c r="Y1084" s="162"/>
      <c r="Z1084" s="164"/>
      <c r="AA1084" s="116"/>
      <c r="AB1084" s="116"/>
      <c r="AC1084" s="165"/>
      <c r="AD1084" s="675" t="str">
        <f t="shared" si="76"/>
        <v/>
      </c>
      <c r="AE1084" s="166"/>
      <c r="AF1084" s="149" t="b">
        <v>0</v>
      </c>
      <c r="AG1084" s="166"/>
      <c r="AH1084" s="149" t="b">
        <v>0</v>
      </c>
      <c r="AI1084" s="162"/>
      <c r="AJ1084" s="143"/>
      <c r="AK1084" s="143"/>
      <c r="AL1084" s="1112"/>
      <c r="AM1084" s="1112"/>
      <c r="AN1084" s="1112"/>
      <c r="AO1084" s="1112"/>
      <c r="AP1084" s="1112"/>
      <c r="AQ1084" s="1112"/>
    </row>
    <row r="1085" ht="22.5" customHeight="1">
      <c r="A1085" s="166"/>
      <c r="B1085" s="1111"/>
      <c r="C1085" s="524"/>
      <c r="D1085" s="1110"/>
      <c r="E1085" s="669"/>
      <c r="F1085" s="524"/>
      <c r="G1085" s="165"/>
      <c r="H1085" s="669"/>
      <c r="I1085" s="669"/>
      <c r="J1085" s="352"/>
      <c r="K1085" s="271" t="str">
        <f t="shared" si="74"/>
        <v/>
      </c>
      <c r="L1085" s="297"/>
      <c r="M1085" s="334"/>
      <c r="N1085" s="277"/>
      <c r="O1085" s="315"/>
      <c r="P1085" s="344">
        <f t="shared" si="69"/>
        <v>0</v>
      </c>
      <c r="Q1085" s="321"/>
      <c r="R1085" s="672" t="b">
        <v>0</v>
      </c>
      <c r="S1085" s="318"/>
      <c r="T1085" s="319"/>
      <c r="U1085" s="315"/>
      <c r="V1085" s="162"/>
      <c r="W1085" s="149"/>
      <c r="X1085" s="163"/>
      <c r="Y1085" s="162"/>
      <c r="Z1085" s="164"/>
      <c r="AA1085" s="116"/>
      <c r="AB1085" s="116"/>
      <c r="AC1085" s="165"/>
      <c r="AD1085" s="675" t="str">
        <f t="shared" si="76"/>
        <v/>
      </c>
      <c r="AE1085" s="166"/>
      <c r="AF1085" s="149" t="b">
        <v>0</v>
      </c>
      <c r="AG1085" s="166"/>
      <c r="AH1085" s="149" t="b">
        <v>0</v>
      </c>
      <c r="AI1085" s="162"/>
      <c r="AJ1085" s="143"/>
      <c r="AK1085" s="143"/>
      <c r="AL1085" s="1112"/>
      <c r="AM1085" s="1112"/>
      <c r="AN1085" s="1112"/>
      <c r="AO1085" s="1112"/>
      <c r="AP1085" s="1112"/>
      <c r="AQ1085" s="1112"/>
    </row>
    <row r="1086" ht="22.5" customHeight="1">
      <c r="A1086" s="166"/>
      <c r="B1086" s="1111"/>
      <c r="C1086" s="524"/>
      <c r="D1086" s="1110"/>
      <c r="E1086" s="669"/>
      <c r="F1086" s="524"/>
      <c r="G1086" s="165"/>
      <c r="H1086" s="669"/>
      <c r="I1086" s="669"/>
      <c r="J1086" s="352"/>
      <c r="K1086" s="271" t="str">
        <f t="shared" si="74"/>
        <v/>
      </c>
      <c r="L1086" s="297"/>
      <c r="M1086" s="334"/>
      <c r="N1086" s="277"/>
      <c r="O1086" s="315"/>
      <c r="P1086" s="344">
        <f t="shared" si="69"/>
        <v>0</v>
      </c>
      <c r="Q1086" s="321"/>
      <c r="R1086" s="672" t="b">
        <v>0</v>
      </c>
      <c r="S1086" s="318"/>
      <c r="T1086" s="319"/>
      <c r="U1086" s="315"/>
      <c r="V1086" s="162"/>
      <c r="W1086" s="149"/>
      <c r="X1086" s="163"/>
      <c r="Y1086" s="162"/>
      <c r="Z1086" s="164"/>
      <c r="AA1086" s="116"/>
      <c r="AB1086" s="116"/>
      <c r="AC1086" s="165"/>
      <c r="AD1086" s="675" t="str">
        <f t="shared" si="76"/>
        <v/>
      </c>
      <c r="AE1086" s="166"/>
      <c r="AF1086" s="149" t="b">
        <v>0</v>
      </c>
      <c r="AG1086" s="166"/>
      <c r="AH1086" s="149" t="b">
        <v>0</v>
      </c>
      <c r="AI1086" s="162"/>
      <c r="AJ1086" s="143"/>
      <c r="AK1086" s="143"/>
      <c r="AL1086" s="1112"/>
      <c r="AM1086" s="1112"/>
      <c r="AN1086" s="1112"/>
      <c r="AO1086" s="1112"/>
      <c r="AP1086" s="1112"/>
      <c r="AQ1086" s="1112"/>
    </row>
    <row r="1087" ht="22.5" customHeight="1">
      <c r="A1087" s="166"/>
      <c r="B1087" s="1111"/>
      <c r="C1087" s="524"/>
      <c r="D1087" s="1110"/>
      <c r="E1087" s="669"/>
      <c r="F1087" s="524"/>
      <c r="G1087" s="165"/>
      <c r="H1087" s="669"/>
      <c r="I1087" s="669"/>
      <c r="J1087" s="352"/>
      <c r="K1087" s="271" t="str">
        <f t="shared" si="74"/>
        <v/>
      </c>
      <c r="L1087" s="297"/>
      <c r="M1087" s="334"/>
      <c r="N1087" s="277"/>
      <c r="O1087" s="315"/>
      <c r="P1087" s="344">
        <f t="shared" si="69"/>
        <v>0</v>
      </c>
      <c r="Q1087" s="321"/>
      <c r="R1087" s="672" t="b">
        <v>0</v>
      </c>
      <c r="S1087" s="318"/>
      <c r="T1087" s="319"/>
      <c r="U1087" s="315"/>
      <c r="V1087" s="162"/>
      <c r="W1087" s="149"/>
      <c r="X1087" s="163"/>
      <c r="Y1087" s="162"/>
      <c r="Z1087" s="164"/>
      <c r="AA1087" s="116"/>
      <c r="AB1087" s="116"/>
      <c r="AC1087" s="165"/>
      <c r="AD1087" s="675" t="str">
        <f t="shared" si="76"/>
        <v/>
      </c>
      <c r="AE1087" s="166"/>
      <c r="AF1087" s="149" t="b">
        <v>0</v>
      </c>
      <c r="AG1087" s="166"/>
      <c r="AH1087" s="149" t="b">
        <v>0</v>
      </c>
      <c r="AI1087" s="162"/>
      <c r="AJ1087" s="143"/>
      <c r="AK1087" s="143"/>
      <c r="AL1087" s="1112"/>
      <c r="AM1087" s="1112"/>
      <c r="AN1087" s="1112"/>
      <c r="AO1087" s="1112"/>
      <c r="AP1087" s="1112"/>
      <c r="AQ1087" s="1112"/>
    </row>
    <row r="1088" ht="22.5" customHeight="1">
      <c r="A1088" s="166"/>
      <c r="B1088" s="1111"/>
      <c r="C1088" s="524"/>
      <c r="D1088" s="1110"/>
      <c r="E1088" s="669"/>
      <c r="F1088" s="524"/>
      <c r="G1088" s="165"/>
      <c r="H1088" s="669"/>
      <c r="I1088" s="669"/>
      <c r="J1088" s="352"/>
      <c r="K1088" s="271" t="str">
        <f t="shared" si="74"/>
        <v/>
      </c>
      <c r="L1088" s="297"/>
      <c r="M1088" s="334"/>
      <c r="N1088" s="277"/>
      <c r="O1088" s="315"/>
      <c r="P1088" s="344">
        <f t="shared" si="69"/>
        <v>0</v>
      </c>
      <c r="Q1088" s="321"/>
      <c r="R1088" s="672" t="b">
        <v>0</v>
      </c>
      <c r="S1088" s="318"/>
      <c r="T1088" s="319"/>
      <c r="U1088" s="315"/>
      <c r="V1088" s="162"/>
      <c r="W1088" s="149"/>
      <c r="X1088" s="163"/>
      <c r="Y1088" s="162"/>
      <c r="Z1088" s="164"/>
      <c r="AA1088" s="116"/>
      <c r="AB1088" s="116"/>
      <c r="AC1088" s="165"/>
      <c r="AD1088" s="675" t="str">
        <f t="shared" si="76"/>
        <v/>
      </c>
      <c r="AE1088" s="166"/>
      <c r="AF1088" s="149" t="b">
        <v>0</v>
      </c>
      <c r="AG1088" s="166"/>
      <c r="AH1088" s="149" t="b">
        <v>0</v>
      </c>
      <c r="AI1088" s="162"/>
      <c r="AJ1088" s="143"/>
      <c r="AK1088" s="143"/>
      <c r="AL1088" s="1112"/>
      <c r="AM1088" s="1112"/>
      <c r="AN1088" s="1112"/>
      <c r="AO1088" s="1112"/>
      <c r="AP1088" s="1112"/>
      <c r="AQ1088" s="1112"/>
    </row>
    <row r="1089" ht="22.5" customHeight="1">
      <c r="A1089" s="166"/>
      <c r="B1089" s="1111"/>
      <c r="C1089" s="524"/>
      <c r="D1089" s="1110"/>
      <c r="E1089" s="669"/>
      <c r="F1089" s="524"/>
      <c r="G1089" s="165"/>
      <c r="H1089" s="669"/>
      <c r="I1089" s="669"/>
      <c r="J1089" s="352"/>
      <c r="K1089" s="271" t="str">
        <f t="shared" si="74"/>
        <v/>
      </c>
      <c r="L1089" s="297"/>
      <c r="M1089" s="334"/>
      <c r="N1089" s="277"/>
      <c r="O1089" s="315"/>
      <c r="P1089" s="344">
        <f t="shared" si="69"/>
        <v>0</v>
      </c>
      <c r="Q1089" s="321"/>
      <c r="R1089" s="672" t="b">
        <v>0</v>
      </c>
      <c r="S1089" s="318"/>
      <c r="T1089" s="319"/>
      <c r="U1089" s="315"/>
      <c r="V1089" s="162"/>
      <c r="W1089" s="149"/>
      <c r="X1089" s="163"/>
      <c r="Y1089" s="162"/>
      <c r="Z1089" s="164"/>
      <c r="AA1089" s="116"/>
      <c r="AB1089" s="116"/>
      <c r="AC1089" s="165"/>
      <c r="AD1089" s="675" t="str">
        <f t="shared" si="76"/>
        <v/>
      </c>
      <c r="AE1089" s="166"/>
      <c r="AF1089" s="149" t="b">
        <v>0</v>
      </c>
      <c r="AG1089" s="166"/>
      <c r="AH1089" s="149" t="b">
        <v>0</v>
      </c>
      <c r="AI1089" s="162"/>
      <c r="AJ1089" s="143"/>
      <c r="AK1089" s="143"/>
      <c r="AL1089" s="1112"/>
      <c r="AM1089" s="1112"/>
      <c r="AN1089" s="1112"/>
      <c r="AO1089" s="1112"/>
      <c r="AP1089" s="1112"/>
      <c r="AQ1089" s="1112"/>
    </row>
    <row r="1090" ht="22.5" customHeight="1">
      <c r="A1090" s="166"/>
      <c r="B1090" s="1111"/>
      <c r="C1090" s="524"/>
      <c r="D1090" s="1110"/>
      <c r="E1090" s="669"/>
      <c r="F1090" s="524"/>
      <c r="G1090" s="165"/>
      <c r="H1090" s="669"/>
      <c r="I1090" s="669"/>
      <c r="J1090" s="352"/>
      <c r="K1090" s="271" t="str">
        <f t="shared" si="74"/>
        <v/>
      </c>
      <c r="L1090" s="297"/>
      <c r="M1090" s="334"/>
      <c r="N1090" s="277"/>
      <c r="O1090" s="315"/>
      <c r="P1090" s="344">
        <f t="shared" si="69"/>
        <v>0</v>
      </c>
      <c r="Q1090" s="321"/>
      <c r="R1090" s="672" t="b">
        <v>0</v>
      </c>
      <c r="S1090" s="318"/>
      <c r="T1090" s="319"/>
      <c r="U1090" s="315"/>
      <c r="V1090" s="162"/>
      <c r="W1090" s="149"/>
      <c r="X1090" s="163"/>
      <c r="Y1090" s="162"/>
      <c r="Z1090" s="164"/>
      <c r="AA1090" s="116"/>
      <c r="AB1090" s="116"/>
      <c r="AC1090" s="165"/>
      <c r="AD1090" s="675" t="str">
        <f t="shared" si="76"/>
        <v/>
      </c>
      <c r="AE1090" s="166"/>
      <c r="AF1090" s="149" t="b">
        <v>0</v>
      </c>
      <c r="AG1090" s="166"/>
      <c r="AH1090" s="149" t="b">
        <v>0</v>
      </c>
      <c r="AI1090" s="162"/>
      <c r="AJ1090" s="143"/>
      <c r="AK1090" s="143"/>
      <c r="AL1090" s="1112"/>
      <c r="AM1090" s="1112"/>
      <c r="AN1090" s="1112"/>
      <c r="AO1090" s="1112"/>
      <c r="AP1090" s="1112"/>
      <c r="AQ1090" s="1112"/>
    </row>
    <row r="1091" ht="22.5" customHeight="1">
      <c r="A1091" s="166"/>
      <c r="B1091" s="1111"/>
      <c r="C1091" s="524"/>
      <c r="D1091" s="1110"/>
      <c r="E1091" s="669"/>
      <c r="F1091" s="524"/>
      <c r="G1091" s="165"/>
      <c r="H1091" s="669"/>
      <c r="I1091" s="669"/>
      <c r="J1091" s="352"/>
      <c r="K1091" s="271" t="str">
        <f t="shared" si="74"/>
        <v/>
      </c>
      <c r="L1091" s="297"/>
      <c r="M1091" s="334"/>
      <c r="N1091" s="277"/>
      <c r="O1091" s="315"/>
      <c r="P1091" s="344">
        <f t="shared" si="69"/>
        <v>0</v>
      </c>
      <c r="Q1091" s="321"/>
      <c r="R1091" s="672" t="b">
        <v>0</v>
      </c>
      <c r="S1091" s="318"/>
      <c r="T1091" s="319"/>
      <c r="U1091" s="315"/>
      <c r="V1091" s="162"/>
      <c r="W1091" s="149"/>
      <c r="X1091" s="163"/>
      <c r="Y1091" s="162"/>
      <c r="Z1091" s="164"/>
      <c r="AA1091" s="116"/>
      <c r="AB1091" s="116"/>
      <c r="AC1091" s="165"/>
      <c r="AD1091" s="675" t="str">
        <f t="shared" si="76"/>
        <v/>
      </c>
      <c r="AE1091" s="166"/>
      <c r="AF1091" s="149" t="b">
        <v>0</v>
      </c>
      <c r="AG1091" s="166"/>
      <c r="AH1091" s="149" t="b">
        <v>0</v>
      </c>
      <c r="AI1091" s="162"/>
      <c r="AJ1091" s="143"/>
      <c r="AK1091" s="143"/>
      <c r="AL1091" s="1112"/>
      <c r="AM1091" s="1112"/>
      <c r="AN1091" s="1112"/>
      <c r="AO1091" s="1112"/>
      <c r="AP1091" s="1112"/>
      <c r="AQ1091" s="1112"/>
    </row>
    <row r="1092" ht="22.5" customHeight="1">
      <c r="A1092" s="166"/>
      <c r="B1092" s="1111"/>
      <c r="C1092" s="524"/>
      <c r="D1092" s="1110"/>
      <c r="E1092" s="669"/>
      <c r="F1092" s="524"/>
      <c r="G1092" s="165"/>
      <c r="H1092" s="669"/>
      <c r="I1092" s="669"/>
      <c r="J1092" s="352"/>
      <c r="K1092" s="271" t="str">
        <f t="shared" si="74"/>
        <v/>
      </c>
      <c r="L1092" s="297"/>
      <c r="M1092" s="334"/>
      <c r="N1092" s="277"/>
      <c r="O1092" s="315"/>
      <c r="P1092" s="344">
        <f t="shared" si="69"/>
        <v>0</v>
      </c>
      <c r="Q1092" s="321"/>
      <c r="R1092" s="672" t="b">
        <v>0</v>
      </c>
      <c r="S1092" s="318"/>
      <c r="T1092" s="319"/>
      <c r="U1092" s="315"/>
      <c r="V1092" s="162"/>
      <c r="W1092" s="149"/>
      <c r="X1092" s="163"/>
      <c r="Y1092" s="162"/>
      <c r="Z1092" s="164"/>
      <c r="AA1092" s="116"/>
      <c r="AB1092" s="116"/>
      <c r="AC1092" s="165"/>
      <c r="AD1092" s="675" t="str">
        <f t="shared" si="76"/>
        <v/>
      </c>
      <c r="AE1092" s="166"/>
      <c r="AF1092" s="149" t="b">
        <v>0</v>
      </c>
      <c r="AG1092" s="166"/>
      <c r="AH1092" s="149" t="b">
        <v>0</v>
      </c>
      <c r="AI1092" s="162"/>
      <c r="AJ1092" s="143"/>
      <c r="AK1092" s="143"/>
      <c r="AL1092" s="1112"/>
      <c r="AM1092" s="1112"/>
      <c r="AN1092" s="1112"/>
      <c r="AO1092" s="1112"/>
      <c r="AP1092" s="1112"/>
      <c r="AQ1092" s="1112"/>
    </row>
    <row r="1093" ht="22.5" customHeight="1">
      <c r="A1093" s="166"/>
      <c r="B1093" s="1111"/>
      <c r="C1093" s="524"/>
      <c r="D1093" s="1110"/>
      <c r="E1093" s="669"/>
      <c r="F1093" s="524"/>
      <c r="G1093" s="165"/>
      <c r="H1093" s="669"/>
      <c r="I1093" s="669"/>
      <c r="J1093" s="352"/>
      <c r="K1093" s="271" t="str">
        <f t="shared" si="74"/>
        <v/>
      </c>
      <c r="L1093" s="297"/>
      <c r="M1093" s="334"/>
      <c r="N1093" s="277"/>
      <c r="O1093" s="315"/>
      <c r="P1093" s="344">
        <f t="shared" si="69"/>
        <v>0</v>
      </c>
      <c r="Q1093" s="321"/>
      <c r="R1093" s="672" t="b">
        <v>0</v>
      </c>
      <c r="S1093" s="318"/>
      <c r="T1093" s="319"/>
      <c r="U1093" s="315"/>
      <c r="V1093" s="162"/>
      <c r="W1093" s="149"/>
      <c r="X1093" s="163"/>
      <c r="Y1093" s="162"/>
      <c r="Z1093" s="164"/>
      <c r="AA1093" s="116"/>
      <c r="AB1093" s="116"/>
      <c r="AC1093" s="165"/>
      <c r="AD1093" s="675" t="str">
        <f t="shared" si="76"/>
        <v/>
      </c>
      <c r="AE1093" s="166"/>
      <c r="AF1093" s="149" t="b">
        <v>0</v>
      </c>
      <c r="AG1093" s="166"/>
      <c r="AH1093" s="149" t="b">
        <v>0</v>
      </c>
      <c r="AI1093" s="162"/>
      <c r="AJ1093" s="143"/>
      <c r="AK1093" s="143"/>
      <c r="AL1093" s="1112"/>
      <c r="AM1093" s="1112"/>
      <c r="AN1093" s="1112"/>
      <c r="AO1093" s="1112"/>
      <c r="AP1093" s="1112"/>
      <c r="AQ1093" s="1112"/>
    </row>
    <row r="1094" ht="22.5" customHeight="1">
      <c r="A1094" s="166"/>
      <c r="B1094" s="1111"/>
      <c r="C1094" s="524"/>
      <c r="D1094" s="1110"/>
      <c r="E1094" s="669"/>
      <c r="F1094" s="524"/>
      <c r="G1094" s="165"/>
      <c r="H1094" s="669"/>
      <c r="I1094" s="669"/>
      <c r="J1094" s="352"/>
      <c r="K1094" s="271" t="str">
        <f t="shared" si="74"/>
        <v/>
      </c>
      <c r="L1094" s="297"/>
      <c r="M1094" s="334"/>
      <c r="N1094" s="277"/>
      <c r="O1094" s="315"/>
      <c r="P1094" s="344">
        <f t="shared" si="69"/>
        <v>0</v>
      </c>
      <c r="Q1094" s="321"/>
      <c r="R1094" s="672" t="b">
        <v>0</v>
      </c>
      <c r="S1094" s="318"/>
      <c r="T1094" s="319"/>
      <c r="U1094" s="315"/>
      <c r="V1094" s="162"/>
      <c r="W1094" s="149"/>
      <c r="X1094" s="163"/>
      <c r="Y1094" s="162"/>
      <c r="Z1094" s="164"/>
      <c r="AA1094" s="116"/>
      <c r="AB1094" s="116"/>
      <c r="AC1094" s="165"/>
      <c r="AD1094" s="675" t="str">
        <f t="shared" si="76"/>
        <v/>
      </c>
      <c r="AE1094" s="166"/>
      <c r="AF1094" s="149" t="b">
        <v>0</v>
      </c>
      <c r="AG1094" s="166"/>
      <c r="AH1094" s="149" t="b">
        <v>0</v>
      </c>
      <c r="AI1094" s="162"/>
      <c r="AJ1094" s="143"/>
      <c r="AK1094" s="143"/>
      <c r="AL1094" s="1112"/>
      <c r="AM1094" s="1112"/>
      <c r="AN1094" s="1112"/>
      <c r="AO1094" s="1112"/>
      <c r="AP1094" s="1112"/>
      <c r="AQ1094" s="1112"/>
    </row>
    <row r="1095" ht="22.5" customHeight="1">
      <c r="A1095" s="166"/>
      <c r="B1095" s="1111"/>
      <c r="C1095" s="524"/>
      <c r="D1095" s="1110"/>
      <c r="E1095" s="669"/>
      <c r="F1095" s="524"/>
      <c r="G1095" s="165"/>
      <c r="H1095" s="669"/>
      <c r="I1095" s="669"/>
      <c r="J1095" s="352"/>
      <c r="K1095" s="271" t="str">
        <f t="shared" si="74"/>
        <v/>
      </c>
      <c r="L1095" s="297"/>
      <c r="M1095" s="334"/>
      <c r="N1095" s="277"/>
      <c r="O1095" s="315"/>
      <c r="P1095" s="344">
        <f t="shared" si="69"/>
        <v>0</v>
      </c>
      <c r="Q1095" s="321"/>
      <c r="R1095" s="672" t="b">
        <v>0</v>
      </c>
      <c r="S1095" s="318"/>
      <c r="T1095" s="319"/>
      <c r="U1095" s="315"/>
      <c r="V1095" s="162"/>
      <c r="W1095" s="149"/>
      <c r="X1095" s="163"/>
      <c r="Y1095" s="162"/>
      <c r="Z1095" s="164"/>
      <c r="AA1095" s="116"/>
      <c r="AB1095" s="116"/>
      <c r="AC1095" s="165"/>
      <c r="AD1095" s="675" t="str">
        <f t="shared" si="76"/>
        <v/>
      </c>
      <c r="AE1095" s="166"/>
      <c r="AF1095" s="149" t="b">
        <v>0</v>
      </c>
      <c r="AG1095" s="166"/>
      <c r="AH1095" s="149" t="b">
        <v>0</v>
      </c>
      <c r="AI1095" s="162"/>
      <c r="AJ1095" s="143"/>
      <c r="AK1095" s="143"/>
      <c r="AL1095" s="1112"/>
      <c r="AM1095" s="1112"/>
      <c r="AN1095" s="1112"/>
      <c r="AO1095" s="1112"/>
      <c r="AP1095" s="1112"/>
      <c r="AQ1095" s="1112"/>
    </row>
    <row r="1096" ht="22.5" customHeight="1">
      <c r="A1096" s="166"/>
      <c r="B1096" s="1111"/>
      <c r="C1096" s="524"/>
      <c r="D1096" s="1110"/>
      <c r="E1096" s="669"/>
      <c r="F1096" s="524"/>
      <c r="G1096" s="165"/>
      <c r="H1096" s="669"/>
      <c r="I1096" s="669"/>
      <c r="J1096" s="352"/>
      <c r="K1096" s="271" t="str">
        <f t="shared" si="74"/>
        <v/>
      </c>
      <c r="L1096" s="297"/>
      <c r="M1096" s="334"/>
      <c r="N1096" s="277"/>
      <c r="O1096" s="315"/>
      <c r="P1096" s="344">
        <f t="shared" si="69"/>
        <v>0</v>
      </c>
      <c r="Q1096" s="321"/>
      <c r="R1096" s="672" t="b">
        <v>0</v>
      </c>
      <c r="S1096" s="318"/>
      <c r="T1096" s="319"/>
      <c r="U1096" s="315"/>
      <c r="V1096" s="162"/>
      <c r="W1096" s="149"/>
      <c r="X1096" s="163"/>
      <c r="Y1096" s="162"/>
      <c r="Z1096" s="164"/>
      <c r="AA1096" s="116"/>
      <c r="AB1096" s="116"/>
      <c r="AC1096" s="165"/>
      <c r="AD1096" s="675" t="str">
        <f t="shared" si="76"/>
        <v/>
      </c>
      <c r="AE1096" s="166"/>
      <c r="AF1096" s="149" t="b">
        <v>0</v>
      </c>
      <c r="AG1096" s="166"/>
      <c r="AH1096" s="149" t="b">
        <v>0</v>
      </c>
      <c r="AI1096" s="162"/>
      <c r="AJ1096" s="143"/>
      <c r="AK1096" s="143"/>
      <c r="AL1096" s="1112"/>
      <c r="AM1096" s="1112"/>
      <c r="AN1096" s="1112"/>
      <c r="AO1096" s="1112"/>
      <c r="AP1096" s="1112"/>
      <c r="AQ1096" s="1112"/>
    </row>
    <row r="1097" ht="22.5" customHeight="1">
      <c r="A1097" s="166"/>
      <c r="B1097" s="1111"/>
      <c r="C1097" s="524"/>
      <c r="D1097" s="1110"/>
      <c r="E1097" s="669"/>
      <c r="F1097" s="524"/>
      <c r="G1097" s="165"/>
      <c r="H1097" s="669"/>
      <c r="I1097" s="669"/>
      <c r="J1097" s="352"/>
      <c r="K1097" s="271" t="str">
        <f t="shared" si="74"/>
        <v/>
      </c>
      <c r="L1097" s="297"/>
      <c r="M1097" s="334"/>
      <c r="N1097" s="277"/>
      <c r="O1097" s="315"/>
      <c r="P1097" s="344">
        <f t="shared" si="69"/>
        <v>0</v>
      </c>
      <c r="Q1097" s="321"/>
      <c r="R1097" s="672" t="b">
        <v>0</v>
      </c>
      <c r="S1097" s="318"/>
      <c r="T1097" s="319"/>
      <c r="U1097" s="315"/>
      <c r="V1097" s="162"/>
      <c r="W1097" s="149"/>
      <c r="X1097" s="163"/>
      <c r="Y1097" s="162"/>
      <c r="Z1097" s="164"/>
      <c r="AA1097" s="116"/>
      <c r="AB1097" s="116"/>
      <c r="AC1097" s="165"/>
      <c r="AD1097" s="675" t="str">
        <f t="shared" si="76"/>
        <v/>
      </c>
      <c r="AE1097" s="166"/>
      <c r="AF1097" s="149" t="b">
        <v>0</v>
      </c>
      <c r="AG1097" s="166"/>
      <c r="AH1097" s="149" t="b">
        <v>0</v>
      </c>
      <c r="AI1097" s="162"/>
      <c r="AJ1097" s="143"/>
      <c r="AK1097" s="143"/>
      <c r="AL1097" s="1112"/>
      <c r="AM1097" s="1112"/>
      <c r="AN1097" s="1112"/>
      <c r="AO1097" s="1112"/>
      <c r="AP1097" s="1112"/>
      <c r="AQ1097" s="1112"/>
    </row>
    <row r="1098" ht="22.5" customHeight="1">
      <c r="A1098" s="166"/>
      <c r="B1098" s="1111"/>
      <c r="C1098" s="524"/>
      <c r="D1098" s="1110"/>
      <c r="E1098" s="669"/>
      <c r="F1098" s="524"/>
      <c r="G1098" s="165"/>
      <c r="H1098" s="669"/>
      <c r="I1098" s="669"/>
      <c r="J1098" s="352"/>
      <c r="K1098" s="271" t="str">
        <f t="shared" si="74"/>
        <v/>
      </c>
      <c r="L1098" s="297"/>
      <c r="M1098" s="334"/>
      <c r="N1098" s="277"/>
      <c r="O1098" s="315"/>
      <c r="P1098" s="344">
        <f t="shared" si="69"/>
        <v>0</v>
      </c>
      <c r="Q1098" s="321"/>
      <c r="R1098" s="672" t="b">
        <v>0</v>
      </c>
      <c r="S1098" s="318"/>
      <c r="T1098" s="319"/>
      <c r="U1098" s="315"/>
      <c r="V1098" s="162"/>
      <c r="W1098" s="149"/>
      <c r="X1098" s="163"/>
      <c r="Y1098" s="162"/>
      <c r="Z1098" s="164"/>
      <c r="AA1098" s="116"/>
      <c r="AB1098" s="116"/>
      <c r="AC1098" s="165"/>
      <c r="AD1098" s="675" t="str">
        <f t="shared" si="76"/>
        <v/>
      </c>
      <c r="AE1098" s="166"/>
      <c r="AF1098" s="149" t="b">
        <v>0</v>
      </c>
      <c r="AG1098" s="166"/>
      <c r="AH1098" s="149" t="b">
        <v>0</v>
      </c>
      <c r="AI1098" s="162"/>
      <c r="AJ1098" s="143"/>
      <c r="AK1098" s="143"/>
      <c r="AL1098" s="1112"/>
      <c r="AM1098" s="1112"/>
      <c r="AN1098" s="1112"/>
      <c r="AO1098" s="1112"/>
      <c r="AP1098" s="1112"/>
      <c r="AQ1098" s="1112"/>
    </row>
    <row r="1099" ht="22.5" customHeight="1">
      <c r="A1099" s="166"/>
      <c r="B1099" s="1111"/>
      <c r="C1099" s="524"/>
      <c r="D1099" s="1110"/>
      <c r="E1099" s="669"/>
      <c r="F1099" s="524"/>
      <c r="G1099" s="165"/>
      <c r="H1099" s="669"/>
      <c r="I1099" s="669"/>
      <c r="J1099" s="352"/>
      <c r="K1099" s="271" t="str">
        <f t="shared" si="74"/>
        <v/>
      </c>
      <c r="L1099" s="297"/>
      <c r="M1099" s="334"/>
      <c r="N1099" s="277"/>
      <c r="O1099" s="315"/>
      <c r="P1099" s="344">
        <f t="shared" si="69"/>
        <v>0</v>
      </c>
      <c r="Q1099" s="321"/>
      <c r="R1099" s="672" t="b">
        <v>0</v>
      </c>
      <c r="S1099" s="318"/>
      <c r="T1099" s="319"/>
      <c r="U1099" s="315"/>
      <c r="V1099" s="162"/>
      <c r="W1099" s="149"/>
      <c r="X1099" s="163"/>
      <c r="Y1099" s="162"/>
      <c r="Z1099" s="164"/>
      <c r="AA1099" s="116"/>
      <c r="AB1099" s="116"/>
      <c r="AC1099" s="165"/>
      <c r="AD1099" s="675" t="str">
        <f t="shared" si="76"/>
        <v/>
      </c>
      <c r="AE1099" s="166"/>
      <c r="AF1099" s="149" t="b">
        <v>0</v>
      </c>
      <c r="AG1099" s="166"/>
      <c r="AH1099" s="149" t="b">
        <v>0</v>
      </c>
      <c r="AI1099" s="162"/>
      <c r="AJ1099" s="143"/>
      <c r="AK1099" s="143"/>
      <c r="AL1099" s="1112"/>
      <c r="AM1099" s="1112"/>
      <c r="AN1099" s="1112"/>
      <c r="AO1099" s="1112"/>
      <c r="AP1099" s="1112"/>
      <c r="AQ1099" s="1112"/>
    </row>
    <row r="1100" ht="22.5" customHeight="1">
      <c r="A1100" s="166"/>
      <c r="B1100" s="1111"/>
      <c r="C1100" s="524"/>
      <c r="D1100" s="1110"/>
      <c r="E1100" s="669"/>
      <c r="F1100" s="524"/>
      <c r="G1100" s="165"/>
      <c r="H1100" s="669"/>
      <c r="I1100" s="669"/>
      <c r="J1100" s="352"/>
      <c r="K1100" s="271" t="str">
        <f t="shared" si="74"/>
        <v/>
      </c>
      <c r="L1100" s="297"/>
      <c r="M1100" s="334"/>
      <c r="N1100" s="277"/>
      <c r="O1100" s="315"/>
      <c r="P1100" s="344">
        <f t="shared" si="69"/>
        <v>0</v>
      </c>
      <c r="Q1100" s="321"/>
      <c r="R1100" s="672" t="b">
        <v>0</v>
      </c>
      <c r="S1100" s="318"/>
      <c r="T1100" s="319"/>
      <c r="U1100" s="315"/>
      <c r="V1100" s="162"/>
      <c r="W1100" s="149"/>
      <c r="X1100" s="163"/>
      <c r="Y1100" s="162"/>
      <c r="Z1100" s="164"/>
      <c r="AA1100" s="116"/>
      <c r="AB1100" s="116"/>
      <c r="AC1100" s="165"/>
      <c r="AD1100" s="675" t="str">
        <f t="shared" si="76"/>
        <v/>
      </c>
      <c r="AE1100" s="166"/>
      <c r="AF1100" s="149" t="b">
        <v>0</v>
      </c>
      <c r="AG1100" s="166"/>
      <c r="AH1100" s="149" t="b">
        <v>0</v>
      </c>
      <c r="AI1100" s="162"/>
      <c r="AJ1100" s="143"/>
      <c r="AK1100" s="143"/>
      <c r="AL1100" s="1112"/>
      <c r="AM1100" s="1112"/>
      <c r="AN1100" s="1112"/>
      <c r="AO1100" s="1112"/>
      <c r="AP1100" s="1112"/>
      <c r="AQ1100" s="1112"/>
    </row>
    <row r="1101" ht="22.5" customHeight="1">
      <c r="A1101" s="166"/>
      <c r="B1101" s="1111"/>
      <c r="C1101" s="524"/>
      <c r="D1101" s="1110"/>
      <c r="E1101" s="669"/>
      <c r="F1101" s="524"/>
      <c r="G1101" s="165"/>
      <c r="H1101" s="669"/>
      <c r="I1101" s="669"/>
      <c r="J1101" s="352"/>
      <c r="K1101" s="271" t="str">
        <f t="shared" si="74"/>
        <v/>
      </c>
      <c r="L1101" s="297"/>
      <c r="M1101" s="334"/>
      <c r="N1101" s="277"/>
      <c r="O1101" s="315"/>
      <c r="P1101" s="344">
        <f t="shared" si="69"/>
        <v>0</v>
      </c>
      <c r="Q1101" s="321"/>
      <c r="R1101" s="672" t="b">
        <v>0</v>
      </c>
      <c r="S1101" s="318"/>
      <c r="T1101" s="319"/>
      <c r="U1101" s="315"/>
      <c r="V1101" s="162"/>
      <c r="W1101" s="149"/>
      <c r="X1101" s="163"/>
      <c r="Y1101" s="162"/>
      <c r="Z1101" s="164"/>
      <c r="AA1101" s="116"/>
      <c r="AB1101" s="116"/>
      <c r="AC1101" s="165"/>
      <c r="AD1101" s="675" t="str">
        <f t="shared" si="76"/>
        <v/>
      </c>
      <c r="AE1101" s="166"/>
      <c r="AF1101" s="149" t="b">
        <v>0</v>
      </c>
      <c r="AG1101" s="166"/>
      <c r="AH1101" s="149" t="b">
        <v>0</v>
      </c>
      <c r="AI1101" s="162"/>
      <c r="AJ1101" s="143"/>
      <c r="AK1101" s="143"/>
      <c r="AL1101" s="1112"/>
      <c r="AM1101" s="1112"/>
      <c r="AN1101" s="1112"/>
      <c r="AO1101" s="1112"/>
      <c r="AP1101" s="1112"/>
      <c r="AQ1101" s="1112"/>
    </row>
    <row r="1102" ht="22.5" customHeight="1">
      <c r="A1102" s="166"/>
      <c r="B1102" s="1111"/>
      <c r="C1102" s="524"/>
      <c r="D1102" s="1110"/>
      <c r="E1102" s="669"/>
      <c r="F1102" s="524"/>
      <c r="G1102" s="165"/>
      <c r="H1102" s="669"/>
      <c r="I1102" s="669"/>
      <c r="J1102" s="352"/>
      <c r="K1102" s="271" t="str">
        <f t="shared" si="74"/>
        <v/>
      </c>
      <c r="L1102" s="297"/>
      <c r="M1102" s="334"/>
      <c r="N1102" s="277"/>
      <c r="O1102" s="315"/>
      <c r="P1102" s="344">
        <f t="shared" si="69"/>
        <v>0</v>
      </c>
      <c r="Q1102" s="321"/>
      <c r="R1102" s="672" t="b">
        <v>0</v>
      </c>
      <c r="S1102" s="318"/>
      <c r="T1102" s="319"/>
      <c r="U1102" s="315"/>
      <c r="V1102" s="162"/>
      <c r="W1102" s="149"/>
      <c r="X1102" s="163"/>
      <c r="Y1102" s="162"/>
      <c r="Z1102" s="164"/>
      <c r="AA1102" s="116"/>
      <c r="AB1102" s="116"/>
      <c r="AC1102" s="165"/>
      <c r="AD1102" s="675" t="str">
        <f t="shared" si="76"/>
        <v/>
      </c>
      <c r="AE1102" s="166"/>
      <c r="AF1102" s="149" t="b">
        <v>0</v>
      </c>
      <c r="AG1102" s="166"/>
      <c r="AH1102" s="149" t="b">
        <v>0</v>
      </c>
      <c r="AI1102" s="162"/>
      <c r="AJ1102" s="143"/>
      <c r="AK1102" s="143"/>
      <c r="AL1102" s="1112"/>
      <c r="AM1102" s="1112"/>
      <c r="AN1102" s="1112"/>
      <c r="AO1102" s="1112"/>
      <c r="AP1102" s="1112"/>
      <c r="AQ1102" s="1112"/>
    </row>
    <row r="1103" ht="22.5" customHeight="1">
      <c r="A1103" s="166"/>
      <c r="B1103" s="1111"/>
      <c r="C1103" s="524"/>
      <c r="D1103" s="1110"/>
      <c r="E1103" s="669"/>
      <c r="F1103" s="524"/>
      <c r="G1103" s="165"/>
      <c r="H1103" s="669"/>
      <c r="I1103" s="669"/>
      <c r="J1103" s="352"/>
      <c r="K1103" s="271" t="str">
        <f t="shared" si="74"/>
        <v/>
      </c>
      <c r="L1103" s="297"/>
      <c r="M1103" s="334"/>
      <c r="N1103" s="277"/>
      <c r="O1103" s="315"/>
      <c r="P1103" s="344">
        <f t="shared" si="69"/>
        <v>0</v>
      </c>
      <c r="Q1103" s="321"/>
      <c r="R1103" s="672" t="b">
        <v>0</v>
      </c>
      <c r="S1103" s="318"/>
      <c r="T1103" s="319"/>
      <c r="U1103" s="315"/>
      <c r="V1103" s="162"/>
      <c r="W1103" s="149"/>
      <c r="X1103" s="163"/>
      <c r="Y1103" s="162"/>
      <c r="Z1103" s="164"/>
      <c r="AA1103" s="116"/>
      <c r="AB1103" s="116"/>
      <c r="AC1103" s="165"/>
      <c r="AD1103" s="675" t="str">
        <f t="shared" si="76"/>
        <v/>
      </c>
      <c r="AE1103" s="166"/>
      <c r="AF1103" s="149" t="b">
        <v>0</v>
      </c>
      <c r="AG1103" s="166"/>
      <c r="AH1103" s="149" t="b">
        <v>0</v>
      </c>
      <c r="AI1103" s="162"/>
      <c r="AJ1103" s="143"/>
      <c r="AK1103" s="143"/>
      <c r="AL1103" s="1112"/>
      <c r="AM1103" s="1112"/>
      <c r="AN1103" s="1112"/>
      <c r="AO1103" s="1112"/>
      <c r="AP1103" s="1112"/>
      <c r="AQ1103" s="1112"/>
    </row>
    <row r="1104" ht="22.5" customHeight="1">
      <c r="A1104" s="166"/>
      <c r="B1104" s="1111"/>
      <c r="C1104" s="524"/>
      <c r="D1104" s="1110"/>
      <c r="E1104" s="669"/>
      <c r="F1104" s="524"/>
      <c r="G1104" s="165"/>
      <c r="H1104" s="669"/>
      <c r="I1104" s="669"/>
      <c r="J1104" s="352"/>
      <c r="K1104" s="271" t="str">
        <f t="shared" si="74"/>
        <v/>
      </c>
      <c r="L1104" s="297"/>
      <c r="M1104" s="334"/>
      <c r="N1104" s="277"/>
      <c r="O1104" s="315"/>
      <c r="P1104" s="344">
        <f t="shared" si="69"/>
        <v>0</v>
      </c>
      <c r="Q1104" s="321"/>
      <c r="R1104" s="672" t="b">
        <v>0</v>
      </c>
      <c r="S1104" s="318"/>
      <c r="T1104" s="319"/>
      <c r="U1104" s="315"/>
      <c r="V1104" s="162"/>
      <c r="W1104" s="149"/>
      <c r="X1104" s="163"/>
      <c r="Y1104" s="162"/>
      <c r="Z1104" s="164"/>
      <c r="AA1104" s="116"/>
      <c r="AB1104" s="116"/>
      <c r="AC1104" s="165"/>
      <c r="AD1104" s="675" t="str">
        <f t="shared" si="76"/>
        <v/>
      </c>
      <c r="AE1104" s="166"/>
      <c r="AF1104" s="149" t="b">
        <v>0</v>
      </c>
      <c r="AG1104" s="166"/>
      <c r="AH1104" s="149" t="b">
        <v>0</v>
      </c>
      <c r="AI1104" s="162"/>
      <c r="AJ1104" s="143"/>
      <c r="AK1104" s="143"/>
      <c r="AL1104" s="1112"/>
      <c r="AM1104" s="1112"/>
      <c r="AN1104" s="1112"/>
      <c r="AO1104" s="1112"/>
      <c r="AP1104" s="1112"/>
      <c r="AQ1104" s="1112"/>
    </row>
    <row r="1105" ht="22.5" customHeight="1">
      <c r="A1105" s="166"/>
      <c r="B1105" s="1111"/>
      <c r="C1105" s="524"/>
      <c r="D1105" s="1110"/>
      <c r="E1105" s="669"/>
      <c r="F1105" s="524"/>
      <c r="G1105" s="165"/>
      <c r="H1105" s="669"/>
      <c r="I1105" s="669"/>
      <c r="J1105" s="352"/>
      <c r="K1105" s="271" t="str">
        <f t="shared" si="74"/>
        <v/>
      </c>
      <c r="L1105" s="297"/>
      <c r="M1105" s="334"/>
      <c r="N1105" s="277"/>
      <c r="O1105" s="315"/>
      <c r="P1105" s="344">
        <f t="shared" si="69"/>
        <v>0</v>
      </c>
      <c r="Q1105" s="321"/>
      <c r="R1105" s="672" t="b">
        <v>0</v>
      </c>
      <c r="S1105" s="318"/>
      <c r="T1105" s="319"/>
      <c r="U1105" s="315"/>
      <c r="V1105" s="162"/>
      <c r="W1105" s="149"/>
      <c r="X1105" s="163"/>
      <c r="Y1105" s="162"/>
      <c r="Z1105" s="164"/>
      <c r="AA1105" s="116"/>
      <c r="AB1105" s="116"/>
      <c r="AC1105" s="165"/>
      <c r="AD1105" s="675" t="str">
        <f t="shared" si="76"/>
        <v/>
      </c>
      <c r="AE1105" s="166"/>
      <c r="AF1105" s="149" t="b">
        <v>0</v>
      </c>
      <c r="AG1105" s="166"/>
      <c r="AH1105" s="149" t="b">
        <v>0</v>
      </c>
      <c r="AI1105" s="162"/>
      <c r="AJ1105" s="143"/>
      <c r="AK1105" s="143"/>
      <c r="AL1105" s="1112"/>
      <c r="AM1105" s="1112"/>
      <c r="AN1105" s="1112"/>
      <c r="AO1105" s="1112"/>
      <c r="AP1105" s="1112"/>
      <c r="AQ1105" s="1112"/>
    </row>
    <row r="1106" ht="22.5" customHeight="1">
      <c r="A1106" s="166"/>
      <c r="B1106" s="1111"/>
      <c r="C1106" s="524"/>
      <c r="D1106" s="1110"/>
      <c r="E1106" s="669"/>
      <c r="F1106" s="524"/>
      <c r="G1106" s="165"/>
      <c r="H1106" s="669"/>
      <c r="I1106" s="669"/>
      <c r="J1106" s="352"/>
      <c r="K1106" s="271" t="str">
        <f t="shared" si="74"/>
        <v/>
      </c>
      <c r="L1106" s="297"/>
      <c r="M1106" s="334"/>
      <c r="N1106" s="277"/>
      <c r="O1106" s="315"/>
      <c r="P1106" s="344">
        <f t="shared" si="69"/>
        <v>0</v>
      </c>
      <c r="Q1106" s="321"/>
      <c r="R1106" s="672" t="b">
        <v>0</v>
      </c>
      <c r="S1106" s="318"/>
      <c r="T1106" s="319"/>
      <c r="U1106" s="315"/>
      <c r="V1106" s="162"/>
      <c r="W1106" s="149"/>
      <c r="X1106" s="163"/>
      <c r="Y1106" s="162"/>
      <c r="Z1106" s="164"/>
      <c r="AA1106" s="116"/>
      <c r="AB1106" s="116"/>
      <c r="AC1106" s="165"/>
      <c r="AD1106" s="675" t="str">
        <f t="shared" si="76"/>
        <v/>
      </c>
      <c r="AE1106" s="166"/>
      <c r="AF1106" s="149" t="b">
        <v>0</v>
      </c>
      <c r="AG1106" s="166"/>
      <c r="AH1106" s="149" t="b">
        <v>0</v>
      </c>
      <c r="AI1106" s="162"/>
      <c r="AJ1106" s="143"/>
      <c r="AK1106" s="143"/>
      <c r="AL1106" s="1112"/>
      <c r="AM1106" s="1112"/>
      <c r="AN1106" s="1112"/>
      <c r="AO1106" s="1112"/>
      <c r="AP1106" s="1112"/>
      <c r="AQ1106" s="1112"/>
    </row>
    <row r="1107" ht="22.5" customHeight="1">
      <c r="A1107" s="166"/>
      <c r="B1107" s="1111"/>
      <c r="C1107" s="524"/>
      <c r="D1107" s="1110"/>
      <c r="E1107" s="669"/>
      <c r="F1107" s="524"/>
      <c r="G1107" s="165"/>
      <c r="H1107" s="669"/>
      <c r="I1107" s="669"/>
      <c r="J1107" s="352"/>
      <c r="K1107" s="271" t="str">
        <f t="shared" si="74"/>
        <v/>
      </c>
      <c r="L1107" s="297"/>
      <c r="M1107" s="334"/>
      <c r="N1107" s="277"/>
      <c r="O1107" s="315"/>
      <c r="P1107" s="344">
        <f t="shared" si="69"/>
        <v>0</v>
      </c>
      <c r="Q1107" s="321"/>
      <c r="R1107" s="672" t="b">
        <v>0</v>
      </c>
      <c r="S1107" s="318"/>
      <c r="T1107" s="319"/>
      <c r="U1107" s="315"/>
      <c r="V1107" s="162"/>
      <c r="W1107" s="149"/>
      <c r="X1107" s="163"/>
      <c r="Y1107" s="162"/>
      <c r="Z1107" s="164"/>
      <c r="AA1107" s="116"/>
      <c r="AB1107" s="116"/>
      <c r="AC1107" s="165"/>
      <c r="AD1107" s="675" t="str">
        <f t="shared" si="76"/>
        <v/>
      </c>
      <c r="AE1107" s="166"/>
      <c r="AF1107" s="149" t="b">
        <v>0</v>
      </c>
      <c r="AG1107" s="166"/>
      <c r="AH1107" s="149" t="b">
        <v>0</v>
      </c>
      <c r="AI1107" s="162"/>
      <c r="AJ1107" s="143"/>
      <c r="AK1107" s="143"/>
      <c r="AL1107" s="1112"/>
      <c r="AM1107" s="1112"/>
      <c r="AN1107" s="1112"/>
      <c r="AO1107" s="1112"/>
      <c r="AP1107" s="1112"/>
      <c r="AQ1107" s="1112"/>
    </row>
    <row r="1108" ht="22.5" customHeight="1">
      <c r="A1108" s="166"/>
      <c r="B1108" s="1111"/>
      <c r="C1108" s="524"/>
      <c r="D1108" s="1110"/>
      <c r="E1108" s="669"/>
      <c r="F1108" s="524"/>
      <c r="G1108" s="165"/>
      <c r="H1108" s="669"/>
      <c r="I1108" s="669"/>
      <c r="J1108" s="352"/>
      <c r="K1108" s="271" t="str">
        <f t="shared" si="74"/>
        <v/>
      </c>
      <c r="L1108" s="297"/>
      <c r="M1108" s="334"/>
      <c r="N1108" s="277"/>
      <c r="O1108" s="315"/>
      <c r="P1108" s="344">
        <f t="shared" si="69"/>
        <v>0</v>
      </c>
      <c r="Q1108" s="321"/>
      <c r="R1108" s="672" t="b">
        <v>0</v>
      </c>
      <c r="S1108" s="318"/>
      <c r="T1108" s="319"/>
      <c r="U1108" s="315"/>
      <c r="V1108" s="162"/>
      <c r="W1108" s="149"/>
      <c r="X1108" s="163"/>
      <c r="Y1108" s="162"/>
      <c r="Z1108" s="164"/>
      <c r="AA1108" s="116"/>
      <c r="AB1108" s="116"/>
      <c r="AC1108" s="165"/>
      <c r="AD1108" s="675" t="str">
        <f t="shared" si="76"/>
        <v/>
      </c>
      <c r="AE1108" s="166"/>
      <c r="AF1108" s="149" t="b">
        <v>0</v>
      </c>
      <c r="AG1108" s="166"/>
      <c r="AH1108" s="149" t="b">
        <v>0</v>
      </c>
      <c r="AI1108" s="162"/>
      <c r="AJ1108" s="143"/>
      <c r="AK1108" s="143"/>
      <c r="AL1108" s="1112"/>
      <c r="AM1108" s="1112"/>
      <c r="AN1108" s="1112"/>
      <c r="AO1108" s="1112"/>
      <c r="AP1108" s="1112"/>
      <c r="AQ1108" s="1112"/>
    </row>
    <row r="1109" ht="22.5" customHeight="1">
      <c r="A1109" s="166"/>
      <c r="B1109" s="1111"/>
      <c r="C1109" s="524"/>
      <c r="D1109" s="1110"/>
      <c r="E1109" s="669"/>
      <c r="F1109" s="524"/>
      <c r="G1109" s="165"/>
      <c r="H1109" s="669"/>
      <c r="I1109" s="669"/>
      <c r="J1109" s="352"/>
      <c r="K1109" s="271" t="str">
        <f t="shared" si="74"/>
        <v/>
      </c>
      <c r="L1109" s="297"/>
      <c r="M1109" s="334"/>
      <c r="N1109" s="277"/>
      <c r="O1109" s="315"/>
      <c r="P1109" s="344">
        <f t="shared" si="69"/>
        <v>0</v>
      </c>
      <c r="Q1109" s="321"/>
      <c r="R1109" s="672" t="b">
        <v>0</v>
      </c>
      <c r="S1109" s="318"/>
      <c r="T1109" s="319"/>
      <c r="U1109" s="315"/>
      <c r="V1109" s="162"/>
      <c r="W1109" s="149"/>
      <c r="X1109" s="163"/>
      <c r="Y1109" s="162"/>
      <c r="Z1109" s="164"/>
      <c r="AA1109" s="116"/>
      <c r="AB1109" s="116"/>
      <c r="AC1109" s="165"/>
      <c r="AD1109" s="675" t="str">
        <f t="shared" si="76"/>
        <v/>
      </c>
      <c r="AE1109" s="166"/>
      <c r="AF1109" s="149" t="b">
        <v>0</v>
      </c>
      <c r="AG1109" s="166"/>
      <c r="AH1109" s="149" t="b">
        <v>0</v>
      </c>
      <c r="AI1109" s="162"/>
      <c r="AJ1109" s="143"/>
      <c r="AK1109" s="143"/>
      <c r="AL1109" s="1112"/>
      <c r="AM1109" s="1112"/>
      <c r="AN1109" s="1112"/>
      <c r="AO1109" s="1112"/>
      <c r="AP1109" s="1112"/>
      <c r="AQ1109" s="1112"/>
    </row>
    <row r="1110" ht="22.5" customHeight="1">
      <c r="A1110" s="166"/>
      <c r="B1110" s="1111"/>
      <c r="C1110" s="524"/>
      <c r="D1110" s="1110"/>
      <c r="E1110" s="669"/>
      <c r="F1110" s="524"/>
      <c r="G1110" s="165"/>
      <c r="H1110" s="669"/>
      <c r="I1110" s="669"/>
      <c r="J1110" s="352"/>
      <c r="K1110" s="271" t="str">
        <f t="shared" si="74"/>
        <v/>
      </c>
      <c r="L1110" s="297"/>
      <c r="M1110" s="334"/>
      <c r="N1110" s="277"/>
      <c r="O1110" s="315"/>
      <c r="P1110" s="344">
        <f t="shared" si="69"/>
        <v>0</v>
      </c>
      <c r="Q1110" s="321"/>
      <c r="R1110" s="672" t="b">
        <v>0</v>
      </c>
      <c r="S1110" s="318"/>
      <c r="T1110" s="319"/>
      <c r="U1110" s="315"/>
      <c r="V1110" s="162"/>
      <c r="W1110" s="149"/>
      <c r="X1110" s="163"/>
      <c r="Y1110" s="162"/>
      <c r="Z1110" s="164"/>
      <c r="AA1110" s="116"/>
      <c r="AB1110" s="116"/>
      <c r="AC1110" s="165"/>
      <c r="AD1110" s="675" t="str">
        <f t="shared" si="76"/>
        <v/>
      </c>
      <c r="AE1110" s="166"/>
      <c r="AF1110" s="149" t="b">
        <v>0</v>
      </c>
      <c r="AG1110" s="166"/>
      <c r="AH1110" s="149" t="b">
        <v>0</v>
      </c>
      <c r="AI1110" s="162"/>
      <c r="AJ1110" s="143"/>
      <c r="AK1110" s="143"/>
      <c r="AL1110" s="1112"/>
      <c r="AM1110" s="1112"/>
      <c r="AN1110" s="1112"/>
      <c r="AO1110" s="1112"/>
      <c r="AP1110" s="1112"/>
      <c r="AQ1110" s="1112"/>
    </row>
    <row r="1111" ht="22.5" customHeight="1">
      <c r="A1111" s="166"/>
      <c r="B1111" s="1111"/>
      <c r="C1111" s="524"/>
      <c r="D1111" s="1110"/>
      <c r="E1111" s="669"/>
      <c r="F1111" s="524"/>
      <c r="G1111" s="165"/>
      <c r="H1111" s="669"/>
      <c r="I1111" s="669"/>
      <c r="J1111" s="352"/>
      <c r="K1111" s="271" t="str">
        <f t="shared" si="74"/>
        <v/>
      </c>
      <c r="L1111" s="297"/>
      <c r="M1111" s="334"/>
      <c r="N1111" s="277"/>
      <c r="O1111" s="315"/>
      <c r="P1111" s="344">
        <f t="shared" si="69"/>
        <v>0</v>
      </c>
      <c r="Q1111" s="321"/>
      <c r="R1111" s="672" t="b">
        <v>0</v>
      </c>
      <c r="S1111" s="318"/>
      <c r="T1111" s="319"/>
      <c r="U1111" s="315"/>
      <c r="V1111" s="162"/>
      <c r="W1111" s="149"/>
      <c r="X1111" s="163"/>
      <c r="Y1111" s="162"/>
      <c r="Z1111" s="164"/>
      <c r="AA1111" s="116"/>
      <c r="AB1111" s="116"/>
      <c r="AC1111" s="165"/>
      <c r="AD1111" s="675" t="str">
        <f t="shared" si="76"/>
        <v/>
      </c>
      <c r="AE1111" s="166"/>
      <c r="AF1111" s="149" t="b">
        <v>0</v>
      </c>
      <c r="AG1111" s="166"/>
      <c r="AH1111" s="149" t="b">
        <v>0</v>
      </c>
      <c r="AI1111" s="162"/>
      <c r="AJ1111" s="143"/>
      <c r="AK1111" s="143"/>
      <c r="AL1111" s="1112"/>
      <c r="AM1111" s="1112"/>
      <c r="AN1111" s="1112"/>
      <c r="AO1111" s="1112"/>
      <c r="AP1111" s="1112"/>
      <c r="AQ1111" s="1112"/>
    </row>
    <row r="1112" ht="22.5" customHeight="1">
      <c r="A1112" s="166"/>
      <c r="B1112" s="1111"/>
      <c r="C1112" s="524"/>
      <c r="D1112" s="1110"/>
      <c r="E1112" s="669"/>
      <c r="F1112" s="524"/>
      <c r="G1112" s="165"/>
      <c r="H1112" s="669"/>
      <c r="I1112" s="669"/>
      <c r="J1112" s="352"/>
      <c r="K1112" s="271" t="str">
        <f t="shared" si="74"/>
        <v/>
      </c>
      <c r="L1112" s="297"/>
      <c r="M1112" s="334"/>
      <c r="N1112" s="277"/>
      <c r="O1112" s="315"/>
      <c r="P1112" s="344">
        <f t="shared" si="69"/>
        <v>0</v>
      </c>
      <c r="Q1112" s="321"/>
      <c r="R1112" s="672" t="b">
        <v>0</v>
      </c>
      <c r="S1112" s="318"/>
      <c r="T1112" s="319"/>
      <c r="U1112" s="315"/>
      <c r="V1112" s="162"/>
      <c r="W1112" s="149"/>
      <c r="X1112" s="163"/>
      <c r="Y1112" s="162"/>
      <c r="Z1112" s="164"/>
      <c r="AA1112" s="116"/>
      <c r="AB1112" s="116"/>
      <c r="AC1112" s="165"/>
      <c r="AD1112" s="675" t="str">
        <f t="shared" si="76"/>
        <v/>
      </c>
      <c r="AE1112" s="166"/>
      <c r="AF1112" s="149" t="b">
        <v>0</v>
      </c>
      <c r="AG1112" s="166"/>
      <c r="AH1112" s="149" t="b">
        <v>0</v>
      </c>
      <c r="AI1112" s="162"/>
      <c r="AJ1112" s="143"/>
      <c r="AK1112" s="143"/>
      <c r="AL1112" s="1112"/>
      <c r="AM1112" s="1112"/>
      <c r="AN1112" s="1112"/>
      <c r="AO1112" s="1112"/>
      <c r="AP1112" s="1112"/>
      <c r="AQ1112" s="1112"/>
    </row>
    <row r="1113" ht="22.5" customHeight="1">
      <c r="A1113" s="166"/>
      <c r="B1113" s="1111"/>
      <c r="C1113" s="524"/>
      <c r="D1113" s="1110"/>
      <c r="E1113" s="669"/>
      <c r="F1113" s="524"/>
      <c r="G1113" s="165"/>
      <c r="H1113" s="669"/>
      <c r="I1113" s="669"/>
      <c r="J1113" s="352"/>
      <c r="K1113" s="271" t="str">
        <f t="shared" si="74"/>
        <v/>
      </c>
      <c r="L1113" s="297"/>
      <c r="M1113" s="334"/>
      <c r="N1113" s="277"/>
      <c r="O1113" s="315"/>
      <c r="P1113" s="344">
        <f t="shared" si="69"/>
        <v>0</v>
      </c>
      <c r="Q1113" s="321"/>
      <c r="R1113" s="672" t="b">
        <v>0</v>
      </c>
      <c r="S1113" s="318"/>
      <c r="T1113" s="319"/>
      <c r="U1113" s="315"/>
      <c r="V1113" s="162"/>
      <c r="W1113" s="149"/>
      <c r="X1113" s="163"/>
      <c r="Y1113" s="162"/>
      <c r="Z1113" s="164"/>
      <c r="AA1113" s="116"/>
      <c r="AB1113" s="116"/>
      <c r="AC1113" s="165"/>
      <c r="AD1113" s="675" t="str">
        <f t="shared" si="76"/>
        <v/>
      </c>
      <c r="AE1113" s="166"/>
      <c r="AF1113" s="149" t="b">
        <v>0</v>
      </c>
      <c r="AG1113" s="166"/>
      <c r="AH1113" s="149" t="b">
        <v>0</v>
      </c>
      <c r="AI1113" s="162"/>
      <c r="AJ1113" s="143"/>
      <c r="AK1113" s="143"/>
      <c r="AL1113" s="1112"/>
      <c r="AM1113" s="1112"/>
      <c r="AN1113" s="1112"/>
      <c r="AO1113" s="1112"/>
      <c r="AP1113" s="1112"/>
      <c r="AQ1113" s="1112"/>
    </row>
    <row r="1114" ht="22.5" customHeight="1">
      <c r="A1114" s="166"/>
      <c r="B1114" s="1111"/>
      <c r="C1114" s="524"/>
      <c r="D1114" s="1110"/>
      <c r="E1114" s="669"/>
      <c r="F1114" s="524"/>
      <c r="G1114" s="165"/>
      <c r="H1114" s="669"/>
      <c r="I1114" s="669"/>
      <c r="J1114" s="352"/>
      <c r="K1114" s="271" t="str">
        <f t="shared" si="74"/>
        <v/>
      </c>
      <c r="L1114" s="297"/>
      <c r="M1114" s="334"/>
      <c r="N1114" s="277"/>
      <c r="O1114" s="315"/>
      <c r="P1114" s="344">
        <f t="shared" si="69"/>
        <v>0</v>
      </c>
      <c r="Q1114" s="321"/>
      <c r="R1114" s="672" t="b">
        <v>0</v>
      </c>
      <c r="S1114" s="318"/>
      <c r="T1114" s="319"/>
      <c r="U1114" s="315"/>
      <c r="V1114" s="162"/>
      <c r="W1114" s="149"/>
      <c r="X1114" s="163"/>
      <c r="Y1114" s="162"/>
      <c r="Z1114" s="164"/>
      <c r="AA1114" s="116"/>
      <c r="AB1114" s="116"/>
      <c r="AC1114" s="165"/>
      <c r="AD1114" s="675" t="str">
        <f t="shared" si="76"/>
        <v/>
      </c>
      <c r="AE1114" s="166"/>
      <c r="AF1114" s="149" t="b">
        <v>0</v>
      </c>
      <c r="AG1114" s="166"/>
      <c r="AH1114" s="149" t="b">
        <v>0</v>
      </c>
      <c r="AI1114" s="162"/>
      <c r="AJ1114" s="143"/>
      <c r="AK1114" s="143"/>
      <c r="AL1114" s="1112"/>
      <c r="AM1114" s="1112"/>
      <c r="AN1114" s="1112"/>
      <c r="AO1114" s="1112"/>
      <c r="AP1114" s="1112"/>
      <c r="AQ1114" s="1112"/>
    </row>
    <row r="1115" ht="22.5" customHeight="1">
      <c r="A1115" s="166"/>
      <c r="B1115" s="1111"/>
      <c r="C1115" s="524"/>
      <c r="D1115" s="1110"/>
      <c r="E1115" s="669"/>
      <c r="F1115" s="524"/>
      <c r="G1115" s="165"/>
      <c r="H1115" s="669"/>
      <c r="I1115" s="669"/>
      <c r="J1115" s="352"/>
      <c r="K1115" s="271" t="str">
        <f t="shared" si="74"/>
        <v/>
      </c>
      <c r="L1115" s="297"/>
      <c r="M1115" s="334"/>
      <c r="N1115" s="277"/>
      <c r="O1115" s="315"/>
      <c r="P1115" s="344">
        <f t="shared" si="69"/>
        <v>0</v>
      </c>
      <c r="Q1115" s="321"/>
      <c r="R1115" s="672" t="b">
        <v>0</v>
      </c>
      <c r="S1115" s="318"/>
      <c r="T1115" s="319"/>
      <c r="U1115" s="315"/>
      <c r="V1115" s="162"/>
      <c r="W1115" s="149"/>
      <c r="X1115" s="163"/>
      <c r="Y1115" s="162"/>
      <c r="Z1115" s="164"/>
      <c r="AA1115" s="116"/>
      <c r="AB1115" s="116"/>
      <c r="AC1115" s="165"/>
      <c r="AD1115" s="675" t="str">
        <f t="shared" si="76"/>
        <v/>
      </c>
      <c r="AE1115" s="166"/>
      <c r="AF1115" s="149" t="b">
        <v>0</v>
      </c>
      <c r="AG1115" s="166"/>
      <c r="AH1115" s="149" t="b">
        <v>0</v>
      </c>
      <c r="AI1115" s="162"/>
      <c r="AJ1115" s="143"/>
      <c r="AK1115" s="143"/>
      <c r="AL1115" s="1112"/>
      <c r="AM1115" s="1112"/>
      <c r="AN1115" s="1112"/>
      <c r="AO1115" s="1112"/>
      <c r="AP1115" s="1112"/>
      <c r="AQ1115" s="1112"/>
    </row>
    <row r="1116" ht="22.5" customHeight="1">
      <c r="A1116" s="166"/>
      <c r="B1116" s="1111"/>
      <c r="C1116" s="524"/>
      <c r="D1116" s="1110"/>
      <c r="E1116" s="669"/>
      <c r="F1116" s="524"/>
      <c r="G1116" s="165"/>
      <c r="H1116" s="669"/>
      <c r="I1116" s="669"/>
      <c r="J1116" s="352"/>
      <c r="K1116" s="271" t="str">
        <f t="shared" si="74"/>
        <v/>
      </c>
      <c r="L1116" s="297"/>
      <c r="M1116" s="334"/>
      <c r="N1116" s="277"/>
      <c r="O1116" s="315"/>
      <c r="P1116" s="344">
        <f t="shared" si="69"/>
        <v>0</v>
      </c>
      <c r="Q1116" s="321"/>
      <c r="R1116" s="672" t="b">
        <v>0</v>
      </c>
      <c r="S1116" s="318"/>
      <c r="T1116" s="319"/>
      <c r="U1116" s="315"/>
      <c r="V1116" s="162"/>
      <c r="W1116" s="149"/>
      <c r="X1116" s="163"/>
      <c r="Y1116" s="162"/>
      <c r="Z1116" s="164"/>
      <c r="AA1116" s="116"/>
      <c r="AB1116" s="116"/>
      <c r="AC1116" s="165"/>
      <c r="AD1116" s="675" t="str">
        <f t="shared" si="76"/>
        <v/>
      </c>
      <c r="AE1116" s="166"/>
      <c r="AF1116" s="149" t="b">
        <v>0</v>
      </c>
      <c r="AG1116" s="166"/>
      <c r="AH1116" s="149" t="b">
        <v>0</v>
      </c>
      <c r="AI1116" s="162"/>
      <c r="AJ1116" s="143"/>
      <c r="AK1116" s="143"/>
      <c r="AL1116" s="1112"/>
      <c r="AM1116" s="1112"/>
      <c r="AN1116" s="1112"/>
      <c r="AO1116" s="1112"/>
      <c r="AP1116" s="1112"/>
      <c r="AQ1116" s="1112"/>
    </row>
    <row r="1117" ht="22.5" customHeight="1">
      <c r="A1117" s="166"/>
      <c r="B1117" s="1111"/>
      <c r="C1117" s="524"/>
      <c r="D1117" s="1110"/>
      <c r="E1117" s="669"/>
      <c r="F1117" s="524"/>
      <c r="G1117" s="165"/>
      <c r="H1117" s="669"/>
      <c r="I1117" s="669"/>
      <c r="J1117" s="352"/>
      <c r="K1117" s="271" t="str">
        <f t="shared" si="74"/>
        <v/>
      </c>
      <c r="L1117" s="297"/>
      <c r="M1117" s="334"/>
      <c r="N1117" s="277"/>
      <c r="O1117" s="315"/>
      <c r="P1117" s="344">
        <f t="shared" si="69"/>
        <v>0</v>
      </c>
      <c r="Q1117" s="321"/>
      <c r="R1117" s="672" t="b">
        <v>0</v>
      </c>
      <c r="S1117" s="318"/>
      <c r="T1117" s="319"/>
      <c r="U1117" s="315"/>
      <c r="V1117" s="162"/>
      <c r="W1117" s="149"/>
      <c r="X1117" s="163"/>
      <c r="Y1117" s="162"/>
      <c r="Z1117" s="164"/>
      <c r="AA1117" s="116"/>
      <c r="AB1117" s="116"/>
      <c r="AC1117" s="165"/>
      <c r="AD1117" s="675" t="str">
        <f t="shared" si="76"/>
        <v/>
      </c>
      <c r="AE1117" s="166"/>
      <c r="AF1117" s="149" t="b">
        <v>0</v>
      </c>
      <c r="AG1117" s="166"/>
      <c r="AH1117" s="149" t="b">
        <v>0</v>
      </c>
      <c r="AI1117" s="162"/>
      <c r="AJ1117" s="143"/>
      <c r="AK1117" s="143"/>
      <c r="AL1117" s="1112"/>
      <c r="AM1117" s="1112"/>
      <c r="AN1117" s="1112"/>
      <c r="AO1117" s="1112"/>
      <c r="AP1117" s="1112"/>
      <c r="AQ1117" s="1112"/>
    </row>
    <row r="1118" ht="22.5" customHeight="1">
      <c r="A1118" s="166"/>
      <c r="B1118" s="1111"/>
      <c r="C1118" s="524"/>
      <c r="D1118" s="1110"/>
      <c r="E1118" s="669"/>
      <c r="F1118" s="524"/>
      <c r="G1118" s="165"/>
      <c r="H1118" s="669"/>
      <c r="I1118" s="669"/>
      <c r="J1118" s="352"/>
      <c r="K1118" s="271" t="str">
        <f t="shared" si="74"/>
        <v/>
      </c>
      <c r="L1118" s="297"/>
      <c r="M1118" s="334"/>
      <c r="N1118" s="277"/>
      <c r="O1118" s="315"/>
      <c r="P1118" s="344">
        <f t="shared" si="69"/>
        <v>0</v>
      </c>
      <c r="Q1118" s="321"/>
      <c r="R1118" s="672" t="b">
        <v>0</v>
      </c>
      <c r="S1118" s="318"/>
      <c r="T1118" s="319"/>
      <c r="U1118" s="315"/>
      <c r="V1118" s="162"/>
      <c r="W1118" s="149"/>
      <c r="X1118" s="163"/>
      <c r="Y1118" s="162"/>
      <c r="Z1118" s="164"/>
      <c r="AA1118" s="116"/>
      <c r="AB1118" s="116"/>
      <c r="AC1118" s="165"/>
      <c r="AD1118" s="675" t="str">
        <f t="shared" si="76"/>
        <v/>
      </c>
      <c r="AE1118" s="166"/>
      <c r="AF1118" s="149" t="b">
        <v>0</v>
      </c>
      <c r="AG1118" s="166"/>
      <c r="AH1118" s="149" t="b">
        <v>0</v>
      </c>
      <c r="AI1118" s="162"/>
      <c r="AJ1118" s="143"/>
      <c r="AK1118" s="143"/>
      <c r="AL1118" s="1112"/>
      <c r="AM1118" s="1112"/>
      <c r="AN1118" s="1112"/>
      <c r="AO1118" s="1112"/>
      <c r="AP1118" s="1112"/>
      <c r="AQ1118" s="1112"/>
    </row>
    <row r="1119" ht="22.5" customHeight="1">
      <c r="A1119" s="166"/>
      <c r="B1119" s="1111"/>
      <c r="C1119" s="524"/>
      <c r="D1119" s="1110"/>
      <c r="E1119" s="669"/>
      <c r="F1119" s="524"/>
      <c r="G1119" s="165"/>
      <c r="H1119" s="669"/>
      <c r="I1119" s="669"/>
      <c r="J1119" s="352"/>
      <c r="K1119" s="271" t="str">
        <f t="shared" si="74"/>
        <v/>
      </c>
      <c r="L1119" s="297"/>
      <c r="M1119" s="334"/>
      <c r="N1119" s="277"/>
      <c r="O1119" s="315"/>
      <c r="P1119" s="344">
        <f t="shared" si="69"/>
        <v>0</v>
      </c>
      <c r="Q1119" s="321"/>
      <c r="R1119" s="672" t="b">
        <v>0</v>
      </c>
      <c r="S1119" s="318"/>
      <c r="T1119" s="319"/>
      <c r="U1119" s="315"/>
      <c r="V1119" s="162"/>
      <c r="W1119" s="149"/>
      <c r="X1119" s="163"/>
      <c r="Y1119" s="162"/>
      <c r="Z1119" s="164"/>
      <c r="AA1119" s="116"/>
      <c r="AB1119" s="116"/>
      <c r="AC1119" s="165"/>
      <c r="AD1119" s="675" t="str">
        <f t="shared" si="76"/>
        <v/>
      </c>
      <c r="AE1119" s="166"/>
      <c r="AF1119" s="149" t="b">
        <v>0</v>
      </c>
      <c r="AG1119" s="166"/>
      <c r="AH1119" s="149" t="b">
        <v>0</v>
      </c>
      <c r="AI1119" s="162"/>
      <c r="AJ1119" s="143"/>
      <c r="AK1119" s="143"/>
      <c r="AL1119" s="1112"/>
      <c r="AM1119" s="1112"/>
      <c r="AN1119" s="1112"/>
      <c r="AO1119" s="1112"/>
      <c r="AP1119" s="1112"/>
      <c r="AQ1119" s="1112"/>
    </row>
    <row r="1120" ht="22.5" customHeight="1">
      <c r="A1120" s="166"/>
      <c r="B1120" s="1111"/>
      <c r="C1120" s="524"/>
      <c r="D1120" s="1110"/>
      <c r="E1120" s="669"/>
      <c r="F1120" s="524"/>
      <c r="G1120" s="165"/>
      <c r="H1120" s="669"/>
      <c r="I1120" s="669"/>
      <c r="J1120" s="352"/>
      <c r="K1120" s="271" t="str">
        <f t="shared" si="74"/>
        <v/>
      </c>
      <c r="L1120" s="297"/>
      <c r="M1120" s="334"/>
      <c r="N1120" s="277"/>
      <c r="O1120" s="315"/>
      <c r="P1120" s="344">
        <f t="shared" si="69"/>
        <v>0</v>
      </c>
      <c r="Q1120" s="321"/>
      <c r="R1120" s="672" t="b">
        <v>0</v>
      </c>
      <c r="S1120" s="318"/>
      <c r="T1120" s="319"/>
      <c r="U1120" s="315"/>
      <c r="V1120" s="162"/>
      <c r="W1120" s="149"/>
      <c r="X1120" s="163"/>
      <c r="Y1120" s="162"/>
      <c r="Z1120" s="164"/>
      <c r="AA1120" s="116"/>
      <c r="AB1120" s="116"/>
      <c r="AC1120" s="165"/>
      <c r="AD1120" s="675" t="str">
        <f t="shared" si="76"/>
        <v/>
      </c>
      <c r="AE1120" s="166"/>
      <c r="AF1120" s="149" t="b">
        <v>0</v>
      </c>
      <c r="AG1120" s="166"/>
      <c r="AH1120" s="149" t="b">
        <v>0</v>
      </c>
      <c r="AI1120" s="162"/>
      <c r="AJ1120" s="143"/>
      <c r="AK1120" s="143"/>
      <c r="AL1120" s="1112"/>
      <c r="AM1120" s="1112"/>
      <c r="AN1120" s="1112"/>
      <c r="AO1120" s="1112"/>
      <c r="AP1120" s="1112"/>
      <c r="AQ1120" s="1112"/>
    </row>
    <row r="1121" ht="22.5" customHeight="1">
      <c r="A1121" s="166"/>
      <c r="B1121" s="1111"/>
      <c r="C1121" s="524"/>
      <c r="D1121" s="1110"/>
      <c r="E1121" s="669"/>
      <c r="F1121" s="524"/>
      <c r="G1121" s="165"/>
      <c r="H1121" s="669"/>
      <c r="I1121" s="669"/>
      <c r="J1121" s="352"/>
      <c r="K1121" s="271" t="str">
        <f t="shared" si="74"/>
        <v/>
      </c>
      <c r="L1121" s="297"/>
      <c r="M1121" s="334"/>
      <c r="N1121" s="277"/>
      <c r="O1121" s="315"/>
      <c r="P1121" s="344">
        <f t="shared" si="69"/>
        <v>0</v>
      </c>
      <c r="Q1121" s="321"/>
      <c r="R1121" s="672" t="b">
        <v>0</v>
      </c>
      <c r="S1121" s="318"/>
      <c r="T1121" s="319"/>
      <c r="U1121" s="315"/>
      <c r="V1121" s="162"/>
      <c r="W1121" s="149"/>
      <c r="X1121" s="163"/>
      <c r="Y1121" s="162"/>
      <c r="Z1121" s="164"/>
      <c r="AA1121" s="116"/>
      <c r="AB1121" s="116"/>
      <c r="AC1121" s="165"/>
      <c r="AD1121" s="675" t="str">
        <f t="shared" si="76"/>
        <v/>
      </c>
      <c r="AE1121" s="166"/>
      <c r="AF1121" s="149" t="b">
        <v>0</v>
      </c>
      <c r="AG1121" s="166"/>
      <c r="AH1121" s="149" t="b">
        <v>0</v>
      </c>
      <c r="AI1121" s="162"/>
      <c r="AJ1121" s="143"/>
      <c r="AK1121" s="143"/>
      <c r="AL1121" s="1112"/>
      <c r="AM1121" s="1112"/>
      <c r="AN1121" s="1112"/>
      <c r="AO1121" s="1112"/>
      <c r="AP1121" s="1112"/>
      <c r="AQ1121" s="1112"/>
    </row>
    <row r="1122" ht="22.5" customHeight="1">
      <c r="A1122" s="166"/>
      <c r="B1122" s="1111"/>
      <c r="C1122" s="524"/>
      <c r="D1122" s="1110"/>
      <c r="E1122" s="669"/>
      <c r="F1122" s="524"/>
      <c r="G1122" s="165"/>
      <c r="H1122" s="669"/>
      <c r="I1122" s="669"/>
      <c r="J1122" s="352"/>
      <c r="K1122" s="271" t="str">
        <f t="shared" si="74"/>
        <v/>
      </c>
      <c r="L1122" s="297"/>
      <c r="M1122" s="334"/>
      <c r="N1122" s="277"/>
      <c r="O1122" s="315"/>
      <c r="P1122" s="344">
        <f t="shared" si="69"/>
        <v>0</v>
      </c>
      <c r="Q1122" s="321"/>
      <c r="R1122" s="672" t="b">
        <v>0</v>
      </c>
      <c r="S1122" s="318"/>
      <c r="T1122" s="319"/>
      <c r="U1122" s="315"/>
      <c r="V1122" s="162"/>
      <c r="W1122" s="149"/>
      <c r="X1122" s="163"/>
      <c r="Y1122" s="162"/>
      <c r="Z1122" s="164"/>
      <c r="AA1122" s="116"/>
      <c r="AB1122" s="116"/>
      <c r="AC1122" s="165"/>
      <c r="AD1122" s="675" t="str">
        <f t="shared" si="76"/>
        <v/>
      </c>
      <c r="AE1122" s="166"/>
      <c r="AF1122" s="149" t="b">
        <v>0</v>
      </c>
      <c r="AG1122" s="166"/>
      <c r="AH1122" s="149" t="b">
        <v>0</v>
      </c>
      <c r="AI1122" s="162"/>
      <c r="AJ1122" s="143"/>
      <c r="AK1122" s="143"/>
      <c r="AL1122" s="1112"/>
      <c r="AM1122" s="1112"/>
      <c r="AN1122" s="1112"/>
      <c r="AO1122" s="1112"/>
      <c r="AP1122" s="1112"/>
      <c r="AQ1122" s="1112"/>
    </row>
    <row r="1123" ht="22.5" customHeight="1">
      <c r="A1123" s="166"/>
      <c r="B1123" s="1111"/>
      <c r="C1123" s="524"/>
      <c r="D1123" s="1110"/>
      <c r="E1123" s="669"/>
      <c r="F1123" s="524"/>
      <c r="G1123" s="165"/>
      <c r="H1123" s="669"/>
      <c r="I1123" s="669"/>
      <c r="J1123" s="352"/>
      <c r="K1123" s="271" t="str">
        <f t="shared" si="74"/>
        <v/>
      </c>
      <c r="L1123" s="297"/>
      <c r="M1123" s="334"/>
      <c r="N1123" s="277"/>
      <c r="O1123" s="315"/>
      <c r="P1123" s="344">
        <f t="shared" si="69"/>
        <v>0</v>
      </c>
      <c r="Q1123" s="321"/>
      <c r="R1123" s="672" t="b">
        <v>0</v>
      </c>
      <c r="S1123" s="318"/>
      <c r="T1123" s="319"/>
      <c r="U1123" s="315"/>
      <c r="V1123" s="162"/>
      <c r="W1123" s="149"/>
      <c r="X1123" s="163"/>
      <c r="Y1123" s="162"/>
      <c r="Z1123" s="164"/>
      <c r="AA1123" s="116"/>
      <c r="AB1123" s="116"/>
      <c r="AC1123" s="165"/>
      <c r="AD1123" s="675" t="str">
        <f t="shared" si="76"/>
        <v/>
      </c>
      <c r="AE1123" s="166"/>
      <c r="AF1123" s="149" t="b">
        <v>0</v>
      </c>
      <c r="AG1123" s="166"/>
      <c r="AH1123" s="149" t="b">
        <v>0</v>
      </c>
      <c r="AI1123" s="162"/>
      <c r="AJ1123" s="143"/>
      <c r="AK1123" s="143"/>
      <c r="AL1123" s="1112"/>
      <c r="AM1123" s="1112"/>
      <c r="AN1123" s="1112"/>
      <c r="AO1123" s="1112"/>
      <c r="AP1123" s="1112"/>
      <c r="AQ1123" s="1112"/>
    </row>
    <row r="1124" ht="22.5" customHeight="1">
      <c r="A1124" s="166"/>
      <c r="B1124" s="1111"/>
      <c r="C1124" s="524"/>
      <c r="D1124" s="1110"/>
      <c r="E1124" s="669"/>
      <c r="F1124" s="524"/>
      <c r="G1124" s="165"/>
      <c r="H1124" s="669"/>
      <c r="I1124" s="669"/>
      <c r="J1124" s="352"/>
      <c r="K1124" s="271" t="str">
        <f t="shared" si="74"/>
        <v/>
      </c>
      <c r="L1124" s="297"/>
      <c r="M1124" s="334"/>
      <c r="N1124" s="277"/>
      <c r="O1124" s="315"/>
      <c r="P1124" s="344">
        <f t="shared" si="69"/>
        <v>0</v>
      </c>
      <c r="Q1124" s="321"/>
      <c r="R1124" s="672" t="b">
        <v>0</v>
      </c>
      <c r="S1124" s="318"/>
      <c r="T1124" s="319"/>
      <c r="U1124" s="315"/>
      <c r="V1124" s="162"/>
      <c r="W1124" s="149"/>
      <c r="X1124" s="163"/>
      <c r="Y1124" s="162"/>
      <c r="Z1124" s="164"/>
      <c r="AA1124" s="116"/>
      <c r="AB1124" s="116"/>
      <c r="AC1124" s="165"/>
      <c r="AD1124" s="675" t="str">
        <f t="shared" si="76"/>
        <v/>
      </c>
      <c r="AE1124" s="166"/>
      <c r="AF1124" s="149" t="b">
        <v>0</v>
      </c>
      <c r="AG1124" s="166"/>
      <c r="AH1124" s="149" t="b">
        <v>0</v>
      </c>
      <c r="AI1124" s="162"/>
      <c r="AJ1124" s="143"/>
      <c r="AK1124" s="143"/>
      <c r="AL1124" s="1112"/>
      <c r="AM1124" s="1112"/>
      <c r="AN1124" s="1112"/>
      <c r="AO1124" s="1112"/>
      <c r="AP1124" s="1112"/>
      <c r="AQ1124" s="1112"/>
    </row>
    <row r="1125" ht="22.5" customHeight="1">
      <c r="A1125" s="166"/>
      <c r="B1125" s="1111"/>
      <c r="C1125" s="524"/>
      <c r="D1125" s="1110"/>
      <c r="E1125" s="669"/>
      <c r="F1125" s="524"/>
      <c r="G1125" s="165"/>
      <c r="H1125" s="669"/>
      <c r="I1125" s="669"/>
      <c r="J1125" s="352"/>
      <c r="K1125" s="271" t="str">
        <f t="shared" si="74"/>
        <v/>
      </c>
      <c r="L1125" s="297"/>
      <c r="M1125" s="334"/>
      <c r="N1125" s="277"/>
      <c r="O1125" s="315"/>
      <c r="P1125" s="344">
        <f t="shared" si="69"/>
        <v>0</v>
      </c>
      <c r="Q1125" s="321"/>
      <c r="R1125" s="672" t="b">
        <v>0</v>
      </c>
      <c r="S1125" s="318"/>
      <c r="T1125" s="319"/>
      <c r="U1125" s="315"/>
      <c r="V1125" s="162"/>
      <c r="W1125" s="149"/>
      <c r="X1125" s="163"/>
      <c r="Y1125" s="162"/>
      <c r="Z1125" s="164"/>
      <c r="AA1125" s="116"/>
      <c r="AB1125" s="116"/>
      <c r="AC1125" s="165"/>
      <c r="AD1125" s="675" t="str">
        <f t="shared" si="76"/>
        <v/>
      </c>
      <c r="AE1125" s="166"/>
      <c r="AF1125" s="149" t="b">
        <v>0</v>
      </c>
      <c r="AG1125" s="166"/>
      <c r="AH1125" s="149" t="b">
        <v>0</v>
      </c>
      <c r="AI1125" s="162"/>
      <c r="AJ1125" s="143"/>
      <c r="AK1125" s="143"/>
      <c r="AL1125" s="1112"/>
      <c r="AM1125" s="1112"/>
      <c r="AN1125" s="1112"/>
      <c r="AO1125" s="1112"/>
      <c r="AP1125" s="1112"/>
      <c r="AQ1125" s="1112"/>
    </row>
    <row r="1126" ht="22.5" customHeight="1">
      <c r="A1126" s="166"/>
      <c r="B1126" s="1111"/>
      <c r="C1126" s="524"/>
      <c r="D1126" s="1110"/>
      <c r="E1126" s="669"/>
      <c r="F1126" s="524"/>
      <c r="G1126" s="165"/>
      <c r="H1126" s="669"/>
      <c r="I1126" s="669"/>
      <c r="J1126" s="352"/>
      <c r="K1126" s="271" t="str">
        <f t="shared" si="74"/>
        <v/>
      </c>
      <c r="L1126" s="297"/>
      <c r="M1126" s="334"/>
      <c r="N1126" s="277"/>
      <c r="O1126" s="315"/>
      <c r="P1126" s="344">
        <f t="shared" si="69"/>
        <v>0</v>
      </c>
      <c r="Q1126" s="321"/>
      <c r="R1126" s="672" t="b">
        <v>0</v>
      </c>
      <c r="S1126" s="318"/>
      <c r="T1126" s="319"/>
      <c r="U1126" s="315"/>
      <c r="V1126" s="162"/>
      <c r="W1126" s="149"/>
      <c r="X1126" s="163"/>
      <c r="Y1126" s="162"/>
      <c r="Z1126" s="164"/>
      <c r="AA1126" s="116"/>
      <c r="AB1126" s="116"/>
      <c r="AC1126" s="165"/>
      <c r="AD1126" s="675" t="str">
        <f t="shared" si="76"/>
        <v/>
      </c>
      <c r="AE1126" s="166"/>
      <c r="AF1126" s="149" t="b">
        <v>0</v>
      </c>
      <c r="AG1126" s="166"/>
      <c r="AH1126" s="149" t="b">
        <v>0</v>
      </c>
      <c r="AI1126" s="162"/>
      <c r="AJ1126" s="143"/>
      <c r="AK1126" s="143"/>
      <c r="AL1126" s="1112"/>
      <c r="AM1126" s="1112"/>
      <c r="AN1126" s="1112"/>
      <c r="AO1126" s="1112"/>
      <c r="AP1126" s="1112"/>
      <c r="AQ1126" s="1112"/>
    </row>
    <row r="1127" ht="22.5" customHeight="1">
      <c r="A1127" s="166"/>
      <c r="B1127" s="1111"/>
      <c r="C1127" s="524"/>
      <c r="D1127" s="1110"/>
      <c r="E1127" s="669"/>
      <c r="F1127" s="524"/>
      <c r="G1127" s="165"/>
      <c r="H1127" s="669"/>
      <c r="I1127" s="669"/>
      <c r="J1127" s="352"/>
      <c r="K1127" s="271" t="str">
        <f t="shared" si="74"/>
        <v/>
      </c>
      <c r="L1127" s="297"/>
      <c r="M1127" s="334"/>
      <c r="N1127" s="277"/>
      <c r="O1127" s="315"/>
      <c r="P1127" s="344">
        <f t="shared" si="69"/>
        <v>0</v>
      </c>
      <c r="Q1127" s="321"/>
      <c r="R1127" s="672" t="b">
        <v>0</v>
      </c>
      <c r="S1127" s="318"/>
      <c r="T1127" s="319"/>
      <c r="U1127" s="315"/>
      <c r="V1127" s="162"/>
      <c r="W1127" s="149"/>
      <c r="X1127" s="163"/>
      <c r="Y1127" s="162"/>
      <c r="Z1127" s="164"/>
      <c r="AA1127" s="116"/>
      <c r="AB1127" s="116"/>
      <c r="AC1127" s="165"/>
      <c r="AD1127" s="675" t="str">
        <f t="shared" si="76"/>
        <v/>
      </c>
      <c r="AE1127" s="166"/>
      <c r="AF1127" s="149" t="b">
        <v>0</v>
      </c>
      <c r="AG1127" s="166"/>
      <c r="AH1127" s="149" t="b">
        <v>0</v>
      </c>
      <c r="AI1127" s="162"/>
      <c r="AJ1127" s="143"/>
      <c r="AK1127" s="143"/>
      <c r="AL1127" s="1112"/>
      <c r="AM1127" s="1112"/>
      <c r="AN1127" s="1112"/>
      <c r="AO1127" s="1112"/>
      <c r="AP1127" s="1112"/>
      <c r="AQ1127" s="1112"/>
    </row>
    <row r="1128" ht="22.5" customHeight="1">
      <c r="A1128" s="166"/>
      <c r="B1128" s="1111"/>
      <c r="C1128" s="524"/>
      <c r="D1128" s="1110"/>
      <c r="E1128" s="669"/>
      <c r="F1128" s="524"/>
      <c r="G1128" s="165"/>
      <c r="H1128" s="669"/>
      <c r="I1128" s="669"/>
      <c r="J1128" s="352"/>
      <c r="K1128" s="271" t="str">
        <f t="shared" si="74"/>
        <v/>
      </c>
      <c r="L1128" s="297"/>
      <c r="M1128" s="334"/>
      <c r="N1128" s="277"/>
      <c r="O1128" s="315"/>
      <c r="P1128" s="344">
        <f t="shared" si="69"/>
        <v>0</v>
      </c>
      <c r="Q1128" s="321"/>
      <c r="R1128" s="672" t="b">
        <v>0</v>
      </c>
      <c r="S1128" s="318"/>
      <c r="T1128" s="319"/>
      <c r="U1128" s="315"/>
      <c r="V1128" s="162"/>
      <c r="W1128" s="149"/>
      <c r="X1128" s="163"/>
      <c r="Y1128" s="162"/>
      <c r="Z1128" s="164"/>
      <c r="AA1128" s="116"/>
      <c r="AB1128" s="116"/>
      <c r="AC1128" s="165"/>
      <c r="AD1128" s="675" t="str">
        <f t="shared" si="76"/>
        <v/>
      </c>
      <c r="AE1128" s="166"/>
      <c r="AF1128" s="149" t="b">
        <v>0</v>
      </c>
      <c r="AG1128" s="166"/>
      <c r="AH1128" s="149" t="b">
        <v>0</v>
      </c>
      <c r="AI1128" s="162"/>
      <c r="AJ1128" s="143"/>
      <c r="AK1128" s="143"/>
      <c r="AL1128" s="1112"/>
      <c r="AM1128" s="1112"/>
      <c r="AN1128" s="1112"/>
      <c r="AO1128" s="1112"/>
      <c r="AP1128" s="1112"/>
      <c r="AQ1128" s="1112"/>
    </row>
    <row r="1129" ht="22.5" customHeight="1">
      <c r="A1129" s="166"/>
      <c r="B1129" s="1111"/>
      <c r="C1129" s="524"/>
      <c r="D1129" s="1110"/>
      <c r="E1129" s="669"/>
      <c r="F1129" s="524"/>
      <c r="G1129" s="165"/>
      <c r="H1129" s="669"/>
      <c r="I1129" s="669"/>
      <c r="J1129" s="352"/>
      <c r="K1129" s="271" t="str">
        <f t="shared" si="74"/>
        <v/>
      </c>
      <c r="L1129" s="297"/>
      <c r="M1129" s="334"/>
      <c r="N1129" s="277"/>
      <c r="O1129" s="315"/>
      <c r="P1129" s="344">
        <f t="shared" si="69"/>
        <v>0</v>
      </c>
      <c r="Q1129" s="321"/>
      <c r="R1129" s="672" t="b">
        <v>0</v>
      </c>
      <c r="S1129" s="318"/>
      <c r="T1129" s="319"/>
      <c r="U1129" s="315"/>
      <c r="V1129" s="162"/>
      <c r="W1129" s="149"/>
      <c r="X1129" s="163"/>
      <c r="Y1129" s="162"/>
      <c r="Z1129" s="164"/>
      <c r="AA1129" s="116"/>
      <c r="AB1129" s="116"/>
      <c r="AC1129" s="165"/>
      <c r="AD1129" s="675" t="str">
        <f t="shared" si="76"/>
        <v/>
      </c>
      <c r="AE1129" s="166"/>
      <c r="AF1129" s="149" t="b">
        <v>0</v>
      </c>
      <c r="AG1129" s="166"/>
      <c r="AH1129" s="149" t="b">
        <v>0</v>
      </c>
      <c r="AI1129" s="162"/>
      <c r="AJ1129" s="143"/>
      <c r="AK1129" s="143"/>
      <c r="AL1129" s="1112"/>
      <c r="AM1129" s="1112"/>
      <c r="AN1129" s="1112"/>
      <c r="AO1129" s="1112"/>
      <c r="AP1129" s="1112"/>
      <c r="AQ1129" s="1112"/>
    </row>
    <row r="1130" ht="22.5" customHeight="1">
      <c r="A1130" s="166"/>
      <c r="B1130" s="1111"/>
      <c r="C1130" s="524"/>
      <c r="D1130" s="1110"/>
      <c r="E1130" s="669"/>
      <c r="F1130" s="524"/>
      <c r="G1130" s="165"/>
      <c r="H1130" s="669"/>
      <c r="I1130" s="669"/>
      <c r="J1130" s="352"/>
      <c r="K1130" s="271" t="str">
        <f t="shared" si="74"/>
        <v/>
      </c>
      <c r="L1130" s="297"/>
      <c r="M1130" s="334"/>
      <c r="N1130" s="277"/>
      <c r="O1130" s="315"/>
      <c r="P1130" s="344">
        <f t="shared" si="69"/>
        <v>0</v>
      </c>
      <c r="Q1130" s="321"/>
      <c r="R1130" s="672" t="b">
        <v>0</v>
      </c>
      <c r="S1130" s="318"/>
      <c r="T1130" s="319"/>
      <c r="U1130" s="315"/>
      <c r="V1130" s="162"/>
      <c r="W1130" s="149"/>
      <c r="X1130" s="163"/>
      <c r="Y1130" s="162"/>
      <c r="Z1130" s="164"/>
      <c r="AA1130" s="116"/>
      <c r="AB1130" s="116"/>
      <c r="AC1130" s="165"/>
      <c r="AD1130" s="675" t="str">
        <f t="shared" si="76"/>
        <v/>
      </c>
      <c r="AE1130" s="166"/>
      <c r="AF1130" s="149" t="b">
        <v>0</v>
      </c>
      <c r="AG1130" s="166"/>
      <c r="AH1130" s="149" t="b">
        <v>0</v>
      </c>
      <c r="AI1130" s="162"/>
      <c r="AJ1130" s="143"/>
      <c r="AK1130" s="143"/>
      <c r="AL1130" s="1112"/>
      <c r="AM1130" s="1112"/>
      <c r="AN1130" s="1112"/>
      <c r="AO1130" s="1112"/>
      <c r="AP1130" s="1112"/>
      <c r="AQ1130" s="1112"/>
    </row>
    <row r="1131" ht="22.5" customHeight="1">
      <c r="A1131" s="166"/>
      <c r="B1131" s="1111"/>
      <c r="C1131" s="524"/>
      <c r="D1131" s="1110"/>
      <c r="E1131" s="669"/>
      <c r="F1131" s="524"/>
      <c r="G1131" s="165"/>
      <c r="H1131" s="669"/>
      <c r="I1131" s="669"/>
      <c r="J1131" s="352"/>
      <c r="K1131" s="271" t="str">
        <f t="shared" si="74"/>
        <v/>
      </c>
      <c r="L1131" s="297"/>
      <c r="M1131" s="334"/>
      <c r="N1131" s="277"/>
      <c r="O1131" s="315"/>
      <c r="P1131" s="344">
        <f t="shared" si="69"/>
        <v>0</v>
      </c>
      <c r="Q1131" s="321"/>
      <c r="R1131" s="672" t="b">
        <v>0</v>
      </c>
      <c r="S1131" s="318"/>
      <c r="T1131" s="319"/>
      <c r="U1131" s="315"/>
      <c r="V1131" s="162"/>
      <c r="W1131" s="149"/>
      <c r="X1131" s="163"/>
      <c r="Y1131" s="162"/>
      <c r="Z1131" s="164"/>
      <c r="AA1131" s="116"/>
      <c r="AB1131" s="116"/>
      <c r="AC1131" s="165"/>
      <c r="AD1131" s="675" t="str">
        <f t="shared" si="76"/>
        <v/>
      </c>
      <c r="AE1131" s="166"/>
      <c r="AF1131" s="149" t="b">
        <v>0</v>
      </c>
      <c r="AG1131" s="166"/>
      <c r="AH1131" s="149" t="b">
        <v>0</v>
      </c>
      <c r="AI1131" s="162"/>
      <c r="AJ1131" s="143"/>
      <c r="AK1131" s="143"/>
      <c r="AL1131" s="1112"/>
      <c r="AM1131" s="1112"/>
      <c r="AN1131" s="1112"/>
      <c r="AO1131" s="1112"/>
      <c r="AP1131" s="1112"/>
      <c r="AQ1131" s="1112"/>
    </row>
    <row r="1132" ht="22.5" customHeight="1">
      <c r="A1132" s="166"/>
      <c r="B1132" s="1111"/>
      <c r="C1132" s="524"/>
      <c r="D1132" s="1110"/>
      <c r="E1132" s="669"/>
      <c r="F1132" s="524"/>
      <c r="G1132" s="165"/>
      <c r="H1132" s="669"/>
      <c r="I1132" s="669"/>
      <c r="J1132" s="352"/>
      <c r="K1132" s="271" t="str">
        <f t="shared" si="74"/>
        <v/>
      </c>
      <c r="L1132" s="297"/>
      <c r="M1132" s="334"/>
      <c r="N1132" s="277"/>
      <c r="O1132" s="315"/>
      <c r="P1132" s="344">
        <f t="shared" si="69"/>
        <v>0</v>
      </c>
      <c r="Q1132" s="321"/>
      <c r="R1132" s="672" t="b">
        <v>0</v>
      </c>
      <c r="S1132" s="318"/>
      <c r="T1132" s="319"/>
      <c r="U1132" s="315"/>
      <c r="V1132" s="162"/>
      <c r="W1132" s="149"/>
      <c r="X1132" s="163"/>
      <c r="Y1132" s="162"/>
      <c r="Z1132" s="164"/>
      <c r="AA1132" s="116"/>
      <c r="AB1132" s="116"/>
      <c r="AC1132" s="165"/>
      <c r="AD1132" s="675" t="str">
        <f t="shared" si="76"/>
        <v/>
      </c>
      <c r="AE1132" s="166"/>
      <c r="AF1132" s="149" t="b">
        <v>0</v>
      </c>
      <c r="AG1132" s="166"/>
      <c r="AH1132" s="149" t="b">
        <v>0</v>
      </c>
      <c r="AI1132" s="162"/>
      <c r="AJ1132" s="143"/>
      <c r="AK1132" s="143"/>
      <c r="AL1132" s="1112"/>
      <c r="AM1132" s="1112"/>
      <c r="AN1132" s="1112"/>
      <c r="AO1132" s="1112"/>
      <c r="AP1132" s="1112"/>
      <c r="AQ1132" s="1112"/>
    </row>
    <row r="1133" ht="22.5" customHeight="1">
      <c r="A1133" s="166"/>
      <c r="B1133" s="1111"/>
      <c r="C1133" s="524"/>
      <c r="D1133" s="1110"/>
      <c r="E1133" s="669"/>
      <c r="F1133" s="524"/>
      <c r="G1133" s="165"/>
      <c r="H1133" s="669"/>
      <c r="I1133" s="669"/>
      <c r="J1133" s="352"/>
      <c r="K1133" s="271" t="str">
        <f t="shared" si="74"/>
        <v/>
      </c>
      <c r="L1133" s="297"/>
      <c r="M1133" s="334"/>
      <c r="N1133" s="277"/>
      <c r="O1133" s="315"/>
      <c r="P1133" s="344">
        <f t="shared" si="69"/>
        <v>0</v>
      </c>
      <c r="Q1133" s="321"/>
      <c r="R1133" s="672" t="b">
        <v>0</v>
      </c>
      <c r="S1133" s="318"/>
      <c r="T1133" s="319"/>
      <c r="U1133" s="315"/>
      <c r="V1133" s="162"/>
      <c r="W1133" s="149"/>
      <c r="X1133" s="163"/>
      <c r="Y1133" s="162"/>
      <c r="Z1133" s="164"/>
      <c r="AA1133" s="116"/>
      <c r="AB1133" s="116"/>
      <c r="AC1133" s="165"/>
      <c r="AD1133" s="675" t="str">
        <f t="shared" si="76"/>
        <v/>
      </c>
      <c r="AE1133" s="166"/>
      <c r="AF1133" s="149" t="b">
        <v>0</v>
      </c>
      <c r="AG1133" s="166"/>
      <c r="AH1133" s="149" t="b">
        <v>0</v>
      </c>
      <c r="AI1133" s="162"/>
      <c r="AJ1133" s="143"/>
      <c r="AK1133" s="143"/>
      <c r="AL1133" s="1112"/>
      <c r="AM1133" s="1112"/>
      <c r="AN1133" s="1112"/>
      <c r="AO1133" s="1112"/>
      <c r="AP1133" s="1112"/>
      <c r="AQ1133" s="1112"/>
    </row>
    <row r="1134" ht="22.5" customHeight="1">
      <c r="A1134" s="166"/>
      <c r="B1134" s="1111"/>
      <c r="C1134" s="524"/>
      <c r="D1134" s="1110"/>
      <c r="E1134" s="669"/>
      <c r="F1134" s="524"/>
      <c r="G1134" s="165"/>
      <c r="H1134" s="669"/>
      <c r="I1134" s="669"/>
      <c r="J1134" s="352"/>
      <c r="K1134" s="271" t="str">
        <f t="shared" si="74"/>
        <v/>
      </c>
      <c r="L1134" s="297"/>
      <c r="M1134" s="334"/>
      <c r="N1134" s="277"/>
      <c r="O1134" s="315"/>
      <c r="P1134" s="344">
        <f t="shared" si="69"/>
        <v>0</v>
      </c>
      <c r="Q1134" s="321"/>
      <c r="R1134" s="672" t="b">
        <v>0</v>
      </c>
      <c r="S1134" s="318"/>
      <c r="T1134" s="319"/>
      <c r="U1134" s="315"/>
      <c r="V1134" s="162"/>
      <c r="W1134" s="149"/>
      <c r="X1134" s="163"/>
      <c r="Y1134" s="162"/>
      <c r="Z1134" s="164"/>
      <c r="AA1134" s="116"/>
      <c r="AB1134" s="116"/>
      <c r="AC1134" s="165"/>
      <c r="AD1134" s="675" t="str">
        <f t="shared" si="76"/>
        <v/>
      </c>
      <c r="AE1134" s="166"/>
      <c r="AF1134" s="149" t="b">
        <v>0</v>
      </c>
      <c r="AG1134" s="166"/>
      <c r="AH1134" s="149" t="b">
        <v>0</v>
      </c>
      <c r="AI1134" s="162"/>
      <c r="AJ1134" s="143"/>
      <c r="AK1134" s="143"/>
      <c r="AL1134" s="1112"/>
      <c r="AM1134" s="1112"/>
      <c r="AN1134" s="1112"/>
      <c r="AO1134" s="1112"/>
      <c r="AP1134" s="1112"/>
      <c r="AQ1134" s="1112"/>
    </row>
    <row r="1135" ht="22.5" customHeight="1">
      <c r="A1135" s="166"/>
      <c r="B1135" s="1111"/>
      <c r="C1135" s="524"/>
      <c r="D1135" s="1110"/>
      <c r="E1135" s="669"/>
      <c r="F1135" s="524"/>
      <c r="G1135" s="165"/>
      <c r="H1135" s="669"/>
      <c r="I1135" s="669"/>
      <c r="J1135" s="352"/>
      <c r="K1135" s="271" t="str">
        <f t="shared" si="74"/>
        <v/>
      </c>
      <c r="L1135" s="297"/>
      <c r="M1135" s="334"/>
      <c r="N1135" s="277"/>
      <c r="O1135" s="315"/>
      <c r="P1135" s="344">
        <f t="shared" si="69"/>
        <v>0</v>
      </c>
      <c r="Q1135" s="321"/>
      <c r="R1135" s="672" t="b">
        <v>0</v>
      </c>
      <c r="S1135" s="318"/>
      <c r="T1135" s="319"/>
      <c r="U1135" s="315"/>
      <c r="V1135" s="162"/>
      <c r="W1135" s="149"/>
      <c r="X1135" s="163"/>
      <c r="Y1135" s="162"/>
      <c r="Z1135" s="164"/>
      <c r="AA1135" s="116"/>
      <c r="AB1135" s="116"/>
      <c r="AC1135" s="165"/>
      <c r="AD1135" s="675" t="str">
        <f t="shared" si="76"/>
        <v/>
      </c>
      <c r="AE1135" s="166"/>
      <c r="AF1135" s="149" t="b">
        <v>0</v>
      </c>
      <c r="AG1135" s="166"/>
      <c r="AH1135" s="149" t="b">
        <v>0</v>
      </c>
      <c r="AI1135" s="162"/>
      <c r="AJ1135" s="143"/>
      <c r="AK1135" s="143"/>
      <c r="AL1135" s="1112"/>
      <c r="AM1135" s="1112"/>
      <c r="AN1135" s="1112"/>
      <c r="AO1135" s="1112"/>
      <c r="AP1135" s="1112"/>
      <c r="AQ1135" s="1112"/>
    </row>
    <row r="1136" ht="22.5" customHeight="1">
      <c r="A1136" s="166"/>
      <c r="B1136" s="1111"/>
      <c r="C1136" s="524"/>
      <c r="D1136" s="1110"/>
      <c r="E1136" s="669"/>
      <c r="F1136" s="524"/>
      <c r="G1136" s="165"/>
      <c r="H1136" s="669"/>
      <c r="I1136" s="669"/>
      <c r="J1136" s="352"/>
      <c r="K1136" s="271" t="str">
        <f t="shared" si="74"/>
        <v/>
      </c>
      <c r="L1136" s="297"/>
      <c r="M1136" s="334"/>
      <c r="N1136" s="277"/>
      <c r="O1136" s="315"/>
      <c r="P1136" s="344">
        <f t="shared" si="69"/>
        <v>0</v>
      </c>
      <c r="Q1136" s="321"/>
      <c r="R1136" s="672" t="b">
        <v>0</v>
      </c>
      <c r="S1136" s="318"/>
      <c r="T1136" s="319"/>
      <c r="U1136" s="315"/>
      <c r="V1136" s="162"/>
      <c r="W1136" s="149"/>
      <c r="X1136" s="163"/>
      <c r="Y1136" s="162"/>
      <c r="Z1136" s="164"/>
      <c r="AA1136" s="116"/>
      <c r="AB1136" s="116"/>
      <c r="AC1136" s="165"/>
      <c r="AD1136" s="675" t="str">
        <f t="shared" si="76"/>
        <v/>
      </c>
      <c r="AE1136" s="166"/>
      <c r="AF1136" s="149" t="b">
        <v>0</v>
      </c>
      <c r="AG1136" s="166"/>
      <c r="AH1136" s="149" t="b">
        <v>0</v>
      </c>
      <c r="AI1136" s="162"/>
      <c r="AJ1136" s="143"/>
      <c r="AK1136" s="143"/>
      <c r="AL1136" s="1112"/>
      <c r="AM1136" s="1112"/>
      <c r="AN1136" s="1112"/>
      <c r="AO1136" s="1112"/>
      <c r="AP1136" s="1112"/>
      <c r="AQ1136" s="1112"/>
    </row>
    <row r="1137" ht="22.5" customHeight="1">
      <c r="A1137" s="166"/>
      <c r="B1137" s="1111"/>
      <c r="C1137" s="524"/>
      <c r="D1137" s="1110"/>
      <c r="E1137" s="669"/>
      <c r="F1137" s="524"/>
      <c r="G1137" s="165"/>
      <c r="H1137" s="669"/>
      <c r="I1137" s="669"/>
      <c r="J1137" s="352"/>
      <c r="K1137" s="271" t="str">
        <f t="shared" si="74"/>
        <v/>
      </c>
      <c r="L1137" s="297"/>
      <c r="M1137" s="334"/>
      <c r="N1137" s="277"/>
      <c r="O1137" s="315"/>
      <c r="P1137" s="344">
        <f t="shared" si="69"/>
        <v>0</v>
      </c>
      <c r="Q1137" s="321"/>
      <c r="R1137" s="672" t="b">
        <v>0</v>
      </c>
      <c r="S1137" s="318"/>
      <c r="T1137" s="319"/>
      <c r="U1137" s="315"/>
      <c r="V1137" s="162"/>
      <c r="W1137" s="149"/>
      <c r="X1137" s="163"/>
      <c r="Y1137" s="162"/>
      <c r="Z1137" s="164"/>
      <c r="AA1137" s="116"/>
      <c r="AB1137" s="116"/>
      <c r="AC1137" s="165"/>
      <c r="AD1137" s="675" t="str">
        <f t="shared" si="76"/>
        <v/>
      </c>
      <c r="AE1137" s="166"/>
      <c r="AF1137" s="149" t="b">
        <v>0</v>
      </c>
      <c r="AG1137" s="166"/>
      <c r="AH1137" s="149" t="b">
        <v>0</v>
      </c>
      <c r="AI1137" s="162"/>
      <c r="AJ1137" s="143"/>
      <c r="AK1137" s="143"/>
      <c r="AL1137" s="1112"/>
      <c r="AM1137" s="1112"/>
      <c r="AN1137" s="1112"/>
      <c r="AO1137" s="1112"/>
      <c r="AP1137" s="1112"/>
      <c r="AQ1137" s="1112"/>
    </row>
    <row r="1138" ht="22.5" customHeight="1">
      <c r="A1138" s="166"/>
      <c r="B1138" s="1111"/>
      <c r="C1138" s="524"/>
      <c r="D1138" s="1110"/>
      <c r="E1138" s="669"/>
      <c r="F1138" s="524"/>
      <c r="G1138" s="165"/>
      <c r="H1138" s="669"/>
      <c r="I1138" s="669"/>
      <c r="J1138" s="352"/>
      <c r="K1138" s="271" t="str">
        <f t="shared" si="74"/>
        <v/>
      </c>
      <c r="L1138" s="297"/>
      <c r="M1138" s="334"/>
      <c r="N1138" s="277"/>
      <c r="O1138" s="315"/>
      <c r="P1138" s="344">
        <f t="shared" si="69"/>
        <v>0</v>
      </c>
      <c r="Q1138" s="321"/>
      <c r="R1138" s="672" t="b">
        <v>0</v>
      </c>
      <c r="S1138" s="318"/>
      <c r="T1138" s="319"/>
      <c r="U1138" s="315"/>
      <c r="V1138" s="162"/>
      <c r="W1138" s="149"/>
      <c r="X1138" s="163"/>
      <c r="Y1138" s="162"/>
      <c r="Z1138" s="164"/>
      <c r="AA1138" s="116"/>
      <c r="AB1138" s="116"/>
      <c r="AC1138" s="165"/>
      <c r="AD1138" s="675" t="str">
        <f t="shared" si="76"/>
        <v/>
      </c>
      <c r="AE1138" s="166"/>
      <c r="AF1138" s="149" t="b">
        <v>0</v>
      </c>
      <c r="AG1138" s="166"/>
      <c r="AH1138" s="149" t="b">
        <v>0</v>
      </c>
      <c r="AI1138" s="162"/>
      <c r="AJ1138" s="143"/>
      <c r="AK1138" s="143"/>
      <c r="AL1138" s="1112"/>
      <c r="AM1138" s="1112"/>
      <c r="AN1138" s="1112"/>
      <c r="AO1138" s="1112"/>
      <c r="AP1138" s="1112"/>
      <c r="AQ1138" s="1112"/>
    </row>
    <row r="1139" ht="22.5" customHeight="1">
      <c r="A1139" s="166"/>
      <c r="B1139" s="1111"/>
      <c r="C1139" s="524"/>
      <c r="D1139" s="1110"/>
      <c r="E1139" s="669"/>
      <c r="F1139" s="524"/>
      <c r="G1139" s="165"/>
      <c r="H1139" s="669"/>
      <c r="I1139" s="669"/>
      <c r="J1139" s="352"/>
      <c r="K1139" s="271" t="str">
        <f t="shared" si="74"/>
        <v/>
      </c>
      <c r="L1139" s="297"/>
      <c r="M1139" s="334"/>
      <c r="N1139" s="277"/>
      <c r="O1139" s="315"/>
      <c r="P1139" s="344">
        <f t="shared" si="69"/>
        <v>0</v>
      </c>
      <c r="Q1139" s="321"/>
      <c r="R1139" s="672" t="b">
        <v>0</v>
      </c>
      <c r="S1139" s="318"/>
      <c r="T1139" s="319"/>
      <c r="U1139" s="315"/>
      <c r="V1139" s="162"/>
      <c r="W1139" s="149"/>
      <c r="X1139" s="163"/>
      <c r="Y1139" s="162"/>
      <c r="Z1139" s="164"/>
      <c r="AA1139" s="116"/>
      <c r="AB1139" s="116"/>
      <c r="AC1139" s="165"/>
      <c r="AD1139" s="675" t="str">
        <f t="shared" si="76"/>
        <v/>
      </c>
      <c r="AE1139" s="166"/>
      <c r="AF1139" s="149" t="b">
        <v>0</v>
      </c>
      <c r="AG1139" s="166"/>
      <c r="AH1139" s="149" t="b">
        <v>0</v>
      </c>
      <c r="AI1139" s="162"/>
      <c r="AJ1139" s="143"/>
      <c r="AK1139" s="143"/>
      <c r="AL1139" s="1112"/>
      <c r="AM1139" s="1112"/>
      <c r="AN1139" s="1112"/>
      <c r="AO1139" s="1112"/>
      <c r="AP1139" s="1112"/>
      <c r="AQ1139" s="1112"/>
    </row>
    <row r="1140" ht="22.5" customHeight="1">
      <c r="A1140" s="166"/>
      <c r="B1140" s="1111"/>
      <c r="C1140" s="524"/>
      <c r="D1140" s="1110"/>
      <c r="E1140" s="669"/>
      <c r="F1140" s="524"/>
      <c r="G1140" s="165"/>
      <c r="H1140" s="669"/>
      <c r="I1140" s="669"/>
      <c r="J1140" s="352"/>
      <c r="K1140" s="271" t="str">
        <f t="shared" si="74"/>
        <v/>
      </c>
      <c r="L1140" s="297"/>
      <c r="M1140" s="334"/>
      <c r="N1140" s="277"/>
      <c r="O1140" s="315"/>
      <c r="P1140" s="344">
        <f t="shared" si="69"/>
        <v>0</v>
      </c>
      <c r="Q1140" s="321"/>
      <c r="R1140" s="672" t="b">
        <v>0</v>
      </c>
      <c r="S1140" s="318"/>
      <c r="T1140" s="319"/>
      <c r="U1140" s="315"/>
      <c r="V1140" s="162"/>
      <c r="W1140" s="149"/>
      <c r="X1140" s="163"/>
      <c r="Y1140" s="162"/>
      <c r="Z1140" s="164"/>
      <c r="AA1140" s="116"/>
      <c r="AB1140" s="116"/>
      <c r="AC1140" s="165"/>
      <c r="AD1140" s="675" t="str">
        <f t="shared" si="76"/>
        <v/>
      </c>
      <c r="AE1140" s="166"/>
      <c r="AF1140" s="149" t="b">
        <v>0</v>
      </c>
      <c r="AG1140" s="166"/>
      <c r="AH1140" s="149" t="b">
        <v>0</v>
      </c>
      <c r="AI1140" s="162"/>
      <c r="AJ1140" s="143"/>
      <c r="AK1140" s="143"/>
      <c r="AL1140" s="1112"/>
      <c r="AM1140" s="1112"/>
      <c r="AN1140" s="1112"/>
      <c r="AO1140" s="1112"/>
      <c r="AP1140" s="1112"/>
      <c r="AQ1140" s="1112"/>
    </row>
    <row r="1141" ht="22.5" customHeight="1">
      <c r="A1141" s="166"/>
      <c r="B1141" s="1111"/>
      <c r="C1141" s="524"/>
      <c r="D1141" s="1110"/>
      <c r="E1141" s="669"/>
      <c r="F1141" s="524"/>
      <c r="G1141" s="165"/>
      <c r="H1141" s="669"/>
      <c r="I1141" s="669"/>
      <c r="J1141" s="352"/>
      <c r="K1141" s="271" t="str">
        <f t="shared" si="74"/>
        <v/>
      </c>
      <c r="L1141" s="297"/>
      <c r="M1141" s="334"/>
      <c r="N1141" s="277"/>
      <c r="O1141" s="315"/>
      <c r="P1141" s="344">
        <f t="shared" si="69"/>
        <v>0</v>
      </c>
      <c r="Q1141" s="321"/>
      <c r="R1141" s="672" t="b">
        <v>0</v>
      </c>
      <c r="S1141" s="318"/>
      <c r="T1141" s="319"/>
      <c r="U1141" s="315"/>
      <c r="V1141" s="162"/>
      <c r="W1141" s="149"/>
      <c r="X1141" s="163"/>
      <c r="Y1141" s="162"/>
      <c r="Z1141" s="164"/>
      <c r="AA1141" s="116"/>
      <c r="AB1141" s="116"/>
      <c r="AC1141" s="165"/>
      <c r="AD1141" s="675" t="str">
        <f t="shared" si="76"/>
        <v/>
      </c>
      <c r="AE1141" s="166"/>
      <c r="AF1141" s="149" t="b">
        <v>0</v>
      </c>
      <c r="AG1141" s="166"/>
      <c r="AH1141" s="149" t="b">
        <v>0</v>
      </c>
      <c r="AI1141" s="162"/>
      <c r="AJ1141" s="143"/>
      <c r="AK1141" s="143"/>
      <c r="AL1141" s="1112"/>
      <c r="AM1141" s="1112"/>
      <c r="AN1141" s="1112"/>
      <c r="AO1141" s="1112"/>
      <c r="AP1141" s="1112"/>
      <c r="AQ1141" s="1112"/>
    </row>
    <row r="1142" ht="22.5" customHeight="1">
      <c r="A1142" s="166"/>
      <c r="B1142" s="1111"/>
      <c r="C1142" s="524"/>
      <c r="D1142" s="1110"/>
      <c r="E1142" s="669"/>
      <c r="F1142" s="524"/>
      <c r="G1142" s="165"/>
      <c r="H1142" s="669"/>
      <c r="I1142" s="669"/>
      <c r="J1142" s="352"/>
      <c r="K1142" s="271" t="str">
        <f t="shared" si="74"/>
        <v/>
      </c>
      <c r="L1142" s="297"/>
      <c r="M1142" s="334"/>
      <c r="N1142" s="277"/>
      <c r="O1142" s="315"/>
      <c r="P1142" s="344">
        <f t="shared" si="69"/>
        <v>0</v>
      </c>
      <c r="Q1142" s="321"/>
      <c r="R1142" s="672" t="b">
        <v>0</v>
      </c>
      <c r="S1142" s="318"/>
      <c r="T1142" s="319"/>
      <c r="U1142" s="315"/>
      <c r="V1142" s="162"/>
      <c r="W1142" s="149"/>
      <c r="X1142" s="163"/>
      <c r="Y1142" s="162"/>
      <c r="Z1142" s="164"/>
      <c r="AA1142" s="116"/>
      <c r="AB1142" s="116"/>
      <c r="AC1142" s="165"/>
      <c r="AD1142" s="675" t="str">
        <f t="shared" si="76"/>
        <v/>
      </c>
      <c r="AE1142" s="166"/>
      <c r="AF1142" s="149" t="b">
        <v>0</v>
      </c>
      <c r="AG1142" s="166"/>
      <c r="AH1142" s="149" t="b">
        <v>0</v>
      </c>
      <c r="AI1142" s="162"/>
      <c r="AJ1142" s="143"/>
      <c r="AK1142" s="143"/>
      <c r="AL1142" s="1112"/>
      <c r="AM1142" s="1112"/>
      <c r="AN1142" s="1112"/>
      <c r="AO1142" s="1112"/>
      <c r="AP1142" s="1112"/>
      <c r="AQ1142" s="1112"/>
    </row>
    <row r="1143" ht="22.5" customHeight="1">
      <c r="A1143" s="166"/>
      <c r="B1143" s="1111"/>
      <c r="C1143" s="524"/>
      <c r="D1143" s="1110"/>
      <c r="E1143" s="669"/>
      <c r="F1143" s="524"/>
      <c r="G1143" s="165"/>
      <c r="H1143" s="669"/>
      <c r="I1143" s="669"/>
      <c r="J1143" s="352"/>
      <c r="K1143" s="271" t="str">
        <f t="shared" si="74"/>
        <v/>
      </c>
      <c r="L1143" s="297"/>
      <c r="M1143" s="334"/>
      <c r="N1143" s="277"/>
      <c r="O1143" s="315"/>
      <c r="P1143" s="344">
        <f t="shared" si="69"/>
        <v>0</v>
      </c>
      <c r="Q1143" s="321"/>
      <c r="R1143" s="672" t="b">
        <v>0</v>
      </c>
      <c r="S1143" s="318"/>
      <c r="T1143" s="319"/>
      <c r="U1143" s="315"/>
      <c r="V1143" s="162"/>
      <c r="W1143" s="149"/>
      <c r="X1143" s="163"/>
      <c r="Y1143" s="162"/>
      <c r="Z1143" s="164"/>
      <c r="AA1143" s="116"/>
      <c r="AB1143" s="116"/>
      <c r="AC1143" s="165"/>
      <c r="AD1143" s="675" t="str">
        <f t="shared" si="76"/>
        <v/>
      </c>
      <c r="AE1143" s="166"/>
      <c r="AF1143" s="149" t="b">
        <v>0</v>
      </c>
      <c r="AG1143" s="166"/>
      <c r="AH1143" s="149" t="b">
        <v>0</v>
      </c>
      <c r="AI1143" s="162"/>
      <c r="AJ1143" s="143"/>
      <c r="AK1143" s="143"/>
      <c r="AL1143" s="1112"/>
      <c r="AM1143" s="1112"/>
      <c r="AN1143" s="1112"/>
      <c r="AO1143" s="1112"/>
      <c r="AP1143" s="1112"/>
      <c r="AQ1143" s="1112"/>
    </row>
    <row r="1144" ht="22.5" customHeight="1">
      <c r="A1144" s="166"/>
      <c r="B1144" s="1111"/>
      <c r="C1144" s="524"/>
      <c r="D1144" s="1110"/>
      <c r="E1144" s="669"/>
      <c r="F1144" s="524"/>
      <c r="G1144" s="165"/>
      <c r="H1144" s="669"/>
      <c r="I1144" s="669"/>
      <c r="J1144" s="352"/>
      <c r="K1144" s="271" t="str">
        <f t="shared" si="74"/>
        <v/>
      </c>
      <c r="L1144" s="297"/>
      <c r="M1144" s="334"/>
      <c r="N1144" s="277"/>
      <c r="O1144" s="315"/>
      <c r="P1144" s="344">
        <f t="shared" si="69"/>
        <v>0</v>
      </c>
      <c r="Q1144" s="321"/>
      <c r="R1144" s="672" t="b">
        <v>0</v>
      </c>
      <c r="S1144" s="318"/>
      <c r="T1144" s="319"/>
      <c r="U1144" s="315"/>
      <c r="V1144" s="162"/>
      <c r="W1144" s="149"/>
      <c r="X1144" s="163"/>
      <c r="Y1144" s="162"/>
      <c r="Z1144" s="164"/>
      <c r="AA1144" s="116"/>
      <c r="AB1144" s="116"/>
      <c r="AC1144" s="165"/>
      <c r="AD1144" s="675" t="str">
        <f t="shared" si="76"/>
        <v/>
      </c>
      <c r="AE1144" s="166"/>
      <c r="AF1144" s="149" t="b">
        <v>0</v>
      </c>
      <c r="AG1144" s="166"/>
      <c r="AH1144" s="149" t="b">
        <v>0</v>
      </c>
      <c r="AI1144" s="162"/>
      <c r="AJ1144" s="143"/>
      <c r="AK1144" s="143"/>
      <c r="AL1144" s="1112"/>
      <c r="AM1144" s="1112"/>
      <c r="AN1144" s="1112"/>
      <c r="AO1144" s="1112"/>
      <c r="AP1144" s="1112"/>
      <c r="AQ1144" s="1112"/>
    </row>
    <row r="1145" ht="22.5" customHeight="1">
      <c r="A1145" s="166"/>
      <c r="B1145" s="1111"/>
      <c r="C1145" s="524"/>
      <c r="D1145" s="1110"/>
      <c r="E1145" s="669"/>
      <c r="F1145" s="524"/>
      <c r="G1145" s="165"/>
      <c r="H1145" s="669"/>
      <c r="I1145" s="669"/>
      <c r="J1145" s="352"/>
      <c r="K1145" s="271" t="str">
        <f t="shared" si="74"/>
        <v/>
      </c>
      <c r="L1145" s="297"/>
      <c r="M1145" s="334"/>
      <c r="N1145" s="277"/>
      <c r="O1145" s="315"/>
      <c r="P1145" s="344">
        <f t="shared" si="69"/>
        <v>0</v>
      </c>
      <c r="Q1145" s="321"/>
      <c r="R1145" s="672" t="b">
        <v>0</v>
      </c>
      <c r="S1145" s="318"/>
      <c r="T1145" s="319"/>
      <c r="U1145" s="315"/>
      <c r="V1145" s="162"/>
      <c r="W1145" s="149"/>
      <c r="X1145" s="163"/>
      <c r="Y1145" s="162"/>
      <c r="Z1145" s="164"/>
      <c r="AA1145" s="116"/>
      <c r="AB1145" s="116"/>
      <c r="AC1145" s="165"/>
      <c r="AD1145" s="675" t="str">
        <f t="shared" si="76"/>
        <v/>
      </c>
      <c r="AE1145" s="166"/>
      <c r="AF1145" s="149" t="b">
        <v>0</v>
      </c>
      <c r="AG1145" s="166"/>
      <c r="AH1145" s="149" t="b">
        <v>0</v>
      </c>
      <c r="AI1145" s="162"/>
      <c r="AJ1145" s="143"/>
      <c r="AK1145" s="143"/>
      <c r="AL1145" s="1112"/>
      <c r="AM1145" s="1112"/>
      <c r="AN1145" s="1112"/>
      <c r="AO1145" s="1112"/>
      <c r="AP1145" s="1112"/>
      <c r="AQ1145" s="1112"/>
    </row>
    <row r="1146" ht="22.5" customHeight="1">
      <c r="A1146" s="166"/>
      <c r="B1146" s="1111"/>
      <c r="C1146" s="524"/>
      <c r="D1146" s="1110"/>
      <c r="E1146" s="669"/>
      <c r="F1146" s="524"/>
      <c r="G1146" s="165"/>
      <c r="H1146" s="669"/>
      <c r="I1146" s="669"/>
      <c r="J1146" s="352"/>
      <c r="K1146" s="271" t="str">
        <f t="shared" si="74"/>
        <v/>
      </c>
      <c r="L1146" s="297"/>
      <c r="M1146" s="334"/>
      <c r="N1146" s="277"/>
      <c r="O1146" s="315"/>
      <c r="P1146" s="344">
        <f t="shared" si="69"/>
        <v>0</v>
      </c>
      <c r="Q1146" s="321"/>
      <c r="R1146" s="672" t="b">
        <v>0</v>
      </c>
      <c r="S1146" s="318"/>
      <c r="T1146" s="319"/>
      <c r="U1146" s="315"/>
      <c r="V1146" s="162"/>
      <c r="W1146" s="149"/>
      <c r="X1146" s="163"/>
      <c r="Y1146" s="162"/>
      <c r="Z1146" s="164"/>
      <c r="AA1146" s="116"/>
      <c r="AB1146" s="116"/>
      <c r="AC1146" s="165"/>
      <c r="AD1146" s="675" t="str">
        <f t="shared" si="76"/>
        <v/>
      </c>
      <c r="AE1146" s="166"/>
      <c r="AF1146" s="149" t="b">
        <v>0</v>
      </c>
      <c r="AG1146" s="166"/>
      <c r="AH1146" s="149" t="b">
        <v>0</v>
      </c>
      <c r="AI1146" s="162"/>
      <c r="AJ1146" s="143"/>
      <c r="AK1146" s="143"/>
      <c r="AL1146" s="1112"/>
      <c r="AM1146" s="1112"/>
      <c r="AN1146" s="1112"/>
      <c r="AO1146" s="1112"/>
      <c r="AP1146" s="1112"/>
      <c r="AQ1146" s="1112"/>
    </row>
    <row r="1147" ht="22.5" customHeight="1">
      <c r="A1147" s="166"/>
      <c r="B1147" s="1111"/>
      <c r="C1147" s="524"/>
      <c r="D1147" s="1110"/>
      <c r="E1147" s="669"/>
      <c r="F1147" s="524"/>
      <c r="G1147" s="165"/>
      <c r="H1147" s="669"/>
      <c r="I1147" s="669"/>
      <c r="J1147" s="352"/>
      <c r="K1147" s="271" t="str">
        <f t="shared" si="74"/>
        <v/>
      </c>
      <c r="L1147" s="297"/>
      <c r="M1147" s="334"/>
      <c r="N1147" s="277"/>
      <c r="O1147" s="315"/>
      <c r="P1147" s="344">
        <f t="shared" si="69"/>
        <v>0</v>
      </c>
      <c r="Q1147" s="321"/>
      <c r="R1147" s="672" t="b">
        <v>0</v>
      </c>
      <c r="S1147" s="318"/>
      <c r="T1147" s="319"/>
      <c r="U1147" s="315"/>
      <c r="V1147" s="162"/>
      <c r="W1147" s="149"/>
      <c r="X1147" s="163"/>
      <c r="Y1147" s="162"/>
      <c r="Z1147" s="164"/>
      <c r="AA1147" s="116"/>
      <c r="AB1147" s="116"/>
      <c r="AC1147" s="165"/>
      <c r="AD1147" s="675" t="str">
        <f t="shared" si="76"/>
        <v/>
      </c>
      <c r="AE1147" s="166"/>
      <c r="AF1147" s="149" t="b">
        <v>0</v>
      </c>
      <c r="AG1147" s="166"/>
      <c r="AH1147" s="149" t="b">
        <v>0</v>
      </c>
      <c r="AI1147" s="162"/>
      <c r="AJ1147" s="143"/>
      <c r="AK1147" s="143"/>
      <c r="AL1147" s="1112"/>
      <c r="AM1147" s="1112"/>
      <c r="AN1147" s="1112"/>
      <c r="AO1147" s="1112"/>
      <c r="AP1147" s="1112"/>
      <c r="AQ1147" s="1112"/>
    </row>
    <row r="1148" ht="22.5" customHeight="1">
      <c r="A1148" s="166"/>
      <c r="B1148" s="1111"/>
      <c r="C1148" s="524"/>
      <c r="D1148" s="1110"/>
      <c r="E1148" s="669"/>
      <c r="F1148" s="524"/>
      <c r="G1148" s="165"/>
      <c r="H1148" s="669"/>
      <c r="I1148" s="669"/>
      <c r="J1148" s="352"/>
      <c r="K1148" s="271" t="str">
        <f t="shared" si="74"/>
        <v/>
      </c>
      <c r="L1148" s="297"/>
      <c r="M1148" s="334"/>
      <c r="N1148" s="277"/>
      <c r="O1148" s="315"/>
      <c r="P1148" s="344">
        <f t="shared" si="69"/>
        <v>0</v>
      </c>
      <c r="Q1148" s="321"/>
      <c r="R1148" s="672" t="b">
        <v>0</v>
      </c>
      <c r="S1148" s="318"/>
      <c r="T1148" s="319"/>
      <c r="U1148" s="315"/>
      <c r="V1148" s="162"/>
      <c r="W1148" s="149"/>
      <c r="X1148" s="163"/>
      <c r="Y1148" s="162"/>
      <c r="Z1148" s="164"/>
      <c r="AA1148" s="116"/>
      <c r="AB1148" s="116"/>
      <c r="AC1148" s="165"/>
      <c r="AD1148" s="675" t="str">
        <f t="shared" si="76"/>
        <v/>
      </c>
      <c r="AE1148" s="166"/>
      <c r="AF1148" s="149" t="b">
        <v>0</v>
      </c>
      <c r="AG1148" s="166"/>
      <c r="AH1148" s="149" t="b">
        <v>0</v>
      </c>
      <c r="AI1148" s="162"/>
      <c r="AJ1148" s="143"/>
      <c r="AK1148" s="143"/>
      <c r="AL1148" s="1112"/>
      <c r="AM1148" s="1112"/>
      <c r="AN1148" s="1112"/>
      <c r="AO1148" s="1112"/>
      <c r="AP1148" s="1112"/>
      <c r="AQ1148" s="1112"/>
    </row>
    <row r="1149" ht="22.5" customHeight="1">
      <c r="A1149" s="166"/>
      <c r="B1149" s="1111"/>
      <c r="C1149" s="524"/>
      <c r="D1149" s="1110"/>
      <c r="E1149" s="669"/>
      <c r="F1149" s="524"/>
      <c r="G1149" s="165"/>
      <c r="H1149" s="669"/>
      <c r="I1149" s="669"/>
      <c r="J1149" s="352"/>
      <c r="K1149" s="271" t="str">
        <f t="shared" si="74"/>
        <v/>
      </c>
      <c r="L1149" s="297"/>
      <c r="M1149" s="334"/>
      <c r="N1149" s="277"/>
      <c r="O1149" s="315"/>
      <c r="P1149" s="344">
        <f t="shared" si="69"/>
        <v>0</v>
      </c>
      <c r="Q1149" s="321"/>
      <c r="R1149" s="672" t="b">
        <v>0</v>
      </c>
      <c r="S1149" s="318"/>
      <c r="T1149" s="319"/>
      <c r="U1149" s="315"/>
      <c r="V1149" s="162"/>
      <c r="W1149" s="149"/>
      <c r="X1149" s="163"/>
      <c r="Y1149" s="162"/>
      <c r="Z1149" s="164"/>
      <c r="AA1149" s="116"/>
      <c r="AB1149" s="116"/>
      <c r="AC1149" s="165"/>
      <c r="AD1149" s="675" t="str">
        <f t="shared" si="76"/>
        <v/>
      </c>
      <c r="AE1149" s="166"/>
      <c r="AF1149" s="149" t="b">
        <v>0</v>
      </c>
      <c r="AG1149" s="166"/>
      <c r="AH1149" s="149" t="b">
        <v>0</v>
      </c>
      <c r="AI1149" s="162"/>
      <c r="AJ1149" s="143"/>
      <c r="AK1149" s="143"/>
      <c r="AL1149" s="1112"/>
      <c r="AM1149" s="1112"/>
      <c r="AN1149" s="1112"/>
      <c r="AO1149" s="1112"/>
      <c r="AP1149" s="1112"/>
      <c r="AQ1149" s="1112"/>
    </row>
    <row r="1150" ht="22.5" customHeight="1">
      <c r="A1150" s="166"/>
      <c r="B1150" s="1111"/>
      <c r="C1150" s="524"/>
      <c r="D1150" s="1110"/>
      <c r="E1150" s="669"/>
      <c r="F1150" s="524"/>
      <c r="G1150" s="165"/>
      <c r="H1150" s="669"/>
      <c r="I1150" s="669"/>
      <c r="J1150" s="352"/>
      <c r="K1150" s="271" t="str">
        <f t="shared" si="74"/>
        <v/>
      </c>
      <c r="L1150" s="297"/>
      <c r="M1150" s="334"/>
      <c r="N1150" s="277"/>
      <c r="O1150" s="315"/>
      <c r="P1150" s="344">
        <f t="shared" si="69"/>
        <v>0</v>
      </c>
      <c r="Q1150" s="321"/>
      <c r="R1150" s="672" t="b">
        <v>0</v>
      </c>
      <c r="S1150" s="318"/>
      <c r="T1150" s="319"/>
      <c r="U1150" s="315"/>
      <c r="V1150" s="162"/>
      <c r="W1150" s="149"/>
      <c r="X1150" s="163"/>
      <c r="Y1150" s="162"/>
      <c r="Z1150" s="164"/>
      <c r="AA1150" s="116"/>
      <c r="AB1150" s="116"/>
      <c r="AC1150" s="165"/>
      <c r="AD1150" s="675" t="str">
        <f t="shared" si="76"/>
        <v/>
      </c>
      <c r="AE1150" s="166"/>
      <c r="AF1150" s="149" t="b">
        <v>0</v>
      </c>
      <c r="AG1150" s="166"/>
      <c r="AH1150" s="149" t="b">
        <v>0</v>
      </c>
      <c r="AI1150" s="162"/>
      <c r="AJ1150" s="143"/>
      <c r="AK1150" s="143"/>
      <c r="AL1150" s="1112"/>
      <c r="AM1150" s="1112"/>
      <c r="AN1150" s="1112"/>
      <c r="AO1150" s="1112"/>
      <c r="AP1150" s="1112"/>
      <c r="AQ1150" s="1112"/>
    </row>
    <row r="1151" ht="22.5" customHeight="1">
      <c r="A1151" s="166"/>
      <c r="B1151" s="1111"/>
      <c r="C1151" s="524"/>
      <c r="D1151" s="1110"/>
      <c r="E1151" s="669"/>
      <c r="F1151" s="524"/>
      <c r="G1151" s="165"/>
      <c r="H1151" s="669"/>
      <c r="I1151" s="669"/>
      <c r="J1151" s="352"/>
      <c r="K1151" s="271" t="str">
        <f t="shared" si="74"/>
        <v/>
      </c>
      <c r="L1151" s="297"/>
      <c r="M1151" s="334"/>
      <c r="N1151" s="277"/>
      <c r="O1151" s="315"/>
      <c r="P1151" s="344">
        <f t="shared" si="69"/>
        <v>0</v>
      </c>
      <c r="Q1151" s="321"/>
      <c r="R1151" s="672" t="b">
        <v>0</v>
      </c>
      <c r="S1151" s="318"/>
      <c r="T1151" s="319"/>
      <c r="U1151" s="315"/>
      <c r="V1151" s="162"/>
      <c r="W1151" s="149"/>
      <c r="X1151" s="163"/>
      <c r="Y1151" s="162"/>
      <c r="Z1151" s="164"/>
      <c r="AA1151" s="116"/>
      <c r="AB1151" s="116"/>
      <c r="AC1151" s="165"/>
      <c r="AD1151" s="675" t="str">
        <f t="shared" si="76"/>
        <v/>
      </c>
      <c r="AE1151" s="166"/>
      <c r="AF1151" s="149" t="b">
        <v>0</v>
      </c>
      <c r="AG1151" s="166"/>
      <c r="AH1151" s="149" t="b">
        <v>0</v>
      </c>
      <c r="AI1151" s="162"/>
      <c r="AJ1151" s="143"/>
      <c r="AK1151" s="143"/>
      <c r="AL1151" s="1112"/>
      <c r="AM1151" s="1112"/>
      <c r="AN1151" s="1112"/>
      <c r="AO1151" s="1112"/>
      <c r="AP1151" s="1112"/>
      <c r="AQ1151" s="1112"/>
    </row>
    <row r="1152" ht="22.5" customHeight="1">
      <c r="A1152" s="166"/>
      <c r="B1152" s="1111"/>
      <c r="C1152" s="524"/>
      <c r="D1152" s="1110"/>
      <c r="E1152" s="669"/>
      <c r="F1152" s="524"/>
      <c r="G1152" s="165"/>
      <c r="H1152" s="669"/>
      <c r="I1152" s="669"/>
      <c r="J1152" s="352"/>
      <c r="K1152" s="271" t="str">
        <f t="shared" si="74"/>
        <v/>
      </c>
      <c r="L1152" s="297"/>
      <c r="M1152" s="334"/>
      <c r="N1152" s="277"/>
      <c r="O1152" s="315"/>
      <c r="P1152" s="344">
        <f t="shared" si="69"/>
        <v>0</v>
      </c>
      <c r="Q1152" s="321"/>
      <c r="R1152" s="672" t="b">
        <v>0</v>
      </c>
      <c r="S1152" s="318"/>
      <c r="T1152" s="319"/>
      <c r="U1152" s="315"/>
      <c r="V1152" s="162"/>
      <c r="W1152" s="149"/>
      <c r="X1152" s="163"/>
      <c r="Y1152" s="162"/>
      <c r="Z1152" s="164"/>
      <c r="AA1152" s="116"/>
      <c r="AB1152" s="116"/>
      <c r="AC1152" s="165"/>
      <c r="AD1152" s="675" t="str">
        <f t="shared" si="76"/>
        <v/>
      </c>
      <c r="AE1152" s="166"/>
      <c r="AF1152" s="149" t="b">
        <v>0</v>
      </c>
      <c r="AG1152" s="166"/>
      <c r="AH1152" s="149" t="b">
        <v>0</v>
      </c>
      <c r="AI1152" s="162"/>
      <c r="AJ1152" s="143"/>
      <c r="AK1152" s="143"/>
      <c r="AL1152" s="1112"/>
      <c r="AM1152" s="1112"/>
      <c r="AN1152" s="1112"/>
      <c r="AO1152" s="1112"/>
      <c r="AP1152" s="1112"/>
      <c r="AQ1152" s="1112"/>
    </row>
    <row r="1153" ht="22.5" customHeight="1">
      <c r="A1153" s="166"/>
      <c r="B1153" s="1111"/>
      <c r="C1153" s="524"/>
      <c r="D1153" s="1110"/>
      <c r="E1153" s="669"/>
      <c r="F1153" s="524"/>
      <c r="G1153" s="165"/>
      <c r="H1153" s="669"/>
      <c r="I1153" s="669"/>
      <c r="J1153" s="352"/>
      <c r="K1153" s="271" t="str">
        <f t="shared" si="74"/>
        <v/>
      </c>
      <c r="L1153" s="297"/>
      <c r="M1153" s="334"/>
      <c r="N1153" s="277"/>
      <c r="O1153" s="315"/>
      <c r="P1153" s="344">
        <f t="shared" si="69"/>
        <v>0</v>
      </c>
      <c r="Q1153" s="321"/>
      <c r="R1153" s="672" t="b">
        <v>0</v>
      </c>
      <c r="S1153" s="318"/>
      <c r="T1153" s="319"/>
      <c r="U1153" s="315"/>
      <c r="V1153" s="162"/>
      <c r="W1153" s="149"/>
      <c r="X1153" s="163"/>
      <c r="Y1153" s="162"/>
      <c r="Z1153" s="164"/>
      <c r="AA1153" s="116"/>
      <c r="AB1153" s="116"/>
      <c r="AC1153" s="165"/>
      <c r="AD1153" s="675" t="str">
        <f t="shared" si="76"/>
        <v/>
      </c>
      <c r="AE1153" s="166"/>
      <c r="AF1153" s="149" t="b">
        <v>0</v>
      </c>
      <c r="AG1153" s="166"/>
      <c r="AH1153" s="149" t="b">
        <v>0</v>
      </c>
      <c r="AI1153" s="162"/>
      <c r="AJ1153" s="143"/>
      <c r="AK1153" s="143"/>
      <c r="AL1153" s="1112"/>
      <c r="AM1153" s="1112"/>
      <c r="AN1153" s="1112"/>
      <c r="AO1153" s="1112"/>
      <c r="AP1153" s="1112"/>
      <c r="AQ1153" s="1112"/>
    </row>
    <row r="1154" ht="22.5" customHeight="1">
      <c r="A1154" s="166"/>
      <c r="B1154" s="1111"/>
      <c r="C1154" s="524"/>
      <c r="D1154" s="1110"/>
      <c r="E1154" s="669"/>
      <c r="F1154" s="524"/>
      <c r="G1154" s="165"/>
      <c r="H1154" s="669"/>
      <c r="I1154" s="669"/>
      <c r="J1154" s="352"/>
      <c r="K1154" s="271" t="str">
        <f t="shared" si="74"/>
        <v/>
      </c>
      <c r="L1154" s="297"/>
      <c r="M1154" s="334"/>
      <c r="N1154" s="277"/>
      <c r="O1154" s="315"/>
      <c r="P1154" s="344">
        <f t="shared" si="69"/>
        <v>0</v>
      </c>
      <c r="Q1154" s="321"/>
      <c r="R1154" s="672" t="b">
        <v>0</v>
      </c>
      <c r="S1154" s="318"/>
      <c r="T1154" s="319"/>
      <c r="U1154" s="315"/>
      <c r="V1154" s="162"/>
      <c r="W1154" s="149"/>
      <c r="X1154" s="163"/>
      <c r="Y1154" s="162"/>
      <c r="Z1154" s="164"/>
      <c r="AA1154" s="116"/>
      <c r="AB1154" s="116"/>
      <c r="AC1154" s="165"/>
      <c r="AD1154" s="675" t="str">
        <f t="shared" si="76"/>
        <v/>
      </c>
      <c r="AE1154" s="166"/>
      <c r="AF1154" s="149" t="b">
        <v>0</v>
      </c>
      <c r="AG1154" s="166"/>
      <c r="AH1154" s="149" t="b">
        <v>0</v>
      </c>
      <c r="AI1154" s="162"/>
      <c r="AJ1154" s="143"/>
      <c r="AK1154" s="143"/>
      <c r="AL1154" s="1112"/>
      <c r="AM1154" s="1112"/>
      <c r="AN1154" s="1112"/>
      <c r="AO1154" s="1112"/>
      <c r="AP1154" s="1112"/>
      <c r="AQ1154" s="1112"/>
    </row>
    <row r="1155" ht="22.5" customHeight="1">
      <c r="A1155" s="166"/>
      <c r="B1155" s="1111"/>
      <c r="C1155" s="524"/>
      <c r="D1155" s="1110"/>
      <c r="E1155" s="669"/>
      <c r="F1155" s="524"/>
      <c r="G1155" s="165"/>
      <c r="H1155" s="669"/>
      <c r="I1155" s="669"/>
      <c r="J1155" s="352"/>
      <c r="K1155" s="271" t="str">
        <f t="shared" si="74"/>
        <v/>
      </c>
      <c r="L1155" s="297"/>
      <c r="M1155" s="334"/>
      <c r="N1155" s="277"/>
      <c r="O1155" s="315"/>
      <c r="P1155" s="344">
        <f t="shared" si="69"/>
        <v>0</v>
      </c>
      <c r="Q1155" s="321"/>
      <c r="R1155" s="672" t="b">
        <v>0</v>
      </c>
      <c r="S1155" s="318"/>
      <c r="T1155" s="319"/>
      <c r="U1155" s="315"/>
      <c r="V1155" s="162"/>
      <c r="W1155" s="149"/>
      <c r="X1155" s="163"/>
      <c r="Y1155" s="162"/>
      <c r="Z1155" s="164"/>
      <c r="AA1155" s="116"/>
      <c r="AB1155" s="116"/>
      <c r="AC1155" s="165"/>
      <c r="AD1155" s="675" t="str">
        <f t="shared" si="76"/>
        <v/>
      </c>
      <c r="AE1155" s="166"/>
      <c r="AF1155" s="149" t="b">
        <v>0</v>
      </c>
      <c r="AG1155" s="166"/>
      <c r="AH1155" s="149" t="b">
        <v>0</v>
      </c>
      <c r="AI1155" s="162"/>
      <c r="AJ1155" s="143"/>
      <c r="AK1155" s="143"/>
      <c r="AL1155" s="1112"/>
      <c r="AM1155" s="1112"/>
      <c r="AN1155" s="1112"/>
      <c r="AO1155" s="1112"/>
      <c r="AP1155" s="1112"/>
      <c r="AQ1155" s="1112"/>
    </row>
    <row r="1156" ht="22.5" customHeight="1">
      <c r="A1156" s="166"/>
      <c r="B1156" s="1111"/>
      <c r="C1156" s="524"/>
      <c r="D1156" s="1110"/>
      <c r="E1156" s="669"/>
      <c r="F1156" s="524"/>
      <c r="G1156" s="165"/>
      <c r="H1156" s="669"/>
      <c r="I1156" s="669"/>
      <c r="J1156" s="352"/>
      <c r="K1156" s="271" t="str">
        <f t="shared" si="74"/>
        <v/>
      </c>
      <c r="L1156" s="297"/>
      <c r="M1156" s="334"/>
      <c r="N1156" s="277"/>
      <c r="O1156" s="315"/>
      <c r="P1156" s="344">
        <f t="shared" si="69"/>
        <v>0</v>
      </c>
      <c r="Q1156" s="321"/>
      <c r="R1156" s="672" t="b">
        <v>0</v>
      </c>
      <c r="S1156" s="318"/>
      <c r="T1156" s="319"/>
      <c r="U1156" s="315"/>
      <c r="V1156" s="162"/>
      <c r="W1156" s="149"/>
      <c r="X1156" s="163"/>
      <c r="Y1156" s="162"/>
      <c r="Z1156" s="164"/>
      <c r="AA1156" s="116"/>
      <c r="AB1156" s="116"/>
      <c r="AC1156" s="165"/>
      <c r="AD1156" s="675" t="str">
        <f t="shared" si="76"/>
        <v/>
      </c>
      <c r="AE1156" s="166"/>
      <c r="AF1156" s="149" t="b">
        <v>0</v>
      </c>
      <c r="AG1156" s="166"/>
      <c r="AH1156" s="149" t="b">
        <v>0</v>
      </c>
      <c r="AI1156" s="162"/>
      <c r="AJ1156" s="143"/>
      <c r="AK1156" s="143"/>
      <c r="AL1156" s="1112"/>
      <c r="AM1156" s="1112"/>
      <c r="AN1156" s="1112"/>
      <c r="AO1156" s="1112"/>
      <c r="AP1156" s="1112"/>
      <c r="AQ1156" s="1112"/>
    </row>
    <row r="1157" ht="22.5" customHeight="1">
      <c r="A1157" s="166"/>
      <c r="B1157" s="1111"/>
      <c r="C1157" s="524"/>
      <c r="D1157" s="1110"/>
      <c r="E1157" s="669"/>
      <c r="F1157" s="524"/>
      <c r="G1157" s="165"/>
      <c r="H1157" s="669"/>
      <c r="I1157" s="669"/>
      <c r="J1157" s="352"/>
      <c r="K1157" s="271" t="str">
        <f t="shared" si="74"/>
        <v/>
      </c>
      <c r="L1157" s="297"/>
      <c r="M1157" s="334"/>
      <c r="N1157" s="277"/>
      <c r="O1157" s="315"/>
      <c r="P1157" s="344">
        <f t="shared" si="69"/>
        <v>0</v>
      </c>
      <c r="Q1157" s="321"/>
      <c r="R1157" s="672" t="b">
        <v>0</v>
      </c>
      <c r="S1157" s="318"/>
      <c r="T1157" s="319"/>
      <c r="U1157" s="315"/>
      <c r="V1157" s="162"/>
      <c r="W1157" s="149"/>
      <c r="X1157" s="163"/>
      <c r="Y1157" s="162"/>
      <c r="Z1157" s="164"/>
      <c r="AA1157" s="116"/>
      <c r="AB1157" s="116"/>
      <c r="AC1157" s="165"/>
      <c r="AD1157" s="675" t="str">
        <f t="shared" si="76"/>
        <v/>
      </c>
      <c r="AE1157" s="166"/>
      <c r="AF1157" s="149" t="b">
        <v>0</v>
      </c>
      <c r="AG1157" s="166"/>
      <c r="AH1157" s="149" t="b">
        <v>0</v>
      </c>
      <c r="AI1157" s="162"/>
      <c r="AJ1157" s="143"/>
      <c r="AK1157" s="143"/>
      <c r="AL1157" s="1112"/>
      <c r="AM1157" s="1112"/>
      <c r="AN1157" s="1112"/>
      <c r="AO1157" s="1112"/>
      <c r="AP1157" s="1112"/>
      <c r="AQ1157" s="1112"/>
    </row>
    <row r="1158" ht="22.5" customHeight="1">
      <c r="A1158" s="166"/>
      <c r="B1158" s="1111"/>
      <c r="C1158" s="524"/>
      <c r="D1158" s="1110"/>
      <c r="E1158" s="669"/>
      <c r="F1158" s="524"/>
      <c r="G1158" s="165"/>
      <c r="H1158" s="669"/>
      <c r="I1158" s="669"/>
      <c r="J1158" s="352"/>
      <c r="K1158" s="271" t="str">
        <f t="shared" si="74"/>
        <v/>
      </c>
      <c r="L1158" s="297"/>
      <c r="M1158" s="334"/>
      <c r="N1158" s="277"/>
      <c r="O1158" s="315"/>
      <c r="P1158" s="344">
        <f t="shared" si="69"/>
        <v>0</v>
      </c>
      <c r="Q1158" s="321"/>
      <c r="R1158" s="672" t="b">
        <v>0</v>
      </c>
      <c r="S1158" s="318"/>
      <c r="T1158" s="319"/>
      <c r="U1158" s="315"/>
      <c r="V1158" s="162"/>
      <c r="W1158" s="149"/>
      <c r="X1158" s="163"/>
      <c r="Y1158" s="162"/>
      <c r="Z1158" s="164"/>
      <c r="AA1158" s="116"/>
      <c r="AB1158" s="116"/>
      <c r="AC1158" s="165"/>
      <c r="AD1158" s="675" t="str">
        <f t="shared" si="76"/>
        <v/>
      </c>
      <c r="AE1158" s="166"/>
      <c r="AF1158" s="149" t="b">
        <v>0</v>
      </c>
      <c r="AG1158" s="166"/>
      <c r="AH1158" s="149" t="b">
        <v>0</v>
      </c>
      <c r="AI1158" s="162"/>
      <c r="AJ1158" s="143"/>
      <c r="AK1158" s="143"/>
      <c r="AL1158" s="1112"/>
      <c r="AM1158" s="1112"/>
      <c r="AN1158" s="1112"/>
      <c r="AO1158" s="1112"/>
      <c r="AP1158" s="1112"/>
      <c r="AQ1158" s="1112"/>
    </row>
    <row r="1159" ht="22.5" customHeight="1">
      <c r="A1159" s="166"/>
      <c r="B1159" s="1111"/>
      <c r="C1159" s="524"/>
      <c r="D1159" s="1110"/>
      <c r="E1159" s="669"/>
      <c r="F1159" s="524"/>
      <c r="G1159" s="165"/>
      <c r="H1159" s="669"/>
      <c r="I1159" s="669"/>
      <c r="J1159" s="352"/>
      <c r="K1159" s="271" t="str">
        <f t="shared" si="74"/>
        <v/>
      </c>
      <c r="L1159" s="297"/>
      <c r="M1159" s="334"/>
      <c r="N1159" s="277"/>
      <c r="O1159" s="315"/>
      <c r="P1159" s="344">
        <f t="shared" si="69"/>
        <v>0</v>
      </c>
      <c r="Q1159" s="321"/>
      <c r="R1159" s="672" t="b">
        <v>0</v>
      </c>
      <c r="S1159" s="318"/>
      <c r="T1159" s="319"/>
      <c r="U1159" s="315"/>
      <c r="V1159" s="162"/>
      <c r="W1159" s="149"/>
      <c r="X1159" s="163"/>
      <c r="Y1159" s="162"/>
      <c r="Z1159" s="164"/>
      <c r="AA1159" s="116"/>
      <c r="AB1159" s="116"/>
      <c r="AC1159" s="165"/>
      <c r="AD1159" s="675" t="str">
        <f t="shared" si="76"/>
        <v/>
      </c>
      <c r="AE1159" s="166"/>
      <c r="AF1159" s="149" t="b">
        <v>0</v>
      </c>
      <c r="AG1159" s="166"/>
      <c r="AH1159" s="149" t="b">
        <v>0</v>
      </c>
      <c r="AI1159" s="162"/>
      <c r="AJ1159" s="143"/>
      <c r="AK1159" s="143"/>
      <c r="AL1159" s="1112"/>
      <c r="AM1159" s="1112"/>
      <c r="AN1159" s="1112"/>
      <c r="AO1159" s="1112"/>
      <c r="AP1159" s="1112"/>
      <c r="AQ1159" s="1112"/>
    </row>
    <row r="1160" ht="22.5" customHeight="1">
      <c r="A1160" s="166"/>
      <c r="B1160" s="1111"/>
      <c r="C1160" s="524"/>
      <c r="D1160" s="1110"/>
      <c r="E1160" s="669"/>
      <c r="F1160" s="524"/>
      <c r="G1160" s="165"/>
      <c r="H1160" s="669"/>
      <c r="I1160" s="669"/>
      <c r="J1160" s="352"/>
      <c r="K1160" s="271" t="str">
        <f t="shared" si="74"/>
        <v/>
      </c>
      <c r="L1160" s="297"/>
      <c r="M1160" s="334"/>
      <c r="N1160" s="277"/>
      <c r="O1160" s="315"/>
      <c r="P1160" s="344">
        <f t="shared" si="69"/>
        <v>0</v>
      </c>
      <c r="Q1160" s="321"/>
      <c r="R1160" s="672" t="b">
        <v>0</v>
      </c>
      <c r="S1160" s="318"/>
      <c r="T1160" s="319"/>
      <c r="U1160" s="315"/>
      <c r="V1160" s="162"/>
      <c r="W1160" s="149"/>
      <c r="X1160" s="163"/>
      <c r="Y1160" s="162"/>
      <c r="Z1160" s="164"/>
      <c r="AA1160" s="116"/>
      <c r="AB1160" s="116"/>
      <c r="AC1160" s="165"/>
      <c r="AD1160" s="675" t="str">
        <f t="shared" si="76"/>
        <v/>
      </c>
      <c r="AE1160" s="166"/>
      <c r="AF1160" s="149" t="b">
        <v>0</v>
      </c>
      <c r="AG1160" s="166"/>
      <c r="AH1160" s="149" t="b">
        <v>0</v>
      </c>
      <c r="AI1160" s="162"/>
      <c r="AJ1160" s="143"/>
      <c r="AK1160" s="143"/>
      <c r="AL1160" s="1112"/>
      <c r="AM1160" s="1112"/>
      <c r="AN1160" s="1112"/>
      <c r="AO1160" s="1112"/>
      <c r="AP1160" s="1112"/>
      <c r="AQ1160" s="1112"/>
    </row>
    <row r="1161" ht="22.5" customHeight="1">
      <c r="A1161" s="166"/>
      <c r="B1161" s="1111"/>
      <c r="C1161" s="524"/>
      <c r="D1161" s="1110"/>
      <c r="E1161" s="669"/>
      <c r="F1161" s="524"/>
      <c r="G1161" s="165"/>
      <c r="H1161" s="669"/>
      <c r="I1161" s="669"/>
      <c r="J1161" s="352"/>
      <c r="K1161" s="271" t="str">
        <f t="shared" si="74"/>
        <v/>
      </c>
      <c r="L1161" s="297"/>
      <c r="M1161" s="334"/>
      <c r="N1161" s="277"/>
      <c r="O1161" s="315"/>
      <c r="P1161" s="344">
        <f t="shared" si="69"/>
        <v>0</v>
      </c>
      <c r="Q1161" s="321"/>
      <c r="R1161" s="672" t="b">
        <v>0</v>
      </c>
      <c r="S1161" s="318"/>
      <c r="T1161" s="319"/>
      <c r="U1161" s="315"/>
      <c r="V1161" s="162"/>
      <c r="W1161" s="149"/>
      <c r="X1161" s="163"/>
      <c r="Y1161" s="162"/>
      <c r="Z1161" s="164"/>
      <c r="AA1161" s="116"/>
      <c r="AB1161" s="116"/>
      <c r="AC1161" s="165"/>
      <c r="AD1161" s="675" t="str">
        <f t="shared" si="76"/>
        <v/>
      </c>
      <c r="AE1161" s="166"/>
      <c r="AF1161" s="149" t="b">
        <v>0</v>
      </c>
      <c r="AG1161" s="166"/>
      <c r="AH1161" s="149" t="b">
        <v>0</v>
      </c>
      <c r="AI1161" s="162"/>
      <c r="AJ1161" s="143"/>
      <c r="AK1161" s="143"/>
      <c r="AL1161" s="1112"/>
      <c r="AM1161" s="1112"/>
      <c r="AN1161" s="1112"/>
      <c r="AO1161" s="1112"/>
      <c r="AP1161" s="1112"/>
      <c r="AQ1161" s="1112"/>
    </row>
    <row r="1162" ht="22.5" customHeight="1">
      <c r="A1162" s="166"/>
      <c r="B1162" s="1111"/>
      <c r="C1162" s="524"/>
      <c r="D1162" s="1110"/>
      <c r="E1162" s="669"/>
      <c r="F1162" s="524"/>
      <c r="G1162" s="165"/>
      <c r="H1162" s="669"/>
      <c r="I1162" s="669"/>
      <c r="J1162" s="352"/>
      <c r="K1162" s="271" t="str">
        <f t="shared" si="74"/>
        <v/>
      </c>
      <c r="L1162" s="297"/>
      <c r="M1162" s="334"/>
      <c r="N1162" s="277"/>
      <c r="O1162" s="315"/>
      <c r="P1162" s="344">
        <f t="shared" si="69"/>
        <v>0</v>
      </c>
      <c r="Q1162" s="321"/>
      <c r="R1162" s="672" t="b">
        <v>0</v>
      </c>
      <c r="S1162" s="318"/>
      <c r="T1162" s="319"/>
      <c r="U1162" s="315"/>
      <c r="V1162" s="162"/>
      <c r="W1162" s="149"/>
      <c r="X1162" s="163"/>
      <c r="Y1162" s="162"/>
      <c r="Z1162" s="164"/>
      <c r="AA1162" s="116"/>
      <c r="AB1162" s="116"/>
      <c r="AC1162" s="165"/>
      <c r="AD1162" s="675" t="str">
        <f t="shared" si="76"/>
        <v/>
      </c>
      <c r="AE1162" s="166"/>
      <c r="AF1162" s="149" t="b">
        <v>0</v>
      </c>
      <c r="AG1162" s="166"/>
      <c r="AH1162" s="149" t="b">
        <v>0</v>
      </c>
      <c r="AI1162" s="162"/>
      <c r="AJ1162" s="143"/>
      <c r="AK1162" s="143"/>
      <c r="AL1162" s="1112"/>
      <c r="AM1162" s="1112"/>
      <c r="AN1162" s="1112"/>
      <c r="AO1162" s="1112"/>
      <c r="AP1162" s="1112"/>
      <c r="AQ1162" s="1112"/>
    </row>
    <row r="1163" ht="22.5" customHeight="1">
      <c r="A1163" s="166"/>
      <c r="B1163" s="1111"/>
      <c r="C1163" s="524"/>
      <c r="D1163" s="1110"/>
      <c r="E1163" s="669"/>
      <c r="F1163" s="524"/>
      <c r="G1163" s="165"/>
      <c r="H1163" s="669"/>
      <c r="I1163" s="669"/>
      <c r="J1163" s="352"/>
      <c r="K1163" s="271" t="str">
        <f t="shared" si="74"/>
        <v/>
      </c>
      <c r="L1163" s="297"/>
      <c r="M1163" s="334"/>
      <c r="N1163" s="277"/>
      <c r="O1163" s="315"/>
      <c r="P1163" s="344">
        <f t="shared" si="69"/>
        <v>0</v>
      </c>
      <c r="Q1163" s="321"/>
      <c r="R1163" s="672" t="b">
        <v>0</v>
      </c>
      <c r="S1163" s="318"/>
      <c r="T1163" s="319"/>
      <c r="U1163" s="315"/>
      <c r="V1163" s="162"/>
      <c r="W1163" s="149"/>
      <c r="X1163" s="163"/>
      <c r="Y1163" s="162"/>
      <c r="Z1163" s="164"/>
      <c r="AA1163" s="116"/>
      <c r="AB1163" s="116"/>
      <c r="AC1163" s="165"/>
      <c r="AD1163" s="675" t="str">
        <f t="shared" si="76"/>
        <v/>
      </c>
      <c r="AE1163" s="166"/>
      <c r="AF1163" s="149" t="b">
        <v>0</v>
      </c>
      <c r="AG1163" s="166"/>
      <c r="AH1163" s="149" t="b">
        <v>0</v>
      </c>
      <c r="AI1163" s="162"/>
      <c r="AJ1163" s="143"/>
      <c r="AK1163" s="143"/>
      <c r="AL1163" s="1112"/>
      <c r="AM1163" s="1112"/>
      <c r="AN1163" s="1112"/>
      <c r="AO1163" s="1112"/>
      <c r="AP1163" s="1112"/>
      <c r="AQ1163" s="1112"/>
    </row>
    <row r="1164" ht="22.5" customHeight="1">
      <c r="A1164" s="166"/>
      <c r="B1164" s="1111"/>
      <c r="C1164" s="524"/>
      <c r="D1164" s="1110"/>
      <c r="E1164" s="669"/>
      <c r="F1164" s="524"/>
      <c r="G1164" s="165"/>
      <c r="H1164" s="669"/>
      <c r="I1164" s="669"/>
      <c r="J1164" s="352"/>
      <c r="K1164" s="271" t="str">
        <f t="shared" si="74"/>
        <v/>
      </c>
      <c r="L1164" s="297"/>
      <c r="M1164" s="334"/>
      <c r="N1164" s="277"/>
      <c r="O1164" s="315"/>
      <c r="P1164" s="344">
        <f t="shared" si="69"/>
        <v>0</v>
      </c>
      <c r="Q1164" s="321"/>
      <c r="R1164" s="672" t="b">
        <v>0</v>
      </c>
      <c r="S1164" s="318"/>
      <c r="T1164" s="319"/>
      <c r="U1164" s="315"/>
      <c r="V1164" s="162"/>
      <c r="W1164" s="149"/>
      <c r="X1164" s="163"/>
      <c r="Y1164" s="162"/>
      <c r="Z1164" s="164"/>
      <c r="AA1164" s="116"/>
      <c r="AB1164" s="116"/>
      <c r="AC1164" s="165"/>
      <c r="AD1164" s="675" t="str">
        <f t="shared" si="76"/>
        <v/>
      </c>
      <c r="AE1164" s="166"/>
      <c r="AF1164" s="149" t="b">
        <v>0</v>
      </c>
      <c r="AG1164" s="166"/>
      <c r="AH1164" s="149" t="b">
        <v>0</v>
      </c>
      <c r="AI1164" s="162"/>
      <c r="AJ1164" s="143"/>
      <c r="AK1164" s="143"/>
      <c r="AL1164" s="1112"/>
      <c r="AM1164" s="1112"/>
      <c r="AN1164" s="1112"/>
      <c r="AO1164" s="1112"/>
      <c r="AP1164" s="1112"/>
      <c r="AQ1164" s="1112"/>
    </row>
    <row r="1165" ht="22.5" customHeight="1">
      <c r="A1165" s="166"/>
      <c r="B1165" s="1111"/>
      <c r="C1165" s="524"/>
      <c r="D1165" s="1110"/>
      <c r="E1165" s="669"/>
      <c r="F1165" s="524"/>
      <c r="G1165" s="165"/>
      <c r="H1165" s="669"/>
      <c r="I1165" s="669"/>
      <c r="J1165" s="352"/>
      <c r="K1165" s="271" t="str">
        <f t="shared" si="74"/>
        <v/>
      </c>
      <c r="L1165" s="297"/>
      <c r="M1165" s="334"/>
      <c r="N1165" s="277"/>
      <c r="O1165" s="315"/>
      <c r="P1165" s="344">
        <f t="shared" si="69"/>
        <v>0</v>
      </c>
      <c r="Q1165" s="321"/>
      <c r="R1165" s="672" t="b">
        <v>0</v>
      </c>
      <c r="S1165" s="318"/>
      <c r="T1165" s="319"/>
      <c r="U1165" s="315"/>
      <c r="V1165" s="162"/>
      <c r="W1165" s="149"/>
      <c r="X1165" s="163"/>
      <c r="Y1165" s="162"/>
      <c r="Z1165" s="164"/>
      <c r="AA1165" s="116"/>
      <c r="AB1165" s="116"/>
      <c r="AC1165" s="165"/>
      <c r="AD1165" s="675" t="str">
        <f t="shared" si="76"/>
        <v/>
      </c>
      <c r="AE1165" s="166"/>
      <c r="AF1165" s="149" t="b">
        <v>0</v>
      </c>
      <c r="AG1165" s="166"/>
      <c r="AH1165" s="149" t="b">
        <v>0</v>
      </c>
      <c r="AI1165" s="162"/>
      <c r="AJ1165" s="143"/>
      <c r="AK1165" s="143"/>
      <c r="AL1165" s="1112"/>
      <c r="AM1165" s="1112"/>
      <c r="AN1165" s="1112"/>
      <c r="AO1165" s="1112"/>
      <c r="AP1165" s="1112"/>
      <c r="AQ1165" s="1112"/>
    </row>
    <row r="1166" ht="22.5" customHeight="1">
      <c r="A1166" s="166"/>
      <c r="B1166" s="1111"/>
      <c r="C1166" s="524"/>
      <c r="D1166" s="1110"/>
      <c r="E1166" s="669"/>
      <c r="F1166" s="524"/>
      <c r="G1166" s="165"/>
      <c r="H1166" s="669"/>
      <c r="I1166" s="669"/>
      <c r="J1166" s="352"/>
      <c r="K1166" s="271" t="str">
        <f t="shared" si="74"/>
        <v/>
      </c>
      <c r="L1166" s="297"/>
      <c r="M1166" s="334"/>
      <c r="N1166" s="277"/>
      <c r="O1166" s="315"/>
      <c r="P1166" s="344">
        <f t="shared" si="69"/>
        <v>0</v>
      </c>
      <c r="Q1166" s="321"/>
      <c r="R1166" s="672" t="b">
        <v>0</v>
      </c>
      <c r="S1166" s="318"/>
      <c r="T1166" s="319"/>
      <c r="U1166" s="315"/>
      <c r="V1166" s="162"/>
      <c r="W1166" s="149"/>
      <c r="X1166" s="163"/>
      <c r="Y1166" s="162"/>
      <c r="Z1166" s="164"/>
      <c r="AA1166" s="116"/>
      <c r="AB1166" s="116"/>
      <c r="AC1166" s="165"/>
      <c r="AD1166" s="675" t="str">
        <f t="shared" si="76"/>
        <v/>
      </c>
      <c r="AE1166" s="166"/>
      <c r="AF1166" s="149" t="b">
        <v>0</v>
      </c>
      <c r="AG1166" s="166"/>
      <c r="AH1166" s="149" t="b">
        <v>0</v>
      </c>
      <c r="AI1166" s="162"/>
      <c r="AJ1166" s="143"/>
      <c r="AK1166" s="143"/>
      <c r="AL1166" s="1112"/>
      <c r="AM1166" s="1112"/>
      <c r="AN1166" s="1112"/>
      <c r="AO1166" s="1112"/>
      <c r="AP1166" s="1112"/>
      <c r="AQ1166" s="1112"/>
    </row>
    <row r="1167" ht="22.5" customHeight="1">
      <c r="A1167" s="166"/>
      <c r="B1167" s="1111"/>
      <c r="C1167" s="524"/>
      <c r="D1167" s="1110"/>
      <c r="E1167" s="669"/>
      <c r="F1167" s="524"/>
      <c r="G1167" s="165"/>
      <c r="H1167" s="669"/>
      <c r="I1167" s="669"/>
      <c r="J1167" s="352"/>
      <c r="K1167" s="271" t="str">
        <f t="shared" si="74"/>
        <v/>
      </c>
      <c r="L1167" s="297"/>
      <c r="M1167" s="334"/>
      <c r="N1167" s="277"/>
      <c r="O1167" s="315"/>
      <c r="P1167" s="344">
        <f t="shared" si="69"/>
        <v>0</v>
      </c>
      <c r="Q1167" s="321"/>
      <c r="R1167" s="672" t="b">
        <v>0</v>
      </c>
      <c r="S1167" s="318"/>
      <c r="T1167" s="319"/>
      <c r="U1167" s="315"/>
      <c r="V1167" s="162"/>
      <c r="W1167" s="149"/>
      <c r="X1167" s="163"/>
      <c r="Y1167" s="162"/>
      <c r="Z1167" s="164"/>
      <c r="AA1167" s="116"/>
      <c r="AB1167" s="116"/>
      <c r="AC1167" s="165"/>
      <c r="AD1167" s="675" t="str">
        <f t="shared" si="76"/>
        <v/>
      </c>
      <c r="AE1167" s="166"/>
      <c r="AF1167" s="149" t="b">
        <v>0</v>
      </c>
      <c r="AG1167" s="166"/>
      <c r="AH1167" s="149" t="b">
        <v>0</v>
      </c>
      <c r="AI1167" s="162"/>
      <c r="AJ1167" s="143"/>
      <c r="AK1167" s="143"/>
      <c r="AL1167" s="1112"/>
      <c r="AM1167" s="1112"/>
      <c r="AN1167" s="1112"/>
      <c r="AO1167" s="1112"/>
      <c r="AP1167" s="1112"/>
      <c r="AQ1167" s="1112"/>
    </row>
    <row r="1168" ht="22.5" customHeight="1">
      <c r="A1168" s="166"/>
      <c r="B1168" s="1111"/>
      <c r="C1168" s="524"/>
      <c r="D1168" s="1110"/>
      <c r="E1168" s="669"/>
      <c r="F1168" s="524"/>
      <c r="G1168" s="165"/>
      <c r="H1168" s="669"/>
      <c r="I1168" s="669"/>
      <c r="J1168" s="352"/>
      <c r="K1168" s="271" t="str">
        <f t="shared" si="74"/>
        <v/>
      </c>
      <c r="L1168" s="297"/>
      <c r="M1168" s="334"/>
      <c r="N1168" s="277"/>
      <c r="O1168" s="315"/>
      <c r="P1168" s="344">
        <f t="shared" si="69"/>
        <v>0</v>
      </c>
      <c r="Q1168" s="321"/>
      <c r="R1168" s="672" t="b">
        <v>0</v>
      </c>
      <c r="S1168" s="318"/>
      <c r="T1168" s="319"/>
      <c r="U1168" s="315"/>
      <c r="V1168" s="162"/>
      <c r="W1168" s="149"/>
      <c r="X1168" s="163"/>
      <c r="Y1168" s="162"/>
      <c r="Z1168" s="164"/>
      <c r="AA1168" s="116"/>
      <c r="AB1168" s="116"/>
      <c r="AC1168" s="165"/>
      <c r="AD1168" s="675" t="str">
        <f t="shared" si="76"/>
        <v/>
      </c>
      <c r="AE1168" s="166"/>
      <c r="AF1168" s="149" t="b">
        <v>0</v>
      </c>
      <c r="AG1168" s="166"/>
      <c r="AH1168" s="149" t="b">
        <v>0</v>
      </c>
      <c r="AI1168" s="162"/>
      <c r="AJ1168" s="143"/>
      <c r="AK1168" s="143"/>
      <c r="AL1168" s="1112"/>
      <c r="AM1168" s="1112"/>
      <c r="AN1168" s="1112"/>
      <c r="AO1168" s="1112"/>
      <c r="AP1168" s="1112"/>
      <c r="AQ1168" s="1112"/>
    </row>
    <row r="1169" ht="22.5" customHeight="1">
      <c r="A1169" s="166"/>
      <c r="B1169" s="1111"/>
      <c r="C1169" s="524"/>
      <c r="D1169" s="1110"/>
      <c r="E1169" s="669"/>
      <c r="F1169" s="524"/>
      <c r="G1169" s="165"/>
      <c r="H1169" s="669"/>
      <c r="I1169" s="669"/>
      <c r="J1169" s="352"/>
      <c r="K1169" s="271" t="str">
        <f t="shared" si="74"/>
        <v/>
      </c>
      <c r="L1169" s="297"/>
      <c r="M1169" s="334"/>
      <c r="N1169" s="277"/>
      <c r="O1169" s="315"/>
      <c r="P1169" s="344">
        <f t="shared" si="69"/>
        <v>0</v>
      </c>
      <c r="Q1169" s="321"/>
      <c r="R1169" s="672" t="b">
        <v>0</v>
      </c>
      <c r="S1169" s="318"/>
      <c r="T1169" s="319"/>
      <c r="U1169" s="315"/>
      <c r="V1169" s="162"/>
      <c r="W1169" s="149"/>
      <c r="X1169" s="163"/>
      <c r="Y1169" s="162"/>
      <c r="Z1169" s="164"/>
      <c r="AA1169" s="116"/>
      <c r="AB1169" s="116"/>
      <c r="AC1169" s="165"/>
      <c r="AD1169" s="675" t="str">
        <f t="shared" si="76"/>
        <v/>
      </c>
      <c r="AE1169" s="166"/>
      <c r="AF1169" s="149" t="b">
        <v>0</v>
      </c>
      <c r="AG1169" s="166"/>
      <c r="AH1169" s="149" t="b">
        <v>0</v>
      </c>
      <c r="AI1169" s="162"/>
      <c r="AJ1169" s="143"/>
      <c r="AK1169" s="143"/>
      <c r="AL1169" s="1112"/>
      <c r="AM1169" s="1112"/>
      <c r="AN1169" s="1112"/>
      <c r="AO1169" s="1112"/>
      <c r="AP1169" s="1112"/>
      <c r="AQ1169" s="1112"/>
    </row>
    <row r="1170" ht="22.5" customHeight="1">
      <c r="A1170" s="166"/>
      <c r="B1170" s="1111"/>
      <c r="C1170" s="524"/>
      <c r="D1170" s="1110"/>
      <c r="E1170" s="669"/>
      <c r="F1170" s="524"/>
      <c r="G1170" s="165"/>
      <c r="H1170" s="669"/>
      <c r="I1170" s="669"/>
      <c r="J1170" s="352"/>
      <c r="K1170" s="271" t="str">
        <f t="shared" si="74"/>
        <v/>
      </c>
      <c r="L1170" s="297"/>
      <c r="M1170" s="334"/>
      <c r="N1170" s="277"/>
      <c r="O1170" s="315"/>
      <c r="P1170" s="344">
        <f t="shared" si="69"/>
        <v>0</v>
      </c>
      <c r="Q1170" s="321"/>
      <c r="R1170" s="672" t="b">
        <v>0</v>
      </c>
      <c r="S1170" s="318"/>
      <c r="T1170" s="319"/>
      <c r="U1170" s="315"/>
      <c r="V1170" s="162"/>
      <c r="W1170" s="149"/>
      <c r="X1170" s="163"/>
      <c r="Y1170" s="162"/>
      <c r="Z1170" s="164"/>
      <c r="AA1170" s="116"/>
      <c r="AB1170" s="116"/>
      <c r="AC1170" s="165"/>
      <c r="AD1170" s="675" t="str">
        <f t="shared" si="76"/>
        <v/>
      </c>
      <c r="AE1170" s="166"/>
      <c r="AF1170" s="149" t="b">
        <v>0</v>
      </c>
      <c r="AG1170" s="166"/>
      <c r="AH1170" s="149" t="b">
        <v>0</v>
      </c>
      <c r="AI1170" s="162"/>
      <c r="AJ1170" s="143"/>
      <c r="AK1170" s="143"/>
      <c r="AL1170" s="1112"/>
      <c r="AM1170" s="1112"/>
      <c r="AN1170" s="1112"/>
      <c r="AO1170" s="1112"/>
      <c r="AP1170" s="1112"/>
      <c r="AQ1170" s="1112"/>
    </row>
    <row r="1171" ht="22.5" customHeight="1">
      <c r="A1171" s="166"/>
      <c r="B1171" s="1111"/>
      <c r="C1171" s="524"/>
      <c r="D1171" s="1110"/>
      <c r="E1171" s="669"/>
      <c r="F1171" s="524"/>
      <c r="G1171" s="165"/>
      <c r="H1171" s="669"/>
      <c r="I1171" s="669"/>
      <c r="J1171" s="352"/>
      <c r="K1171" s="271" t="str">
        <f t="shared" si="74"/>
        <v/>
      </c>
      <c r="L1171" s="297"/>
      <c r="M1171" s="334"/>
      <c r="N1171" s="277"/>
      <c r="O1171" s="315"/>
      <c r="P1171" s="344">
        <f t="shared" si="69"/>
        <v>0</v>
      </c>
      <c r="Q1171" s="321"/>
      <c r="R1171" s="672" t="b">
        <v>0</v>
      </c>
      <c r="S1171" s="318"/>
      <c r="T1171" s="319"/>
      <c r="U1171" s="315"/>
      <c r="V1171" s="162"/>
      <c r="W1171" s="149"/>
      <c r="X1171" s="163"/>
      <c r="Y1171" s="162"/>
      <c r="Z1171" s="164"/>
      <c r="AA1171" s="116"/>
      <c r="AB1171" s="116"/>
      <c r="AC1171" s="165"/>
      <c r="AD1171" s="675" t="str">
        <f t="shared" si="76"/>
        <v/>
      </c>
      <c r="AE1171" s="166"/>
      <c r="AF1171" s="149" t="b">
        <v>0</v>
      </c>
      <c r="AG1171" s="166"/>
      <c r="AH1171" s="149" t="b">
        <v>0</v>
      </c>
      <c r="AI1171" s="162"/>
      <c r="AJ1171" s="143"/>
      <c r="AK1171" s="143"/>
      <c r="AL1171" s="1112"/>
      <c r="AM1171" s="1112"/>
      <c r="AN1171" s="1112"/>
      <c r="AO1171" s="1112"/>
      <c r="AP1171" s="1112"/>
      <c r="AQ1171" s="1112"/>
    </row>
    <row r="1172" ht="22.5" customHeight="1">
      <c r="A1172" s="166"/>
      <c r="B1172" s="1111"/>
      <c r="C1172" s="524"/>
      <c r="D1172" s="1110"/>
      <c r="E1172" s="669"/>
      <c r="F1172" s="524"/>
      <c r="G1172" s="165"/>
      <c r="H1172" s="669"/>
      <c r="I1172" s="669"/>
      <c r="J1172" s="352"/>
      <c r="K1172" s="271" t="str">
        <f t="shared" si="74"/>
        <v/>
      </c>
      <c r="L1172" s="297"/>
      <c r="M1172" s="334"/>
      <c r="N1172" s="277"/>
      <c r="O1172" s="315"/>
      <c r="P1172" s="344">
        <f t="shared" si="69"/>
        <v>0</v>
      </c>
      <c r="Q1172" s="321"/>
      <c r="R1172" s="672" t="b">
        <v>0</v>
      </c>
      <c r="S1172" s="318"/>
      <c r="T1172" s="319"/>
      <c r="U1172" s="315"/>
      <c r="V1172" s="162"/>
      <c r="W1172" s="149"/>
      <c r="X1172" s="163"/>
      <c r="Y1172" s="162"/>
      <c r="Z1172" s="164"/>
      <c r="AA1172" s="116"/>
      <c r="AB1172" s="116"/>
      <c r="AC1172" s="165"/>
      <c r="AD1172" s="675" t="str">
        <f t="shared" si="76"/>
        <v/>
      </c>
      <c r="AE1172" s="166"/>
      <c r="AF1172" s="149" t="b">
        <v>0</v>
      </c>
      <c r="AG1172" s="166"/>
      <c r="AH1172" s="149" t="b">
        <v>0</v>
      </c>
      <c r="AI1172" s="162"/>
      <c r="AJ1172" s="143"/>
      <c r="AK1172" s="143"/>
      <c r="AL1172" s="1112"/>
      <c r="AM1172" s="1112"/>
      <c r="AN1172" s="1112"/>
      <c r="AO1172" s="1112"/>
      <c r="AP1172" s="1112"/>
      <c r="AQ1172" s="1112"/>
    </row>
    <row r="1173" ht="22.5" customHeight="1">
      <c r="A1173" s="166"/>
      <c r="B1173" s="1111"/>
      <c r="C1173" s="524"/>
      <c r="D1173" s="1110"/>
      <c r="E1173" s="669"/>
      <c r="F1173" s="524"/>
      <c r="G1173" s="165"/>
      <c r="H1173" s="669"/>
      <c r="I1173" s="669"/>
      <c r="J1173" s="352"/>
      <c r="K1173" s="271" t="str">
        <f t="shared" si="74"/>
        <v/>
      </c>
      <c r="L1173" s="297"/>
      <c r="M1173" s="334"/>
      <c r="N1173" s="277"/>
      <c r="O1173" s="315"/>
      <c r="P1173" s="344">
        <f t="shared" si="69"/>
        <v>0</v>
      </c>
      <c r="Q1173" s="321"/>
      <c r="R1173" s="672" t="b">
        <v>0</v>
      </c>
      <c r="S1173" s="318"/>
      <c r="T1173" s="319"/>
      <c r="U1173" s="315"/>
      <c r="V1173" s="162"/>
      <c r="W1173" s="149"/>
      <c r="X1173" s="163"/>
      <c r="Y1173" s="162"/>
      <c r="Z1173" s="164"/>
      <c r="AA1173" s="116"/>
      <c r="AB1173" s="116"/>
      <c r="AC1173" s="165"/>
      <c r="AD1173" s="675" t="str">
        <f t="shared" si="76"/>
        <v/>
      </c>
      <c r="AE1173" s="166"/>
      <c r="AF1173" s="149" t="b">
        <v>0</v>
      </c>
      <c r="AG1173" s="166"/>
      <c r="AH1173" s="149" t="b">
        <v>0</v>
      </c>
      <c r="AI1173" s="162"/>
      <c r="AJ1173" s="143"/>
      <c r="AK1173" s="143"/>
      <c r="AL1173" s="1112"/>
      <c r="AM1173" s="1112"/>
      <c r="AN1173" s="1112"/>
      <c r="AO1173" s="1112"/>
      <c r="AP1173" s="1112"/>
      <c r="AQ1173" s="1112"/>
    </row>
    <row r="1174" ht="22.5" customHeight="1">
      <c r="A1174" s="166"/>
      <c r="B1174" s="1111"/>
      <c r="C1174" s="524"/>
      <c r="D1174" s="1110"/>
      <c r="E1174" s="669"/>
      <c r="F1174" s="524"/>
      <c r="G1174" s="165"/>
      <c r="H1174" s="669"/>
      <c r="I1174" s="669"/>
      <c r="J1174" s="352"/>
      <c r="K1174" s="271" t="str">
        <f t="shared" si="74"/>
        <v/>
      </c>
      <c r="L1174" s="297"/>
      <c r="M1174" s="334"/>
      <c r="N1174" s="277"/>
      <c r="O1174" s="315"/>
      <c r="P1174" s="344">
        <f t="shared" si="69"/>
        <v>0</v>
      </c>
      <c r="Q1174" s="321"/>
      <c r="R1174" s="672" t="b">
        <v>0</v>
      </c>
      <c r="S1174" s="318"/>
      <c r="T1174" s="319"/>
      <c r="U1174" s="315"/>
      <c r="V1174" s="162"/>
      <c r="W1174" s="149"/>
      <c r="X1174" s="163"/>
      <c r="Y1174" s="162"/>
      <c r="Z1174" s="164"/>
      <c r="AA1174" s="116"/>
      <c r="AB1174" s="116"/>
      <c r="AC1174" s="165"/>
      <c r="AD1174" s="675" t="str">
        <f t="shared" si="76"/>
        <v/>
      </c>
      <c r="AE1174" s="166"/>
      <c r="AF1174" s="149" t="b">
        <v>0</v>
      </c>
      <c r="AG1174" s="166"/>
      <c r="AH1174" s="149" t="b">
        <v>0</v>
      </c>
      <c r="AI1174" s="162"/>
      <c r="AJ1174" s="143"/>
      <c r="AK1174" s="143"/>
      <c r="AL1174" s="1112"/>
      <c r="AM1174" s="1112"/>
      <c r="AN1174" s="1112"/>
      <c r="AO1174" s="1112"/>
      <c r="AP1174" s="1112"/>
      <c r="AQ1174" s="1112"/>
    </row>
    <row r="1175" ht="22.5" customHeight="1">
      <c r="A1175" s="166"/>
      <c r="B1175" s="1111"/>
      <c r="C1175" s="524"/>
      <c r="D1175" s="1110"/>
      <c r="E1175" s="669"/>
      <c r="F1175" s="524"/>
      <c r="G1175" s="165"/>
      <c r="H1175" s="669"/>
      <c r="I1175" s="669"/>
      <c r="J1175" s="352"/>
      <c r="K1175" s="271" t="str">
        <f t="shared" si="74"/>
        <v/>
      </c>
      <c r="L1175" s="297"/>
      <c r="M1175" s="334"/>
      <c r="N1175" s="277"/>
      <c r="O1175" s="315"/>
      <c r="P1175" s="344">
        <f t="shared" si="69"/>
        <v>0</v>
      </c>
      <c r="Q1175" s="321"/>
      <c r="R1175" s="672" t="b">
        <v>0</v>
      </c>
      <c r="S1175" s="318"/>
      <c r="T1175" s="319"/>
      <c r="U1175" s="315"/>
      <c r="V1175" s="162"/>
      <c r="W1175" s="149"/>
      <c r="X1175" s="163"/>
      <c r="Y1175" s="162"/>
      <c r="Z1175" s="164"/>
      <c r="AA1175" s="116"/>
      <c r="AB1175" s="116"/>
      <c r="AC1175" s="165"/>
      <c r="AD1175" s="675" t="str">
        <f t="shared" si="76"/>
        <v/>
      </c>
      <c r="AE1175" s="166"/>
      <c r="AF1175" s="149" t="b">
        <v>0</v>
      </c>
      <c r="AG1175" s="166"/>
      <c r="AH1175" s="149" t="b">
        <v>0</v>
      </c>
      <c r="AI1175" s="162"/>
      <c r="AJ1175" s="143"/>
      <c r="AK1175" s="143"/>
      <c r="AL1175" s="1112"/>
      <c r="AM1175" s="1112"/>
      <c r="AN1175" s="1112"/>
      <c r="AO1175" s="1112"/>
      <c r="AP1175" s="1112"/>
      <c r="AQ1175" s="1112"/>
    </row>
    <row r="1176" ht="22.5" customHeight="1">
      <c r="A1176" s="166"/>
      <c r="B1176" s="1111"/>
      <c r="C1176" s="524"/>
      <c r="D1176" s="1110"/>
      <c r="E1176" s="669"/>
      <c r="F1176" s="524"/>
      <c r="G1176" s="165"/>
      <c r="H1176" s="669"/>
      <c r="I1176" s="669"/>
      <c r="J1176" s="352"/>
      <c r="K1176" s="271" t="str">
        <f t="shared" si="74"/>
        <v/>
      </c>
      <c r="L1176" s="297"/>
      <c r="M1176" s="334"/>
      <c r="N1176" s="277"/>
      <c r="O1176" s="315"/>
      <c r="P1176" s="344">
        <f t="shared" si="69"/>
        <v>0</v>
      </c>
      <c r="Q1176" s="321"/>
      <c r="R1176" s="672" t="b">
        <v>0</v>
      </c>
      <c r="S1176" s="318"/>
      <c r="T1176" s="319"/>
      <c r="U1176" s="315"/>
      <c r="V1176" s="162"/>
      <c r="W1176" s="149"/>
      <c r="X1176" s="163"/>
      <c r="Y1176" s="162"/>
      <c r="Z1176" s="164"/>
      <c r="AA1176" s="116"/>
      <c r="AB1176" s="116"/>
      <c r="AC1176" s="165"/>
      <c r="AD1176" s="675" t="str">
        <f t="shared" si="76"/>
        <v/>
      </c>
      <c r="AE1176" s="166"/>
      <c r="AF1176" s="149" t="b">
        <v>0</v>
      </c>
      <c r="AG1176" s="166"/>
      <c r="AH1176" s="149" t="b">
        <v>0</v>
      </c>
      <c r="AI1176" s="162"/>
      <c r="AJ1176" s="143"/>
      <c r="AK1176" s="143"/>
      <c r="AL1176" s="1112"/>
      <c r="AM1176" s="1112"/>
      <c r="AN1176" s="1112"/>
      <c r="AO1176" s="1112"/>
      <c r="AP1176" s="1112"/>
      <c r="AQ1176" s="1112"/>
    </row>
    <row r="1177" ht="22.5" customHeight="1">
      <c r="A1177" s="166"/>
      <c r="B1177" s="1111"/>
      <c r="C1177" s="524"/>
      <c r="D1177" s="1110"/>
      <c r="E1177" s="669"/>
      <c r="F1177" s="524"/>
      <c r="G1177" s="165"/>
      <c r="H1177" s="669"/>
      <c r="I1177" s="669"/>
      <c r="J1177" s="352"/>
      <c r="K1177" s="271" t="str">
        <f t="shared" si="74"/>
        <v/>
      </c>
      <c r="L1177" s="297"/>
      <c r="M1177" s="334"/>
      <c r="N1177" s="277"/>
      <c r="O1177" s="315"/>
      <c r="P1177" s="344">
        <f t="shared" si="69"/>
        <v>0</v>
      </c>
      <c r="Q1177" s="321"/>
      <c r="R1177" s="672" t="b">
        <v>0</v>
      </c>
      <c r="S1177" s="318"/>
      <c r="T1177" s="319"/>
      <c r="U1177" s="315"/>
      <c r="V1177" s="162"/>
      <c r="W1177" s="149"/>
      <c r="X1177" s="163"/>
      <c r="Y1177" s="162"/>
      <c r="Z1177" s="164"/>
      <c r="AA1177" s="116"/>
      <c r="AB1177" s="116"/>
      <c r="AC1177" s="165"/>
      <c r="AD1177" s="675" t="str">
        <f t="shared" si="76"/>
        <v/>
      </c>
      <c r="AE1177" s="166"/>
      <c r="AF1177" s="149" t="b">
        <v>0</v>
      </c>
      <c r="AG1177" s="166"/>
      <c r="AH1177" s="149" t="b">
        <v>0</v>
      </c>
      <c r="AI1177" s="162"/>
      <c r="AJ1177" s="143"/>
      <c r="AK1177" s="143"/>
      <c r="AL1177" s="1112"/>
      <c r="AM1177" s="1112"/>
      <c r="AN1177" s="1112"/>
      <c r="AO1177" s="1112"/>
      <c r="AP1177" s="1112"/>
      <c r="AQ1177" s="1112"/>
    </row>
    <row r="1178" ht="22.5" customHeight="1">
      <c r="A1178" s="166"/>
      <c r="B1178" s="1111"/>
      <c r="C1178" s="524"/>
      <c r="D1178" s="1110"/>
      <c r="E1178" s="669"/>
      <c r="F1178" s="524"/>
      <c r="G1178" s="165"/>
      <c r="H1178" s="669"/>
      <c r="I1178" s="669"/>
      <c r="J1178" s="352"/>
      <c r="K1178" s="271" t="str">
        <f t="shared" si="74"/>
        <v/>
      </c>
      <c r="L1178" s="297"/>
      <c r="M1178" s="334"/>
      <c r="N1178" s="277"/>
      <c r="O1178" s="315"/>
      <c r="P1178" s="344">
        <f t="shared" si="69"/>
        <v>0</v>
      </c>
      <c r="Q1178" s="321"/>
      <c r="R1178" s="672" t="b">
        <v>0</v>
      </c>
      <c r="S1178" s="318"/>
      <c r="T1178" s="319"/>
      <c r="U1178" s="315"/>
      <c r="V1178" s="162"/>
      <c r="W1178" s="149"/>
      <c r="X1178" s="163"/>
      <c r="Y1178" s="162"/>
      <c r="Z1178" s="164"/>
      <c r="AA1178" s="116"/>
      <c r="AB1178" s="116"/>
      <c r="AC1178" s="165"/>
      <c r="AD1178" s="675" t="str">
        <f t="shared" si="76"/>
        <v/>
      </c>
      <c r="AE1178" s="166"/>
      <c r="AF1178" s="149" t="b">
        <v>0</v>
      </c>
      <c r="AG1178" s="166"/>
      <c r="AH1178" s="149" t="b">
        <v>0</v>
      </c>
      <c r="AI1178" s="162"/>
      <c r="AJ1178" s="143"/>
      <c r="AK1178" s="143"/>
      <c r="AL1178" s="1112"/>
      <c r="AM1178" s="1112"/>
      <c r="AN1178" s="1112"/>
      <c r="AO1178" s="1112"/>
      <c r="AP1178" s="1112"/>
      <c r="AQ1178" s="1112"/>
    </row>
    <row r="1179" ht="22.5" customHeight="1">
      <c r="A1179" s="166"/>
      <c r="B1179" s="1111"/>
      <c r="C1179" s="524"/>
      <c r="D1179" s="1110"/>
      <c r="E1179" s="669"/>
      <c r="F1179" s="524"/>
      <c r="G1179" s="165"/>
      <c r="H1179" s="669"/>
      <c r="I1179" s="669"/>
      <c r="J1179" s="352"/>
      <c r="K1179" s="271" t="str">
        <f t="shared" si="74"/>
        <v/>
      </c>
      <c r="L1179" s="297"/>
      <c r="M1179" s="334"/>
      <c r="N1179" s="277"/>
      <c r="O1179" s="315"/>
      <c r="P1179" s="344">
        <f t="shared" si="69"/>
        <v>0</v>
      </c>
      <c r="Q1179" s="321"/>
      <c r="R1179" s="672" t="b">
        <v>0</v>
      </c>
      <c r="S1179" s="318"/>
      <c r="T1179" s="319"/>
      <c r="U1179" s="315"/>
      <c r="V1179" s="162"/>
      <c r="W1179" s="149"/>
      <c r="X1179" s="163"/>
      <c r="Y1179" s="162"/>
      <c r="Z1179" s="164"/>
      <c r="AA1179" s="116"/>
      <c r="AB1179" s="116"/>
      <c r="AC1179" s="165"/>
      <c r="AD1179" s="675" t="str">
        <f t="shared" si="76"/>
        <v/>
      </c>
      <c r="AE1179" s="166"/>
      <c r="AF1179" s="149" t="b">
        <v>0</v>
      </c>
      <c r="AG1179" s="166"/>
      <c r="AH1179" s="149" t="b">
        <v>0</v>
      </c>
      <c r="AI1179" s="162"/>
      <c r="AJ1179" s="143"/>
      <c r="AK1179" s="143"/>
      <c r="AL1179" s="1112"/>
      <c r="AM1179" s="1112"/>
      <c r="AN1179" s="1112"/>
      <c r="AO1179" s="1112"/>
      <c r="AP1179" s="1112"/>
      <c r="AQ1179" s="1112"/>
    </row>
    <row r="1180" ht="22.5" customHeight="1">
      <c r="A1180" s="166"/>
      <c r="B1180" s="1111"/>
      <c r="C1180" s="524"/>
      <c r="D1180" s="1110"/>
      <c r="E1180" s="669"/>
      <c r="F1180" s="524"/>
      <c r="G1180" s="165"/>
      <c r="H1180" s="669"/>
      <c r="I1180" s="669"/>
      <c r="J1180" s="352"/>
      <c r="K1180" s="271" t="str">
        <f t="shared" si="74"/>
        <v/>
      </c>
      <c r="L1180" s="297"/>
      <c r="M1180" s="334"/>
      <c r="N1180" s="277"/>
      <c r="O1180" s="315"/>
      <c r="P1180" s="344">
        <f t="shared" si="69"/>
        <v>0</v>
      </c>
      <c r="Q1180" s="321"/>
      <c r="R1180" s="672" t="b">
        <v>0</v>
      </c>
      <c r="S1180" s="318"/>
      <c r="T1180" s="319"/>
      <c r="U1180" s="315"/>
      <c r="V1180" s="162"/>
      <c r="W1180" s="149"/>
      <c r="X1180" s="163"/>
      <c r="Y1180" s="162"/>
      <c r="Z1180" s="164"/>
      <c r="AA1180" s="116"/>
      <c r="AB1180" s="116"/>
      <c r="AC1180" s="165"/>
      <c r="AD1180" s="675" t="str">
        <f t="shared" si="76"/>
        <v/>
      </c>
      <c r="AE1180" s="166"/>
      <c r="AF1180" s="149" t="b">
        <v>0</v>
      </c>
      <c r="AG1180" s="166"/>
      <c r="AH1180" s="149" t="b">
        <v>0</v>
      </c>
      <c r="AI1180" s="162"/>
      <c r="AJ1180" s="143"/>
      <c r="AK1180" s="143"/>
      <c r="AL1180" s="1112"/>
      <c r="AM1180" s="1112"/>
      <c r="AN1180" s="1112"/>
      <c r="AO1180" s="1112"/>
      <c r="AP1180" s="1112"/>
      <c r="AQ1180" s="1112"/>
    </row>
    <row r="1181" ht="22.5" customHeight="1">
      <c r="A1181" s="166"/>
      <c r="B1181" s="1111"/>
      <c r="C1181" s="524"/>
      <c r="D1181" s="1110"/>
      <c r="E1181" s="669"/>
      <c r="F1181" s="524"/>
      <c r="G1181" s="165"/>
      <c r="H1181" s="669"/>
      <c r="I1181" s="669"/>
      <c r="J1181" s="352"/>
      <c r="K1181" s="271" t="str">
        <f t="shared" si="74"/>
        <v/>
      </c>
      <c r="L1181" s="297"/>
      <c r="M1181" s="334"/>
      <c r="N1181" s="277"/>
      <c r="O1181" s="315"/>
      <c r="P1181" s="344">
        <f t="shared" si="69"/>
        <v>0</v>
      </c>
      <c r="Q1181" s="321"/>
      <c r="R1181" s="672" t="b">
        <v>0</v>
      </c>
      <c r="S1181" s="318"/>
      <c r="T1181" s="319"/>
      <c r="U1181" s="315"/>
      <c r="V1181" s="162"/>
      <c r="W1181" s="149"/>
      <c r="X1181" s="163"/>
      <c r="Y1181" s="162"/>
      <c r="Z1181" s="164"/>
      <c r="AA1181" s="116"/>
      <c r="AB1181" s="116"/>
      <c r="AC1181" s="165"/>
      <c r="AD1181" s="675" t="str">
        <f t="shared" si="76"/>
        <v/>
      </c>
      <c r="AE1181" s="166"/>
      <c r="AF1181" s="149" t="b">
        <v>0</v>
      </c>
      <c r="AG1181" s="166"/>
      <c r="AH1181" s="149" t="b">
        <v>0</v>
      </c>
      <c r="AI1181" s="162"/>
      <c r="AJ1181" s="143"/>
      <c r="AK1181" s="143"/>
      <c r="AL1181" s="1112"/>
      <c r="AM1181" s="1112"/>
      <c r="AN1181" s="1112"/>
      <c r="AO1181" s="1112"/>
      <c r="AP1181" s="1112"/>
      <c r="AQ1181" s="1112"/>
    </row>
    <row r="1182" ht="22.5" customHeight="1">
      <c r="A1182" s="166"/>
      <c r="B1182" s="1111"/>
      <c r="C1182" s="524"/>
      <c r="D1182" s="1110"/>
      <c r="E1182" s="669"/>
      <c r="F1182" s="524"/>
      <c r="G1182" s="165"/>
      <c r="H1182" s="669"/>
      <c r="I1182" s="669"/>
      <c r="J1182" s="352"/>
      <c r="K1182" s="271" t="str">
        <f t="shared" si="74"/>
        <v/>
      </c>
      <c r="L1182" s="297"/>
      <c r="M1182" s="334"/>
      <c r="N1182" s="277"/>
      <c r="O1182" s="315"/>
      <c r="P1182" s="344">
        <f t="shared" si="69"/>
        <v>0</v>
      </c>
      <c r="Q1182" s="321"/>
      <c r="R1182" s="672" t="b">
        <v>0</v>
      </c>
      <c r="S1182" s="318"/>
      <c r="T1182" s="319"/>
      <c r="U1182" s="315"/>
      <c r="V1182" s="162"/>
      <c r="W1182" s="149"/>
      <c r="X1182" s="163"/>
      <c r="Y1182" s="162"/>
      <c r="Z1182" s="164"/>
      <c r="AA1182" s="116"/>
      <c r="AB1182" s="116"/>
      <c r="AC1182" s="165"/>
      <c r="AD1182" s="675" t="str">
        <f t="shared" si="76"/>
        <v/>
      </c>
      <c r="AE1182" s="166"/>
      <c r="AF1182" s="149" t="b">
        <v>0</v>
      </c>
      <c r="AG1182" s="166"/>
      <c r="AH1182" s="149" t="b">
        <v>0</v>
      </c>
      <c r="AI1182" s="162"/>
      <c r="AJ1182" s="143"/>
      <c r="AK1182" s="143"/>
      <c r="AL1182" s="1112"/>
      <c r="AM1182" s="1112"/>
      <c r="AN1182" s="1112"/>
      <c r="AO1182" s="1112"/>
      <c r="AP1182" s="1112"/>
      <c r="AQ1182" s="1112"/>
    </row>
    <row r="1183" ht="22.5" customHeight="1">
      <c r="A1183" s="166"/>
      <c r="B1183" s="1111"/>
      <c r="C1183" s="524"/>
      <c r="D1183" s="1110"/>
      <c r="E1183" s="669"/>
      <c r="F1183" s="524"/>
      <c r="G1183" s="165"/>
      <c r="H1183" s="669"/>
      <c r="I1183" s="669"/>
      <c r="J1183" s="352"/>
      <c r="K1183" s="271" t="str">
        <f t="shared" si="74"/>
        <v/>
      </c>
      <c r="L1183" s="297"/>
      <c r="M1183" s="334"/>
      <c r="N1183" s="277"/>
      <c r="O1183" s="315"/>
      <c r="P1183" s="344">
        <f t="shared" si="69"/>
        <v>0</v>
      </c>
      <c r="Q1183" s="321"/>
      <c r="R1183" s="672" t="b">
        <v>0</v>
      </c>
      <c r="S1183" s="318"/>
      <c r="T1183" s="319"/>
      <c r="U1183" s="315"/>
      <c r="V1183" s="162"/>
      <c r="W1183" s="149"/>
      <c r="X1183" s="163"/>
      <c r="Y1183" s="162"/>
      <c r="Z1183" s="164"/>
      <c r="AA1183" s="116"/>
      <c r="AB1183" s="116"/>
      <c r="AC1183" s="165"/>
      <c r="AD1183" s="675" t="str">
        <f t="shared" si="76"/>
        <v/>
      </c>
      <c r="AE1183" s="166"/>
      <c r="AF1183" s="149" t="b">
        <v>0</v>
      </c>
      <c r="AG1183" s="166"/>
      <c r="AH1183" s="149" t="b">
        <v>0</v>
      </c>
      <c r="AI1183" s="162"/>
      <c r="AJ1183" s="143"/>
      <c r="AK1183" s="143"/>
      <c r="AL1183" s="1112"/>
      <c r="AM1183" s="1112"/>
      <c r="AN1183" s="1112"/>
      <c r="AO1183" s="1112"/>
      <c r="AP1183" s="1112"/>
      <c r="AQ1183" s="1112"/>
    </row>
    <row r="1184" ht="22.5" customHeight="1">
      <c r="A1184" s="166"/>
      <c r="B1184" s="1111"/>
      <c r="C1184" s="524"/>
      <c r="D1184" s="1110"/>
      <c r="E1184" s="669"/>
      <c r="F1184" s="524"/>
      <c r="G1184" s="165"/>
      <c r="H1184" s="669"/>
      <c r="I1184" s="669"/>
      <c r="J1184" s="352"/>
      <c r="K1184" s="271" t="str">
        <f t="shared" si="74"/>
        <v/>
      </c>
      <c r="L1184" s="297"/>
      <c r="M1184" s="334"/>
      <c r="N1184" s="277"/>
      <c r="O1184" s="315"/>
      <c r="P1184" s="344">
        <f t="shared" si="69"/>
        <v>0</v>
      </c>
      <c r="Q1184" s="321"/>
      <c r="R1184" s="672" t="b">
        <v>0</v>
      </c>
      <c r="S1184" s="318"/>
      <c r="T1184" s="319"/>
      <c r="U1184" s="315"/>
      <c r="V1184" s="162"/>
      <c r="W1184" s="149"/>
      <c r="X1184" s="163"/>
      <c r="Y1184" s="162"/>
      <c r="Z1184" s="164"/>
      <c r="AA1184" s="116"/>
      <c r="AB1184" s="116"/>
      <c r="AC1184" s="165"/>
      <c r="AD1184" s="675" t="str">
        <f t="shared" si="76"/>
        <v/>
      </c>
      <c r="AE1184" s="166"/>
      <c r="AF1184" s="149" t="b">
        <v>0</v>
      </c>
      <c r="AG1184" s="166"/>
      <c r="AH1184" s="149" t="b">
        <v>0</v>
      </c>
      <c r="AI1184" s="162"/>
      <c r="AJ1184" s="143"/>
      <c r="AK1184" s="143"/>
      <c r="AL1184" s="1112"/>
      <c r="AM1184" s="1112"/>
      <c r="AN1184" s="1112"/>
      <c r="AO1184" s="1112"/>
      <c r="AP1184" s="1112"/>
      <c r="AQ1184" s="1112"/>
    </row>
    <row r="1185" ht="22.5" customHeight="1">
      <c r="A1185" s="166"/>
      <c r="B1185" s="1111"/>
      <c r="C1185" s="524"/>
      <c r="D1185" s="1110"/>
      <c r="E1185" s="669"/>
      <c r="F1185" s="524"/>
      <c r="G1185" s="165"/>
      <c r="H1185" s="669"/>
      <c r="I1185" s="669"/>
      <c r="J1185" s="352"/>
      <c r="K1185" s="271" t="str">
        <f t="shared" si="74"/>
        <v/>
      </c>
      <c r="L1185" s="297"/>
      <c r="M1185" s="334"/>
      <c r="N1185" s="277"/>
      <c r="O1185" s="315"/>
      <c r="P1185" s="344">
        <f t="shared" si="69"/>
        <v>0</v>
      </c>
      <c r="Q1185" s="321"/>
      <c r="R1185" s="672" t="b">
        <v>0</v>
      </c>
      <c r="S1185" s="318"/>
      <c r="T1185" s="319"/>
      <c r="U1185" s="315"/>
      <c r="V1185" s="162"/>
      <c r="W1185" s="149"/>
      <c r="X1185" s="163"/>
      <c r="Y1185" s="162"/>
      <c r="Z1185" s="164"/>
      <c r="AA1185" s="116"/>
      <c r="AB1185" s="116"/>
      <c r="AC1185" s="165"/>
      <c r="AD1185" s="675" t="str">
        <f t="shared" si="76"/>
        <v/>
      </c>
      <c r="AE1185" s="166"/>
      <c r="AF1185" s="149" t="b">
        <v>0</v>
      </c>
      <c r="AG1185" s="166"/>
      <c r="AH1185" s="149" t="b">
        <v>0</v>
      </c>
      <c r="AI1185" s="162"/>
      <c r="AJ1185" s="143"/>
      <c r="AK1185" s="143"/>
      <c r="AL1185" s="1112"/>
      <c r="AM1185" s="1112"/>
      <c r="AN1185" s="1112"/>
      <c r="AO1185" s="1112"/>
      <c r="AP1185" s="1112"/>
      <c r="AQ1185" s="1112"/>
    </row>
    <row r="1186" ht="22.5" customHeight="1">
      <c r="A1186" s="166"/>
      <c r="B1186" s="1111"/>
      <c r="C1186" s="524"/>
      <c r="D1186" s="1110"/>
      <c r="E1186" s="669"/>
      <c r="F1186" s="524"/>
      <c r="G1186" s="165"/>
      <c r="H1186" s="669"/>
      <c r="I1186" s="669"/>
      <c r="J1186" s="352"/>
      <c r="K1186" s="271" t="str">
        <f t="shared" si="74"/>
        <v/>
      </c>
      <c r="L1186" s="297"/>
      <c r="M1186" s="334"/>
      <c r="N1186" s="277"/>
      <c r="O1186" s="315"/>
      <c r="P1186" s="344">
        <f t="shared" si="69"/>
        <v>0</v>
      </c>
      <c r="Q1186" s="321"/>
      <c r="R1186" s="672" t="b">
        <v>0</v>
      </c>
      <c r="S1186" s="318"/>
      <c r="T1186" s="319"/>
      <c r="U1186" s="315"/>
      <c r="V1186" s="162"/>
      <c r="W1186" s="149"/>
      <c r="X1186" s="163"/>
      <c r="Y1186" s="162"/>
      <c r="Z1186" s="164"/>
      <c r="AA1186" s="116"/>
      <c r="AB1186" s="116"/>
      <c r="AC1186" s="165"/>
      <c r="AD1186" s="675" t="str">
        <f t="shared" si="76"/>
        <v/>
      </c>
      <c r="AE1186" s="166"/>
      <c r="AF1186" s="149" t="b">
        <v>0</v>
      </c>
      <c r="AG1186" s="166"/>
      <c r="AH1186" s="149" t="b">
        <v>0</v>
      </c>
      <c r="AI1186" s="162"/>
      <c r="AJ1186" s="143"/>
      <c r="AK1186" s="143"/>
      <c r="AL1186" s="1112"/>
      <c r="AM1186" s="1112"/>
      <c r="AN1186" s="1112"/>
      <c r="AO1186" s="1112"/>
      <c r="AP1186" s="1112"/>
      <c r="AQ1186" s="1112"/>
    </row>
    <row r="1187" ht="22.5" customHeight="1">
      <c r="A1187" s="166"/>
      <c r="B1187" s="1111"/>
      <c r="C1187" s="524"/>
      <c r="D1187" s="1110"/>
      <c r="E1187" s="669"/>
      <c r="F1187" s="524"/>
      <c r="G1187" s="165"/>
      <c r="H1187" s="669"/>
      <c r="I1187" s="669"/>
      <c r="J1187" s="352"/>
      <c r="K1187" s="271" t="str">
        <f t="shared" si="74"/>
        <v/>
      </c>
      <c r="L1187" s="297"/>
      <c r="M1187" s="334"/>
      <c r="N1187" s="277"/>
      <c r="O1187" s="315"/>
      <c r="P1187" s="344">
        <f t="shared" si="69"/>
        <v>0</v>
      </c>
      <c r="Q1187" s="321"/>
      <c r="R1187" s="672" t="b">
        <v>0</v>
      </c>
      <c r="S1187" s="318"/>
      <c r="T1187" s="319"/>
      <c r="U1187" s="315"/>
      <c r="V1187" s="162"/>
      <c r="W1187" s="149"/>
      <c r="X1187" s="163"/>
      <c r="Y1187" s="162"/>
      <c r="Z1187" s="164"/>
      <c r="AA1187" s="116"/>
      <c r="AB1187" s="116"/>
      <c r="AC1187" s="165"/>
      <c r="AD1187" s="675" t="str">
        <f t="shared" si="76"/>
        <v/>
      </c>
      <c r="AE1187" s="166"/>
      <c r="AF1187" s="149" t="b">
        <v>0</v>
      </c>
      <c r="AG1187" s="166"/>
      <c r="AH1187" s="149" t="b">
        <v>0</v>
      </c>
      <c r="AI1187" s="162"/>
      <c r="AJ1187" s="143"/>
      <c r="AK1187" s="143"/>
      <c r="AL1187" s="1112"/>
      <c r="AM1187" s="1112"/>
      <c r="AN1187" s="1112"/>
      <c r="AO1187" s="1112"/>
      <c r="AP1187" s="1112"/>
      <c r="AQ1187" s="1112"/>
    </row>
    <row r="1188" ht="22.5" customHeight="1">
      <c r="A1188" s="166"/>
      <c r="B1188" s="1111"/>
      <c r="C1188" s="524"/>
      <c r="D1188" s="1110"/>
      <c r="E1188" s="669"/>
      <c r="F1188" s="524"/>
      <c r="G1188" s="165"/>
      <c r="H1188" s="669"/>
      <c r="I1188" s="669"/>
      <c r="J1188" s="352"/>
      <c r="K1188" s="271" t="str">
        <f t="shared" si="74"/>
        <v/>
      </c>
      <c r="L1188" s="297"/>
      <c r="M1188" s="334"/>
      <c r="N1188" s="277"/>
      <c r="O1188" s="315"/>
      <c r="P1188" s="344">
        <f t="shared" si="69"/>
        <v>0</v>
      </c>
      <c r="Q1188" s="321"/>
      <c r="R1188" s="672" t="b">
        <v>0</v>
      </c>
      <c r="S1188" s="318"/>
      <c r="T1188" s="319"/>
      <c r="U1188" s="315"/>
      <c r="V1188" s="162"/>
      <c r="W1188" s="149"/>
      <c r="X1188" s="163"/>
      <c r="Y1188" s="162"/>
      <c r="Z1188" s="164"/>
      <c r="AA1188" s="116"/>
      <c r="AB1188" s="116"/>
      <c r="AC1188" s="165"/>
      <c r="AD1188" s="675" t="str">
        <f t="shared" si="76"/>
        <v/>
      </c>
      <c r="AE1188" s="166"/>
      <c r="AF1188" s="149" t="b">
        <v>0</v>
      </c>
      <c r="AG1188" s="166"/>
      <c r="AH1188" s="149" t="b">
        <v>0</v>
      </c>
      <c r="AI1188" s="162"/>
      <c r="AJ1188" s="143"/>
      <c r="AK1188" s="143"/>
      <c r="AL1188" s="1112"/>
      <c r="AM1188" s="1112"/>
      <c r="AN1188" s="1112"/>
      <c r="AO1188" s="1112"/>
      <c r="AP1188" s="1112"/>
      <c r="AQ1188" s="1112"/>
    </row>
    <row r="1189" ht="22.5" customHeight="1">
      <c r="A1189" s="166"/>
      <c r="B1189" s="1111"/>
      <c r="C1189" s="524"/>
      <c r="D1189" s="1110"/>
      <c r="E1189" s="669"/>
      <c r="F1189" s="524"/>
      <c r="G1189" s="165"/>
      <c r="H1189" s="669"/>
      <c r="I1189" s="669"/>
      <c r="J1189" s="352"/>
      <c r="K1189" s="271" t="str">
        <f t="shared" si="74"/>
        <v/>
      </c>
      <c r="L1189" s="297"/>
      <c r="M1189" s="334"/>
      <c r="N1189" s="277"/>
      <c r="O1189" s="315"/>
      <c r="P1189" s="344">
        <f t="shared" si="69"/>
        <v>0</v>
      </c>
      <c r="Q1189" s="321"/>
      <c r="R1189" s="672" t="b">
        <v>0</v>
      </c>
      <c r="S1189" s="318"/>
      <c r="T1189" s="319"/>
      <c r="U1189" s="315"/>
      <c r="V1189" s="162"/>
      <c r="W1189" s="149"/>
      <c r="X1189" s="163"/>
      <c r="Y1189" s="162"/>
      <c r="Z1189" s="164"/>
      <c r="AA1189" s="116"/>
      <c r="AB1189" s="116"/>
      <c r="AC1189" s="165"/>
      <c r="AD1189" s="675" t="str">
        <f t="shared" si="76"/>
        <v/>
      </c>
      <c r="AE1189" s="166"/>
      <c r="AF1189" s="149" t="b">
        <v>0</v>
      </c>
      <c r="AG1189" s="166"/>
      <c r="AH1189" s="149" t="b">
        <v>0</v>
      </c>
      <c r="AI1189" s="162"/>
      <c r="AJ1189" s="143"/>
      <c r="AK1189" s="143"/>
      <c r="AL1189" s="1112"/>
      <c r="AM1189" s="1112"/>
      <c r="AN1189" s="1112"/>
      <c r="AO1189" s="1112"/>
      <c r="AP1189" s="1112"/>
      <c r="AQ1189" s="1112"/>
    </row>
    <row r="1190" ht="22.5" customHeight="1">
      <c r="A1190" s="166"/>
      <c r="B1190" s="1111"/>
      <c r="C1190" s="524"/>
      <c r="D1190" s="1110"/>
      <c r="E1190" s="669"/>
      <c r="F1190" s="524"/>
      <c r="G1190" s="165"/>
      <c r="H1190" s="669"/>
      <c r="I1190" s="669"/>
      <c r="J1190" s="352"/>
      <c r="K1190" s="271" t="str">
        <f t="shared" si="74"/>
        <v/>
      </c>
      <c r="L1190" s="297"/>
      <c r="M1190" s="334"/>
      <c r="N1190" s="277"/>
      <c r="O1190" s="315"/>
      <c r="P1190" s="344">
        <f t="shared" si="69"/>
        <v>0</v>
      </c>
      <c r="Q1190" s="321"/>
      <c r="R1190" s="672" t="b">
        <v>0</v>
      </c>
      <c r="S1190" s="318"/>
      <c r="T1190" s="319"/>
      <c r="U1190" s="315"/>
      <c r="V1190" s="162"/>
      <c r="W1190" s="149"/>
      <c r="X1190" s="163"/>
      <c r="Y1190" s="162"/>
      <c r="Z1190" s="164"/>
      <c r="AA1190" s="116"/>
      <c r="AB1190" s="116"/>
      <c r="AC1190" s="165"/>
      <c r="AD1190" s="675" t="str">
        <f t="shared" si="76"/>
        <v/>
      </c>
      <c r="AE1190" s="166"/>
      <c r="AF1190" s="149" t="b">
        <v>0</v>
      </c>
      <c r="AG1190" s="166"/>
      <c r="AH1190" s="149" t="b">
        <v>0</v>
      </c>
      <c r="AI1190" s="162"/>
      <c r="AJ1190" s="143"/>
      <c r="AK1190" s="143"/>
      <c r="AL1190" s="1112"/>
      <c r="AM1190" s="1112"/>
      <c r="AN1190" s="1112"/>
      <c r="AO1190" s="1112"/>
      <c r="AP1190" s="1112"/>
      <c r="AQ1190" s="1112"/>
    </row>
    <row r="1191" ht="22.5" customHeight="1">
      <c r="A1191" s="166"/>
      <c r="B1191" s="1111"/>
      <c r="C1191" s="524"/>
      <c r="D1191" s="1110"/>
      <c r="E1191" s="669"/>
      <c r="F1191" s="524"/>
      <c r="G1191" s="165"/>
      <c r="H1191" s="669"/>
      <c r="I1191" s="669"/>
      <c r="J1191" s="352"/>
      <c r="K1191" s="271" t="str">
        <f t="shared" si="74"/>
        <v/>
      </c>
      <c r="L1191" s="297"/>
      <c r="M1191" s="334"/>
      <c r="N1191" s="277"/>
      <c r="O1191" s="315"/>
      <c r="P1191" s="344">
        <f t="shared" si="69"/>
        <v>0</v>
      </c>
      <c r="Q1191" s="321"/>
      <c r="R1191" s="672" t="b">
        <v>0</v>
      </c>
      <c r="S1191" s="318"/>
      <c r="T1191" s="319"/>
      <c r="U1191" s="315"/>
      <c r="V1191" s="162"/>
      <c r="W1191" s="149"/>
      <c r="X1191" s="163"/>
      <c r="Y1191" s="162"/>
      <c r="Z1191" s="164"/>
      <c r="AA1191" s="116"/>
      <c r="AB1191" s="116"/>
      <c r="AC1191" s="165"/>
      <c r="AD1191" s="675" t="str">
        <f t="shared" si="76"/>
        <v/>
      </c>
      <c r="AE1191" s="166"/>
      <c r="AF1191" s="149" t="b">
        <v>0</v>
      </c>
      <c r="AG1191" s="166"/>
      <c r="AH1191" s="149" t="b">
        <v>0</v>
      </c>
      <c r="AI1191" s="162"/>
      <c r="AJ1191" s="143"/>
      <c r="AK1191" s="143"/>
      <c r="AL1191" s="1112"/>
      <c r="AM1191" s="1112"/>
      <c r="AN1191" s="1112"/>
      <c r="AO1191" s="1112"/>
      <c r="AP1191" s="1112"/>
      <c r="AQ1191" s="1112"/>
    </row>
    <row r="1192" ht="22.5" customHeight="1">
      <c r="A1192" s="166"/>
      <c r="B1192" s="1111"/>
      <c r="C1192" s="524"/>
      <c r="D1192" s="1110"/>
      <c r="E1192" s="669"/>
      <c r="F1192" s="524"/>
      <c r="G1192" s="165"/>
      <c r="H1192" s="669"/>
      <c r="I1192" s="669"/>
      <c r="J1192" s="352"/>
      <c r="K1192" s="271" t="str">
        <f t="shared" si="74"/>
        <v/>
      </c>
      <c r="L1192" s="297"/>
      <c r="M1192" s="334"/>
      <c r="N1192" s="277"/>
      <c r="O1192" s="315"/>
      <c r="P1192" s="344">
        <f t="shared" si="69"/>
        <v>0</v>
      </c>
      <c r="Q1192" s="321"/>
      <c r="R1192" s="672" t="b">
        <v>0</v>
      </c>
      <c r="S1192" s="318"/>
      <c r="T1192" s="319"/>
      <c r="U1192" s="315"/>
      <c r="V1192" s="162"/>
      <c r="W1192" s="149"/>
      <c r="X1192" s="163"/>
      <c r="Y1192" s="162"/>
      <c r="Z1192" s="164"/>
      <c r="AA1192" s="116"/>
      <c r="AB1192" s="116"/>
      <c r="AC1192" s="165"/>
      <c r="AD1192" s="675" t="str">
        <f t="shared" si="76"/>
        <v/>
      </c>
      <c r="AE1192" s="166"/>
      <c r="AF1192" s="149" t="b">
        <v>0</v>
      </c>
      <c r="AG1192" s="166"/>
      <c r="AH1192" s="149" t="b">
        <v>0</v>
      </c>
      <c r="AI1192" s="162"/>
      <c r="AJ1192" s="143"/>
      <c r="AK1192" s="143"/>
      <c r="AL1192" s="1112"/>
      <c r="AM1192" s="1112"/>
      <c r="AN1192" s="1112"/>
      <c r="AO1192" s="1112"/>
      <c r="AP1192" s="1112"/>
      <c r="AQ1192" s="1112"/>
    </row>
    <row r="1193" ht="22.5" customHeight="1">
      <c r="A1193" s="166"/>
      <c r="B1193" s="1111"/>
      <c r="C1193" s="524"/>
      <c r="D1193" s="1110"/>
      <c r="E1193" s="669"/>
      <c r="F1193" s="524"/>
      <c r="G1193" s="165"/>
      <c r="H1193" s="669"/>
      <c r="I1193" s="669"/>
      <c r="J1193" s="352"/>
      <c r="K1193" s="271" t="str">
        <f t="shared" si="74"/>
        <v/>
      </c>
      <c r="L1193" s="297"/>
      <c r="M1193" s="334"/>
      <c r="N1193" s="277"/>
      <c r="O1193" s="315"/>
      <c r="P1193" s="344">
        <f t="shared" si="69"/>
        <v>0</v>
      </c>
      <c r="Q1193" s="321"/>
      <c r="R1193" s="672" t="b">
        <v>0</v>
      </c>
      <c r="S1193" s="318"/>
      <c r="T1193" s="319"/>
      <c r="U1193" s="315"/>
      <c r="V1193" s="162"/>
      <c r="W1193" s="149"/>
      <c r="X1193" s="163"/>
      <c r="Y1193" s="162"/>
      <c r="Z1193" s="164"/>
      <c r="AA1193" s="116"/>
      <c r="AB1193" s="116"/>
      <c r="AC1193" s="165"/>
      <c r="AD1193" s="675" t="str">
        <f t="shared" si="76"/>
        <v/>
      </c>
      <c r="AE1193" s="166"/>
      <c r="AF1193" s="149" t="b">
        <v>0</v>
      </c>
      <c r="AG1193" s="166"/>
      <c r="AH1193" s="149" t="b">
        <v>0</v>
      </c>
      <c r="AI1193" s="162"/>
      <c r="AJ1193" s="143"/>
      <c r="AK1193" s="143"/>
      <c r="AL1193" s="1112"/>
      <c r="AM1193" s="1112"/>
      <c r="AN1193" s="1112"/>
      <c r="AO1193" s="1112"/>
      <c r="AP1193" s="1112"/>
      <c r="AQ1193" s="1112"/>
    </row>
    <row r="1194" ht="22.5" customHeight="1">
      <c r="A1194" s="166"/>
      <c r="B1194" s="1111"/>
      <c r="C1194" s="524"/>
      <c r="D1194" s="1110"/>
      <c r="E1194" s="669"/>
      <c r="F1194" s="524"/>
      <c r="G1194" s="165"/>
      <c r="H1194" s="669"/>
      <c r="I1194" s="669"/>
      <c r="J1194" s="352"/>
      <c r="K1194" s="271" t="str">
        <f t="shared" si="74"/>
        <v/>
      </c>
      <c r="L1194" s="297"/>
      <c r="M1194" s="334"/>
      <c r="N1194" s="277"/>
      <c r="O1194" s="315"/>
      <c r="P1194" s="344">
        <f t="shared" si="69"/>
        <v>0</v>
      </c>
      <c r="Q1194" s="321"/>
      <c r="R1194" s="672" t="b">
        <v>0</v>
      </c>
      <c r="S1194" s="318"/>
      <c r="T1194" s="319"/>
      <c r="U1194" s="315"/>
      <c r="V1194" s="162"/>
      <c r="W1194" s="149"/>
      <c r="X1194" s="163"/>
      <c r="Y1194" s="162"/>
      <c r="Z1194" s="164"/>
      <c r="AA1194" s="116"/>
      <c r="AB1194" s="116"/>
      <c r="AC1194" s="165"/>
      <c r="AD1194" s="675" t="str">
        <f t="shared" si="76"/>
        <v/>
      </c>
      <c r="AE1194" s="166"/>
      <c r="AF1194" s="149" t="b">
        <v>0</v>
      </c>
      <c r="AG1194" s="166"/>
      <c r="AH1194" s="149" t="b">
        <v>0</v>
      </c>
      <c r="AI1194" s="162"/>
      <c r="AJ1194" s="143"/>
      <c r="AK1194" s="143"/>
      <c r="AL1194" s="1112"/>
      <c r="AM1194" s="1112"/>
      <c r="AN1194" s="1112"/>
      <c r="AO1194" s="1112"/>
      <c r="AP1194" s="1112"/>
      <c r="AQ1194" s="1112"/>
    </row>
    <row r="1195" ht="22.5" customHeight="1">
      <c r="A1195" s="166"/>
      <c r="B1195" s="1111"/>
      <c r="C1195" s="524"/>
      <c r="D1195" s="1110"/>
      <c r="E1195" s="669"/>
      <c r="F1195" s="524"/>
      <c r="G1195" s="165"/>
      <c r="H1195" s="669"/>
      <c r="I1195" s="669"/>
      <c r="J1195" s="352"/>
      <c r="K1195" s="271" t="str">
        <f t="shared" si="74"/>
        <v/>
      </c>
      <c r="L1195" s="297"/>
      <c r="M1195" s="334"/>
      <c r="N1195" s="277"/>
      <c r="O1195" s="315"/>
      <c r="P1195" s="344">
        <f t="shared" si="69"/>
        <v>0</v>
      </c>
      <c r="Q1195" s="321"/>
      <c r="R1195" s="672" t="b">
        <v>0</v>
      </c>
      <c r="S1195" s="318"/>
      <c r="T1195" s="319"/>
      <c r="U1195" s="315"/>
      <c r="V1195" s="162"/>
      <c r="W1195" s="149"/>
      <c r="X1195" s="163"/>
      <c r="Y1195" s="162"/>
      <c r="Z1195" s="164"/>
      <c r="AA1195" s="116"/>
      <c r="AB1195" s="116"/>
      <c r="AC1195" s="165"/>
      <c r="AD1195" s="675" t="str">
        <f t="shared" si="76"/>
        <v/>
      </c>
      <c r="AE1195" s="166"/>
      <c r="AF1195" s="149" t="b">
        <v>0</v>
      </c>
      <c r="AG1195" s="166"/>
      <c r="AH1195" s="149" t="b">
        <v>0</v>
      </c>
      <c r="AI1195" s="162"/>
      <c r="AJ1195" s="143"/>
      <c r="AK1195" s="143"/>
      <c r="AL1195" s="1112"/>
      <c r="AM1195" s="1112"/>
      <c r="AN1195" s="1112"/>
      <c r="AO1195" s="1112"/>
      <c r="AP1195" s="1112"/>
      <c r="AQ1195" s="1112"/>
    </row>
    <row r="1196" ht="22.5" customHeight="1">
      <c r="A1196" s="166"/>
      <c r="B1196" s="1111"/>
      <c r="C1196" s="524"/>
      <c r="D1196" s="1110"/>
      <c r="E1196" s="669"/>
      <c r="F1196" s="524"/>
      <c r="G1196" s="165"/>
      <c r="H1196" s="669"/>
      <c r="I1196" s="669"/>
      <c r="J1196" s="352"/>
      <c r="K1196" s="271" t="str">
        <f t="shared" si="74"/>
        <v/>
      </c>
      <c r="L1196" s="297"/>
      <c r="M1196" s="334"/>
      <c r="N1196" s="277"/>
      <c r="O1196" s="315"/>
      <c r="P1196" s="344">
        <f t="shared" si="69"/>
        <v>0</v>
      </c>
      <c r="Q1196" s="321"/>
      <c r="R1196" s="672" t="b">
        <v>0</v>
      </c>
      <c r="S1196" s="318"/>
      <c r="T1196" s="319"/>
      <c r="U1196" s="315"/>
      <c r="V1196" s="162"/>
      <c r="W1196" s="149"/>
      <c r="X1196" s="163"/>
      <c r="Y1196" s="162"/>
      <c r="Z1196" s="164"/>
      <c r="AA1196" s="116"/>
      <c r="AB1196" s="116"/>
      <c r="AC1196" s="165"/>
      <c r="AD1196" s="675" t="str">
        <f t="shared" si="76"/>
        <v/>
      </c>
      <c r="AE1196" s="166"/>
      <c r="AF1196" s="149" t="b">
        <v>0</v>
      </c>
      <c r="AG1196" s="166"/>
      <c r="AH1196" s="149" t="b">
        <v>0</v>
      </c>
      <c r="AI1196" s="162"/>
      <c r="AJ1196" s="143"/>
      <c r="AK1196" s="143"/>
      <c r="AL1196" s="1112"/>
      <c r="AM1196" s="1112"/>
      <c r="AN1196" s="1112"/>
      <c r="AO1196" s="1112"/>
      <c r="AP1196" s="1112"/>
      <c r="AQ1196" s="1112"/>
    </row>
    <row r="1197" ht="22.5" customHeight="1">
      <c r="A1197" s="166"/>
      <c r="B1197" s="1111"/>
      <c r="C1197" s="524"/>
      <c r="D1197" s="1110"/>
      <c r="E1197" s="669"/>
      <c r="F1197" s="524"/>
      <c r="G1197" s="165"/>
      <c r="H1197" s="669"/>
      <c r="I1197" s="669"/>
      <c r="J1197" s="352"/>
      <c r="K1197" s="271" t="str">
        <f t="shared" si="74"/>
        <v/>
      </c>
      <c r="L1197" s="297"/>
      <c r="M1197" s="334"/>
      <c r="N1197" s="277"/>
      <c r="O1197" s="315"/>
      <c r="P1197" s="344">
        <f t="shared" si="69"/>
        <v>0</v>
      </c>
      <c r="Q1197" s="321"/>
      <c r="R1197" s="672" t="b">
        <v>0</v>
      </c>
      <c r="S1197" s="318"/>
      <c r="T1197" s="319"/>
      <c r="U1197" s="315"/>
      <c r="V1197" s="162"/>
      <c r="W1197" s="149"/>
      <c r="X1197" s="163"/>
      <c r="Y1197" s="162"/>
      <c r="Z1197" s="164"/>
      <c r="AA1197" s="116"/>
      <c r="AB1197" s="116"/>
      <c r="AC1197" s="165"/>
      <c r="AD1197" s="675" t="str">
        <f t="shared" si="76"/>
        <v/>
      </c>
      <c r="AE1197" s="166"/>
      <c r="AF1197" s="149" t="b">
        <v>0</v>
      </c>
      <c r="AG1197" s="166"/>
      <c r="AH1197" s="149" t="b">
        <v>0</v>
      </c>
      <c r="AI1197" s="162"/>
      <c r="AJ1197" s="143"/>
      <c r="AK1197" s="143"/>
      <c r="AL1197" s="1112"/>
      <c r="AM1197" s="1112"/>
      <c r="AN1197" s="1112"/>
      <c r="AO1197" s="1112"/>
      <c r="AP1197" s="1112"/>
      <c r="AQ1197" s="1112"/>
    </row>
    <row r="1198" ht="22.5" customHeight="1">
      <c r="A1198" s="166"/>
      <c r="B1198" s="1111"/>
      <c r="C1198" s="524"/>
      <c r="D1198" s="1110"/>
      <c r="E1198" s="669"/>
      <c r="F1198" s="524"/>
      <c r="G1198" s="165"/>
      <c r="H1198" s="669"/>
      <c r="I1198" s="669"/>
      <c r="J1198" s="352"/>
      <c r="K1198" s="271" t="str">
        <f t="shared" si="74"/>
        <v/>
      </c>
      <c r="L1198" s="297"/>
      <c r="M1198" s="334"/>
      <c r="N1198" s="277"/>
      <c r="O1198" s="315"/>
      <c r="P1198" s="344">
        <f t="shared" si="69"/>
        <v>0</v>
      </c>
      <c r="Q1198" s="321"/>
      <c r="R1198" s="672" t="b">
        <v>0</v>
      </c>
      <c r="S1198" s="318"/>
      <c r="T1198" s="319"/>
      <c r="U1198" s="315"/>
      <c r="V1198" s="162"/>
      <c r="W1198" s="149"/>
      <c r="X1198" s="163"/>
      <c r="Y1198" s="162"/>
      <c r="Z1198" s="164"/>
      <c r="AA1198" s="116"/>
      <c r="AB1198" s="116"/>
      <c r="AC1198" s="165"/>
      <c r="AD1198" s="675" t="str">
        <f t="shared" si="76"/>
        <v/>
      </c>
      <c r="AE1198" s="166"/>
      <c r="AF1198" s="149" t="b">
        <v>0</v>
      </c>
      <c r="AG1198" s="166"/>
      <c r="AH1198" s="149" t="b">
        <v>0</v>
      </c>
      <c r="AI1198" s="162"/>
      <c r="AJ1198" s="143"/>
      <c r="AK1198" s="143"/>
      <c r="AL1198" s="1112"/>
      <c r="AM1198" s="1112"/>
      <c r="AN1198" s="1112"/>
      <c r="AO1198" s="1112"/>
      <c r="AP1198" s="1112"/>
      <c r="AQ1198" s="1112"/>
    </row>
    <row r="1199" ht="22.5" customHeight="1">
      <c r="A1199" s="166"/>
      <c r="B1199" s="1111"/>
      <c r="C1199" s="524"/>
      <c r="D1199" s="1110"/>
      <c r="E1199" s="669"/>
      <c r="F1199" s="524"/>
      <c r="G1199" s="165"/>
      <c r="H1199" s="669"/>
      <c r="I1199" s="669"/>
      <c r="J1199" s="352"/>
      <c r="K1199" s="271" t="str">
        <f t="shared" si="74"/>
        <v/>
      </c>
      <c r="L1199" s="297"/>
      <c r="M1199" s="334"/>
      <c r="N1199" s="277"/>
      <c r="O1199" s="315"/>
      <c r="P1199" s="344">
        <f t="shared" si="69"/>
        <v>0</v>
      </c>
      <c r="Q1199" s="321"/>
      <c r="R1199" s="672" t="b">
        <v>0</v>
      </c>
      <c r="S1199" s="318"/>
      <c r="T1199" s="319"/>
      <c r="U1199" s="315"/>
      <c r="V1199" s="162"/>
      <c r="W1199" s="149"/>
      <c r="X1199" s="163"/>
      <c r="Y1199" s="162"/>
      <c r="Z1199" s="164"/>
      <c r="AA1199" s="116"/>
      <c r="AB1199" s="116"/>
      <c r="AC1199" s="165"/>
      <c r="AD1199" s="675" t="str">
        <f t="shared" si="76"/>
        <v/>
      </c>
      <c r="AE1199" s="166"/>
      <c r="AF1199" s="149" t="b">
        <v>0</v>
      </c>
      <c r="AG1199" s="166"/>
      <c r="AH1199" s="149" t="b">
        <v>0</v>
      </c>
      <c r="AI1199" s="162"/>
      <c r="AJ1199" s="143"/>
      <c r="AK1199" s="143"/>
      <c r="AL1199" s="1112"/>
      <c r="AM1199" s="1112"/>
      <c r="AN1199" s="1112"/>
      <c r="AO1199" s="1112"/>
      <c r="AP1199" s="1112"/>
      <c r="AQ1199" s="1112"/>
    </row>
    <row r="1200" ht="22.5" customHeight="1">
      <c r="A1200" s="166"/>
      <c r="B1200" s="1111"/>
      <c r="C1200" s="524"/>
      <c r="D1200" s="1110"/>
      <c r="E1200" s="669"/>
      <c r="F1200" s="524"/>
      <c r="G1200" s="165"/>
      <c r="H1200" s="669"/>
      <c r="I1200" s="669"/>
      <c r="J1200" s="352"/>
      <c r="K1200" s="271" t="str">
        <f t="shared" si="74"/>
        <v/>
      </c>
      <c r="L1200" s="297"/>
      <c r="M1200" s="334"/>
      <c r="N1200" s="277"/>
      <c r="O1200" s="315"/>
      <c r="P1200" s="344">
        <f t="shared" si="69"/>
        <v>0</v>
      </c>
      <c r="Q1200" s="321"/>
      <c r="R1200" s="672" t="b">
        <v>0</v>
      </c>
      <c r="S1200" s="318"/>
      <c r="T1200" s="319"/>
      <c r="U1200" s="315"/>
      <c r="V1200" s="162"/>
      <c r="W1200" s="149"/>
      <c r="X1200" s="163"/>
      <c r="Y1200" s="162"/>
      <c r="Z1200" s="164"/>
      <c r="AA1200" s="116"/>
      <c r="AB1200" s="116"/>
      <c r="AC1200" s="165"/>
      <c r="AD1200" s="675" t="str">
        <f t="shared" si="76"/>
        <v/>
      </c>
      <c r="AE1200" s="166"/>
      <c r="AF1200" s="149" t="b">
        <v>0</v>
      </c>
      <c r="AG1200" s="166"/>
      <c r="AH1200" s="149" t="b">
        <v>0</v>
      </c>
      <c r="AI1200" s="162"/>
      <c r="AJ1200" s="143"/>
      <c r="AK1200" s="143"/>
      <c r="AL1200" s="1112"/>
      <c r="AM1200" s="1112"/>
      <c r="AN1200" s="1112"/>
      <c r="AO1200" s="1112"/>
      <c r="AP1200" s="1112"/>
      <c r="AQ1200" s="1112"/>
    </row>
    <row r="1201" ht="22.5" customHeight="1">
      <c r="A1201" s="166"/>
      <c r="B1201" s="1111"/>
      <c r="C1201" s="524"/>
      <c r="D1201" s="1110"/>
      <c r="E1201" s="669"/>
      <c r="F1201" s="524"/>
      <c r="G1201" s="165"/>
      <c r="H1201" s="669"/>
      <c r="I1201" s="669"/>
      <c r="J1201" s="352"/>
      <c r="K1201" s="271" t="str">
        <f t="shared" si="74"/>
        <v/>
      </c>
      <c r="L1201" s="297"/>
      <c r="M1201" s="334"/>
      <c r="N1201" s="277"/>
      <c r="O1201" s="315"/>
      <c r="P1201" s="344">
        <f t="shared" si="69"/>
        <v>0</v>
      </c>
      <c r="Q1201" s="321"/>
      <c r="R1201" s="672" t="b">
        <v>0</v>
      </c>
      <c r="S1201" s="318"/>
      <c r="T1201" s="319"/>
      <c r="U1201" s="315"/>
      <c r="V1201" s="162"/>
      <c r="W1201" s="149"/>
      <c r="X1201" s="163"/>
      <c r="Y1201" s="162"/>
      <c r="Z1201" s="164"/>
      <c r="AA1201" s="116"/>
      <c r="AB1201" s="116"/>
      <c r="AC1201" s="165"/>
      <c r="AD1201" s="675" t="str">
        <f t="shared" si="76"/>
        <v/>
      </c>
      <c r="AE1201" s="166"/>
      <c r="AF1201" s="149" t="b">
        <v>0</v>
      </c>
      <c r="AG1201" s="166"/>
      <c r="AH1201" s="149" t="b">
        <v>0</v>
      </c>
      <c r="AI1201" s="162"/>
      <c r="AJ1201" s="143"/>
      <c r="AK1201" s="143"/>
      <c r="AL1201" s="1112"/>
      <c r="AM1201" s="1112"/>
      <c r="AN1201" s="1112"/>
      <c r="AO1201" s="1112"/>
      <c r="AP1201" s="1112"/>
      <c r="AQ1201" s="1112"/>
    </row>
    <row r="1202" ht="22.5" customHeight="1">
      <c r="A1202" s="166"/>
      <c r="B1202" s="1111"/>
      <c r="C1202" s="524"/>
      <c r="D1202" s="1110"/>
      <c r="E1202" s="669"/>
      <c r="F1202" s="524"/>
      <c r="G1202" s="165"/>
      <c r="H1202" s="669"/>
      <c r="I1202" s="669"/>
      <c r="J1202" s="352"/>
      <c r="K1202" s="271" t="str">
        <f t="shared" si="74"/>
        <v/>
      </c>
      <c r="L1202" s="297"/>
      <c r="M1202" s="334"/>
      <c r="N1202" s="277"/>
      <c r="O1202" s="315"/>
      <c r="P1202" s="344">
        <f t="shared" si="69"/>
        <v>0</v>
      </c>
      <c r="Q1202" s="321"/>
      <c r="R1202" s="672" t="b">
        <v>0</v>
      </c>
      <c r="S1202" s="318"/>
      <c r="T1202" s="319"/>
      <c r="U1202" s="315"/>
      <c r="V1202" s="162"/>
      <c r="W1202" s="149"/>
      <c r="X1202" s="163"/>
      <c r="Y1202" s="162"/>
      <c r="Z1202" s="164"/>
      <c r="AA1202" s="116"/>
      <c r="AB1202" s="116"/>
      <c r="AC1202" s="165"/>
      <c r="AD1202" s="675" t="str">
        <f t="shared" si="76"/>
        <v/>
      </c>
      <c r="AE1202" s="166"/>
      <c r="AF1202" s="149" t="b">
        <v>0</v>
      </c>
      <c r="AG1202" s="166"/>
      <c r="AH1202" s="149" t="b">
        <v>0</v>
      </c>
      <c r="AI1202" s="162"/>
      <c r="AJ1202" s="143"/>
      <c r="AK1202" s="143"/>
      <c r="AL1202" s="1112"/>
      <c r="AM1202" s="1112"/>
      <c r="AN1202" s="1112"/>
      <c r="AO1202" s="1112"/>
      <c r="AP1202" s="1112"/>
      <c r="AQ1202" s="1112"/>
    </row>
    <row r="1203" ht="22.5" customHeight="1">
      <c r="A1203" s="166"/>
      <c r="B1203" s="1111"/>
      <c r="C1203" s="524"/>
      <c r="D1203" s="1110"/>
      <c r="E1203" s="669"/>
      <c r="F1203" s="524"/>
      <c r="G1203" s="165"/>
      <c r="H1203" s="669"/>
      <c r="I1203" s="669"/>
      <c r="J1203" s="352"/>
      <c r="K1203" s="271" t="str">
        <f t="shared" si="74"/>
        <v/>
      </c>
      <c r="L1203" s="297"/>
      <c r="M1203" s="334"/>
      <c r="N1203" s="277"/>
      <c r="O1203" s="315"/>
      <c r="P1203" s="344">
        <f t="shared" si="69"/>
        <v>0</v>
      </c>
      <c r="Q1203" s="321"/>
      <c r="R1203" s="672" t="b">
        <v>0</v>
      </c>
      <c r="S1203" s="318"/>
      <c r="T1203" s="319"/>
      <c r="U1203" s="315"/>
      <c r="V1203" s="162"/>
      <c r="W1203" s="149"/>
      <c r="X1203" s="163"/>
      <c r="Y1203" s="162"/>
      <c r="Z1203" s="164"/>
      <c r="AA1203" s="116"/>
      <c r="AB1203" s="116"/>
      <c r="AC1203" s="165"/>
      <c r="AD1203" s="675" t="str">
        <f t="shared" si="76"/>
        <v/>
      </c>
      <c r="AE1203" s="166"/>
      <c r="AF1203" s="149" t="b">
        <v>0</v>
      </c>
      <c r="AG1203" s="166"/>
      <c r="AH1203" s="149" t="b">
        <v>0</v>
      </c>
      <c r="AI1203" s="162"/>
      <c r="AJ1203" s="143"/>
      <c r="AK1203" s="143"/>
      <c r="AL1203" s="1112"/>
      <c r="AM1203" s="1112"/>
      <c r="AN1203" s="1112"/>
      <c r="AO1203" s="1112"/>
      <c r="AP1203" s="1112"/>
      <c r="AQ1203" s="1112"/>
    </row>
    <row r="1204" ht="22.5" customHeight="1">
      <c r="A1204" s="166"/>
      <c r="B1204" s="1111"/>
      <c r="C1204" s="524"/>
      <c r="D1204" s="1110"/>
      <c r="E1204" s="669"/>
      <c r="F1204" s="524"/>
      <c r="G1204" s="165"/>
      <c r="H1204" s="669"/>
      <c r="I1204" s="669"/>
      <c r="J1204" s="352"/>
      <c r="K1204" s="271" t="str">
        <f t="shared" si="74"/>
        <v/>
      </c>
      <c r="L1204" s="297"/>
      <c r="M1204" s="334"/>
      <c r="N1204" s="277"/>
      <c r="O1204" s="315"/>
      <c r="P1204" s="344">
        <f t="shared" si="69"/>
        <v>0</v>
      </c>
      <c r="Q1204" s="321"/>
      <c r="R1204" s="672" t="b">
        <v>0</v>
      </c>
      <c r="S1204" s="318"/>
      <c r="T1204" s="319"/>
      <c r="U1204" s="315"/>
      <c r="V1204" s="162"/>
      <c r="W1204" s="149"/>
      <c r="X1204" s="163"/>
      <c r="Y1204" s="162"/>
      <c r="Z1204" s="164"/>
      <c r="AA1204" s="116"/>
      <c r="AB1204" s="116"/>
      <c r="AC1204" s="165"/>
      <c r="AD1204" s="675" t="str">
        <f t="shared" si="76"/>
        <v/>
      </c>
      <c r="AE1204" s="166"/>
      <c r="AF1204" s="149" t="b">
        <v>0</v>
      </c>
      <c r="AG1204" s="166"/>
      <c r="AH1204" s="149" t="b">
        <v>0</v>
      </c>
      <c r="AI1204" s="162"/>
      <c r="AJ1204" s="143"/>
      <c r="AK1204" s="143"/>
      <c r="AL1204" s="1112"/>
      <c r="AM1204" s="1112"/>
      <c r="AN1204" s="1112"/>
      <c r="AO1204" s="1112"/>
      <c r="AP1204" s="1112"/>
      <c r="AQ1204" s="1112"/>
    </row>
    <row r="1205" ht="22.5" customHeight="1">
      <c r="A1205" s="166"/>
      <c r="B1205" s="1111"/>
      <c r="C1205" s="524"/>
      <c r="D1205" s="1110"/>
      <c r="E1205" s="669"/>
      <c r="F1205" s="524"/>
      <c r="G1205" s="165"/>
      <c r="H1205" s="669"/>
      <c r="I1205" s="669"/>
      <c r="J1205" s="352"/>
      <c r="K1205" s="271" t="str">
        <f t="shared" si="74"/>
        <v/>
      </c>
      <c r="L1205" s="297"/>
      <c r="M1205" s="334"/>
      <c r="N1205" s="277"/>
      <c r="O1205" s="315"/>
      <c r="P1205" s="344">
        <f t="shared" si="69"/>
        <v>0</v>
      </c>
      <c r="Q1205" s="321"/>
      <c r="R1205" s="672" t="b">
        <v>0</v>
      </c>
      <c r="S1205" s="318"/>
      <c r="T1205" s="319"/>
      <c r="U1205" s="315"/>
      <c r="V1205" s="162"/>
      <c r="W1205" s="149"/>
      <c r="X1205" s="163"/>
      <c r="Y1205" s="162"/>
      <c r="Z1205" s="164"/>
      <c r="AA1205" s="116"/>
      <c r="AB1205" s="116"/>
      <c r="AC1205" s="165"/>
      <c r="AD1205" s="675" t="str">
        <f t="shared" si="76"/>
        <v/>
      </c>
      <c r="AE1205" s="166"/>
      <c r="AF1205" s="149" t="b">
        <v>0</v>
      </c>
      <c r="AG1205" s="166"/>
      <c r="AH1205" s="149" t="b">
        <v>0</v>
      </c>
      <c r="AI1205" s="162"/>
      <c r="AJ1205" s="143"/>
      <c r="AK1205" s="143"/>
      <c r="AL1205" s="1112"/>
      <c r="AM1205" s="1112"/>
      <c r="AN1205" s="1112"/>
      <c r="AO1205" s="1112"/>
      <c r="AP1205" s="1112"/>
      <c r="AQ1205" s="1112"/>
    </row>
    <row r="1206" ht="22.5" customHeight="1">
      <c r="A1206" s="166"/>
      <c r="B1206" s="1111"/>
      <c r="C1206" s="524"/>
      <c r="D1206" s="1110"/>
      <c r="E1206" s="669"/>
      <c r="F1206" s="524"/>
      <c r="G1206" s="165"/>
      <c r="H1206" s="669"/>
      <c r="I1206" s="669"/>
      <c r="J1206" s="352"/>
      <c r="K1206" s="271" t="str">
        <f t="shared" si="74"/>
        <v/>
      </c>
      <c r="L1206" s="297"/>
      <c r="M1206" s="334"/>
      <c r="N1206" s="277"/>
      <c r="O1206" s="315"/>
      <c r="P1206" s="344">
        <f t="shared" si="69"/>
        <v>0</v>
      </c>
      <c r="Q1206" s="321"/>
      <c r="R1206" s="672" t="b">
        <v>0</v>
      </c>
      <c r="S1206" s="318"/>
      <c r="T1206" s="319"/>
      <c r="U1206" s="315"/>
      <c r="V1206" s="162"/>
      <c r="W1206" s="149"/>
      <c r="X1206" s="163"/>
      <c r="Y1206" s="162"/>
      <c r="Z1206" s="164"/>
      <c r="AA1206" s="116"/>
      <c r="AB1206" s="116"/>
      <c r="AC1206" s="165"/>
      <c r="AD1206" s="675" t="str">
        <f t="shared" si="76"/>
        <v/>
      </c>
      <c r="AE1206" s="166"/>
      <c r="AF1206" s="149" t="b">
        <v>0</v>
      </c>
      <c r="AG1206" s="166"/>
      <c r="AH1206" s="149" t="b">
        <v>0</v>
      </c>
      <c r="AI1206" s="162"/>
      <c r="AJ1206" s="143"/>
      <c r="AK1206" s="143"/>
      <c r="AL1206" s="1112"/>
      <c r="AM1206" s="1112"/>
      <c r="AN1206" s="1112"/>
      <c r="AO1206" s="1112"/>
      <c r="AP1206" s="1112"/>
      <c r="AQ1206" s="1112"/>
    </row>
    <row r="1207" ht="22.5" customHeight="1">
      <c r="A1207" s="166"/>
      <c r="B1207" s="1111"/>
      <c r="C1207" s="524"/>
      <c r="D1207" s="1110"/>
      <c r="E1207" s="669"/>
      <c r="F1207" s="524"/>
      <c r="G1207" s="165"/>
      <c r="H1207" s="669"/>
      <c r="I1207" s="669"/>
      <c r="J1207" s="352"/>
      <c r="K1207" s="271" t="str">
        <f t="shared" si="74"/>
        <v/>
      </c>
      <c r="L1207" s="297"/>
      <c r="M1207" s="334"/>
      <c r="N1207" s="277"/>
      <c r="O1207" s="315"/>
      <c r="P1207" s="344">
        <f t="shared" si="69"/>
        <v>0</v>
      </c>
      <c r="Q1207" s="321"/>
      <c r="R1207" s="672" t="b">
        <v>0</v>
      </c>
      <c r="S1207" s="318"/>
      <c r="T1207" s="319"/>
      <c r="U1207" s="315"/>
      <c r="V1207" s="162"/>
      <c r="W1207" s="149"/>
      <c r="X1207" s="163"/>
      <c r="Y1207" s="162"/>
      <c r="Z1207" s="164"/>
      <c r="AA1207" s="116"/>
      <c r="AB1207" s="116"/>
      <c r="AC1207" s="165"/>
      <c r="AD1207" s="675" t="str">
        <f t="shared" si="76"/>
        <v/>
      </c>
      <c r="AE1207" s="166"/>
      <c r="AF1207" s="149" t="b">
        <v>0</v>
      </c>
      <c r="AG1207" s="166"/>
      <c r="AH1207" s="149" t="b">
        <v>0</v>
      </c>
      <c r="AI1207" s="162"/>
      <c r="AJ1207" s="143"/>
      <c r="AK1207" s="143"/>
      <c r="AL1207" s="1112"/>
      <c r="AM1207" s="1112"/>
      <c r="AN1207" s="1112"/>
      <c r="AO1207" s="1112"/>
      <c r="AP1207" s="1112"/>
      <c r="AQ1207" s="1112"/>
    </row>
    <row r="1208" ht="22.5" customHeight="1">
      <c r="A1208" s="166"/>
      <c r="B1208" s="1111"/>
      <c r="C1208" s="524"/>
      <c r="D1208" s="1110"/>
      <c r="E1208" s="669"/>
      <c r="F1208" s="524"/>
      <c r="G1208" s="165"/>
      <c r="H1208" s="669"/>
      <c r="I1208" s="669"/>
      <c r="J1208" s="352"/>
      <c r="K1208" s="271" t="str">
        <f t="shared" si="74"/>
        <v/>
      </c>
      <c r="L1208" s="297"/>
      <c r="M1208" s="334"/>
      <c r="N1208" s="277"/>
      <c r="O1208" s="315"/>
      <c r="P1208" s="344">
        <f t="shared" si="69"/>
        <v>0</v>
      </c>
      <c r="Q1208" s="321"/>
      <c r="R1208" s="672" t="b">
        <v>0</v>
      </c>
      <c r="S1208" s="318"/>
      <c r="T1208" s="319"/>
      <c r="U1208" s="315"/>
      <c r="V1208" s="162"/>
      <c r="W1208" s="149"/>
      <c r="X1208" s="163"/>
      <c r="Y1208" s="162"/>
      <c r="Z1208" s="164"/>
      <c r="AA1208" s="116"/>
      <c r="AB1208" s="116"/>
      <c r="AC1208" s="165"/>
      <c r="AD1208" s="675" t="str">
        <f t="shared" si="76"/>
        <v/>
      </c>
      <c r="AE1208" s="166"/>
      <c r="AF1208" s="149" t="b">
        <v>0</v>
      </c>
      <c r="AG1208" s="166"/>
      <c r="AH1208" s="149" t="b">
        <v>0</v>
      </c>
      <c r="AI1208" s="162"/>
      <c r="AJ1208" s="143"/>
      <c r="AK1208" s="143"/>
      <c r="AL1208" s="1112"/>
      <c r="AM1208" s="1112"/>
      <c r="AN1208" s="1112"/>
      <c r="AO1208" s="1112"/>
      <c r="AP1208" s="1112"/>
      <c r="AQ1208" s="1112"/>
    </row>
    <row r="1209" ht="22.5" customHeight="1">
      <c r="A1209" s="166"/>
      <c r="B1209" s="1111"/>
      <c r="C1209" s="524"/>
      <c r="D1209" s="1110"/>
      <c r="E1209" s="669"/>
      <c r="F1209" s="524"/>
      <c r="G1209" s="165"/>
      <c r="H1209" s="669"/>
      <c r="I1209" s="669"/>
      <c r="J1209" s="352"/>
      <c r="K1209" s="271" t="str">
        <f t="shared" si="74"/>
        <v/>
      </c>
      <c r="L1209" s="297"/>
      <c r="M1209" s="334"/>
      <c r="N1209" s="277"/>
      <c r="O1209" s="315"/>
      <c r="P1209" s="344">
        <f t="shared" si="69"/>
        <v>0</v>
      </c>
      <c r="Q1209" s="321"/>
      <c r="R1209" s="672" t="b">
        <v>0</v>
      </c>
      <c r="S1209" s="318"/>
      <c r="T1209" s="319"/>
      <c r="U1209" s="315"/>
      <c r="V1209" s="162"/>
      <c r="W1209" s="149"/>
      <c r="X1209" s="163"/>
      <c r="Y1209" s="162"/>
      <c r="Z1209" s="164"/>
      <c r="AA1209" s="116"/>
      <c r="AB1209" s="116"/>
      <c r="AC1209" s="165"/>
      <c r="AD1209" s="675" t="str">
        <f t="shared" si="76"/>
        <v/>
      </c>
      <c r="AE1209" s="166"/>
      <c r="AF1209" s="149" t="b">
        <v>0</v>
      </c>
      <c r="AG1209" s="166"/>
      <c r="AH1209" s="149" t="b">
        <v>0</v>
      </c>
      <c r="AI1209" s="162"/>
      <c r="AJ1209" s="143"/>
      <c r="AK1209" s="143"/>
      <c r="AL1209" s="1112"/>
      <c r="AM1209" s="1112"/>
      <c r="AN1209" s="1112"/>
      <c r="AO1209" s="1112"/>
      <c r="AP1209" s="1112"/>
      <c r="AQ1209" s="1112"/>
    </row>
    <row r="1210" ht="22.5" customHeight="1">
      <c r="A1210" s="166"/>
      <c r="B1210" s="1111"/>
      <c r="C1210" s="524"/>
      <c r="D1210" s="1110"/>
      <c r="E1210" s="669"/>
      <c r="F1210" s="524"/>
      <c r="G1210" s="165"/>
      <c r="H1210" s="669"/>
      <c r="I1210" s="669"/>
      <c r="J1210" s="352"/>
      <c r="K1210" s="271" t="str">
        <f t="shared" si="74"/>
        <v/>
      </c>
      <c r="L1210" s="297"/>
      <c r="M1210" s="334"/>
      <c r="N1210" s="277"/>
      <c r="O1210" s="315"/>
      <c r="P1210" s="344">
        <f t="shared" si="69"/>
        <v>0</v>
      </c>
      <c r="Q1210" s="321"/>
      <c r="R1210" s="672" t="b">
        <v>0</v>
      </c>
      <c r="S1210" s="318"/>
      <c r="T1210" s="319"/>
      <c r="U1210" s="315"/>
      <c r="V1210" s="162"/>
      <c r="W1210" s="149"/>
      <c r="X1210" s="163"/>
      <c r="Y1210" s="162"/>
      <c r="Z1210" s="164"/>
      <c r="AA1210" s="116"/>
      <c r="AB1210" s="116"/>
      <c r="AC1210" s="165"/>
      <c r="AD1210" s="675" t="str">
        <f t="shared" si="76"/>
        <v/>
      </c>
      <c r="AE1210" s="166"/>
      <c r="AF1210" s="149" t="b">
        <v>0</v>
      </c>
      <c r="AG1210" s="166"/>
      <c r="AH1210" s="149" t="b">
        <v>0</v>
      </c>
      <c r="AI1210" s="162"/>
      <c r="AJ1210" s="143"/>
      <c r="AK1210" s="143"/>
      <c r="AL1210" s="1112"/>
      <c r="AM1210" s="1112"/>
      <c r="AN1210" s="1112"/>
      <c r="AO1210" s="1112"/>
      <c r="AP1210" s="1112"/>
      <c r="AQ1210" s="1112"/>
    </row>
    <row r="1211" ht="22.5" customHeight="1">
      <c r="A1211" s="166"/>
      <c r="B1211" s="1111"/>
      <c r="C1211" s="524"/>
      <c r="D1211" s="1110"/>
      <c r="E1211" s="669"/>
      <c r="F1211" s="524"/>
      <c r="G1211" s="165"/>
      <c r="H1211" s="669"/>
      <c r="I1211" s="669"/>
      <c r="J1211" s="352"/>
      <c r="K1211" s="271" t="str">
        <f t="shared" si="74"/>
        <v/>
      </c>
      <c r="L1211" s="297"/>
      <c r="M1211" s="334"/>
      <c r="N1211" s="277"/>
      <c r="O1211" s="315"/>
      <c r="P1211" s="344">
        <f t="shared" si="69"/>
        <v>0</v>
      </c>
      <c r="Q1211" s="321"/>
      <c r="R1211" s="672" t="b">
        <v>0</v>
      </c>
      <c r="S1211" s="318"/>
      <c r="T1211" s="319"/>
      <c r="U1211" s="315"/>
      <c r="V1211" s="162"/>
      <c r="W1211" s="149"/>
      <c r="X1211" s="163"/>
      <c r="Y1211" s="162"/>
      <c r="Z1211" s="164"/>
      <c r="AA1211" s="116"/>
      <c r="AB1211" s="116"/>
      <c r="AC1211" s="165"/>
      <c r="AD1211" s="675" t="str">
        <f t="shared" si="76"/>
        <v/>
      </c>
      <c r="AE1211" s="166"/>
      <c r="AF1211" s="149" t="b">
        <v>0</v>
      </c>
      <c r="AG1211" s="166"/>
      <c r="AH1211" s="149" t="b">
        <v>0</v>
      </c>
      <c r="AI1211" s="162"/>
      <c r="AJ1211" s="143"/>
      <c r="AK1211" s="143"/>
      <c r="AL1211" s="1112"/>
      <c r="AM1211" s="1112"/>
      <c r="AN1211" s="1112"/>
      <c r="AO1211" s="1112"/>
      <c r="AP1211" s="1112"/>
      <c r="AQ1211" s="1112"/>
    </row>
    <row r="1212" ht="22.5" customHeight="1">
      <c r="A1212" s="166"/>
      <c r="B1212" s="1111"/>
      <c r="C1212" s="524"/>
      <c r="D1212" s="1110"/>
      <c r="E1212" s="669"/>
      <c r="F1212" s="524"/>
      <c r="G1212" s="165"/>
      <c r="H1212" s="669"/>
      <c r="I1212" s="669"/>
      <c r="J1212" s="352"/>
      <c r="K1212" s="271" t="str">
        <f t="shared" si="74"/>
        <v/>
      </c>
      <c r="L1212" s="297"/>
      <c r="M1212" s="334"/>
      <c r="N1212" s="277"/>
      <c r="O1212" s="315"/>
      <c r="P1212" s="344">
        <f t="shared" si="69"/>
        <v>0</v>
      </c>
      <c r="Q1212" s="321"/>
      <c r="R1212" s="672" t="b">
        <v>0</v>
      </c>
      <c r="S1212" s="318"/>
      <c r="T1212" s="319"/>
      <c r="U1212" s="315"/>
      <c r="V1212" s="162"/>
      <c r="W1212" s="149"/>
      <c r="X1212" s="163"/>
      <c r="Y1212" s="162"/>
      <c r="Z1212" s="164"/>
      <c r="AA1212" s="116"/>
      <c r="AB1212" s="116"/>
      <c r="AC1212" s="165"/>
      <c r="AD1212" s="675" t="str">
        <f t="shared" si="76"/>
        <v/>
      </c>
      <c r="AE1212" s="166"/>
      <c r="AF1212" s="149" t="b">
        <v>0</v>
      </c>
      <c r="AG1212" s="166"/>
      <c r="AH1212" s="149" t="b">
        <v>0</v>
      </c>
      <c r="AI1212" s="162"/>
      <c r="AJ1212" s="143"/>
      <c r="AK1212" s="143"/>
      <c r="AL1212" s="1112"/>
      <c r="AM1212" s="1112"/>
      <c r="AN1212" s="1112"/>
      <c r="AO1212" s="1112"/>
      <c r="AP1212" s="1112"/>
      <c r="AQ1212" s="1112"/>
    </row>
    <row r="1213" ht="22.5" customHeight="1">
      <c r="A1213" s="166"/>
      <c r="B1213" s="1111"/>
      <c r="C1213" s="524"/>
      <c r="D1213" s="1110"/>
      <c r="E1213" s="669"/>
      <c r="F1213" s="524"/>
      <c r="G1213" s="165"/>
      <c r="H1213" s="669"/>
      <c r="I1213" s="669"/>
      <c r="J1213" s="352"/>
      <c r="K1213" s="271" t="str">
        <f t="shared" si="74"/>
        <v/>
      </c>
      <c r="L1213" s="297"/>
      <c r="M1213" s="334"/>
      <c r="N1213" s="277"/>
      <c r="O1213" s="315"/>
      <c r="P1213" s="344">
        <f t="shared" si="69"/>
        <v>0</v>
      </c>
      <c r="Q1213" s="321"/>
      <c r="R1213" s="672" t="b">
        <v>0</v>
      </c>
      <c r="S1213" s="318"/>
      <c r="T1213" s="319"/>
      <c r="U1213" s="315"/>
      <c r="V1213" s="162"/>
      <c r="W1213" s="149"/>
      <c r="X1213" s="163"/>
      <c r="Y1213" s="162"/>
      <c r="Z1213" s="164"/>
      <c r="AA1213" s="116"/>
      <c r="AB1213" s="116"/>
      <c r="AC1213" s="165"/>
      <c r="AD1213" s="675" t="str">
        <f t="shared" si="76"/>
        <v/>
      </c>
      <c r="AE1213" s="166"/>
      <c r="AF1213" s="149" t="b">
        <v>0</v>
      </c>
      <c r="AG1213" s="166"/>
      <c r="AH1213" s="149" t="b">
        <v>0</v>
      </c>
      <c r="AI1213" s="162"/>
      <c r="AJ1213" s="143"/>
      <c r="AK1213" s="143"/>
      <c r="AL1213" s="1112"/>
      <c r="AM1213" s="1112"/>
      <c r="AN1213" s="1112"/>
      <c r="AO1213" s="1112"/>
      <c r="AP1213" s="1112"/>
      <c r="AQ1213" s="1112"/>
    </row>
    <row r="1214" ht="22.5" customHeight="1">
      <c r="A1214" s="166"/>
      <c r="B1214" s="1111"/>
      <c r="C1214" s="524"/>
      <c r="D1214" s="1110"/>
      <c r="E1214" s="669"/>
      <c r="F1214" s="524"/>
      <c r="G1214" s="165"/>
      <c r="H1214" s="669"/>
      <c r="I1214" s="669"/>
      <c r="J1214" s="352"/>
      <c r="K1214" s="271" t="str">
        <f t="shared" si="74"/>
        <v/>
      </c>
      <c r="L1214" s="297"/>
      <c r="M1214" s="334"/>
      <c r="N1214" s="277"/>
      <c r="O1214" s="315"/>
      <c r="P1214" s="344">
        <f t="shared" si="69"/>
        <v>0</v>
      </c>
      <c r="Q1214" s="321"/>
      <c r="R1214" s="672" t="b">
        <v>0</v>
      </c>
      <c r="S1214" s="318"/>
      <c r="T1214" s="319"/>
      <c r="U1214" s="315"/>
      <c r="V1214" s="162"/>
      <c r="W1214" s="149"/>
      <c r="X1214" s="163"/>
      <c r="Y1214" s="162"/>
      <c r="Z1214" s="164"/>
      <c r="AA1214" s="116"/>
      <c r="AB1214" s="116"/>
      <c r="AC1214" s="165"/>
      <c r="AD1214" s="675" t="str">
        <f t="shared" si="76"/>
        <v/>
      </c>
      <c r="AE1214" s="166"/>
      <c r="AF1214" s="149" t="b">
        <v>0</v>
      </c>
      <c r="AG1214" s="166"/>
      <c r="AH1214" s="149" t="b">
        <v>0</v>
      </c>
      <c r="AI1214" s="162"/>
      <c r="AJ1214" s="143"/>
      <c r="AK1214" s="143"/>
      <c r="AL1214" s="1112"/>
      <c r="AM1214" s="1112"/>
      <c r="AN1214" s="1112"/>
      <c r="AO1214" s="1112"/>
      <c r="AP1214" s="1112"/>
      <c r="AQ1214" s="1112"/>
    </row>
    <row r="1215" ht="22.5" customHeight="1">
      <c r="A1215" s="166"/>
      <c r="B1215" s="1111"/>
      <c r="C1215" s="524"/>
      <c r="D1215" s="1110"/>
      <c r="E1215" s="669"/>
      <c r="F1215" s="524"/>
      <c r="G1215" s="165"/>
      <c r="H1215" s="669"/>
      <c r="I1215" s="669"/>
      <c r="J1215" s="352"/>
      <c r="K1215" s="271" t="str">
        <f t="shared" si="74"/>
        <v/>
      </c>
      <c r="L1215" s="297"/>
      <c r="M1215" s="334"/>
      <c r="N1215" s="277"/>
      <c r="O1215" s="315"/>
      <c r="P1215" s="344">
        <f t="shared" si="69"/>
        <v>0</v>
      </c>
      <c r="Q1215" s="321"/>
      <c r="R1215" s="672" t="b">
        <v>0</v>
      </c>
      <c r="S1215" s="318"/>
      <c r="T1215" s="319"/>
      <c r="U1215" s="315"/>
      <c r="V1215" s="162"/>
      <c r="W1215" s="149"/>
      <c r="X1215" s="163"/>
      <c r="Y1215" s="162"/>
      <c r="Z1215" s="164"/>
      <c r="AA1215" s="116"/>
      <c r="AB1215" s="116"/>
      <c r="AC1215" s="165"/>
      <c r="AD1215" s="675" t="str">
        <f t="shared" si="76"/>
        <v/>
      </c>
      <c r="AE1215" s="166"/>
      <c r="AF1215" s="149" t="b">
        <v>0</v>
      </c>
      <c r="AG1215" s="166"/>
      <c r="AH1215" s="149" t="b">
        <v>0</v>
      </c>
      <c r="AI1215" s="162"/>
      <c r="AJ1215" s="143"/>
      <c r="AK1215" s="143"/>
      <c r="AL1215" s="1112"/>
      <c r="AM1215" s="1112"/>
      <c r="AN1215" s="1112"/>
      <c r="AO1215" s="1112"/>
      <c r="AP1215" s="1112"/>
      <c r="AQ1215" s="1112"/>
    </row>
    <row r="1216" ht="22.5" customHeight="1">
      <c r="A1216" s="166"/>
      <c r="B1216" s="1111"/>
      <c r="C1216" s="524"/>
      <c r="D1216" s="1110"/>
      <c r="E1216" s="669"/>
      <c r="F1216" s="524"/>
      <c r="G1216" s="165"/>
      <c r="H1216" s="669"/>
      <c r="I1216" s="669"/>
      <c r="J1216" s="352"/>
      <c r="K1216" s="271" t="str">
        <f t="shared" si="74"/>
        <v/>
      </c>
      <c r="L1216" s="297"/>
      <c r="M1216" s="334"/>
      <c r="N1216" s="277"/>
      <c r="O1216" s="315"/>
      <c r="P1216" s="344">
        <f t="shared" si="69"/>
        <v>0</v>
      </c>
      <c r="Q1216" s="321"/>
      <c r="R1216" s="672" t="b">
        <v>0</v>
      </c>
      <c r="S1216" s="318"/>
      <c r="T1216" s="319"/>
      <c r="U1216" s="315"/>
      <c r="V1216" s="162"/>
      <c r="W1216" s="149"/>
      <c r="X1216" s="163"/>
      <c r="Y1216" s="162"/>
      <c r="Z1216" s="164"/>
      <c r="AA1216" s="116"/>
      <c r="AB1216" s="116"/>
      <c r="AC1216" s="165"/>
      <c r="AD1216" s="675" t="str">
        <f t="shared" si="76"/>
        <v/>
      </c>
      <c r="AE1216" s="166"/>
      <c r="AF1216" s="149" t="b">
        <v>0</v>
      </c>
      <c r="AG1216" s="166"/>
      <c r="AH1216" s="149" t="b">
        <v>0</v>
      </c>
      <c r="AI1216" s="162"/>
      <c r="AJ1216" s="143"/>
      <c r="AK1216" s="143"/>
      <c r="AL1216" s="1112"/>
      <c r="AM1216" s="1112"/>
      <c r="AN1216" s="1112"/>
      <c r="AO1216" s="1112"/>
      <c r="AP1216" s="1112"/>
      <c r="AQ1216" s="1112"/>
    </row>
    <row r="1217" ht="22.5" customHeight="1">
      <c r="A1217" s="166"/>
      <c r="B1217" s="1111"/>
      <c r="C1217" s="524"/>
      <c r="D1217" s="1110"/>
      <c r="E1217" s="669"/>
      <c r="F1217" s="524"/>
      <c r="G1217" s="165"/>
      <c r="H1217" s="669"/>
      <c r="I1217" s="669"/>
      <c r="J1217" s="352"/>
      <c r="K1217" s="271" t="str">
        <f t="shared" si="74"/>
        <v/>
      </c>
      <c r="L1217" s="297"/>
      <c r="M1217" s="334"/>
      <c r="N1217" s="277"/>
      <c r="O1217" s="315"/>
      <c r="P1217" s="344">
        <f t="shared" si="69"/>
        <v>0</v>
      </c>
      <c r="Q1217" s="321"/>
      <c r="R1217" s="672" t="b">
        <v>0</v>
      </c>
      <c r="S1217" s="318"/>
      <c r="T1217" s="319"/>
      <c r="U1217" s="315"/>
      <c r="V1217" s="162"/>
      <c r="W1217" s="149"/>
      <c r="X1217" s="163"/>
      <c r="Y1217" s="162"/>
      <c r="Z1217" s="164"/>
      <c r="AA1217" s="116"/>
      <c r="AB1217" s="116"/>
      <c r="AC1217" s="165"/>
      <c r="AD1217" s="675" t="str">
        <f t="shared" si="76"/>
        <v/>
      </c>
      <c r="AE1217" s="166"/>
      <c r="AF1217" s="149" t="b">
        <v>0</v>
      </c>
      <c r="AG1217" s="166"/>
      <c r="AH1217" s="149" t="b">
        <v>0</v>
      </c>
      <c r="AI1217" s="162"/>
      <c r="AJ1217" s="143"/>
      <c r="AK1217" s="143"/>
      <c r="AL1217" s="1112"/>
      <c r="AM1217" s="1112"/>
      <c r="AN1217" s="1112"/>
      <c r="AO1217" s="1112"/>
      <c r="AP1217" s="1112"/>
      <c r="AQ1217" s="1112"/>
    </row>
    <row r="1218" ht="22.5" customHeight="1">
      <c r="A1218" s="166"/>
      <c r="B1218" s="1111"/>
      <c r="C1218" s="524"/>
      <c r="D1218" s="1110"/>
      <c r="E1218" s="669"/>
      <c r="F1218" s="524"/>
      <c r="G1218" s="165"/>
      <c r="H1218" s="669"/>
      <c r="I1218" s="669"/>
      <c r="J1218" s="352"/>
      <c r="K1218" s="271" t="str">
        <f t="shared" si="74"/>
        <v/>
      </c>
      <c r="L1218" s="297"/>
      <c r="M1218" s="334"/>
      <c r="N1218" s="277"/>
      <c r="O1218" s="315"/>
      <c r="P1218" s="344">
        <f t="shared" si="69"/>
        <v>0</v>
      </c>
      <c r="Q1218" s="321"/>
      <c r="R1218" s="672" t="b">
        <v>0</v>
      </c>
      <c r="S1218" s="318"/>
      <c r="T1218" s="319"/>
      <c r="U1218" s="315"/>
      <c r="V1218" s="162"/>
      <c r="W1218" s="149"/>
      <c r="X1218" s="163"/>
      <c r="Y1218" s="162"/>
      <c r="Z1218" s="164"/>
      <c r="AA1218" s="116"/>
      <c r="AB1218" s="116"/>
      <c r="AC1218" s="165"/>
      <c r="AD1218" s="675" t="str">
        <f t="shared" si="76"/>
        <v/>
      </c>
      <c r="AE1218" s="166"/>
      <c r="AF1218" s="149" t="b">
        <v>0</v>
      </c>
      <c r="AG1218" s="166"/>
      <c r="AH1218" s="149" t="b">
        <v>0</v>
      </c>
      <c r="AI1218" s="162"/>
      <c r="AJ1218" s="143"/>
      <c r="AK1218" s="143"/>
      <c r="AL1218" s="1112"/>
      <c r="AM1218" s="1112"/>
      <c r="AN1218" s="1112"/>
      <c r="AO1218" s="1112"/>
      <c r="AP1218" s="1112"/>
      <c r="AQ1218" s="1112"/>
    </row>
    <row r="1219" ht="22.5" customHeight="1">
      <c r="A1219" s="166"/>
      <c r="B1219" s="1111"/>
      <c r="C1219" s="524"/>
      <c r="D1219" s="1110"/>
      <c r="E1219" s="669"/>
      <c r="F1219" s="524"/>
      <c r="G1219" s="165"/>
      <c r="H1219" s="669"/>
      <c r="I1219" s="669"/>
      <c r="J1219" s="352"/>
      <c r="K1219" s="271" t="str">
        <f t="shared" si="74"/>
        <v/>
      </c>
      <c r="L1219" s="297"/>
      <c r="M1219" s="334"/>
      <c r="N1219" s="277"/>
      <c r="O1219" s="315"/>
      <c r="P1219" s="344">
        <f t="shared" si="69"/>
        <v>0</v>
      </c>
      <c r="Q1219" s="321"/>
      <c r="R1219" s="672" t="b">
        <v>0</v>
      </c>
      <c r="S1219" s="318"/>
      <c r="T1219" s="319"/>
      <c r="U1219" s="315"/>
      <c r="V1219" s="162"/>
      <c r="W1219" s="149"/>
      <c r="X1219" s="163"/>
      <c r="Y1219" s="162"/>
      <c r="Z1219" s="164"/>
      <c r="AA1219" s="116"/>
      <c r="AB1219" s="116"/>
      <c r="AC1219" s="165"/>
      <c r="AD1219" s="675" t="str">
        <f t="shared" si="76"/>
        <v/>
      </c>
      <c r="AE1219" s="166"/>
      <c r="AF1219" s="149" t="b">
        <v>0</v>
      </c>
      <c r="AG1219" s="166"/>
      <c r="AH1219" s="149" t="b">
        <v>0</v>
      </c>
      <c r="AI1219" s="162"/>
      <c r="AJ1219" s="143"/>
      <c r="AK1219" s="143"/>
      <c r="AL1219" s="1112"/>
      <c r="AM1219" s="1112"/>
      <c r="AN1219" s="1112"/>
      <c r="AO1219" s="1112"/>
      <c r="AP1219" s="1112"/>
      <c r="AQ1219" s="1112"/>
    </row>
    <row r="1220" ht="22.5" customHeight="1">
      <c r="A1220" s="166"/>
      <c r="B1220" s="1111"/>
      <c r="C1220" s="524"/>
      <c r="D1220" s="1110"/>
      <c r="E1220" s="669"/>
      <c r="F1220" s="524"/>
      <c r="G1220" s="165"/>
      <c r="H1220" s="669"/>
      <c r="I1220" s="669"/>
      <c r="J1220" s="352"/>
      <c r="K1220" s="271" t="str">
        <f t="shared" si="74"/>
        <v/>
      </c>
      <c r="L1220" s="297"/>
      <c r="M1220" s="334"/>
      <c r="N1220" s="277"/>
      <c r="O1220" s="315"/>
      <c r="P1220" s="344">
        <f t="shared" si="69"/>
        <v>0</v>
      </c>
      <c r="Q1220" s="321"/>
      <c r="R1220" s="672" t="b">
        <v>0</v>
      </c>
      <c r="S1220" s="318"/>
      <c r="T1220" s="319"/>
      <c r="U1220" s="315"/>
      <c r="V1220" s="162"/>
      <c r="W1220" s="149"/>
      <c r="X1220" s="163"/>
      <c r="Y1220" s="162"/>
      <c r="Z1220" s="164"/>
      <c r="AA1220" s="116"/>
      <c r="AB1220" s="116"/>
      <c r="AC1220" s="165"/>
      <c r="AD1220" s="675" t="str">
        <f t="shared" si="76"/>
        <v/>
      </c>
      <c r="AE1220" s="166"/>
      <c r="AF1220" s="149" t="b">
        <v>0</v>
      </c>
      <c r="AG1220" s="166"/>
      <c r="AH1220" s="149" t="b">
        <v>0</v>
      </c>
      <c r="AI1220" s="162"/>
      <c r="AJ1220" s="143"/>
      <c r="AK1220" s="143"/>
      <c r="AL1220" s="1112"/>
      <c r="AM1220" s="1112"/>
      <c r="AN1220" s="1112"/>
      <c r="AO1220" s="1112"/>
      <c r="AP1220" s="1112"/>
      <c r="AQ1220" s="1112"/>
    </row>
    <row r="1221" ht="22.5" customHeight="1">
      <c r="A1221" s="166"/>
      <c r="B1221" s="1111"/>
      <c r="C1221" s="524"/>
      <c r="D1221" s="1110"/>
      <c r="E1221" s="669"/>
      <c r="F1221" s="524"/>
      <c r="G1221" s="165"/>
      <c r="H1221" s="669"/>
      <c r="I1221" s="669"/>
      <c r="J1221" s="352"/>
      <c r="K1221" s="271" t="str">
        <f t="shared" si="74"/>
        <v/>
      </c>
      <c r="L1221" s="297"/>
      <c r="M1221" s="334"/>
      <c r="N1221" s="277"/>
      <c r="O1221" s="315"/>
      <c r="P1221" s="344">
        <f t="shared" si="69"/>
        <v>0</v>
      </c>
      <c r="Q1221" s="321"/>
      <c r="R1221" s="672" t="b">
        <v>0</v>
      </c>
      <c r="S1221" s="318"/>
      <c r="T1221" s="319"/>
      <c r="U1221" s="315"/>
      <c r="V1221" s="162"/>
      <c r="W1221" s="149"/>
      <c r="X1221" s="163"/>
      <c r="Y1221" s="162"/>
      <c r="Z1221" s="164"/>
      <c r="AA1221" s="116"/>
      <c r="AB1221" s="116"/>
      <c r="AC1221" s="165"/>
      <c r="AD1221" s="675" t="str">
        <f t="shared" si="76"/>
        <v/>
      </c>
      <c r="AE1221" s="166"/>
      <c r="AF1221" s="149" t="b">
        <v>0</v>
      </c>
      <c r="AG1221" s="166"/>
      <c r="AH1221" s="149" t="b">
        <v>0</v>
      </c>
      <c r="AI1221" s="162"/>
      <c r="AJ1221" s="143"/>
      <c r="AK1221" s="143"/>
      <c r="AL1221" s="1112"/>
      <c r="AM1221" s="1112"/>
      <c r="AN1221" s="1112"/>
      <c r="AO1221" s="1112"/>
      <c r="AP1221" s="1112"/>
      <c r="AQ1221" s="1112"/>
    </row>
    <row r="1222" ht="22.5" customHeight="1">
      <c r="A1222" s="166"/>
      <c r="B1222" s="1111"/>
      <c r="C1222" s="524"/>
      <c r="D1222" s="1110"/>
      <c r="E1222" s="669"/>
      <c r="F1222" s="524"/>
      <c r="G1222" s="165"/>
      <c r="H1222" s="669"/>
      <c r="I1222" s="669"/>
      <c r="J1222" s="352"/>
      <c r="K1222" s="271" t="str">
        <f t="shared" si="74"/>
        <v/>
      </c>
      <c r="L1222" s="297"/>
      <c r="M1222" s="334"/>
      <c r="N1222" s="277"/>
      <c r="O1222" s="315"/>
      <c r="P1222" s="344">
        <f t="shared" si="69"/>
        <v>0</v>
      </c>
      <c r="Q1222" s="321"/>
      <c r="R1222" s="672" t="b">
        <v>0</v>
      </c>
      <c r="S1222" s="318"/>
      <c r="T1222" s="319"/>
      <c r="U1222" s="315"/>
      <c r="V1222" s="162"/>
      <c r="W1222" s="149"/>
      <c r="X1222" s="163"/>
      <c r="Y1222" s="162"/>
      <c r="Z1222" s="164"/>
      <c r="AA1222" s="116"/>
      <c r="AB1222" s="116"/>
      <c r="AC1222" s="165"/>
      <c r="AD1222" s="675" t="str">
        <f t="shared" si="76"/>
        <v/>
      </c>
      <c r="AE1222" s="166"/>
      <c r="AF1222" s="149" t="b">
        <v>0</v>
      </c>
      <c r="AG1222" s="166"/>
      <c r="AH1222" s="149" t="b">
        <v>0</v>
      </c>
      <c r="AI1222" s="162"/>
      <c r="AJ1222" s="143"/>
      <c r="AK1222" s="143"/>
      <c r="AL1222" s="1112"/>
      <c r="AM1222" s="1112"/>
      <c r="AN1222" s="1112"/>
      <c r="AO1222" s="1112"/>
      <c r="AP1222" s="1112"/>
      <c r="AQ1222" s="1112"/>
    </row>
    <row r="1223" ht="22.5" customHeight="1">
      <c r="A1223" s="166"/>
      <c r="B1223" s="1111"/>
      <c r="C1223" s="524"/>
      <c r="D1223" s="1110"/>
      <c r="E1223" s="669"/>
      <c r="F1223" s="524"/>
      <c r="G1223" s="165"/>
      <c r="H1223" s="669"/>
      <c r="I1223" s="669"/>
      <c r="J1223" s="352"/>
      <c r="K1223" s="271" t="str">
        <f t="shared" si="74"/>
        <v/>
      </c>
      <c r="L1223" s="297"/>
      <c r="M1223" s="334"/>
      <c r="N1223" s="277"/>
      <c r="O1223" s="315"/>
      <c r="P1223" s="344">
        <f t="shared" si="69"/>
        <v>0</v>
      </c>
      <c r="Q1223" s="321"/>
      <c r="R1223" s="672" t="b">
        <v>0</v>
      </c>
      <c r="S1223" s="318"/>
      <c r="T1223" s="319"/>
      <c r="U1223" s="315"/>
      <c r="V1223" s="162"/>
      <c r="W1223" s="149"/>
      <c r="X1223" s="163"/>
      <c r="Y1223" s="162"/>
      <c r="Z1223" s="164"/>
      <c r="AA1223" s="116"/>
      <c r="AB1223" s="116"/>
      <c r="AC1223" s="165"/>
      <c r="AD1223" s="675" t="str">
        <f t="shared" si="76"/>
        <v/>
      </c>
      <c r="AE1223" s="166"/>
      <c r="AF1223" s="149" t="b">
        <v>0</v>
      </c>
      <c r="AG1223" s="166"/>
      <c r="AH1223" s="149" t="b">
        <v>0</v>
      </c>
      <c r="AI1223" s="162"/>
      <c r="AJ1223" s="143"/>
      <c r="AK1223" s="143"/>
      <c r="AL1223" s="1112"/>
      <c r="AM1223" s="1112"/>
      <c r="AN1223" s="1112"/>
      <c r="AO1223" s="1112"/>
      <c r="AP1223" s="1112"/>
      <c r="AQ1223" s="1112"/>
    </row>
    <row r="1224" ht="22.5" customHeight="1">
      <c r="A1224" s="166"/>
      <c r="B1224" s="1111"/>
      <c r="C1224" s="524"/>
      <c r="D1224" s="1110"/>
      <c r="E1224" s="669"/>
      <c r="F1224" s="524"/>
      <c r="G1224" s="165"/>
      <c r="H1224" s="669"/>
      <c r="I1224" s="669"/>
      <c r="J1224" s="352"/>
      <c r="K1224" s="271" t="str">
        <f t="shared" si="74"/>
        <v/>
      </c>
      <c r="L1224" s="297"/>
      <c r="M1224" s="334"/>
      <c r="N1224" s="277"/>
      <c r="O1224" s="315"/>
      <c r="P1224" s="344">
        <f t="shared" si="69"/>
        <v>0</v>
      </c>
      <c r="Q1224" s="321"/>
      <c r="R1224" s="672" t="b">
        <v>0</v>
      </c>
      <c r="S1224" s="318"/>
      <c r="T1224" s="319"/>
      <c r="U1224" s="315"/>
      <c r="V1224" s="162"/>
      <c r="W1224" s="149"/>
      <c r="X1224" s="163"/>
      <c r="Y1224" s="162"/>
      <c r="Z1224" s="164"/>
      <c r="AA1224" s="116"/>
      <c r="AB1224" s="116"/>
      <c r="AC1224" s="165"/>
      <c r="AD1224" s="675" t="str">
        <f t="shared" si="76"/>
        <v/>
      </c>
      <c r="AE1224" s="166"/>
      <c r="AF1224" s="149" t="b">
        <v>0</v>
      </c>
      <c r="AG1224" s="166"/>
      <c r="AH1224" s="149" t="b">
        <v>0</v>
      </c>
      <c r="AI1224" s="162"/>
      <c r="AJ1224" s="143"/>
      <c r="AK1224" s="143"/>
      <c r="AL1224" s="1112"/>
      <c r="AM1224" s="1112"/>
      <c r="AN1224" s="1112"/>
      <c r="AO1224" s="1112"/>
      <c r="AP1224" s="1112"/>
      <c r="AQ1224" s="1112"/>
    </row>
    <row r="1225" ht="22.5" customHeight="1">
      <c r="A1225" s="166"/>
      <c r="B1225" s="1111"/>
      <c r="C1225" s="524"/>
      <c r="D1225" s="1110"/>
      <c r="E1225" s="669"/>
      <c r="F1225" s="524"/>
      <c r="G1225" s="165"/>
      <c r="H1225" s="669"/>
      <c r="I1225" s="669"/>
      <c r="J1225" s="352"/>
      <c r="K1225" s="271" t="str">
        <f t="shared" si="74"/>
        <v/>
      </c>
      <c r="L1225" s="297"/>
      <c r="M1225" s="334"/>
      <c r="N1225" s="277"/>
      <c r="O1225" s="315"/>
      <c r="P1225" s="344">
        <f t="shared" si="69"/>
        <v>0</v>
      </c>
      <c r="Q1225" s="321"/>
      <c r="R1225" s="672" t="b">
        <v>0</v>
      </c>
      <c r="S1225" s="318"/>
      <c r="T1225" s="319"/>
      <c r="U1225" s="315"/>
      <c r="V1225" s="162"/>
      <c r="W1225" s="149"/>
      <c r="X1225" s="163"/>
      <c r="Y1225" s="162"/>
      <c r="Z1225" s="164"/>
      <c r="AA1225" s="116"/>
      <c r="AB1225" s="116"/>
      <c r="AC1225" s="165"/>
      <c r="AD1225" s="675" t="str">
        <f t="shared" si="76"/>
        <v/>
      </c>
      <c r="AE1225" s="166"/>
      <c r="AF1225" s="149" t="b">
        <v>0</v>
      </c>
      <c r="AG1225" s="166"/>
      <c r="AH1225" s="149" t="b">
        <v>0</v>
      </c>
      <c r="AI1225" s="162"/>
      <c r="AJ1225" s="143"/>
      <c r="AK1225" s="143"/>
      <c r="AL1225" s="1112"/>
      <c r="AM1225" s="1112"/>
      <c r="AN1225" s="1112"/>
      <c r="AO1225" s="1112"/>
      <c r="AP1225" s="1112"/>
      <c r="AQ1225" s="1112"/>
    </row>
    <row r="1226" ht="22.5" customHeight="1">
      <c r="A1226" s="166"/>
      <c r="B1226" s="1111"/>
      <c r="C1226" s="524"/>
      <c r="D1226" s="1110"/>
      <c r="E1226" s="669"/>
      <c r="F1226" s="524"/>
      <c r="G1226" s="165"/>
      <c r="H1226" s="669"/>
      <c r="I1226" s="669"/>
      <c r="J1226" s="352"/>
      <c r="K1226" s="271" t="str">
        <f t="shared" si="74"/>
        <v/>
      </c>
      <c r="L1226" s="297"/>
      <c r="M1226" s="334"/>
      <c r="N1226" s="277"/>
      <c r="O1226" s="315"/>
      <c r="P1226" s="344">
        <f t="shared" si="69"/>
        <v>0</v>
      </c>
      <c r="Q1226" s="321"/>
      <c r="R1226" s="672" t="b">
        <v>0</v>
      </c>
      <c r="S1226" s="318"/>
      <c r="T1226" s="319"/>
      <c r="U1226" s="315"/>
      <c r="V1226" s="162"/>
      <c r="W1226" s="149"/>
      <c r="X1226" s="163"/>
      <c r="Y1226" s="162"/>
      <c r="Z1226" s="164"/>
      <c r="AA1226" s="116"/>
      <c r="AB1226" s="116"/>
      <c r="AC1226" s="165"/>
      <c r="AD1226" s="675" t="str">
        <f t="shared" si="76"/>
        <v/>
      </c>
      <c r="AE1226" s="166"/>
      <c r="AF1226" s="149" t="b">
        <v>0</v>
      </c>
      <c r="AG1226" s="166"/>
      <c r="AH1226" s="149" t="b">
        <v>0</v>
      </c>
      <c r="AI1226" s="162"/>
      <c r="AJ1226" s="143"/>
      <c r="AK1226" s="143"/>
      <c r="AL1226" s="1112"/>
      <c r="AM1226" s="1112"/>
      <c r="AN1226" s="1112"/>
      <c r="AO1226" s="1112"/>
      <c r="AP1226" s="1112"/>
      <c r="AQ1226" s="1112"/>
    </row>
    <row r="1227" ht="22.5" customHeight="1">
      <c r="A1227" s="166"/>
      <c r="B1227" s="1111"/>
      <c r="C1227" s="524"/>
      <c r="D1227" s="1110"/>
      <c r="E1227" s="669"/>
      <c r="F1227" s="524"/>
      <c r="G1227" s="165"/>
      <c r="H1227" s="669"/>
      <c r="I1227" s="669"/>
      <c r="J1227" s="352"/>
      <c r="K1227" s="271" t="str">
        <f t="shared" si="74"/>
        <v/>
      </c>
      <c r="L1227" s="297"/>
      <c r="M1227" s="334"/>
      <c r="N1227" s="277"/>
      <c r="O1227" s="315"/>
      <c r="P1227" s="344">
        <f t="shared" si="69"/>
        <v>0</v>
      </c>
      <c r="Q1227" s="321"/>
      <c r="R1227" s="672" t="b">
        <v>0</v>
      </c>
      <c r="S1227" s="318"/>
      <c r="T1227" s="319"/>
      <c r="U1227" s="315"/>
      <c r="V1227" s="162"/>
      <c r="W1227" s="149"/>
      <c r="X1227" s="163"/>
      <c r="Y1227" s="162"/>
      <c r="Z1227" s="164"/>
      <c r="AA1227" s="116"/>
      <c r="AB1227" s="116"/>
      <c r="AC1227" s="165"/>
      <c r="AD1227" s="675" t="str">
        <f t="shared" si="76"/>
        <v/>
      </c>
      <c r="AE1227" s="166"/>
      <c r="AF1227" s="149" t="b">
        <v>0</v>
      </c>
      <c r="AG1227" s="166"/>
      <c r="AH1227" s="149" t="b">
        <v>0</v>
      </c>
      <c r="AI1227" s="162"/>
      <c r="AJ1227" s="143"/>
      <c r="AK1227" s="143"/>
      <c r="AL1227" s="1112"/>
      <c r="AM1227" s="1112"/>
      <c r="AN1227" s="1112"/>
      <c r="AO1227" s="1112"/>
      <c r="AP1227" s="1112"/>
      <c r="AQ1227" s="1112"/>
    </row>
    <row r="1228" ht="22.5" customHeight="1">
      <c r="A1228" s="166"/>
      <c r="B1228" s="1111"/>
      <c r="C1228" s="524"/>
      <c r="D1228" s="1110"/>
      <c r="E1228" s="669"/>
      <c r="F1228" s="524"/>
      <c r="G1228" s="165"/>
      <c r="H1228" s="669"/>
      <c r="I1228" s="669"/>
      <c r="J1228" s="352"/>
      <c r="K1228" s="271" t="str">
        <f t="shared" si="74"/>
        <v/>
      </c>
      <c r="L1228" s="297"/>
      <c r="M1228" s="334"/>
      <c r="N1228" s="277"/>
      <c r="O1228" s="315"/>
      <c r="P1228" s="344">
        <f t="shared" si="69"/>
        <v>0</v>
      </c>
      <c r="Q1228" s="321"/>
      <c r="R1228" s="672" t="b">
        <v>0</v>
      </c>
      <c r="S1228" s="318"/>
      <c r="T1228" s="319"/>
      <c r="U1228" s="315"/>
      <c r="V1228" s="162"/>
      <c r="W1228" s="149"/>
      <c r="X1228" s="163"/>
      <c r="Y1228" s="162"/>
      <c r="Z1228" s="164"/>
      <c r="AA1228" s="116"/>
      <c r="AB1228" s="116"/>
      <c r="AC1228" s="165"/>
      <c r="AD1228" s="675" t="str">
        <f t="shared" si="76"/>
        <v/>
      </c>
      <c r="AE1228" s="166"/>
      <c r="AF1228" s="149" t="b">
        <v>0</v>
      </c>
      <c r="AG1228" s="166"/>
      <c r="AH1228" s="149" t="b">
        <v>0</v>
      </c>
      <c r="AI1228" s="162"/>
      <c r="AJ1228" s="143"/>
      <c r="AK1228" s="143"/>
      <c r="AL1228" s="1112"/>
      <c r="AM1228" s="1112"/>
      <c r="AN1228" s="1112"/>
      <c r="AO1228" s="1112"/>
      <c r="AP1228" s="1112"/>
      <c r="AQ1228" s="1112"/>
    </row>
    <row r="1229" ht="22.5" customHeight="1">
      <c r="A1229" s="166"/>
      <c r="B1229" s="1111"/>
      <c r="C1229" s="524"/>
      <c r="D1229" s="1110"/>
      <c r="E1229" s="669"/>
      <c r="F1229" s="524"/>
      <c r="G1229" s="165"/>
      <c r="H1229" s="669"/>
      <c r="I1229" s="669"/>
      <c r="J1229" s="352"/>
      <c r="K1229" s="271" t="str">
        <f t="shared" si="74"/>
        <v/>
      </c>
      <c r="L1229" s="297"/>
      <c r="M1229" s="334"/>
      <c r="N1229" s="277"/>
      <c r="O1229" s="315"/>
      <c r="P1229" s="344">
        <f t="shared" si="69"/>
        <v>0</v>
      </c>
      <c r="Q1229" s="321"/>
      <c r="R1229" s="672" t="b">
        <v>0</v>
      </c>
      <c r="S1229" s="318"/>
      <c r="T1229" s="319"/>
      <c r="U1229" s="315"/>
      <c r="V1229" s="162"/>
      <c r="W1229" s="149"/>
      <c r="X1229" s="163"/>
      <c r="Y1229" s="162"/>
      <c r="Z1229" s="164"/>
      <c r="AA1229" s="116"/>
      <c r="AB1229" s="116"/>
      <c r="AC1229" s="165"/>
      <c r="AD1229" s="675" t="str">
        <f t="shared" si="76"/>
        <v/>
      </c>
      <c r="AE1229" s="166"/>
      <c r="AF1229" s="149" t="b">
        <v>0</v>
      </c>
      <c r="AG1229" s="166"/>
      <c r="AH1229" s="149" t="b">
        <v>0</v>
      </c>
      <c r="AI1229" s="162"/>
      <c r="AJ1229" s="143"/>
      <c r="AK1229" s="143"/>
      <c r="AL1229" s="1112"/>
      <c r="AM1229" s="1112"/>
      <c r="AN1229" s="1112"/>
      <c r="AO1229" s="1112"/>
      <c r="AP1229" s="1112"/>
      <c r="AQ1229" s="1112"/>
    </row>
    <row r="1230" ht="22.5" customHeight="1">
      <c r="A1230" s="166"/>
      <c r="B1230" s="1111"/>
      <c r="C1230" s="524"/>
      <c r="D1230" s="1110"/>
      <c r="E1230" s="669"/>
      <c r="F1230" s="524"/>
      <c r="G1230" s="165"/>
      <c r="H1230" s="669"/>
      <c r="I1230" s="669"/>
      <c r="J1230" s="352"/>
      <c r="K1230" s="271" t="str">
        <f t="shared" si="74"/>
        <v/>
      </c>
      <c r="L1230" s="297"/>
      <c r="M1230" s="334"/>
      <c r="N1230" s="277"/>
      <c r="O1230" s="315"/>
      <c r="P1230" s="344">
        <f t="shared" si="69"/>
        <v>0</v>
      </c>
      <c r="Q1230" s="321"/>
      <c r="R1230" s="672" t="b">
        <v>0</v>
      </c>
      <c r="S1230" s="318"/>
      <c r="T1230" s="319"/>
      <c r="U1230" s="315"/>
      <c r="V1230" s="162"/>
      <c r="W1230" s="149"/>
      <c r="X1230" s="163"/>
      <c r="Y1230" s="162"/>
      <c r="Z1230" s="164"/>
      <c r="AA1230" s="116"/>
      <c r="AB1230" s="116"/>
      <c r="AC1230" s="165"/>
      <c r="AD1230" s="675" t="str">
        <f t="shared" si="76"/>
        <v/>
      </c>
      <c r="AE1230" s="166"/>
      <c r="AF1230" s="149" t="b">
        <v>0</v>
      </c>
      <c r="AG1230" s="166"/>
      <c r="AH1230" s="149" t="b">
        <v>0</v>
      </c>
      <c r="AI1230" s="162"/>
      <c r="AJ1230" s="143"/>
      <c r="AK1230" s="143"/>
      <c r="AL1230" s="1112"/>
      <c r="AM1230" s="1112"/>
      <c r="AN1230" s="1112"/>
      <c r="AO1230" s="1112"/>
      <c r="AP1230" s="1112"/>
      <c r="AQ1230" s="1112"/>
    </row>
    <row r="1231" ht="22.5" customHeight="1">
      <c r="A1231" s="166"/>
      <c r="B1231" s="1111"/>
      <c r="C1231" s="524"/>
      <c r="D1231" s="1110"/>
      <c r="E1231" s="669"/>
      <c r="F1231" s="524"/>
      <c r="G1231" s="165"/>
      <c r="H1231" s="669"/>
      <c r="I1231" s="669"/>
      <c r="J1231" s="352"/>
      <c r="K1231" s="271" t="str">
        <f t="shared" si="74"/>
        <v/>
      </c>
      <c r="L1231" s="297"/>
      <c r="M1231" s="334"/>
      <c r="N1231" s="277"/>
      <c r="O1231" s="315"/>
      <c r="P1231" s="344">
        <f t="shared" si="69"/>
        <v>0</v>
      </c>
      <c r="Q1231" s="321"/>
      <c r="R1231" s="672" t="b">
        <v>0</v>
      </c>
      <c r="S1231" s="318"/>
      <c r="T1231" s="319"/>
      <c r="U1231" s="315"/>
      <c r="V1231" s="162"/>
      <c r="W1231" s="149"/>
      <c r="X1231" s="163"/>
      <c r="Y1231" s="162"/>
      <c r="Z1231" s="164"/>
      <c r="AA1231" s="116"/>
      <c r="AB1231" s="116"/>
      <c r="AC1231" s="165"/>
      <c r="AD1231" s="675" t="str">
        <f t="shared" si="76"/>
        <v/>
      </c>
      <c r="AE1231" s="166"/>
      <c r="AF1231" s="149" t="b">
        <v>0</v>
      </c>
      <c r="AG1231" s="166"/>
      <c r="AH1231" s="149" t="b">
        <v>0</v>
      </c>
      <c r="AI1231" s="162"/>
      <c r="AJ1231" s="143"/>
      <c r="AK1231" s="143"/>
      <c r="AL1231" s="1112"/>
      <c r="AM1231" s="1112"/>
      <c r="AN1231" s="1112"/>
      <c r="AO1231" s="1112"/>
      <c r="AP1231" s="1112"/>
      <c r="AQ1231" s="1112"/>
    </row>
    <row r="1232" ht="22.5" customHeight="1">
      <c r="A1232" s="166"/>
      <c r="B1232" s="1111"/>
      <c r="C1232" s="524"/>
      <c r="D1232" s="1110"/>
      <c r="E1232" s="669"/>
      <c r="F1232" s="524"/>
      <c r="G1232" s="165"/>
      <c r="H1232" s="669"/>
      <c r="I1232" s="669"/>
      <c r="J1232" s="352"/>
      <c r="K1232" s="271" t="str">
        <f t="shared" si="74"/>
        <v/>
      </c>
      <c r="L1232" s="297"/>
      <c r="M1232" s="334"/>
      <c r="N1232" s="277"/>
      <c r="O1232" s="315"/>
      <c r="P1232" s="344">
        <f t="shared" si="69"/>
        <v>0</v>
      </c>
      <c r="Q1232" s="321"/>
      <c r="R1232" s="672" t="b">
        <v>0</v>
      </c>
      <c r="S1232" s="318"/>
      <c r="T1232" s="319"/>
      <c r="U1232" s="315"/>
      <c r="V1232" s="162"/>
      <c r="W1232" s="149"/>
      <c r="X1232" s="163"/>
      <c r="Y1232" s="162"/>
      <c r="Z1232" s="164"/>
      <c r="AA1232" s="116"/>
      <c r="AB1232" s="116"/>
      <c r="AC1232" s="165"/>
      <c r="AD1232" s="675" t="str">
        <f t="shared" si="76"/>
        <v/>
      </c>
      <c r="AE1232" s="166"/>
      <c r="AF1232" s="149" t="b">
        <v>0</v>
      </c>
      <c r="AG1232" s="166"/>
      <c r="AH1232" s="149" t="b">
        <v>0</v>
      </c>
      <c r="AI1232" s="162"/>
      <c r="AJ1232" s="143"/>
      <c r="AK1232" s="143"/>
      <c r="AL1232" s="1112"/>
      <c r="AM1232" s="1112"/>
      <c r="AN1232" s="1112"/>
      <c r="AO1232" s="1112"/>
      <c r="AP1232" s="1112"/>
      <c r="AQ1232" s="1112"/>
    </row>
    <row r="1233" ht="22.5" customHeight="1">
      <c r="A1233" s="166"/>
      <c r="B1233" s="1111"/>
      <c r="C1233" s="524"/>
      <c r="D1233" s="1110"/>
      <c r="E1233" s="669"/>
      <c r="F1233" s="524"/>
      <c r="G1233" s="165"/>
      <c r="H1233" s="669"/>
      <c r="I1233" s="669"/>
      <c r="J1233" s="352"/>
      <c r="K1233" s="271" t="str">
        <f t="shared" si="74"/>
        <v/>
      </c>
      <c r="L1233" s="297"/>
      <c r="M1233" s="334"/>
      <c r="N1233" s="277"/>
      <c r="O1233" s="315"/>
      <c r="P1233" s="344">
        <f t="shared" si="69"/>
        <v>0</v>
      </c>
      <c r="Q1233" s="321"/>
      <c r="R1233" s="672" t="b">
        <v>0</v>
      </c>
      <c r="S1233" s="318"/>
      <c r="T1233" s="319"/>
      <c r="U1233" s="315"/>
      <c r="V1233" s="162"/>
      <c r="W1233" s="149"/>
      <c r="X1233" s="163"/>
      <c r="Y1233" s="162"/>
      <c r="Z1233" s="164"/>
      <c r="AA1233" s="116"/>
      <c r="AB1233" s="116"/>
      <c r="AC1233" s="165"/>
      <c r="AD1233" s="675" t="str">
        <f t="shared" si="76"/>
        <v/>
      </c>
      <c r="AE1233" s="166"/>
      <c r="AF1233" s="149" t="b">
        <v>0</v>
      </c>
      <c r="AG1233" s="166"/>
      <c r="AH1233" s="149" t="b">
        <v>0</v>
      </c>
      <c r="AI1233" s="162"/>
      <c r="AJ1233" s="143"/>
      <c r="AK1233" s="143"/>
      <c r="AL1233" s="1112"/>
      <c r="AM1233" s="1112"/>
      <c r="AN1233" s="1112"/>
      <c r="AO1233" s="1112"/>
      <c r="AP1233" s="1112"/>
      <c r="AQ1233" s="1112"/>
    </row>
    <row r="1234" ht="22.5" customHeight="1">
      <c r="A1234" s="166"/>
      <c r="B1234" s="1111"/>
      <c r="C1234" s="524"/>
      <c r="D1234" s="1110"/>
      <c r="E1234" s="669"/>
      <c r="F1234" s="524"/>
      <c r="G1234" s="165"/>
      <c r="H1234" s="669"/>
      <c r="I1234" s="669"/>
      <c r="J1234" s="352"/>
      <c r="K1234" s="271" t="str">
        <f t="shared" si="74"/>
        <v/>
      </c>
      <c r="L1234" s="297"/>
      <c r="M1234" s="334"/>
      <c r="N1234" s="277"/>
      <c r="O1234" s="315"/>
      <c r="P1234" s="344">
        <f t="shared" si="69"/>
        <v>0</v>
      </c>
      <c r="Q1234" s="321"/>
      <c r="R1234" s="672" t="b">
        <v>0</v>
      </c>
      <c r="S1234" s="318"/>
      <c r="T1234" s="319"/>
      <c r="U1234" s="315"/>
      <c r="V1234" s="162"/>
      <c r="W1234" s="149"/>
      <c r="X1234" s="163"/>
      <c r="Y1234" s="162"/>
      <c r="Z1234" s="164"/>
      <c r="AA1234" s="116"/>
      <c r="AB1234" s="116"/>
      <c r="AC1234" s="165"/>
      <c r="AD1234" s="675" t="str">
        <f t="shared" si="76"/>
        <v/>
      </c>
      <c r="AE1234" s="166"/>
      <c r="AF1234" s="149" t="b">
        <v>0</v>
      </c>
      <c r="AG1234" s="166"/>
      <c r="AH1234" s="149" t="b">
        <v>0</v>
      </c>
      <c r="AI1234" s="162"/>
      <c r="AJ1234" s="143"/>
      <c r="AK1234" s="143"/>
      <c r="AL1234" s="1112"/>
      <c r="AM1234" s="1112"/>
      <c r="AN1234" s="1112"/>
      <c r="AO1234" s="1112"/>
      <c r="AP1234" s="1112"/>
      <c r="AQ1234" s="1112"/>
    </row>
    <row r="1235" ht="22.5" customHeight="1">
      <c r="A1235" s="166"/>
      <c r="B1235" s="1111"/>
      <c r="C1235" s="524"/>
      <c r="D1235" s="1110"/>
      <c r="E1235" s="669"/>
      <c r="F1235" s="524"/>
      <c r="G1235" s="165"/>
      <c r="H1235" s="669"/>
      <c r="I1235" s="669"/>
      <c r="J1235" s="352"/>
      <c r="K1235" s="271" t="str">
        <f t="shared" si="74"/>
        <v/>
      </c>
      <c r="L1235" s="297"/>
      <c r="M1235" s="334"/>
      <c r="N1235" s="277"/>
      <c r="O1235" s="315"/>
      <c r="P1235" s="344">
        <f t="shared" si="69"/>
        <v>0</v>
      </c>
      <c r="Q1235" s="321"/>
      <c r="R1235" s="672" t="b">
        <v>0</v>
      </c>
      <c r="S1235" s="318"/>
      <c r="T1235" s="319"/>
      <c r="U1235" s="315"/>
      <c r="V1235" s="162"/>
      <c r="W1235" s="149"/>
      <c r="X1235" s="163"/>
      <c r="Y1235" s="162"/>
      <c r="Z1235" s="164"/>
      <c r="AA1235" s="116"/>
      <c r="AB1235" s="116"/>
      <c r="AC1235" s="165"/>
      <c r="AD1235" s="675" t="str">
        <f t="shared" si="76"/>
        <v/>
      </c>
      <c r="AE1235" s="166"/>
      <c r="AF1235" s="149" t="b">
        <v>0</v>
      </c>
      <c r="AG1235" s="166"/>
      <c r="AH1235" s="149" t="b">
        <v>0</v>
      </c>
      <c r="AI1235" s="162"/>
      <c r="AJ1235" s="143"/>
      <c r="AK1235" s="143"/>
      <c r="AL1235" s="1112"/>
      <c r="AM1235" s="1112"/>
      <c r="AN1235" s="1112"/>
      <c r="AO1235" s="1112"/>
      <c r="AP1235" s="1112"/>
      <c r="AQ1235" s="1112"/>
    </row>
    <row r="1236" ht="22.5" customHeight="1">
      <c r="A1236" s="166"/>
      <c r="B1236" s="1111"/>
      <c r="C1236" s="524"/>
      <c r="D1236" s="1110"/>
      <c r="E1236" s="669"/>
      <c r="F1236" s="524"/>
      <c r="G1236" s="165"/>
      <c r="H1236" s="669"/>
      <c r="I1236" s="669"/>
      <c r="J1236" s="352"/>
      <c r="K1236" s="271" t="str">
        <f t="shared" si="74"/>
        <v/>
      </c>
      <c r="L1236" s="297"/>
      <c r="M1236" s="334"/>
      <c r="N1236" s="277"/>
      <c r="O1236" s="315"/>
      <c r="P1236" s="344">
        <f t="shared" si="69"/>
        <v>0</v>
      </c>
      <c r="Q1236" s="321"/>
      <c r="R1236" s="672" t="b">
        <v>0</v>
      </c>
      <c r="S1236" s="318"/>
      <c r="T1236" s="319"/>
      <c r="U1236" s="315"/>
      <c r="V1236" s="162"/>
      <c r="W1236" s="149"/>
      <c r="X1236" s="163"/>
      <c r="Y1236" s="162"/>
      <c r="Z1236" s="164"/>
      <c r="AA1236" s="116"/>
      <c r="AB1236" s="116"/>
      <c r="AC1236" s="165"/>
      <c r="AD1236" s="675" t="str">
        <f t="shared" si="76"/>
        <v/>
      </c>
      <c r="AE1236" s="166"/>
      <c r="AF1236" s="149" t="b">
        <v>0</v>
      </c>
      <c r="AG1236" s="166"/>
      <c r="AH1236" s="149" t="b">
        <v>0</v>
      </c>
      <c r="AI1236" s="162"/>
      <c r="AJ1236" s="143"/>
      <c r="AK1236" s="143"/>
      <c r="AL1236" s="1112"/>
      <c r="AM1236" s="1112"/>
      <c r="AN1236" s="1112"/>
      <c r="AO1236" s="1112"/>
      <c r="AP1236" s="1112"/>
      <c r="AQ1236" s="1112"/>
    </row>
    <row r="1237" ht="22.5" customHeight="1">
      <c r="A1237" s="166"/>
      <c r="B1237" s="1111"/>
      <c r="C1237" s="524"/>
      <c r="D1237" s="1110"/>
      <c r="E1237" s="669"/>
      <c r="F1237" s="524"/>
      <c r="G1237" s="165"/>
      <c r="H1237" s="669"/>
      <c r="I1237" s="669"/>
      <c r="J1237" s="352"/>
      <c r="K1237" s="271" t="str">
        <f t="shared" si="74"/>
        <v/>
      </c>
      <c r="L1237" s="297"/>
      <c r="M1237" s="334"/>
      <c r="N1237" s="277"/>
      <c r="O1237" s="315"/>
      <c r="P1237" s="344">
        <f t="shared" si="69"/>
        <v>0</v>
      </c>
      <c r="Q1237" s="321"/>
      <c r="R1237" s="672" t="b">
        <v>0</v>
      </c>
      <c r="S1237" s="318"/>
      <c r="T1237" s="319"/>
      <c r="U1237" s="315"/>
      <c r="V1237" s="162"/>
      <c r="W1237" s="149"/>
      <c r="X1237" s="163"/>
      <c r="Y1237" s="162"/>
      <c r="Z1237" s="164"/>
      <c r="AA1237" s="116"/>
      <c r="AB1237" s="116"/>
      <c r="AC1237" s="165"/>
      <c r="AD1237" s="675" t="str">
        <f t="shared" si="76"/>
        <v/>
      </c>
      <c r="AE1237" s="166"/>
      <c r="AF1237" s="149" t="b">
        <v>0</v>
      </c>
      <c r="AG1237" s="166"/>
      <c r="AH1237" s="149" t="b">
        <v>0</v>
      </c>
      <c r="AI1237" s="162"/>
      <c r="AJ1237" s="143"/>
      <c r="AK1237" s="143"/>
      <c r="AL1237" s="1112"/>
      <c r="AM1237" s="1112"/>
      <c r="AN1237" s="1112"/>
      <c r="AO1237" s="1112"/>
      <c r="AP1237" s="1112"/>
      <c r="AQ1237" s="1112"/>
    </row>
    <row r="1238" ht="22.5" customHeight="1">
      <c r="A1238" s="166"/>
      <c r="B1238" s="1111"/>
      <c r="C1238" s="524"/>
      <c r="D1238" s="1110"/>
      <c r="E1238" s="669"/>
      <c r="F1238" s="524"/>
      <c r="G1238" s="165"/>
      <c r="H1238" s="669"/>
      <c r="I1238" s="669"/>
      <c r="J1238" s="352"/>
      <c r="K1238" s="271" t="str">
        <f t="shared" si="74"/>
        <v/>
      </c>
      <c r="L1238" s="297"/>
      <c r="M1238" s="334"/>
      <c r="N1238" s="277"/>
      <c r="O1238" s="315"/>
      <c r="P1238" s="344">
        <f t="shared" si="69"/>
        <v>0</v>
      </c>
      <c r="Q1238" s="321"/>
      <c r="R1238" s="672" t="b">
        <v>0</v>
      </c>
      <c r="S1238" s="318"/>
      <c r="T1238" s="319"/>
      <c r="U1238" s="315"/>
      <c r="V1238" s="162"/>
      <c r="W1238" s="149"/>
      <c r="X1238" s="163"/>
      <c r="Y1238" s="162"/>
      <c r="Z1238" s="164"/>
      <c r="AA1238" s="116"/>
      <c r="AB1238" s="116"/>
      <c r="AC1238" s="165"/>
      <c r="AD1238" s="675" t="str">
        <f t="shared" si="76"/>
        <v/>
      </c>
      <c r="AE1238" s="166"/>
      <c r="AF1238" s="149" t="b">
        <v>0</v>
      </c>
      <c r="AG1238" s="166"/>
      <c r="AH1238" s="149" t="b">
        <v>0</v>
      </c>
      <c r="AI1238" s="162"/>
      <c r="AJ1238" s="143"/>
      <c r="AK1238" s="143"/>
      <c r="AL1238" s="1112"/>
      <c r="AM1238" s="1112"/>
      <c r="AN1238" s="1112"/>
      <c r="AO1238" s="1112"/>
      <c r="AP1238" s="1112"/>
      <c r="AQ1238" s="1112"/>
    </row>
    <row r="1239" ht="22.5" customHeight="1">
      <c r="A1239" s="166"/>
      <c r="B1239" s="1111"/>
      <c r="C1239" s="524"/>
      <c r="D1239" s="1110"/>
      <c r="E1239" s="669"/>
      <c r="F1239" s="524"/>
      <c r="G1239" s="165"/>
      <c r="H1239" s="669"/>
      <c r="I1239" s="669"/>
      <c r="J1239" s="352"/>
      <c r="K1239" s="271" t="str">
        <f t="shared" si="74"/>
        <v/>
      </c>
      <c r="L1239" s="297"/>
      <c r="M1239" s="334"/>
      <c r="N1239" s="277"/>
      <c r="O1239" s="315"/>
      <c r="P1239" s="344">
        <f t="shared" si="69"/>
        <v>0</v>
      </c>
      <c r="Q1239" s="321"/>
      <c r="R1239" s="672" t="b">
        <v>0</v>
      </c>
      <c r="S1239" s="318"/>
      <c r="T1239" s="319"/>
      <c r="U1239" s="315"/>
      <c r="V1239" s="162"/>
      <c r="W1239" s="149"/>
      <c r="X1239" s="163"/>
      <c r="Y1239" s="162"/>
      <c r="Z1239" s="164"/>
      <c r="AA1239" s="116"/>
      <c r="AB1239" s="116"/>
      <c r="AC1239" s="165"/>
      <c r="AD1239" s="675" t="str">
        <f t="shared" si="76"/>
        <v/>
      </c>
      <c r="AE1239" s="166"/>
      <c r="AF1239" s="149" t="b">
        <v>0</v>
      </c>
      <c r="AG1239" s="166"/>
      <c r="AH1239" s="149" t="b">
        <v>0</v>
      </c>
      <c r="AI1239" s="162"/>
      <c r="AJ1239" s="143"/>
      <c r="AK1239" s="143"/>
      <c r="AL1239" s="1112"/>
      <c r="AM1239" s="1112"/>
      <c r="AN1239" s="1112"/>
      <c r="AO1239" s="1112"/>
      <c r="AP1239" s="1112"/>
      <c r="AQ1239" s="1112"/>
    </row>
    <row r="1240" ht="22.5" customHeight="1">
      <c r="A1240" s="166"/>
      <c r="B1240" s="1111"/>
      <c r="C1240" s="524"/>
      <c r="D1240" s="1110"/>
      <c r="E1240" s="669"/>
      <c r="F1240" s="524"/>
      <c r="G1240" s="165"/>
      <c r="H1240" s="669"/>
      <c r="I1240" s="669"/>
      <c r="J1240" s="352"/>
      <c r="K1240" s="271" t="str">
        <f t="shared" si="74"/>
        <v/>
      </c>
      <c r="L1240" s="297"/>
      <c r="M1240" s="334"/>
      <c r="N1240" s="277"/>
      <c r="O1240" s="315"/>
      <c r="P1240" s="344">
        <f t="shared" si="69"/>
        <v>0</v>
      </c>
      <c r="Q1240" s="321"/>
      <c r="R1240" s="672" t="b">
        <v>0</v>
      </c>
      <c r="S1240" s="318"/>
      <c r="T1240" s="319"/>
      <c r="U1240" s="315"/>
      <c r="V1240" s="162"/>
      <c r="W1240" s="149"/>
      <c r="X1240" s="163"/>
      <c r="Y1240" s="162"/>
      <c r="Z1240" s="164"/>
      <c r="AA1240" s="116"/>
      <c r="AB1240" s="116"/>
      <c r="AC1240" s="165"/>
      <c r="AD1240" s="675" t="str">
        <f t="shared" si="76"/>
        <v/>
      </c>
      <c r="AE1240" s="166"/>
      <c r="AF1240" s="149" t="b">
        <v>0</v>
      </c>
      <c r="AG1240" s="166"/>
      <c r="AH1240" s="149" t="b">
        <v>0</v>
      </c>
      <c r="AI1240" s="162"/>
      <c r="AJ1240" s="143"/>
      <c r="AK1240" s="143"/>
      <c r="AL1240" s="1112"/>
      <c r="AM1240" s="1112"/>
      <c r="AN1240" s="1112"/>
      <c r="AO1240" s="1112"/>
      <c r="AP1240" s="1112"/>
      <c r="AQ1240" s="1112"/>
    </row>
    <row r="1241" ht="22.5" customHeight="1">
      <c r="A1241" s="166"/>
      <c r="B1241" s="1111"/>
      <c r="C1241" s="524"/>
      <c r="D1241" s="1110"/>
      <c r="E1241" s="669"/>
      <c r="F1241" s="524"/>
      <c r="G1241" s="165"/>
      <c r="H1241" s="669"/>
      <c r="I1241" s="669"/>
      <c r="J1241" s="352"/>
      <c r="K1241" s="271" t="str">
        <f t="shared" si="74"/>
        <v/>
      </c>
      <c r="L1241" s="297"/>
      <c r="M1241" s="334"/>
      <c r="N1241" s="277"/>
      <c r="O1241" s="315"/>
      <c r="P1241" s="344">
        <f t="shared" si="69"/>
        <v>0</v>
      </c>
      <c r="Q1241" s="321"/>
      <c r="R1241" s="672" t="b">
        <v>0</v>
      </c>
      <c r="S1241" s="318"/>
      <c r="T1241" s="319"/>
      <c r="U1241" s="315"/>
      <c r="V1241" s="162"/>
      <c r="W1241" s="149"/>
      <c r="X1241" s="163"/>
      <c r="Y1241" s="162"/>
      <c r="Z1241" s="164"/>
      <c r="AA1241" s="116"/>
      <c r="AB1241" s="116"/>
      <c r="AC1241" s="165"/>
      <c r="AD1241" s="675" t="str">
        <f t="shared" si="76"/>
        <v/>
      </c>
      <c r="AE1241" s="166"/>
      <c r="AF1241" s="149" t="b">
        <v>0</v>
      </c>
      <c r="AG1241" s="166"/>
      <c r="AH1241" s="149" t="b">
        <v>0</v>
      </c>
      <c r="AI1241" s="162"/>
      <c r="AJ1241" s="143"/>
      <c r="AK1241" s="143"/>
      <c r="AL1241" s="1112"/>
      <c r="AM1241" s="1112"/>
      <c r="AN1241" s="1112"/>
      <c r="AO1241" s="1112"/>
      <c r="AP1241" s="1112"/>
      <c r="AQ1241" s="1112"/>
    </row>
    <row r="1242" ht="22.5" customHeight="1">
      <c r="A1242" s="166"/>
      <c r="B1242" s="1111"/>
      <c r="C1242" s="524"/>
      <c r="D1242" s="1110"/>
      <c r="E1242" s="669"/>
      <c r="F1242" s="524"/>
      <c r="G1242" s="165"/>
      <c r="H1242" s="669"/>
      <c r="I1242" s="669"/>
      <c r="J1242" s="352"/>
      <c r="K1242" s="271" t="str">
        <f t="shared" si="74"/>
        <v/>
      </c>
      <c r="L1242" s="297"/>
      <c r="M1242" s="334"/>
      <c r="N1242" s="277"/>
      <c r="O1242" s="315"/>
      <c r="P1242" s="344">
        <f t="shared" si="69"/>
        <v>0</v>
      </c>
      <c r="Q1242" s="321"/>
      <c r="R1242" s="672" t="b">
        <v>0</v>
      </c>
      <c r="S1242" s="318"/>
      <c r="T1242" s="319"/>
      <c r="U1242" s="315"/>
      <c r="V1242" s="162"/>
      <c r="W1242" s="149"/>
      <c r="X1242" s="163"/>
      <c r="Y1242" s="162"/>
      <c r="Z1242" s="164"/>
      <c r="AA1242" s="116"/>
      <c r="AB1242" s="116"/>
      <c r="AC1242" s="165"/>
      <c r="AD1242" s="675" t="str">
        <f t="shared" si="76"/>
        <v/>
      </c>
      <c r="AE1242" s="166"/>
      <c r="AF1242" s="149" t="b">
        <v>0</v>
      </c>
      <c r="AG1242" s="166"/>
      <c r="AH1242" s="149" t="b">
        <v>0</v>
      </c>
      <c r="AI1242" s="162"/>
      <c r="AJ1242" s="143"/>
      <c r="AK1242" s="143"/>
      <c r="AL1242" s="1112"/>
      <c r="AM1242" s="1112"/>
      <c r="AN1242" s="1112"/>
      <c r="AO1242" s="1112"/>
      <c r="AP1242" s="1112"/>
      <c r="AQ1242" s="1112"/>
    </row>
    <row r="1243" ht="22.5" customHeight="1">
      <c r="A1243" s="166"/>
      <c r="B1243" s="1111"/>
      <c r="C1243" s="524"/>
      <c r="D1243" s="1110"/>
      <c r="E1243" s="669"/>
      <c r="F1243" s="524"/>
      <c r="G1243" s="165"/>
      <c r="H1243" s="669"/>
      <c r="I1243" s="669"/>
      <c r="J1243" s="352"/>
      <c r="K1243" s="271" t="str">
        <f t="shared" si="74"/>
        <v/>
      </c>
      <c r="L1243" s="297"/>
      <c r="M1243" s="334"/>
      <c r="N1243" s="277"/>
      <c r="O1243" s="315"/>
      <c r="P1243" s="344">
        <f t="shared" si="69"/>
        <v>0</v>
      </c>
      <c r="Q1243" s="321"/>
      <c r="R1243" s="672" t="b">
        <v>0</v>
      </c>
      <c r="S1243" s="318"/>
      <c r="T1243" s="319"/>
      <c r="U1243" s="315"/>
      <c r="V1243" s="162"/>
      <c r="W1243" s="149"/>
      <c r="X1243" s="163"/>
      <c r="Y1243" s="162"/>
      <c r="Z1243" s="164"/>
      <c r="AA1243" s="116"/>
      <c r="AB1243" s="116"/>
      <c r="AC1243" s="165"/>
      <c r="AD1243" s="675" t="str">
        <f t="shared" si="76"/>
        <v/>
      </c>
      <c r="AE1243" s="166"/>
      <c r="AF1243" s="149" t="b">
        <v>0</v>
      </c>
      <c r="AG1243" s="166"/>
      <c r="AH1243" s="149" t="b">
        <v>0</v>
      </c>
      <c r="AI1243" s="162"/>
      <c r="AJ1243" s="143"/>
      <c r="AK1243" s="143"/>
      <c r="AL1243" s="1112"/>
      <c r="AM1243" s="1112"/>
      <c r="AN1243" s="1112"/>
      <c r="AO1243" s="1112"/>
      <c r="AP1243" s="1112"/>
      <c r="AQ1243" s="1112"/>
    </row>
    <row r="1244" ht="22.5" customHeight="1">
      <c r="A1244" s="166"/>
      <c r="B1244" s="1111"/>
      <c r="C1244" s="524"/>
      <c r="D1244" s="1110"/>
      <c r="E1244" s="669"/>
      <c r="F1244" s="524"/>
      <c r="G1244" s="165"/>
      <c r="H1244" s="669"/>
      <c r="I1244" s="669"/>
      <c r="J1244" s="352"/>
      <c r="K1244" s="271" t="str">
        <f t="shared" si="74"/>
        <v/>
      </c>
      <c r="L1244" s="297"/>
      <c r="M1244" s="334"/>
      <c r="N1244" s="277"/>
      <c r="O1244" s="315"/>
      <c r="P1244" s="344">
        <f t="shared" si="69"/>
        <v>0</v>
      </c>
      <c r="Q1244" s="321"/>
      <c r="R1244" s="672" t="b">
        <v>0</v>
      </c>
      <c r="S1244" s="318"/>
      <c r="T1244" s="319"/>
      <c r="U1244" s="315"/>
      <c r="V1244" s="162"/>
      <c r="W1244" s="149"/>
      <c r="X1244" s="163"/>
      <c r="Y1244" s="162"/>
      <c r="Z1244" s="164"/>
      <c r="AA1244" s="116"/>
      <c r="AB1244" s="116"/>
      <c r="AC1244" s="165"/>
      <c r="AD1244" s="675" t="str">
        <f t="shared" si="76"/>
        <v/>
      </c>
      <c r="AE1244" s="166"/>
      <c r="AF1244" s="149" t="b">
        <v>0</v>
      </c>
      <c r="AG1244" s="166"/>
      <c r="AH1244" s="149" t="b">
        <v>0</v>
      </c>
      <c r="AI1244" s="162"/>
      <c r="AJ1244" s="143"/>
      <c r="AK1244" s="143"/>
      <c r="AL1244" s="1112"/>
      <c r="AM1244" s="1112"/>
      <c r="AN1244" s="1112"/>
      <c r="AO1244" s="1112"/>
      <c r="AP1244" s="1112"/>
      <c r="AQ1244" s="1112"/>
    </row>
    <row r="1245" ht="22.5" customHeight="1">
      <c r="A1245" s="166"/>
      <c r="B1245" s="1111"/>
      <c r="C1245" s="524"/>
      <c r="D1245" s="1110"/>
      <c r="E1245" s="669"/>
      <c r="F1245" s="524"/>
      <c r="G1245" s="165"/>
      <c r="H1245" s="669"/>
      <c r="I1245" s="669"/>
      <c r="J1245" s="352"/>
      <c r="K1245" s="271" t="str">
        <f t="shared" si="74"/>
        <v/>
      </c>
      <c r="L1245" s="297"/>
      <c r="M1245" s="334"/>
      <c r="N1245" s="277"/>
      <c r="O1245" s="315"/>
      <c r="P1245" s="344">
        <f t="shared" si="69"/>
        <v>0</v>
      </c>
      <c r="Q1245" s="321"/>
      <c r="R1245" s="672" t="b">
        <v>0</v>
      </c>
      <c r="S1245" s="318"/>
      <c r="T1245" s="319"/>
      <c r="U1245" s="315"/>
      <c r="V1245" s="162"/>
      <c r="W1245" s="149"/>
      <c r="X1245" s="163"/>
      <c r="Y1245" s="162"/>
      <c r="Z1245" s="164"/>
      <c r="AA1245" s="116"/>
      <c r="AB1245" s="116"/>
      <c r="AC1245" s="165"/>
      <c r="AD1245" s="675" t="str">
        <f t="shared" si="76"/>
        <v/>
      </c>
      <c r="AE1245" s="166"/>
      <c r="AF1245" s="149" t="b">
        <v>0</v>
      </c>
      <c r="AG1245" s="166"/>
      <c r="AH1245" s="149" t="b">
        <v>0</v>
      </c>
      <c r="AI1245" s="162"/>
      <c r="AJ1245" s="143"/>
      <c r="AK1245" s="143"/>
      <c r="AL1245" s="1112"/>
      <c r="AM1245" s="1112"/>
      <c r="AN1245" s="1112"/>
      <c r="AO1245" s="1112"/>
      <c r="AP1245" s="1112"/>
      <c r="AQ1245" s="1112"/>
    </row>
    <row r="1246" ht="22.5" customHeight="1">
      <c r="A1246" s="166"/>
      <c r="B1246" s="1111"/>
      <c r="C1246" s="524"/>
      <c r="D1246" s="1110"/>
      <c r="E1246" s="669"/>
      <c r="F1246" s="524"/>
      <c r="G1246" s="165"/>
      <c r="H1246" s="669"/>
      <c r="I1246" s="669"/>
      <c r="J1246" s="352"/>
      <c r="K1246" s="271" t="str">
        <f t="shared" si="74"/>
        <v/>
      </c>
      <c r="L1246" s="297"/>
      <c r="M1246" s="334"/>
      <c r="N1246" s="277"/>
      <c r="O1246" s="315"/>
      <c r="P1246" s="344">
        <f t="shared" si="69"/>
        <v>0</v>
      </c>
      <c r="Q1246" s="321"/>
      <c r="R1246" s="672" t="b">
        <v>0</v>
      </c>
      <c r="S1246" s="318"/>
      <c r="T1246" s="319"/>
      <c r="U1246" s="315"/>
      <c r="V1246" s="162"/>
      <c r="W1246" s="149"/>
      <c r="X1246" s="163"/>
      <c r="Y1246" s="162"/>
      <c r="Z1246" s="164"/>
      <c r="AA1246" s="116"/>
      <c r="AB1246" s="116"/>
      <c r="AC1246" s="165"/>
      <c r="AD1246" s="675" t="str">
        <f t="shared" si="76"/>
        <v/>
      </c>
      <c r="AE1246" s="166"/>
      <c r="AF1246" s="149" t="b">
        <v>0</v>
      </c>
      <c r="AG1246" s="166"/>
      <c r="AH1246" s="149" t="b">
        <v>0</v>
      </c>
      <c r="AI1246" s="162"/>
      <c r="AJ1246" s="143"/>
      <c r="AK1246" s="143"/>
      <c r="AL1246" s="1112"/>
      <c r="AM1246" s="1112"/>
      <c r="AN1246" s="1112"/>
      <c r="AO1246" s="1112"/>
      <c r="AP1246" s="1112"/>
      <c r="AQ1246" s="1112"/>
    </row>
    <row r="1247" ht="22.5" customHeight="1">
      <c r="A1247" s="166"/>
      <c r="B1247" s="1111"/>
      <c r="C1247" s="524"/>
      <c r="D1247" s="1110"/>
      <c r="E1247" s="669"/>
      <c r="F1247" s="524"/>
      <c r="G1247" s="165"/>
      <c r="H1247" s="669"/>
      <c r="I1247" s="669"/>
      <c r="J1247" s="352"/>
      <c r="K1247" s="271" t="str">
        <f t="shared" si="74"/>
        <v/>
      </c>
      <c r="L1247" s="297"/>
      <c r="M1247" s="334"/>
      <c r="N1247" s="277"/>
      <c r="O1247" s="315"/>
      <c r="P1247" s="344">
        <f t="shared" si="69"/>
        <v>0</v>
      </c>
      <c r="Q1247" s="321"/>
      <c r="R1247" s="672" t="b">
        <v>0</v>
      </c>
      <c r="S1247" s="318"/>
      <c r="T1247" s="319"/>
      <c r="U1247" s="315"/>
      <c r="V1247" s="162"/>
      <c r="W1247" s="149"/>
      <c r="X1247" s="163"/>
      <c r="Y1247" s="162"/>
      <c r="Z1247" s="164"/>
      <c r="AA1247" s="116"/>
      <c r="AB1247" s="116"/>
      <c r="AC1247" s="165"/>
      <c r="AD1247" s="675" t="str">
        <f t="shared" si="76"/>
        <v/>
      </c>
      <c r="AE1247" s="166"/>
      <c r="AF1247" s="149" t="b">
        <v>0</v>
      </c>
      <c r="AG1247" s="166"/>
      <c r="AH1247" s="149" t="b">
        <v>0</v>
      </c>
      <c r="AI1247" s="162"/>
      <c r="AJ1247" s="143"/>
      <c r="AK1247" s="143"/>
      <c r="AL1247" s="1112"/>
      <c r="AM1247" s="1112"/>
      <c r="AN1247" s="1112"/>
      <c r="AO1247" s="1112"/>
      <c r="AP1247" s="1112"/>
      <c r="AQ1247" s="1112"/>
    </row>
    <row r="1248" ht="22.5" customHeight="1">
      <c r="A1248" s="166"/>
      <c r="B1248" s="1111"/>
      <c r="C1248" s="524"/>
      <c r="D1248" s="1110"/>
      <c r="E1248" s="669"/>
      <c r="F1248" s="524"/>
      <c r="G1248" s="165"/>
      <c r="H1248" s="669"/>
      <c r="I1248" s="669"/>
      <c r="J1248" s="352"/>
      <c r="K1248" s="271" t="str">
        <f t="shared" si="74"/>
        <v/>
      </c>
      <c r="L1248" s="297"/>
      <c r="M1248" s="334"/>
      <c r="N1248" s="277"/>
      <c r="O1248" s="315"/>
      <c r="P1248" s="344">
        <f t="shared" si="69"/>
        <v>0</v>
      </c>
      <c r="Q1248" s="321"/>
      <c r="R1248" s="672" t="b">
        <v>0</v>
      </c>
      <c r="S1248" s="318"/>
      <c r="T1248" s="319"/>
      <c r="U1248" s="315"/>
      <c r="V1248" s="162"/>
      <c r="W1248" s="149"/>
      <c r="X1248" s="163"/>
      <c r="Y1248" s="162"/>
      <c r="Z1248" s="164"/>
      <c r="AA1248" s="116"/>
      <c r="AB1248" s="116"/>
      <c r="AC1248" s="165"/>
      <c r="AD1248" s="675" t="str">
        <f t="shared" si="76"/>
        <v/>
      </c>
      <c r="AE1248" s="166"/>
      <c r="AF1248" s="149" t="b">
        <v>0</v>
      </c>
      <c r="AG1248" s="166"/>
      <c r="AH1248" s="149" t="b">
        <v>0</v>
      </c>
      <c r="AI1248" s="162"/>
      <c r="AJ1248" s="143"/>
      <c r="AK1248" s="143"/>
      <c r="AL1248" s="1112"/>
      <c r="AM1248" s="1112"/>
      <c r="AN1248" s="1112"/>
      <c r="AO1248" s="1112"/>
      <c r="AP1248" s="1112"/>
      <c r="AQ1248" s="1112"/>
    </row>
    <row r="1249" ht="22.5" customHeight="1">
      <c r="A1249" s="166"/>
      <c r="B1249" s="1111"/>
      <c r="C1249" s="524"/>
      <c r="D1249" s="1110"/>
      <c r="E1249" s="669"/>
      <c r="F1249" s="524"/>
      <c r="G1249" s="165"/>
      <c r="H1249" s="669"/>
      <c r="I1249" s="669"/>
      <c r="J1249" s="352"/>
      <c r="K1249" s="271" t="str">
        <f t="shared" si="74"/>
        <v/>
      </c>
      <c r="L1249" s="297"/>
      <c r="M1249" s="334"/>
      <c r="N1249" s="277"/>
      <c r="O1249" s="315"/>
      <c r="P1249" s="344">
        <f t="shared" si="69"/>
        <v>0</v>
      </c>
      <c r="Q1249" s="321"/>
      <c r="R1249" s="672" t="b">
        <v>0</v>
      </c>
      <c r="S1249" s="318"/>
      <c r="T1249" s="319"/>
      <c r="U1249" s="315"/>
      <c r="V1249" s="162"/>
      <c r="W1249" s="149"/>
      <c r="X1249" s="163"/>
      <c r="Y1249" s="162"/>
      <c r="Z1249" s="164"/>
      <c r="AA1249" s="116"/>
      <c r="AB1249" s="116"/>
      <c r="AC1249" s="165"/>
      <c r="AD1249" s="675" t="str">
        <f t="shared" si="76"/>
        <v/>
      </c>
      <c r="AE1249" s="166"/>
      <c r="AF1249" s="149" t="b">
        <v>0</v>
      </c>
      <c r="AG1249" s="166"/>
      <c r="AH1249" s="149" t="b">
        <v>0</v>
      </c>
      <c r="AI1249" s="162"/>
      <c r="AJ1249" s="143"/>
      <c r="AK1249" s="143"/>
      <c r="AL1249" s="1112"/>
      <c r="AM1249" s="1112"/>
      <c r="AN1249" s="1112"/>
      <c r="AO1249" s="1112"/>
      <c r="AP1249" s="1112"/>
      <c r="AQ1249" s="1112"/>
    </row>
    <row r="1250" ht="22.5" customHeight="1">
      <c r="A1250" s="166"/>
      <c r="B1250" s="1111"/>
      <c r="C1250" s="524"/>
      <c r="D1250" s="1110"/>
      <c r="E1250" s="669"/>
      <c r="F1250" s="524"/>
      <c r="G1250" s="165"/>
      <c r="H1250" s="669"/>
      <c r="I1250" s="669"/>
      <c r="J1250" s="352"/>
      <c r="K1250" s="271" t="str">
        <f t="shared" si="74"/>
        <v/>
      </c>
      <c r="L1250" s="297"/>
      <c r="M1250" s="334"/>
      <c r="N1250" s="277"/>
      <c r="O1250" s="315"/>
      <c r="P1250" s="344">
        <f t="shared" si="69"/>
        <v>0</v>
      </c>
      <c r="Q1250" s="321"/>
      <c r="R1250" s="672" t="b">
        <v>0</v>
      </c>
      <c r="S1250" s="318"/>
      <c r="T1250" s="319"/>
      <c r="U1250" s="315"/>
      <c r="V1250" s="162"/>
      <c r="W1250" s="149"/>
      <c r="X1250" s="163"/>
      <c r="Y1250" s="162"/>
      <c r="Z1250" s="164"/>
      <c r="AA1250" s="116"/>
      <c r="AB1250" s="116"/>
      <c r="AC1250" s="165"/>
      <c r="AD1250" s="675" t="str">
        <f t="shared" si="76"/>
        <v/>
      </c>
      <c r="AE1250" s="166"/>
      <c r="AF1250" s="149" t="b">
        <v>0</v>
      </c>
      <c r="AG1250" s="166"/>
      <c r="AH1250" s="149" t="b">
        <v>0</v>
      </c>
      <c r="AI1250" s="162"/>
      <c r="AJ1250" s="143"/>
      <c r="AK1250" s="143"/>
      <c r="AL1250" s="1112"/>
      <c r="AM1250" s="1112"/>
      <c r="AN1250" s="1112"/>
      <c r="AO1250" s="1112"/>
      <c r="AP1250" s="1112"/>
      <c r="AQ1250" s="1112"/>
    </row>
    <row r="1251" ht="22.5" customHeight="1">
      <c r="A1251" s="166"/>
      <c r="B1251" s="1111"/>
      <c r="C1251" s="524"/>
      <c r="D1251" s="1110"/>
      <c r="E1251" s="669"/>
      <c r="F1251" s="524"/>
      <c r="G1251" s="165"/>
      <c r="H1251" s="669"/>
      <c r="I1251" s="669"/>
      <c r="J1251" s="352"/>
      <c r="K1251" s="271" t="str">
        <f t="shared" si="74"/>
        <v/>
      </c>
      <c r="L1251" s="297"/>
      <c r="M1251" s="334"/>
      <c r="N1251" s="277"/>
      <c r="O1251" s="315"/>
      <c r="P1251" s="344">
        <f t="shared" si="69"/>
        <v>0</v>
      </c>
      <c r="Q1251" s="321"/>
      <c r="R1251" s="672" t="b">
        <v>0</v>
      </c>
      <c r="S1251" s="318"/>
      <c r="T1251" s="319"/>
      <c r="U1251" s="315"/>
      <c r="V1251" s="162"/>
      <c r="W1251" s="149"/>
      <c r="X1251" s="163"/>
      <c r="Y1251" s="162"/>
      <c r="Z1251" s="164"/>
      <c r="AA1251" s="116"/>
      <c r="AB1251" s="116"/>
      <c r="AC1251" s="165"/>
      <c r="AD1251" s="675" t="str">
        <f t="shared" si="76"/>
        <v/>
      </c>
      <c r="AE1251" s="166"/>
      <c r="AF1251" s="149" t="b">
        <v>0</v>
      </c>
      <c r="AG1251" s="166"/>
      <c r="AH1251" s="149" t="b">
        <v>0</v>
      </c>
      <c r="AI1251" s="162"/>
      <c r="AJ1251" s="143"/>
      <c r="AK1251" s="143"/>
      <c r="AL1251" s="1112"/>
      <c r="AM1251" s="1112"/>
      <c r="AN1251" s="1112"/>
      <c r="AO1251" s="1112"/>
      <c r="AP1251" s="1112"/>
      <c r="AQ1251" s="1112"/>
    </row>
    <row r="1252" ht="22.5" customHeight="1">
      <c r="A1252" s="166"/>
      <c r="B1252" s="1111"/>
      <c r="C1252" s="524"/>
      <c r="D1252" s="1110"/>
      <c r="E1252" s="669"/>
      <c r="F1252" s="524"/>
      <c r="G1252" s="165"/>
      <c r="H1252" s="669"/>
      <c r="I1252" s="669"/>
      <c r="J1252" s="352"/>
      <c r="K1252" s="271" t="str">
        <f t="shared" si="74"/>
        <v/>
      </c>
      <c r="L1252" s="297"/>
      <c r="M1252" s="334"/>
      <c r="N1252" s="277"/>
      <c r="O1252" s="315"/>
      <c r="P1252" s="344">
        <f t="shared" si="69"/>
        <v>0</v>
      </c>
      <c r="Q1252" s="321"/>
      <c r="R1252" s="672" t="b">
        <v>0</v>
      </c>
      <c r="S1252" s="318"/>
      <c r="T1252" s="319"/>
      <c r="U1252" s="315"/>
      <c r="V1252" s="162"/>
      <c r="W1252" s="149"/>
      <c r="X1252" s="163"/>
      <c r="Y1252" s="162"/>
      <c r="Z1252" s="164"/>
      <c r="AA1252" s="116"/>
      <c r="AB1252" s="116"/>
      <c r="AC1252" s="165"/>
      <c r="AD1252" s="675" t="str">
        <f t="shared" si="76"/>
        <v/>
      </c>
      <c r="AE1252" s="166"/>
      <c r="AF1252" s="149" t="b">
        <v>0</v>
      </c>
      <c r="AG1252" s="166"/>
      <c r="AH1252" s="149" t="b">
        <v>0</v>
      </c>
      <c r="AI1252" s="162"/>
      <c r="AJ1252" s="143"/>
      <c r="AK1252" s="143"/>
      <c r="AL1252" s="1112"/>
      <c r="AM1252" s="1112"/>
      <c r="AN1252" s="1112"/>
      <c r="AO1252" s="1112"/>
      <c r="AP1252" s="1112"/>
      <c r="AQ1252" s="1112"/>
    </row>
    <row r="1253" ht="22.5" customHeight="1">
      <c r="A1253" s="166"/>
      <c r="B1253" s="1111"/>
      <c r="C1253" s="524"/>
      <c r="D1253" s="1110"/>
      <c r="E1253" s="669"/>
      <c r="F1253" s="524"/>
      <c r="G1253" s="165"/>
      <c r="H1253" s="669"/>
      <c r="I1253" s="669"/>
      <c r="J1253" s="352"/>
      <c r="K1253" s="271" t="str">
        <f t="shared" si="74"/>
        <v/>
      </c>
      <c r="L1253" s="297"/>
      <c r="M1253" s="334"/>
      <c r="N1253" s="277"/>
      <c r="O1253" s="315"/>
      <c r="P1253" s="344">
        <f t="shared" si="69"/>
        <v>0</v>
      </c>
      <c r="Q1253" s="321"/>
      <c r="R1253" s="672" t="b">
        <v>0</v>
      </c>
      <c r="S1253" s="318"/>
      <c r="T1253" s="319"/>
      <c r="U1253" s="315"/>
      <c r="V1253" s="162"/>
      <c r="W1253" s="149"/>
      <c r="X1253" s="163"/>
      <c r="Y1253" s="162"/>
      <c r="Z1253" s="164"/>
      <c r="AA1253" s="116"/>
      <c r="AB1253" s="116"/>
      <c r="AC1253" s="165"/>
      <c r="AD1253" s="675" t="str">
        <f t="shared" si="76"/>
        <v/>
      </c>
      <c r="AE1253" s="166"/>
      <c r="AF1253" s="149" t="b">
        <v>0</v>
      </c>
      <c r="AG1253" s="166"/>
      <c r="AH1253" s="149" t="b">
        <v>0</v>
      </c>
      <c r="AI1253" s="162"/>
      <c r="AJ1253" s="143"/>
      <c r="AK1253" s="143"/>
      <c r="AL1253" s="1112"/>
      <c r="AM1253" s="1112"/>
      <c r="AN1253" s="1112"/>
      <c r="AO1253" s="1112"/>
      <c r="AP1253" s="1112"/>
      <c r="AQ1253" s="1112"/>
    </row>
    <row r="1254" ht="22.5" customHeight="1">
      <c r="A1254" s="166"/>
      <c r="B1254" s="1111"/>
      <c r="C1254" s="524"/>
      <c r="D1254" s="1110"/>
      <c r="E1254" s="669"/>
      <c r="F1254" s="524"/>
      <c r="G1254" s="165"/>
      <c r="H1254" s="669"/>
      <c r="I1254" s="669"/>
      <c r="J1254" s="352"/>
      <c r="K1254" s="271" t="str">
        <f t="shared" si="74"/>
        <v/>
      </c>
      <c r="L1254" s="297"/>
      <c r="M1254" s="334"/>
      <c r="N1254" s="277"/>
      <c r="O1254" s="315"/>
      <c r="P1254" s="344">
        <f t="shared" si="69"/>
        <v>0</v>
      </c>
      <c r="Q1254" s="321"/>
      <c r="R1254" s="672" t="b">
        <v>0</v>
      </c>
      <c r="S1254" s="318"/>
      <c r="T1254" s="319"/>
      <c r="U1254" s="315"/>
      <c r="V1254" s="162"/>
      <c r="W1254" s="149"/>
      <c r="X1254" s="163"/>
      <c r="Y1254" s="162"/>
      <c r="Z1254" s="164"/>
      <c r="AA1254" s="116"/>
      <c r="AB1254" s="116"/>
      <c r="AC1254" s="165"/>
      <c r="AD1254" s="675" t="str">
        <f t="shared" si="76"/>
        <v/>
      </c>
      <c r="AE1254" s="166"/>
      <c r="AF1254" s="149" t="b">
        <v>0</v>
      </c>
      <c r="AG1254" s="166"/>
      <c r="AH1254" s="149" t="b">
        <v>0</v>
      </c>
      <c r="AI1254" s="162"/>
      <c r="AJ1254" s="143"/>
      <c r="AK1254" s="143"/>
      <c r="AL1254" s="1112"/>
      <c r="AM1254" s="1112"/>
      <c r="AN1254" s="1112"/>
      <c r="AO1254" s="1112"/>
      <c r="AP1254" s="1112"/>
      <c r="AQ1254" s="1112"/>
    </row>
    <row r="1255" ht="22.5" customHeight="1">
      <c r="A1255" s="166"/>
      <c r="B1255" s="1111"/>
      <c r="C1255" s="524"/>
      <c r="D1255" s="1110"/>
      <c r="E1255" s="669"/>
      <c r="F1255" s="524"/>
      <c r="G1255" s="165"/>
      <c r="H1255" s="669"/>
      <c r="I1255" s="669"/>
      <c r="J1255" s="352"/>
      <c r="K1255" s="271" t="str">
        <f t="shared" si="74"/>
        <v/>
      </c>
      <c r="L1255" s="297"/>
      <c r="M1255" s="334"/>
      <c r="N1255" s="277"/>
      <c r="O1255" s="315"/>
      <c r="P1255" s="344">
        <f t="shared" si="69"/>
        <v>0</v>
      </c>
      <c r="Q1255" s="321"/>
      <c r="R1255" s="672" t="b">
        <v>0</v>
      </c>
      <c r="S1255" s="318"/>
      <c r="T1255" s="319"/>
      <c r="U1255" s="315"/>
      <c r="V1255" s="162"/>
      <c r="W1255" s="149"/>
      <c r="X1255" s="163"/>
      <c r="Y1255" s="162"/>
      <c r="Z1255" s="164"/>
      <c r="AA1255" s="116"/>
      <c r="AB1255" s="116"/>
      <c r="AC1255" s="165"/>
      <c r="AD1255" s="675" t="str">
        <f t="shared" si="76"/>
        <v/>
      </c>
      <c r="AE1255" s="166"/>
      <c r="AF1255" s="149" t="b">
        <v>0</v>
      </c>
      <c r="AG1255" s="166"/>
      <c r="AH1255" s="149" t="b">
        <v>0</v>
      </c>
      <c r="AI1255" s="162"/>
      <c r="AJ1255" s="143"/>
      <c r="AK1255" s="143"/>
      <c r="AL1255" s="1112"/>
      <c r="AM1255" s="1112"/>
      <c r="AN1255" s="1112"/>
      <c r="AO1255" s="1112"/>
      <c r="AP1255" s="1112"/>
      <c r="AQ1255" s="1112"/>
    </row>
    <row r="1256" ht="22.5" customHeight="1">
      <c r="A1256" s="166"/>
      <c r="B1256" s="1111"/>
      <c r="C1256" s="524"/>
      <c r="D1256" s="1110"/>
      <c r="E1256" s="669"/>
      <c r="F1256" s="524"/>
      <c r="G1256" s="165"/>
      <c r="H1256" s="669"/>
      <c r="I1256" s="669"/>
      <c r="J1256" s="352"/>
      <c r="K1256" s="271" t="str">
        <f t="shared" si="74"/>
        <v/>
      </c>
      <c r="L1256" s="297"/>
      <c r="M1256" s="334"/>
      <c r="N1256" s="277"/>
      <c r="O1256" s="315"/>
      <c r="P1256" s="344">
        <f t="shared" si="69"/>
        <v>0</v>
      </c>
      <c r="Q1256" s="321"/>
      <c r="R1256" s="672" t="b">
        <v>0</v>
      </c>
      <c r="S1256" s="318"/>
      <c r="T1256" s="319"/>
      <c r="U1256" s="315"/>
      <c r="V1256" s="162"/>
      <c r="W1256" s="149"/>
      <c r="X1256" s="163"/>
      <c r="Y1256" s="162"/>
      <c r="Z1256" s="164"/>
      <c r="AA1256" s="116"/>
      <c r="AB1256" s="116"/>
      <c r="AC1256" s="165"/>
      <c r="AD1256" s="675" t="str">
        <f t="shared" si="76"/>
        <v/>
      </c>
      <c r="AE1256" s="166"/>
      <c r="AF1256" s="149" t="b">
        <v>0</v>
      </c>
      <c r="AG1256" s="166"/>
      <c r="AH1256" s="149" t="b">
        <v>0</v>
      </c>
      <c r="AI1256" s="162"/>
      <c r="AJ1256" s="143"/>
      <c r="AK1256" s="143"/>
      <c r="AL1256" s="1112"/>
      <c r="AM1256" s="1112"/>
      <c r="AN1256" s="1112"/>
      <c r="AO1256" s="1112"/>
      <c r="AP1256" s="1112"/>
      <c r="AQ1256" s="1112"/>
    </row>
    <row r="1257" ht="22.5" customHeight="1">
      <c r="A1257" s="166"/>
      <c r="B1257" s="1111"/>
      <c r="C1257" s="524"/>
      <c r="D1257" s="1110"/>
      <c r="E1257" s="669"/>
      <c r="F1257" s="524"/>
      <c r="G1257" s="165"/>
      <c r="H1257" s="669"/>
      <c r="I1257" s="669"/>
      <c r="J1257" s="352"/>
      <c r="K1257" s="271" t="str">
        <f t="shared" si="74"/>
        <v/>
      </c>
      <c r="L1257" s="297"/>
      <c r="M1257" s="334"/>
      <c r="N1257" s="277"/>
      <c r="O1257" s="315"/>
      <c r="P1257" s="344">
        <f t="shared" si="69"/>
        <v>0</v>
      </c>
      <c r="Q1257" s="321"/>
      <c r="R1257" s="672" t="b">
        <v>0</v>
      </c>
      <c r="S1257" s="318"/>
      <c r="T1257" s="319"/>
      <c r="U1257" s="315"/>
      <c r="V1257" s="162"/>
      <c r="W1257" s="149"/>
      <c r="X1257" s="163"/>
      <c r="Y1257" s="162"/>
      <c r="Z1257" s="164"/>
      <c r="AA1257" s="116"/>
      <c r="AB1257" s="116"/>
      <c r="AC1257" s="165"/>
      <c r="AD1257" s="675" t="str">
        <f t="shared" si="76"/>
        <v/>
      </c>
      <c r="AE1257" s="166"/>
      <c r="AF1257" s="149" t="b">
        <v>0</v>
      </c>
      <c r="AG1257" s="166"/>
      <c r="AH1257" s="149" t="b">
        <v>0</v>
      </c>
      <c r="AI1257" s="162"/>
      <c r="AJ1257" s="143"/>
      <c r="AK1257" s="143"/>
      <c r="AL1257" s="1112"/>
      <c r="AM1257" s="1112"/>
      <c r="AN1257" s="1112"/>
      <c r="AO1257" s="1112"/>
      <c r="AP1257" s="1112"/>
      <c r="AQ1257" s="1112"/>
    </row>
    <row r="1258" ht="22.5" customHeight="1">
      <c r="A1258" s="166"/>
      <c r="B1258" s="1111"/>
      <c r="C1258" s="524"/>
      <c r="D1258" s="1110"/>
      <c r="E1258" s="669"/>
      <c r="F1258" s="524"/>
      <c r="G1258" s="165"/>
      <c r="H1258" s="669"/>
      <c r="I1258" s="669"/>
      <c r="J1258" s="352"/>
      <c r="K1258" s="271" t="str">
        <f t="shared" si="74"/>
        <v/>
      </c>
      <c r="L1258" s="297"/>
      <c r="M1258" s="334"/>
      <c r="N1258" s="277"/>
      <c r="O1258" s="315"/>
      <c r="P1258" s="344">
        <f t="shared" si="69"/>
        <v>0</v>
      </c>
      <c r="Q1258" s="321"/>
      <c r="R1258" s="672" t="b">
        <v>0</v>
      </c>
      <c r="S1258" s="318"/>
      <c r="T1258" s="319"/>
      <c r="U1258" s="315"/>
      <c r="V1258" s="162"/>
      <c r="W1258" s="149"/>
      <c r="X1258" s="163"/>
      <c r="Y1258" s="162"/>
      <c r="Z1258" s="164"/>
      <c r="AA1258" s="116"/>
      <c r="AB1258" s="116"/>
      <c r="AC1258" s="165"/>
      <c r="AD1258" s="675" t="str">
        <f t="shared" si="76"/>
        <v/>
      </c>
      <c r="AE1258" s="166"/>
      <c r="AF1258" s="149" t="b">
        <v>0</v>
      </c>
      <c r="AG1258" s="166"/>
      <c r="AH1258" s="149" t="b">
        <v>0</v>
      </c>
      <c r="AI1258" s="162"/>
      <c r="AJ1258" s="143"/>
      <c r="AK1258" s="143"/>
      <c r="AL1258" s="1112"/>
      <c r="AM1258" s="1112"/>
      <c r="AN1258" s="1112"/>
      <c r="AO1258" s="1112"/>
      <c r="AP1258" s="1112"/>
      <c r="AQ1258" s="1112"/>
    </row>
    <row r="1259" ht="22.5" customHeight="1">
      <c r="A1259" s="166"/>
      <c r="B1259" s="1111"/>
      <c r="C1259" s="524"/>
      <c r="D1259" s="1110"/>
      <c r="E1259" s="669"/>
      <c r="F1259" s="524"/>
      <c r="G1259" s="165"/>
      <c r="H1259" s="669"/>
      <c r="I1259" s="669"/>
      <c r="J1259" s="352"/>
      <c r="K1259" s="271" t="str">
        <f t="shared" si="74"/>
        <v/>
      </c>
      <c r="L1259" s="297"/>
      <c r="M1259" s="334"/>
      <c r="N1259" s="277"/>
      <c r="O1259" s="315"/>
      <c r="P1259" s="344">
        <f t="shared" si="69"/>
        <v>0</v>
      </c>
      <c r="Q1259" s="321"/>
      <c r="R1259" s="672" t="b">
        <v>0</v>
      </c>
      <c r="S1259" s="318"/>
      <c r="T1259" s="319"/>
      <c r="U1259" s="315"/>
      <c r="V1259" s="162"/>
      <c r="W1259" s="149"/>
      <c r="X1259" s="163"/>
      <c r="Y1259" s="162"/>
      <c r="Z1259" s="164"/>
      <c r="AA1259" s="116"/>
      <c r="AB1259" s="116"/>
      <c r="AC1259" s="165"/>
      <c r="AD1259" s="675" t="str">
        <f t="shared" si="76"/>
        <v/>
      </c>
      <c r="AE1259" s="166"/>
      <c r="AF1259" s="149" t="b">
        <v>0</v>
      </c>
      <c r="AG1259" s="166"/>
      <c r="AH1259" s="149" t="b">
        <v>0</v>
      </c>
      <c r="AI1259" s="162"/>
      <c r="AJ1259" s="143"/>
      <c r="AK1259" s="143"/>
      <c r="AL1259" s="1112"/>
      <c r="AM1259" s="1112"/>
      <c r="AN1259" s="1112"/>
      <c r="AO1259" s="1112"/>
      <c r="AP1259" s="1112"/>
      <c r="AQ1259" s="1112"/>
    </row>
    <row r="1260" ht="22.5" customHeight="1">
      <c r="A1260" s="166"/>
      <c r="B1260" s="1111"/>
      <c r="C1260" s="524"/>
      <c r="D1260" s="1110"/>
      <c r="E1260" s="669"/>
      <c r="F1260" s="524"/>
      <c r="G1260" s="165"/>
      <c r="H1260" s="669"/>
      <c r="I1260" s="669"/>
      <c r="J1260" s="352"/>
      <c r="K1260" s="271" t="str">
        <f t="shared" si="74"/>
        <v/>
      </c>
      <c r="L1260" s="297"/>
      <c r="M1260" s="334"/>
      <c r="N1260" s="277"/>
      <c r="O1260" s="315"/>
      <c r="P1260" s="344">
        <f t="shared" si="69"/>
        <v>0</v>
      </c>
      <c r="Q1260" s="321"/>
      <c r="R1260" s="672" t="b">
        <v>0</v>
      </c>
      <c r="S1260" s="318"/>
      <c r="T1260" s="319"/>
      <c r="U1260" s="315"/>
      <c r="V1260" s="162"/>
      <c r="W1260" s="149"/>
      <c r="X1260" s="163"/>
      <c r="Y1260" s="162"/>
      <c r="Z1260" s="164"/>
      <c r="AA1260" s="116"/>
      <c r="AB1260" s="116"/>
      <c r="AC1260" s="165"/>
      <c r="AD1260" s="675" t="str">
        <f t="shared" si="76"/>
        <v/>
      </c>
      <c r="AE1260" s="166"/>
      <c r="AF1260" s="149" t="b">
        <v>0</v>
      </c>
      <c r="AG1260" s="166"/>
      <c r="AH1260" s="149" t="b">
        <v>0</v>
      </c>
      <c r="AI1260" s="162"/>
      <c r="AJ1260" s="143"/>
      <c r="AK1260" s="143"/>
      <c r="AL1260" s="1112"/>
      <c r="AM1260" s="1112"/>
      <c r="AN1260" s="1112"/>
      <c r="AO1260" s="1112"/>
      <c r="AP1260" s="1112"/>
      <c r="AQ1260" s="1112"/>
    </row>
    <row r="1261" ht="22.5" customHeight="1">
      <c r="A1261" s="166"/>
      <c r="B1261" s="1111"/>
      <c r="C1261" s="524"/>
      <c r="D1261" s="1110"/>
      <c r="E1261" s="669"/>
      <c r="F1261" s="524"/>
      <c r="G1261" s="165"/>
      <c r="H1261" s="669"/>
      <c r="I1261" s="669"/>
      <c r="J1261" s="352"/>
      <c r="K1261" s="271" t="str">
        <f t="shared" si="74"/>
        <v/>
      </c>
      <c r="L1261" s="297"/>
      <c r="M1261" s="334"/>
      <c r="N1261" s="277"/>
      <c r="O1261" s="315"/>
      <c r="P1261" s="344">
        <f t="shared" si="69"/>
        <v>0</v>
      </c>
      <c r="Q1261" s="321"/>
      <c r="R1261" s="672" t="b">
        <v>0</v>
      </c>
      <c r="S1261" s="318"/>
      <c r="T1261" s="319"/>
      <c r="U1261" s="315"/>
      <c r="V1261" s="162"/>
      <c r="W1261" s="149"/>
      <c r="X1261" s="163"/>
      <c r="Y1261" s="162"/>
      <c r="Z1261" s="164"/>
      <c r="AA1261" s="116"/>
      <c r="AB1261" s="116"/>
      <c r="AC1261" s="165"/>
      <c r="AD1261" s="675" t="str">
        <f t="shared" si="76"/>
        <v/>
      </c>
      <c r="AE1261" s="166"/>
      <c r="AF1261" s="149" t="b">
        <v>0</v>
      </c>
      <c r="AG1261" s="166"/>
      <c r="AH1261" s="149" t="b">
        <v>0</v>
      </c>
      <c r="AI1261" s="162"/>
      <c r="AJ1261" s="143"/>
      <c r="AK1261" s="143"/>
      <c r="AL1261" s="1112"/>
      <c r="AM1261" s="1112"/>
      <c r="AN1261" s="1112"/>
      <c r="AO1261" s="1112"/>
      <c r="AP1261" s="1112"/>
      <c r="AQ1261" s="1112"/>
    </row>
    <row r="1262" ht="22.5" customHeight="1">
      <c r="A1262" s="166"/>
      <c r="B1262" s="1111"/>
      <c r="C1262" s="524"/>
      <c r="D1262" s="1110"/>
      <c r="E1262" s="669"/>
      <c r="F1262" s="524"/>
      <c r="G1262" s="165"/>
      <c r="H1262" s="669"/>
      <c r="I1262" s="669"/>
      <c r="J1262" s="352"/>
      <c r="K1262" s="271" t="str">
        <f t="shared" si="74"/>
        <v/>
      </c>
      <c r="L1262" s="297"/>
      <c r="M1262" s="334"/>
      <c r="N1262" s="277"/>
      <c r="O1262" s="315"/>
      <c r="P1262" s="344">
        <f t="shared" si="69"/>
        <v>0</v>
      </c>
      <c r="Q1262" s="321"/>
      <c r="R1262" s="672" t="b">
        <v>0</v>
      </c>
      <c r="S1262" s="318"/>
      <c r="T1262" s="319"/>
      <c r="U1262" s="315"/>
      <c r="V1262" s="162"/>
      <c r="W1262" s="149"/>
      <c r="X1262" s="163"/>
      <c r="Y1262" s="162"/>
      <c r="Z1262" s="164"/>
      <c r="AA1262" s="116"/>
      <c r="AB1262" s="116"/>
      <c r="AC1262" s="165"/>
      <c r="AD1262" s="675" t="str">
        <f t="shared" si="76"/>
        <v/>
      </c>
      <c r="AE1262" s="166"/>
      <c r="AF1262" s="149" t="b">
        <v>0</v>
      </c>
      <c r="AG1262" s="166"/>
      <c r="AH1262" s="149" t="b">
        <v>0</v>
      </c>
      <c r="AI1262" s="162"/>
      <c r="AJ1262" s="143"/>
      <c r="AK1262" s="143"/>
      <c r="AL1262" s="1112"/>
      <c r="AM1262" s="1112"/>
      <c r="AN1262" s="1112"/>
      <c r="AO1262" s="1112"/>
      <c r="AP1262" s="1112"/>
      <c r="AQ1262" s="1112"/>
    </row>
    <row r="1263" ht="22.5" customHeight="1">
      <c r="A1263" s="166"/>
      <c r="B1263" s="1111"/>
      <c r="C1263" s="524"/>
      <c r="D1263" s="1110"/>
      <c r="E1263" s="669"/>
      <c r="F1263" s="524"/>
      <c r="G1263" s="165"/>
      <c r="H1263" s="669"/>
      <c r="I1263" s="669"/>
      <c r="J1263" s="352"/>
      <c r="K1263" s="271" t="str">
        <f t="shared" si="74"/>
        <v/>
      </c>
      <c r="L1263" s="297"/>
      <c r="M1263" s="334"/>
      <c r="N1263" s="277"/>
      <c r="O1263" s="315"/>
      <c r="P1263" s="344">
        <f t="shared" si="69"/>
        <v>0</v>
      </c>
      <c r="Q1263" s="321"/>
      <c r="R1263" s="672" t="b">
        <v>0</v>
      </c>
      <c r="S1263" s="318"/>
      <c r="T1263" s="319"/>
      <c r="U1263" s="315"/>
      <c r="V1263" s="162"/>
      <c r="W1263" s="149"/>
      <c r="X1263" s="163"/>
      <c r="Y1263" s="162"/>
      <c r="Z1263" s="164"/>
      <c r="AA1263" s="116"/>
      <c r="AB1263" s="116"/>
      <c r="AC1263" s="165"/>
      <c r="AD1263" s="675" t="str">
        <f t="shared" si="76"/>
        <v/>
      </c>
      <c r="AE1263" s="166"/>
      <c r="AF1263" s="149" t="b">
        <v>0</v>
      </c>
      <c r="AG1263" s="166"/>
      <c r="AH1263" s="149" t="b">
        <v>0</v>
      </c>
      <c r="AI1263" s="162"/>
      <c r="AJ1263" s="143"/>
      <c r="AK1263" s="143"/>
      <c r="AL1263" s="1112"/>
      <c r="AM1263" s="1112"/>
      <c r="AN1263" s="1112"/>
      <c r="AO1263" s="1112"/>
      <c r="AP1263" s="1112"/>
      <c r="AQ1263" s="1112"/>
    </row>
    <row r="1264" ht="22.5" customHeight="1">
      <c r="A1264" s="166"/>
      <c r="B1264" s="1111"/>
      <c r="C1264" s="524"/>
      <c r="D1264" s="1110"/>
      <c r="E1264" s="669"/>
      <c r="F1264" s="524"/>
      <c r="G1264" s="165"/>
      <c r="H1264" s="669"/>
      <c r="I1264" s="669"/>
      <c r="J1264" s="352"/>
      <c r="K1264" s="271" t="str">
        <f t="shared" si="74"/>
        <v/>
      </c>
      <c r="L1264" s="297"/>
      <c r="M1264" s="334"/>
      <c r="N1264" s="277"/>
      <c r="O1264" s="315"/>
      <c r="P1264" s="344">
        <f t="shared" si="69"/>
        <v>0</v>
      </c>
      <c r="Q1264" s="321"/>
      <c r="R1264" s="672" t="b">
        <v>0</v>
      </c>
      <c r="S1264" s="318"/>
      <c r="T1264" s="319"/>
      <c r="U1264" s="315"/>
      <c r="V1264" s="162"/>
      <c r="W1264" s="149"/>
      <c r="X1264" s="163"/>
      <c r="Y1264" s="162"/>
      <c r="Z1264" s="164"/>
      <c r="AA1264" s="116"/>
      <c r="AB1264" s="116"/>
      <c r="AC1264" s="165"/>
      <c r="AD1264" s="675" t="str">
        <f t="shared" si="76"/>
        <v/>
      </c>
      <c r="AE1264" s="166"/>
      <c r="AF1264" s="149" t="b">
        <v>0</v>
      </c>
      <c r="AG1264" s="166"/>
      <c r="AH1264" s="149" t="b">
        <v>0</v>
      </c>
      <c r="AI1264" s="162"/>
      <c r="AJ1264" s="143"/>
      <c r="AK1264" s="143"/>
      <c r="AL1264" s="1112"/>
      <c r="AM1264" s="1112"/>
      <c r="AN1264" s="1112"/>
      <c r="AO1264" s="1112"/>
      <c r="AP1264" s="1112"/>
      <c r="AQ1264" s="1112"/>
    </row>
    <row r="1265" ht="22.5" customHeight="1">
      <c r="A1265" s="166"/>
      <c r="B1265" s="1111"/>
      <c r="C1265" s="524"/>
      <c r="D1265" s="1110"/>
      <c r="E1265" s="669"/>
      <c r="F1265" s="524"/>
      <c r="G1265" s="165"/>
      <c r="H1265" s="669"/>
      <c r="I1265" s="669"/>
      <c r="J1265" s="352"/>
      <c r="K1265" s="271" t="str">
        <f t="shared" si="74"/>
        <v/>
      </c>
      <c r="L1265" s="297"/>
      <c r="M1265" s="334"/>
      <c r="N1265" s="277"/>
      <c r="O1265" s="315"/>
      <c r="P1265" s="344">
        <f t="shared" si="69"/>
        <v>0</v>
      </c>
      <c r="Q1265" s="321"/>
      <c r="R1265" s="672" t="b">
        <v>0</v>
      </c>
      <c r="S1265" s="318"/>
      <c r="T1265" s="319"/>
      <c r="U1265" s="315"/>
      <c r="V1265" s="162"/>
      <c r="W1265" s="149"/>
      <c r="X1265" s="163"/>
      <c r="Y1265" s="162"/>
      <c r="Z1265" s="164"/>
      <c r="AA1265" s="116"/>
      <c r="AB1265" s="116"/>
      <c r="AC1265" s="165"/>
      <c r="AD1265" s="675" t="str">
        <f t="shared" si="76"/>
        <v/>
      </c>
      <c r="AE1265" s="166"/>
      <c r="AF1265" s="149" t="b">
        <v>0</v>
      </c>
      <c r="AG1265" s="166"/>
      <c r="AH1265" s="149" t="b">
        <v>0</v>
      </c>
      <c r="AI1265" s="162"/>
      <c r="AJ1265" s="143"/>
      <c r="AK1265" s="143"/>
      <c r="AL1265" s="1112"/>
      <c r="AM1265" s="1112"/>
      <c r="AN1265" s="1112"/>
      <c r="AO1265" s="1112"/>
      <c r="AP1265" s="1112"/>
      <c r="AQ1265" s="1112"/>
    </row>
    <row r="1266" ht="22.5" customHeight="1">
      <c r="A1266" s="166"/>
      <c r="B1266" s="1111"/>
      <c r="C1266" s="524"/>
      <c r="D1266" s="1110"/>
      <c r="E1266" s="669"/>
      <c r="F1266" s="524"/>
      <c r="G1266" s="165"/>
      <c r="H1266" s="669"/>
      <c r="I1266" s="669"/>
      <c r="J1266" s="352"/>
      <c r="K1266" s="271" t="str">
        <f t="shared" si="74"/>
        <v/>
      </c>
      <c r="L1266" s="297"/>
      <c r="M1266" s="334"/>
      <c r="N1266" s="277"/>
      <c r="O1266" s="315"/>
      <c r="P1266" s="344">
        <f t="shared" si="69"/>
        <v>0</v>
      </c>
      <c r="Q1266" s="321"/>
      <c r="R1266" s="672" t="b">
        <v>0</v>
      </c>
      <c r="S1266" s="318"/>
      <c r="T1266" s="319"/>
      <c r="U1266" s="315"/>
      <c r="V1266" s="162"/>
      <c r="W1266" s="149"/>
      <c r="X1266" s="163"/>
      <c r="Y1266" s="162"/>
      <c r="Z1266" s="164"/>
      <c r="AA1266" s="116"/>
      <c r="AB1266" s="116"/>
      <c r="AC1266" s="165"/>
      <c r="AD1266" s="675" t="str">
        <f t="shared" si="76"/>
        <v/>
      </c>
      <c r="AE1266" s="166"/>
      <c r="AF1266" s="149" t="b">
        <v>0</v>
      </c>
      <c r="AG1266" s="166"/>
      <c r="AH1266" s="149" t="b">
        <v>0</v>
      </c>
      <c r="AI1266" s="162"/>
      <c r="AJ1266" s="143"/>
      <c r="AK1266" s="143"/>
      <c r="AL1266" s="1112"/>
      <c r="AM1266" s="1112"/>
      <c r="AN1266" s="1112"/>
      <c r="AO1266" s="1112"/>
      <c r="AP1266" s="1112"/>
      <c r="AQ1266" s="1112"/>
    </row>
    <row r="1267" ht="22.5" customHeight="1">
      <c r="A1267" s="166"/>
      <c r="B1267" s="1111"/>
      <c r="C1267" s="524"/>
      <c r="D1267" s="1110"/>
      <c r="E1267" s="669"/>
      <c r="F1267" s="524"/>
      <c r="G1267" s="165"/>
      <c r="H1267" s="669"/>
      <c r="I1267" s="669"/>
      <c r="J1267" s="352"/>
      <c r="K1267" s="271" t="str">
        <f t="shared" si="74"/>
        <v/>
      </c>
      <c r="L1267" s="297"/>
      <c r="M1267" s="334"/>
      <c r="N1267" s="277"/>
      <c r="O1267" s="315"/>
      <c r="P1267" s="344">
        <f t="shared" si="69"/>
        <v>0</v>
      </c>
      <c r="Q1267" s="321"/>
      <c r="R1267" s="672" t="b">
        <v>0</v>
      </c>
      <c r="S1267" s="318"/>
      <c r="T1267" s="319"/>
      <c r="U1267" s="315"/>
      <c r="V1267" s="162"/>
      <c r="W1267" s="149"/>
      <c r="X1267" s="163"/>
      <c r="Y1267" s="162"/>
      <c r="Z1267" s="164"/>
      <c r="AA1267" s="116"/>
      <c r="AB1267" s="116"/>
      <c r="AC1267" s="165"/>
      <c r="AD1267" s="675" t="str">
        <f t="shared" si="76"/>
        <v/>
      </c>
      <c r="AE1267" s="166"/>
      <c r="AF1267" s="149" t="b">
        <v>0</v>
      </c>
      <c r="AG1267" s="166"/>
      <c r="AH1267" s="149" t="b">
        <v>0</v>
      </c>
      <c r="AI1267" s="162"/>
      <c r="AJ1267" s="143"/>
      <c r="AK1267" s="143"/>
      <c r="AL1267" s="1112"/>
      <c r="AM1267" s="1112"/>
      <c r="AN1267" s="1112"/>
      <c r="AO1267" s="1112"/>
      <c r="AP1267" s="1112"/>
      <c r="AQ1267" s="1112"/>
    </row>
    <row r="1268" ht="22.5" customHeight="1">
      <c r="A1268" s="166"/>
      <c r="B1268" s="1111"/>
      <c r="C1268" s="524"/>
      <c r="D1268" s="1110"/>
      <c r="E1268" s="669"/>
      <c r="F1268" s="524"/>
      <c r="G1268" s="165"/>
      <c r="H1268" s="669"/>
      <c r="I1268" s="669"/>
      <c r="J1268" s="352"/>
      <c r="K1268" s="271" t="str">
        <f t="shared" si="74"/>
        <v/>
      </c>
      <c r="L1268" s="297"/>
      <c r="M1268" s="334"/>
      <c r="N1268" s="277"/>
      <c r="O1268" s="315"/>
      <c r="P1268" s="344">
        <f t="shared" si="69"/>
        <v>0</v>
      </c>
      <c r="Q1268" s="321"/>
      <c r="R1268" s="672" t="b">
        <v>0</v>
      </c>
      <c r="S1268" s="318"/>
      <c r="T1268" s="319"/>
      <c r="U1268" s="315"/>
      <c r="V1268" s="162"/>
      <c r="W1268" s="149"/>
      <c r="X1268" s="163"/>
      <c r="Y1268" s="162"/>
      <c r="Z1268" s="164"/>
      <c r="AA1268" s="116"/>
      <c r="AB1268" s="116"/>
      <c r="AC1268" s="165"/>
      <c r="AD1268" s="675" t="str">
        <f t="shared" si="76"/>
        <v/>
      </c>
      <c r="AE1268" s="166"/>
      <c r="AF1268" s="149" t="b">
        <v>0</v>
      </c>
      <c r="AG1268" s="166"/>
      <c r="AH1268" s="149" t="b">
        <v>0</v>
      </c>
      <c r="AI1268" s="162"/>
      <c r="AJ1268" s="143"/>
      <c r="AK1268" s="143"/>
      <c r="AL1268" s="1112"/>
      <c r="AM1268" s="1112"/>
      <c r="AN1268" s="1112"/>
      <c r="AO1268" s="1112"/>
      <c r="AP1268" s="1112"/>
      <c r="AQ1268" s="1112"/>
    </row>
    <row r="1269" ht="22.5" customHeight="1">
      <c r="A1269" s="166"/>
      <c r="B1269" s="1111"/>
      <c r="C1269" s="524"/>
      <c r="D1269" s="1110"/>
      <c r="E1269" s="669"/>
      <c r="F1269" s="524"/>
      <c r="G1269" s="165"/>
      <c r="H1269" s="669"/>
      <c r="I1269" s="669"/>
      <c r="J1269" s="352"/>
      <c r="K1269" s="271" t="str">
        <f t="shared" si="74"/>
        <v/>
      </c>
      <c r="L1269" s="297"/>
      <c r="M1269" s="334"/>
      <c r="N1269" s="277"/>
      <c r="O1269" s="315"/>
      <c r="P1269" s="344">
        <f t="shared" si="69"/>
        <v>0</v>
      </c>
      <c r="Q1269" s="321"/>
      <c r="R1269" s="672" t="b">
        <v>0</v>
      </c>
      <c r="S1269" s="318"/>
      <c r="T1269" s="319"/>
      <c r="U1269" s="315"/>
      <c r="V1269" s="162"/>
      <c r="W1269" s="149"/>
      <c r="X1269" s="163"/>
      <c r="Y1269" s="162"/>
      <c r="Z1269" s="164"/>
      <c r="AA1269" s="116"/>
      <c r="AB1269" s="116"/>
      <c r="AC1269" s="165"/>
      <c r="AD1269" s="675" t="str">
        <f t="shared" si="76"/>
        <v/>
      </c>
      <c r="AE1269" s="166"/>
      <c r="AF1269" s="149" t="b">
        <v>0</v>
      </c>
      <c r="AG1269" s="166"/>
      <c r="AH1269" s="149" t="b">
        <v>0</v>
      </c>
      <c r="AI1269" s="162"/>
      <c r="AJ1269" s="143"/>
      <c r="AK1269" s="143"/>
      <c r="AL1269" s="1112"/>
      <c r="AM1269" s="1112"/>
      <c r="AN1269" s="1112"/>
      <c r="AO1269" s="1112"/>
      <c r="AP1269" s="1112"/>
      <c r="AQ1269" s="1112"/>
    </row>
    <row r="1270" ht="22.5" customHeight="1">
      <c r="A1270" s="166"/>
      <c r="B1270" s="1111"/>
      <c r="C1270" s="524"/>
      <c r="D1270" s="1110"/>
      <c r="E1270" s="669"/>
      <c r="F1270" s="524"/>
      <c r="G1270" s="165"/>
      <c r="H1270" s="669"/>
      <c r="I1270" s="669"/>
      <c r="J1270" s="352"/>
      <c r="K1270" s="271" t="str">
        <f t="shared" si="74"/>
        <v/>
      </c>
      <c r="L1270" s="297"/>
      <c r="M1270" s="334"/>
      <c r="N1270" s="277"/>
      <c r="O1270" s="315"/>
      <c r="P1270" s="344">
        <f t="shared" si="69"/>
        <v>0</v>
      </c>
      <c r="Q1270" s="321"/>
      <c r="R1270" s="672" t="b">
        <v>0</v>
      </c>
      <c r="S1270" s="318"/>
      <c r="T1270" s="319"/>
      <c r="U1270" s="315"/>
      <c r="V1270" s="162"/>
      <c r="W1270" s="149"/>
      <c r="X1270" s="163"/>
      <c r="Y1270" s="162"/>
      <c r="Z1270" s="164"/>
      <c r="AA1270" s="116"/>
      <c r="AB1270" s="116"/>
      <c r="AC1270" s="165"/>
      <c r="AD1270" s="675" t="str">
        <f t="shared" si="76"/>
        <v/>
      </c>
      <c r="AE1270" s="166"/>
      <c r="AF1270" s="149" t="b">
        <v>0</v>
      </c>
      <c r="AG1270" s="166"/>
      <c r="AH1270" s="149" t="b">
        <v>0</v>
      </c>
      <c r="AI1270" s="162"/>
      <c r="AJ1270" s="143"/>
      <c r="AK1270" s="143"/>
      <c r="AL1270" s="1112"/>
      <c r="AM1270" s="1112"/>
      <c r="AN1270" s="1112"/>
      <c r="AO1270" s="1112"/>
      <c r="AP1270" s="1112"/>
      <c r="AQ1270" s="1112"/>
    </row>
    <row r="1271" ht="22.5" customHeight="1">
      <c r="A1271" s="166"/>
      <c r="B1271" s="1111"/>
      <c r="C1271" s="524"/>
      <c r="D1271" s="1110"/>
      <c r="E1271" s="669"/>
      <c r="F1271" s="524"/>
      <c r="G1271" s="165"/>
      <c r="H1271" s="669"/>
      <c r="I1271" s="669"/>
      <c r="J1271" s="352"/>
      <c r="K1271" s="271" t="str">
        <f t="shared" si="74"/>
        <v/>
      </c>
      <c r="L1271" s="297"/>
      <c r="M1271" s="334"/>
      <c r="N1271" s="277"/>
      <c r="O1271" s="315"/>
      <c r="P1271" s="344">
        <f t="shared" si="69"/>
        <v>0</v>
      </c>
      <c r="Q1271" s="321"/>
      <c r="R1271" s="672" t="b">
        <v>0</v>
      </c>
      <c r="S1271" s="318"/>
      <c r="T1271" s="319"/>
      <c r="U1271" s="315"/>
      <c r="V1271" s="162"/>
      <c r="W1271" s="149"/>
      <c r="X1271" s="163"/>
      <c r="Y1271" s="162"/>
      <c r="Z1271" s="164"/>
      <c r="AA1271" s="116"/>
      <c r="AB1271" s="116"/>
      <c r="AC1271" s="165"/>
      <c r="AD1271" s="675" t="str">
        <f t="shared" si="76"/>
        <v/>
      </c>
      <c r="AE1271" s="166"/>
      <c r="AF1271" s="149" t="b">
        <v>0</v>
      </c>
      <c r="AG1271" s="166"/>
      <c r="AH1271" s="149" t="b">
        <v>0</v>
      </c>
      <c r="AI1271" s="162"/>
      <c r="AJ1271" s="143"/>
      <c r="AK1271" s="143"/>
      <c r="AL1271" s="1112"/>
      <c r="AM1271" s="1112"/>
      <c r="AN1271" s="1112"/>
      <c r="AO1271" s="1112"/>
      <c r="AP1271" s="1112"/>
      <c r="AQ1271" s="1112"/>
    </row>
    <row r="1272" ht="22.5" customHeight="1">
      <c r="A1272" s="166"/>
      <c r="B1272" s="1111"/>
      <c r="C1272" s="524"/>
      <c r="D1272" s="1110"/>
      <c r="E1272" s="669"/>
      <c r="F1272" s="524"/>
      <c r="G1272" s="165"/>
      <c r="H1272" s="669"/>
      <c r="I1272" s="669"/>
      <c r="J1272" s="352"/>
      <c r="K1272" s="271" t="str">
        <f t="shared" si="74"/>
        <v/>
      </c>
      <c r="L1272" s="297"/>
      <c r="M1272" s="334"/>
      <c r="N1272" s="277"/>
      <c r="O1272" s="315"/>
      <c r="P1272" s="344">
        <f t="shared" si="69"/>
        <v>0</v>
      </c>
      <c r="Q1272" s="321"/>
      <c r="R1272" s="672" t="b">
        <v>0</v>
      </c>
      <c r="S1272" s="318"/>
      <c r="T1272" s="319"/>
      <c r="U1272" s="315"/>
      <c r="V1272" s="162"/>
      <c r="W1272" s="149"/>
      <c r="X1272" s="163"/>
      <c r="Y1272" s="162"/>
      <c r="Z1272" s="164"/>
      <c r="AA1272" s="116"/>
      <c r="AB1272" s="116"/>
      <c r="AC1272" s="165"/>
      <c r="AD1272" s="675" t="str">
        <f t="shared" si="76"/>
        <v/>
      </c>
      <c r="AE1272" s="166"/>
      <c r="AF1272" s="149" t="b">
        <v>0</v>
      </c>
      <c r="AG1272" s="166"/>
      <c r="AH1272" s="149" t="b">
        <v>0</v>
      </c>
      <c r="AI1272" s="162"/>
      <c r="AJ1272" s="143"/>
      <c r="AK1272" s="143"/>
      <c r="AL1272" s="1112"/>
      <c r="AM1272" s="1112"/>
      <c r="AN1272" s="1112"/>
      <c r="AO1272" s="1112"/>
      <c r="AP1272" s="1112"/>
      <c r="AQ1272" s="1112"/>
    </row>
    <row r="1273" ht="22.5" customHeight="1">
      <c r="A1273" s="166"/>
      <c r="B1273" s="1111"/>
      <c r="C1273" s="524"/>
      <c r="D1273" s="1110"/>
      <c r="E1273" s="669"/>
      <c r="F1273" s="524"/>
      <c r="G1273" s="165"/>
      <c r="H1273" s="669"/>
      <c r="I1273" s="669"/>
      <c r="J1273" s="352"/>
      <c r="K1273" s="271" t="str">
        <f t="shared" si="74"/>
        <v/>
      </c>
      <c r="L1273" s="297"/>
      <c r="M1273" s="334"/>
      <c r="N1273" s="277"/>
      <c r="O1273" s="315"/>
      <c r="P1273" s="344">
        <f t="shared" si="69"/>
        <v>0</v>
      </c>
      <c r="Q1273" s="321"/>
      <c r="R1273" s="672" t="b">
        <v>0</v>
      </c>
      <c r="S1273" s="318"/>
      <c r="T1273" s="319"/>
      <c r="U1273" s="315"/>
      <c r="V1273" s="162"/>
      <c r="W1273" s="149"/>
      <c r="X1273" s="163"/>
      <c r="Y1273" s="162"/>
      <c r="Z1273" s="164"/>
      <c r="AA1273" s="116"/>
      <c r="AB1273" s="116"/>
      <c r="AC1273" s="165"/>
      <c r="AD1273" s="675" t="str">
        <f t="shared" si="76"/>
        <v/>
      </c>
      <c r="AE1273" s="166"/>
      <c r="AF1273" s="149" t="b">
        <v>0</v>
      </c>
      <c r="AG1273" s="166"/>
      <c r="AH1273" s="149" t="b">
        <v>0</v>
      </c>
      <c r="AI1273" s="162"/>
      <c r="AJ1273" s="143"/>
      <c r="AK1273" s="143"/>
      <c r="AL1273" s="1112"/>
      <c r="AM1273" s="1112"/>
      <c r="AN1273" s="1112"/>
      <c r="AO1273" s="1112"/>
      <c r="AP1273" s="1112"/>
      <c r="AQ1273" s="1112"/>
    </row>
    <row r="1274" ht="22.5" customHeight="1">
      <c r="A1274" s="166"/>
      <c r="B1274" s="1111"/>
      <c r="C1274" s="524"/>
      <c r="D1274" s="1110"/>
      <c r="E1274" s="669"/>
      <c r="F1274" s="524"/>
      <c r="G1274" s="165"/>
      <c r="H1274" s="669"/>
      <c r="I1274" s="669"/>
      <c r="J1274" s="352"/>
      <c r="K1274" s="271" t="str">
        <f t="shared" si="74"/>
        <v/>
      </c>
      <c r="L1274" s="297"/>
      <c r="M1274" s="334"/>
      <c r="N1274" s="277"/>
      <c r="O1274" s="315"/>
      <c r="P1274" s="344">
        <f t="shared" si="69"/>
        <v>0</v>
      </c>
      <c r="Q1274" s="321"/>
      <c r="R1274" s="672" t="b">
        <v>0</v>
      </c>
      <c r="S1274" s="318"/>
      <c r="T1274" s="319"/>
      <c r="U1274" s="315"/>
      <c r="V1274" s="162"/>
      <c r="W1274" s="149"/>
      <c r="X1274" s="163"/>
      <c r="Y1274" s="162"/>
      <c r="Z1274" s="164"/>
      <c r="AA1274" s="116"/>
      <c r="AB1274" s="116"/>
      <c r="AC1274" s="165"/>
      <c r="AD1274" s="675" t="str">
        <f t="shared" si="76"/>
        <v/>
      </c>
      <c r="AE1274" s="166"/>
      <c r="AF1274" s="149" t="b">
        <v>0</v>
      </c>
      <c r="AG1274" s="166"/>
      <c r="AH1274" s="149" t="b">
        <v>0</v>
      </c>
      <c r="AI1274" s="162"/>
      <c r="AJ1274" s="143"/>
      <c r="AK1274" s="143"/>
      <c r="AL1274" s="1112"/>
      <c r="AM1274" s="1112"/>
      <c r="AN1274" s="1112"/>
      <c r="AO1274" s="1112"/>
      <c r="AP1274" s="1112"/>
      <c r="AQ1274" s="1112"/>
    </row>
    <row r="1275" ht="22.5" customHeight="1">
      <c r="A1275" s="166"/>
      <c r="B1275" s="1111"/>
      <c r="C1275" s="524"/>
      <c r="D1275" s="1110"/>
      <c r="E1275" s="669"/>
      <c r="F1275" s="524"/>
      <c r="G1275" s="165"/>
      <c r="H1275" s="669"/>
      <c r="I1275" s="669"/>
      <c r="J1275" s="352"/>
      <c r="K1275" s="271" t="str">
        <f t="shared" si="74"/>
        <v/>
      </c>
      <c r="L1275" s="297"/>
      <c r="M1275" s="334"/>
      <c r="N1275" s="277"/>
      <c r="O1275" s="315"/>
      <c r="P1275" s="344">
        <f t="shared" si="69"/>
        <v>0</v>
      </c>
      <c r="Q1275" s="321"/>
      <c r="R1275" s="672" t="b">
        <v>0</v>
      </c>
      <c r="S1275" s="318"/>
      <c r="T1275" s="319"/>
      <c r="U1275" s="315"/>
      <c r="V1275" s="162"/>
      <c r="W1275" s="149"/>
      <c r="X1275" s="163"/>
      <c r="Y1275" s="162"/>
      <c r="Z1275" s="164"/>
      <c r="AA1275" s="116"/>
      <c r="AB1275" s="116"/>
      <c r="AC1275" s="165"/>
      <c r="AD1275" s="675" t="str">
        <f t="shared" si="76"/>
        <v/>
      </c>
      <c r="AE1275" s="166"/>
      <c r="AF1275" s="149" t="b">
        <v>0</v>
      </c>
      <c r="AG1275" s="166"/>
      <c r="AH1275" s="149" t="b">
        <v>0</v>
      </c>
      <c r="AI1275" s="162"/>
      <c r="AJ1275" s="143"/>
      <c r="AK1275" s="143"/>
      <c r="AL1275" s="1112"/>
      <c r="AM1275" s="1112"/>
      <c r="AN1275" s="1112"/>
      <c r="AO1275" s="1112"/>
      <c r="AP1275" s="1112"/>
      <c r="AQ1275" s="1112"/>
    </row>
    <row r="1276" ht="22.5" customHeight="1">
      <c r="A1276" s="166"/>
      <c r="B1276" s="1111"/>
      <c r="C1276" s="524"/>
      <c r="D1276" s="1110"/>
      <c r="E1276" s="669"/>
      <c r="F1276" s="524"/>
      <c r="G1276" s="165"/>
      <c r="H1276" s="669"/>
      <c r="I1276" s="669"/>
      <c r="J1276" s="352"/>
      <c r="K1276" s="271" t="str">
        <f t="shared" si="74"/>
        <v/>
      </c>
      <c r="L1276" s="297"/>
      <c r="M1276" s="334"/>
      <c r="N1276" s="277"/>
      <c r="O1276" s="315"/>
      <c r="P1276" s="344">
        <f t="shared" si="69"/>
        <v>0</v>
      </c>
      <c r="Q1276" s="321"/>
      <c r="R1276" s="672" t="b">
        <v>0</v>
      </c>
      <c r="S1276" s="318"/>
      <c r="T1276" s="319"/>
      <c r="U1276" s="315"/>
      <c r="V1276" s="162"/>
      <c r="W1276" s="149"/>
      <c r="X1276" s="163"/>
      <c r="Y1276" s="162"/>
      <c r="Z1276" s="164"/>
      <c r="AA1276" s="116"/>
      <c r="AB1276" s="116"/>
      <c r="AC1276" s="165"/>
      <c r="AD1276" s="675" t="str">
        <f t="shared" si="76"/>
        <v/>
      </c>
      <c r="AE1276" s="166"/>
      <c r="AF1276" s="149" t="b">
        <v>0</v>
      </c>
      <c r="AG1276" s="166"/>
      <c r="AH1276" s="149" t="b">
        <v>0</v>
      </c>
      <c r="AI1276" s="162"/>
      <c r="AJ1276" s="143"/>
      <c r="AK1276" s="143"/>
      <c r="AL1276" s="1112"/>
      <c r="AM1276" s="1112"/>
      <c r="AN1276" s="1112"/>
      <c r="AO1276" s="1112"/>
      <c r="AP1276" s="1112"/>
      <c r="AQ1276" s="1112"/>
    </row>
    <row r="1277" ht="22.5" customHeight="1">
      <c r="A1277" s="166"/>
      <c r="B1277" s="1111"/>
      <c r="C1277" s="524"/>
      <c r="D1277" s="1110"/>
      <c r="E1277" s="669"/>
      <c r="F1277" s="524"/>
      <c r="G1277" s="165"/>
      <c r="H1277" s="669"/>
      <c r="I1277" s="669"/>
      <c r="J1277" s="352"/>
      <c r="K1277" s="271" t="str">
        <f t="shared" si="74"/>
        <v/>
      </c>
      <c r="L1277" s="297"/>
      <c r="M1277" s="334"/>
      <c r="N1277" s="277"/>
      <c r="O1277" s="315"/>
      <c r="P1277" s="344">
        <f t="shared" si="69"/>
        <v>0</v>
      </c>
      <c r="Q1277" s="321"/>
      <c r="R1277" s="672" t="b">
        <v>0</v>
      </c>
      <c r="S1277" s="318"/>
      <c r="T1277" s="319"/>
      <c r="U1277" s="315"/>
      <c r="V1277" s="162"/>
      <c r="W1277" s="149"/>
      <c r="X1277" s="163"/>
      <c r="Y1277" s="162"/>
      <c r="Z1277" s="164"/>
      <c r="AA1277" s="116"/>
      <c r="AB1277" s="116"/>
      <c r="AC1277" s="165"/>
      <c r="AD1277" s="675" t="str">
        <f t="shared" si="76"/>
        <v/>
      </c>
      <c r="AE1277" s="166"/>
      <c r="AF1277" s="149" t="b">
        <v>0</v>
      </c>
      <c r="AG1277" s="166"/>
      <c r="AH1277" s="149" t="b">
        <v>0</v>
      </c>
      <c r="AI1277" s="162"/>
      <c r="AJ1277" s="143"/>
      <c r="AK1277" s="143"/>
      <c r="AL1277" s="1112"/>
      <c r="AM1277" s="1112"/>
      <c r="AN1277" s="1112"/>
      <c r="AO1277" s="1112"/>
      <c r="AP1277" s="1112"/>
      <c r="AQ1277" s="1112"/>
    </row>
    <row r="1278" ht="22.5" customHeight="1">
      <c r="A1278" s="166"/>
      <c r="B1278" s="1111"/>
      <c r="C1278" s="524"/>
      <c r="D1278" s="1110"/>
      <c r="E1278" s="669"/>
      <c r="F1278" s="524"/>
      <c r="G1278" s="165"/>
      <c r="H1278" s="669"/>
      <c r="I1278" s="669"/>
      <c r="J1278" s="352"/>
      <c r="K1278" s="271" t="str">
        <f t="shared" si="74"/>
        <v/>
      </c>
      <c r="L1278" s="297"/>
      <c r="M1278" s="334"/>
      <c r="N1278" s="277"/>
      <c r="O1278" s="315"/>
      <c r="P1278" s="344">
        <f t="shared" si="69"/>
        <v>0</v>
      </c>
      <c r="Q1278" s="321"/>
      <c r="R1278" s="672" t="b">
        <v>0</v>
      </c>
      <c r="S1278" s="318"/>
      <c r="T1278" s="319"/>
      <c r="U1278" s="315"/>
      <c r="V1278" s="162"/>
      <c r="W1278" s="149"/>
      <c r="X1278" s="163"/>
      <c r="Y1278" s="162"/>
      <c r="Z1278" s="164"/>
      <c r="AA1278" s="116"/>
      <c r="AB1278" s="116"/>
      <c r="AC1278" s="165"/>
      <c r="AD1278" s="675" t="str">
        <f t="shared" si="76"/>
        <v/>
      </c>
      <c r="AE1278" s="166"/>
      <c r="AF1278" s="149" t="b">
        <v>0</v>
      </c>
      <c r="AG1278" s="166"/>
      <c r="AH1278" s="149" t="b">
        <v>0</v>
      </c>
      <c r="AI1278" s="162"/>
      <c r="AJ1278" s="143"/>
      <c r="AK1278" s="143"/>
      <c r="AL1278" s="1112"/>
      <c r="AM1278" s="1112"/>
      <c r="AN1278" s="1112"/>
      <c r="AO1278" s="1112"/>
      <c r="AP1278" s="1112"/>
      <c r="AQ1278" s="1112"/>
    </row>
    <row r="1279" ht="22.5" customHeight="1">
      <c r="A1279" s="166"/>
      <c r="B1279" s="1111"/>
      <c r="C1279" s="524"/>
      <c r="D1279" s="1110"/>
      <c r="E1279" s="669"/>
      <c r="F1279" s="524"/>
      <c r="G1279" s="165"/>
      <c r="H1279" s="669"/>
      <c r="I1279" s="669"/>
      <c r="J1279" s="352"/>
      <c r="K1279" s="271" t="str">
        <f t="shared" si="74"/>
        <v/>
      </c>
      <c r="L1279" s="297"/>
      <c r="M1279" s="334"/>
      <c r="N1279" s="277"/>
      <c r="O1279" s="315"/>
      <c r="P1279" s="344">
        <f t="shared" si="69"/>
        <v>0</v>
      </c>
      <c r="Q1279" s="321"/>
      <c r="R1279" s="672" t="b">
        <v>0</v>
      </c>
      <c r="S1279" s="318"/>
      <c r="T1279" s="319"/>
      <c r="U1279" s="315"/>
      <c r="V1279" s="162"/>
      <c r="W1279" s="149"/>
      <c r="X1279" s="163"/>
      <c r="Y1279" s="162"/>
      <c r="Z1279" s="164"/>
      <c r="AA1279" s="116"/>
      <c r="AB1279" s="116"/>
      <c r="AC1279" s="165"/>
      <c r="AD1279" s="675" t="str">
        <f t="shared" si="76"/>
        <v/>
      </c>
      <c r="AE1279" s="166"/>
      <c r="AF1279" s="149" t="b">
        <v>0</v>
      </c>
      <c r="AG1279" s="166"/>
      <c r="AH1279" s="149" t="b">
        <v>0</v>
      </c>
      <c r="AI1279" s="162"/>
      <c r="AJ1279" s="143"/>
      <c r="AK1279" s="143"/>
      <c r="AL1279" s="1112"/>
      <c r="AM1279" s="1112"/>
      <c r="AN1279" s="1112"/>
      <c r="AO1279" s="1112"/>
      <c r="AP1279" s="1112"/>
      <c r="AQ1279" s="1112"/>
    </row>
    <row r="1280" ht="22.5" customHeight="1">
      <c r="A1280" s="166"/>
      <c r="B1280" s="1111"/>
      <c r="C1280" s="524"/>
      <c r="D1280" s="1110"/>
      <c r="E1280" s="669"/>
      <c r="F1280" s="524"/>
      <c r="G1280" s="165"/>
      <c r="H1280" s="669"/>
      <c r="I1280" s="669"/>
      <c r="J1280" s="352"/>
      <c r="K1280" s="271" t="str">
        <f t="shared" si="74"/>
        <v/>
      </c>
      <c r="L1280" s="297"/>
      <c r="M1280" s="334"/>
      <c r="N1280" s="277"/>
      <c r="O1280" s="315"/>
      <c r="P1280" s="344">
        <f t="shared" si="69"/>
        <v>0</v>
      </c>
      <c r="Q1280" s="321"/>
      <c r="R1280" s="672" t="b">
        <v>0</v>
      </c>
      <c r="S1280" s="318"/>
      <c r="T1280" s="319"/>
      <c r="U1280" s="315"/>
      <c r="V1280" s="162"/>
      <c r="W1280" s="149"/>
      <c r="X1280" s="163"/>
      <c r="Y1280" s="162"/>
      <c r="Z1280" s="164"/>
      <c r="AA1280" s="116"/>
      <c r="AB1280" s="116"/>
      <c r="AC1280" s="165"/>
      <c r="AD1280" s="675" t="str">
        <f t="shared" si="76"/>
        <v/>
      </c>
      <c r="AE1280" s="166"/>
      <c r="AF1280" s="149" t="b">
        <v>0</v>
      </c>
      <c r="AG1280" s="166"/>
      <c r="AH1280" s="149" t="b">
        <v>0</v>
      </c>
      <c r="AI1280" s="162"/>
      <c r="AJ1280" s="143"/>
      <c r="AK1280" s="143"/>
      <c r="AL1280" s="1112"/>
      <c r="AM1280" s="1112"/>
      <c r="AN1280" s="1112"/>
      <c r="AO1280" s="1112"/>
      <c r="AP1280" s="1112"/>
      <c r="AQ1280" s="1112"/>
    </row>
    <row r="1281" ht="22.5" customHeight="1">
      <c r="A1281" s="166"/>
      <c r="B1281" s="1111"/>
      <c r="C1281" s="524"/>
      <c r="D1281" s="1110"/>
      <c r="E1281" s="669"/>
      <c r="F1281" s="524"/>
      <c r="G1281" s="165"/>
      <c r="H1281" s="669"/>
      <c r="I1281" s="669"/>
      <c r="J1281" s="352"/>
      <c r="K1281" s="271" t="str">
        <f t="shared" si="74"/>
        <v/>
      </c>
      <c r="L1281" s="297"/>
      <c r="M1281" s="334"/>
      <c r="N1281" s="277"/>
      <c r="O1281" s="315"/>
      <c r="P1281" s="344">
        <f t="shared" si="69"/>
        <v>0</v>
      </c>
      <c r="Q1281" s="321"/>
      <c r="R1281" s="672" t="b">
        <v>0</v>
      </c>
      <c r="S1281" s="318"/>
      <c r="T1281" s="319"/>
      <c r="U1281" s="315"/>
      <c r="V1281" s="162"/>
      <c r="W1281" s="149"/>
      <c r="X1281" s="163"/>
      <c r="Y1281" s="162"/>
      <c r="Z1281" s="164"/>
      <c r="AA1281" s="116"/>
      <c r="AB1281" s="116"/>
      <c r="AC1281" s="165"/>
      <c r="AD1281" s="675" t="str">
        <f t="shared" si="76"/>
        <v/>
      </c>
      <c r="AE1281" s="166"/>
      <c r="AF1281" s="149" t="b">
        <v>0</v>
      </c>
      <c r="AG1281" s="166"/>
      <c r="AH1281" s="149" t="b">
        <v>0</v>
      </c>
      <c r="AI1281" s="162"/>
      <c r="AJ1281" s="143"/>
      <c r="AK1281" s="143"/>
      <c r="AL1281" s="1112"/>
      <c r="AM1281" s="1112"/>
      <c r="AN1281" s="1112"/>
      <c r="AO1281" s="1112"/>
      <c r="AP1281" s="1112"/>
      <c r="AQ1281" s="1112"/>
    </row>
    <row r="1282" ht="22.5" customHeight="1">
      <c r="A1282" s="166"/>
      <c r="B1282" s="1111"/>
      <c r="C1282" s="524"/>
      <c r="D1282" s="1110"/>
      <c r="E1282" s="669"/>
      <c r="F1282" s="524"/>
      <c r="G1282" s="165"/>
      <c r="H1282" s="669"/>
      <c r="I1282" s="669"/>
      <c r="J1282" s="352"/>
      <c r="K1282" s="271" t="str">
        <f t="shared" si="74"/>
        <v/>
      </c>
      <c r="L1282" s="297"/>
      <c r="M1282" s="334"/>
      <c r="N1282" s="277"/>
      <c r="O1282" s="315"/>
      <c r="P1282" s="344">
        <f t="shared" si="69"/>
        <v>0</v>
      </c>
      <c r="Q1282" s="321"/>
      <c r="R1282" s="672" t="b">
        <v>0</v>
      </c>
      <c r="S1282" s="318"/>
      <c r="T1282" s="319"/>
      <c r="U1282" s="315"/>
      <c r="V1282" s="162"/>
      <c r="W1282" s="149"/>
      <c r="X1282" s="163"/>
      <c r="Y1282" s="162"/>
      <c r="Z1282" s="164"/>
      <c r="AA1282" s="116"/>
      <c r="AB1282" s="116"/>
      <c r="AC1282" s="165"/>
      <c r="AD1282" s="675" t="str">
        <f t="shared" si="76"/>
        <v/>
      </c>
      <c r="AE1282" s="166"/>
      <c r="AF1282" s="149" t="b">
        <v>0</v>
      </c>
      <c r="AG1282" s="166"/>
      <c r="AH1282" s="149" t="b">
        <v>0</v>
      </c>
      <c r="AI1282" s="162"/>
      <c r="AJ1282" s="143"/>
      <c r="AK1282" s="143"/>
      <c r="AL1282" s="1112"/>
      <c r="AM1282" s="1112"/>
      <c r="AN1282" s="1112"/>
      <c r="AO1282" s="1112"/>
      <c r="AP1282" s="1112"/>
      <c r="AQ1282" s="1112"/>
    </row>
    <row r="1283" ht="22.5" customHeight="1">
      <c r="A1283" s="166"/>
      <c r="B1283" s="1111"/>
      <c r="C1283" s="524"/>
      <c r="D1283" s="1110"/>
      <c r="E1283" s="669"/>
      <c r="F1283" s="524"/>
      <c r="G1283" s="165"/>
      <c r="H1283" s="669"/>
      <c r="I1283" s="669"/>
      <c r="J1283" s="352"/>
      <c r="K1283" s="271" t="str">
        <f t="shared" si="74"/>
        <v/>
      </c>
      <c r="L1283" s="297"/>
      <c r="M1283" s="334"/>
      <c r="N1283" s="277"/>
      <c r="O1283" s="315"/>
      <c r="P1283" s="344">
        <f t="shared" si="69"/>
        <v>0</v>
      </c>
      <c r="Q1283" s="321"/>
      <c r="R1283" s="672" t="b">
        <v>0</v>
      </c>
      <c r="S1283" s="318"/>
      <c r="T1283" s="319"/>
      <c r="U1283" s="315"/>
      <c r="V1283" s="162"/>
      <c r="W1283" s="149"/>
      <c r="X1283" s="163"/>
      <c r="Y1283" s="162"/>
      <c r="Z1283" s="164"/>
      <c r="AA1283" s="116"/>
      <c r="AB1283" s="116"/>
      <c r="AC1283" s="165"/>
      <c r="AD1283" s="675" t="str">
        <f t="shared" si="76"/>
        <v/>
      </c>
      <c r="AE1283" s="166"/>
      <c r="AF1283" s="149" t="b">
        <v>0</v>
      </c>
      <c r="AG1283" s="166"/>
      <c r="AH1283" s="149" t="b">
        <v>0</v>
      </c>
      <c r="AI1283" s="162"/>
      <c r="AJ1283" s="143"/>
      <c r="AK1283" s="143"/>
      <c r="AL1283" s="1112"/>
      <c r="AM1283" s="1112"/>
      <c r="AN1283" s="1112"/>
      <c r="AO1283" s="1112"/>
      <c r="AP1283" s="1112"/>
      <c r="AQ1283" s="1112"/>
    </row>
    <row r="1284" ht="22.5" customHeight="1">
      <c r="A1284" s="166"/>
      <c r="B1284" s="1111"/>
      <c r="C1284" s="524"/>
      <c r="D1284" s="1110"/>
      <c r="E1284" s="669"/>
      <c r="F1284" s="524"/>
      <c r="G1284" s="165"/>
      <c r="H1284" s="669"/>
      <c r="I1284" s="669"/>
      <c r="J1284" s="352"/>
      <c r="K1284" s="271" t="str">
        <f t="shared" si="74"/>
        <v/>
      </c>
      <c r="L1284" s="297"/>
      <c r="M1284" s="334"/>
      <c r="N1284" s="277"/>
      <c r="O1284" s="315"/>
      <c r="P1284" s="344">
        <f t="shared" si="69"/>
        <v>0</v>
      </c>
      <c r="Q1284" s="321"/>
      <c r="R1284" s="672" t="b">
        <v>0</v>
      </c>
      <c r="S1284" s="318"/>
      <c r="T1284" s="319"/>
      <c r="U1284" s="315"/>
      <c r="V1284" s="162"/>
      <c r="W1284" s="149"/>
      <c r="X1284" s="163"/>
      <c r="Y1284" s="162"/>
      <c r="Z1284" s="164"/>
      <c r="AA1284" s="116"/>
      <c r="AB1284" s="116"/>
      <c r="AC1284" s="165"/>
      <c r="AD1284" s="675" t="str">
        <f t="shared" si="76"/>
        <v/>
      </c>
      <c r="AE1284" s="166"/>
      <c r="AF1284" s="149" t="b">
        <v>0</v>
      </c>
      <c r="AG1284" s="166"/>
      <c r="AH1284" s="149" t="b">
        <v>0</v>
      </c>
      <c r="AI1284" s="162"/>
      <c r="AJ1284" s="143"/>
      <c r="AK1284" s="143"/>
      <c r="AL1284" s="1112"/>
      <c r="AM1284" s="1112"/>
      <c r="AN1284" s="1112"/>
      <c r="AO1284" s="1112"/>
      <c r="AP1284" s="1112"/>
      <c r="AQ1284" s="1112"/>
    </row>
    <row r="1285" ht="22.5" customHeight="1">
      <c r="A1285" s="166"/>
      <c r="B1285" s="1111"/>
      <c r="C1285" s="524"/>
      <c r="D1285" s="1110"/>
      <c r="E1285" s="669"/>
      <c r="F1285" s="524"/>
      <c r="G1285" s="165"/>
      <c r="H1285" s="669"/>
      <c r="I1285" s="669"/>
      <c r="J1285" s="352"/>
      <c r="K1285" s="271" t="str">
        <f t="shared" si="74"/>
        <v/>
      </c>
      <c r="L1285" s="297"/>
      <c r="M1285" s="334"/>
      <c r="N1285" s="277"/>
      <c r="O1285" s="315"/>
      <c r="P1285" s="344">
        <f t="shared" si="69"/>
        <v>0</v>
      </c>
      <c r="Q1285" s="321"/>
      <c r="R1285" s="672" t="b">
        <v>0</v>
      </c>
      <c r="S1285" s="318"/>
      <c r="T1285" s="319"/>
      <c r="U1285" s="315"/>
      <c r="V1285" s="162"/>
      <c r="W1285" s="149"/>
      <c r="X1285" s="163"/>
      <c r="Y1285" s="162"/>
      <c r="Z1285" s="164"/>
      <c r="AA1285" s="116"/>
      <c r="AB1285" s="116"/>
      <c r="AC1285" s="165"/>
      <c r="AD1285" s="675" t="str">
        <f t="shared" si="76"/>
        <v/>
      </c>
      <c r="AE1285" s="166"/>
      <c r="AF1285" s="149" t="b">
        <v>0</v>
      </c>
      <c r="AG1285" s="166"/>
      <c r="AH1285" s="149" t="b">
        <v>0</v>
      </c>
      <c r="AI1285" s="162"/>
      <c r="AJ1285" s="143"/>
      <c r="AK1285" s="143"/>
      <c r="AL1285" s="1112"/>
      <c r="AM1285" s="1112"/>
      <c r="AN1285" s="1112"/>
      <c r="AO1285" s="1112"/>
      <c r="AP1285" s="1112"/>
      <c r="AQ1285" s="1112"/>
    </row>
    <row r="1286" ht="22.5" customHeight="1">
      <c r="A1286" s="166"/>
      <c r="B1286" s="1111"/>
      <c r="C1286" s="524"/>
      <c r="D1286" s="1110"/>
      <c r="E1286" s="669"/>
      <c r="F1286" s="524"/>
      <c r="G1286" s="165"/>
      <c r="H1286" s="669"/>
      <c r="I1286" s="669"/>
      <c r="J1286" s="352"/>
      <c r="K1286" s="271" t="str">
        <f t="shared" si="74"/>
        <v/>
      </c>
      <c r="L1286" s="297"/>
      <c r="M1286" s="334"/>
      <c r="N1286" s="277"/>
      <c r="O1286" s="315"/>
      <c r="P1286" s="344">
        <f t="shared" si="69"/>
        <v>0</v>
      </c>
      <c r="Q1286" s="321"/>
      <c r="R1286" s="672" t="b">
        <v>0</v>
      </c>
      <c r="S1286" s="318"/>
      <c r="T1286" s="319"/>
      <c r="U1286" s="315"/>
      <c r="V1286" s="162"/>
      <c r="W1286" s="149"/>
      <c r="X1286" s="163"/>
      <c r="Y1286" s="162"/>
      <c r="Z1286" s="164"/>
      <c r="AA1286" s="116"/>
      <c r="AB1286" s="116"/>
      <c r="AC1286" s="165"/>
      <c r="AD1286" s="675" t="str">
        <f t="shared" si="76"/>
        <v/>
      </c>
      <c r="AE1286" s="166"/>
      <c r="AF1286" s="149" t="b">
        <v>0</v>
      </c>
      <c r="AG1286" s="166"/>
      <c r="AH1286" s="149" t="b">
        <v>0</v>
      </c>
      <c r="AI1286" s="162"/>
      <c r="AJ1286" s="143"/>
      <c r="AK1286" s="143"/>
      <c r="AL1286" s="1112"/>
      <c r="AM1286" s="1112"/>
      <c r="AN1286" s="1112"/>
      <c r="AO1286" s="1112"/>
      <c r="AP1286" s="1112"/>
      <c r="AQ1286" s="1112"/>
    </row>
    <row r="1287" ht="22.5" customHeight="1">
      <c r="A1287" s="166"/>
      <c r="B1287" s="1111"/>
      <c r="C1287" s="524"/>
      <c r="D1287" s="1110"/>
      <c r="E1287" s="669"/>
      <c r="F1287" s="524"/>
      <c r="G1287" s="165"/>
      <c r="H1287" s="669"/>
      <c r="I1287" s="669"/>
      <c r="J1287" s="352"/>
      <c r="K1287" s="271" t="str">
        <f t="shared" si="74"/>
        <v/>
      </c>
      <c r="L1287" s="297"/>
      <c r="M1287" s="334"/>
      <c r="N1287" s="277"/>
      <c r="O1287" s="315"/>
      <c r="P1287" s="344">
        <f t="shared" si="69"/>
        <v>0</v>
      </c>
      <c r="Q1287" s="321"/>
      <c r="R1287" s="672" t="b">
        <v>0</v>
      </c>
      <c r="S1287" s="318"/>
      <c r="T1287" s="319"/>
      <c r="U1287" s="315"/>
      <c r="V1287" s="162"/>
      <c r="W1287" s="149"/>
      <c r="X1287" s="163"/>
      <c r="Y1287" s="162"/>
      <c r="Z1287" s="164"/>
      <c r="AA1287" s="116"/>
      <c r="AB1287" s="116"/>
      <c r="AC1287" s="165"/>
      <c r="AD1287" s="675" t="str">
        <f t="shared" si="76"/>
        <v/>
      </c>
      <c r="AE1287" s="166"/>
      <c r="AF1287" s="149" t="b">
        <v>0</v>
      </c>
      <c r="AG1287" s="166"/>
      <c r="AH1287" s="149" t="b">
        <v>0</v>
      </c>
      <c r="AI1287" s="162"/>
      <c r="AJ1287" s="143"/>
      <c r="AK1287" s="143"/>
      <c r="AL1287" s="1112"/>
      <c r="AM1287" s="1112"/>
      <c r="AN1287" s="1112"/>
      <c r="AO1287" s="1112"/>
      <c r="AP1287" s="1112"/>
      <c r="AQ1287" s="1112"/>
    </row>
    <row r="1288" ht="22.5" customHeight="1">
      <c r="A1288" s="166"/>
      <c r="B1288" s="1111"/>
      <c r="C1288" s="524"/>
      <c r="D1288" s="1110"/>
      <c r="E1288" s="669"/>
      <c r="F1288" s="524"/>
      <c r="G1288" s="165"/>
      <c r="H1288" s="669"/>
      <c r="I1288" s="669"/>
      <c r="J1288" s="352"/>
      <c r="K1288" s="271" t="str">
        <f t="shared" si="74"/>
        <v/>
      </c>
      <c r="L1288" s="297"/>
      <c r="M1288" s="334"/>
      <c r="N1288" s="277"/>
      <c r="O1288" s="315"/>
      <c r="P1288" s="344">
        <f t="shared" si="69"/>
        <v>0</v>
      </c>
      <c r="Q1288" s="321"/>
      <c r="R1288" s="672" t="b">
        <v>0</v>
      </c>
      <c r="S1288" s="318"/>
      <c r="T1288" s="319"/>
      <c r="U1288" s="315"/>
      <c r="V1288" s="162"/>
      <c r="W1288" s="149"/>
      <c r="X1288" s="163"/>
      <c r="Y1288" s="162"/>
      <c r="Z1288" s="164"/>
      <c r="AA1288" s="116"/>
      <c r="AB1288" s="116"/>
      <c r="AC1288" s="165"/>
      <c r="AD1288" s="675" t="str">
        <f t="shared" si="76"/>
        <v/>
      </c>
      <c r="AE1288" s="166"/>
      <c r="AF1288" s="149" t="b">
        <v>0</v>
      </c>
      <c r="AG1288" s="166"/>
      <c r="AH1288" s="149" t="b">
        <v>0</v>
      </c>
      <c r="AI1288" s="162"/>
      <c r="AJ1288" s="143"/>
      <c r="AK1288" s="143"/>
      <c r="AL1288" s="1112"/>
      <c r="AM1288" s="1112"/>
      <c r="AN1288" s="1112"/>
      <c r="AO1288" s="1112"/>
      <c r="AP1288" s="1112"/>
      <c r="AQ1288" s="1112"/>
    </row>
    <row r="1289" ht="22.5" customHeight="1">
      <c r="A1289" s="166"/>
      <c r="B1289" s="1111"/>
      <c r="C1289" s="524"/>
      <c r="D1289" s="1110"/>
      <c r="E1289" s="669"/>
      <c r="F1289" s="524"/>
      <c r="G1289" s="165"/>
      <c r="H1289" s="669"/>
      <c r="I1289" s="669"/>
      <c r="J1289" s="352"/>
      <c r="K1289" s="271" t="str">
        <f t="shared" si="74"/>
        <v/>
      </c>
      <c r="L1289" s="297"/>
      <c r="M1289" s="334"/>
      <c r="N1289" s="277"/>
      <c r="O1289" s="315"/>
      <c r="P1289" s="344">
        <f t="shared" si="69"/>
        <v>0</v>
      </c>
      <c r="Q1289" s="321"/>
      <c r="R1289" s="672" t="b">
        <v>0</v>
      </c>
      <c r="S1289" s="318"/>
      <c r="T1289" s="319"/>
      <c r="U1289" s="315"/>
      <c r="V1289" s="162"/>
      <c r="W1289" s="149"/>
      <c r="X1289" s="163"/>
      <c r="Y1289" s="162"/>
      <c r="Z1289" s="164"/>
      <c r="AA1289" s="116"/>
      <c r="AB1289" s="116"/>
      <c r="AC1289" s="165"/>
      <c r="AD1289" s="675" t="str">
        <f t="shared" si="76"/>
        <v/>
      </c>
      <c r="AE1289" s="166"/>
      <c r="AF1289" s="149" t="b">
        <v>0</v>
      </c>
      <c r="AG1289" s="166"/>
      <c r="AH1289" s="149" t="b">
        <v>0</v>
      </c>
      <c r="AI1289" s="162"/>
      <c r="AJ1289" s="143"/>
      <c r="AK1289" s="143"/>
      <c r="AL1289" s="1112"/>
      <c r="AM1289" s="1112"/>
      <c r="AN1289" s="1112"/>
      <c r="AO1289" s="1112"/>
      <c r="AP1289" s="1112"/>
      <c r="AQ1289" s="1112"/>
    </row>
    <row r="1290" ht="22.5" customHeight="1">
      <c r="A1290" s="166"/>
      <c r="B1290" s="1111"/>
      <c r="C1290" s="524"/>
      <c r="D1290" s="1110"/>
      <c r="E1290" s="669"/>
      <c r="F1290" s="524"/>
      <c r="G1290" s="165"/>
      <c r="H1290" s="669"/>
      <c r="I1290" s="669"/>
      <c r="J1290" s="352"/>
      <c r="K1290" s="271" t="str">
        <f t="shared" si="74"/>
        <v/>
      </c>
      <c r="L1290" s="297"/>
      <c r="M1290" s="334"/>
      <c r="N1290" s="277"/>
      <c r="O1290" s="315"/>
      <c r="P1290" s="344">
        <f t="shared" si="69"/>
        <v>0</v>
      </c>
      <c r="Q1290" s="321"/>
      <c r="R1290" s="672" t="b">
        <v>0</v>
      </c>
      <c r="S1290" s="318"/>
      <c r="T1290" s="319"/>
      <c r="U1290" s="315"/>
      <c r="V1290" s="162"/>
      <c r="W1290" s="149"/>
      <c r="X1290" s="163"/>
      <c r="Y1290" s="162"/>
      <c r="Z1290" s="164"/>
      <c r="AA1290" s="116"/>
      <c r="AB1290" s="116"/>
      <c r="AC1290" s="165"/>
      <c r="AD1290" s="675" t="str">
        <f t="shared" si="76"/>
        <v/>
      </c>
      <c r="AE1290" s="166"/>
      <c r="AF1290" s="149" t="b">
        <v>0</v>
      </c>
      <c r="AG1290" s="166"/>
      <c r="AH1290" s="149" t="b">
        <v>0</v>
      </c>
      <c r="AI1290" s="162"/>
      <c r="AJ1290" s="143"/>
      <c r="AK1290" s="143"/>
      <c r="AL1290" s="1112"/>
      <c r="AM1290" s="1112"/>
      <c r="AN1290" s="1112"/>
      <c r="AO1290" s="1112"/>
      <c r="AP1290" s="1112"/>
      <c r="AQ1290" s="1112"/>
    </row>
    <row r="1291" ht="22.5" customHeight="1">
      <c r="A1291" s="166"/>
      <c r="B1291" s="1111"/>
      <c r="C1291" s="524"/>
      <c r="D1291" s="1110"/>
      <c r="E1291" s="669"/>
      <c r="F1291" s="524"/>
      <c r="G1291" s="165"/>
      <c r="H1291" s="669"/>
      <c r="I1291" s="669"/>
      <c r="J1291" s="352"/>
      <c r="K1291" s="271" t="str">
        <f t="shared" si="74"/>
        <v/>
      </c>
      <c r="L1291" s="297"/>
      <c r="M1291" s="334"/>
      <c r="N1291" s="277"/>
      <c r="O1291" s="315"/>
      <c r="P1291" s="344">
        <f t="shared" si="69"/>
        <v>0</v>
      </c>
      <c r="Q1291" s="321"/>
      <c r="R1291" s="672" t="b">
        <v>0</v>
      </c>
      <c r="S1291" s="318"/>
      <c r="T1291" s="319"/>
      <c r="U1291" s="315"/>
      <c r="V1291" s="162"/>
      <c r="W1291" s="149"/>
      <c r="X1291" s="163"/>
      <c r="Y1291" s="162"/>
      <c r="Z1291" s="164"/>
      <c r="AA1291" s="116"/>
      <c r="AB1291" s="116"/>
      <c r="AC1291" s="165"/>
      <c r="AD1291" s="675" t="str">
        <f t="shared" si="76"/>
        <v/>
      </c>
      <c r="AE1291" s="166"/>
      <c r="AF1291" s="149" t="b">
        <v>0</v>
      </c>
      <c r="AG1291" s="166"/>
      <c r="AH1291" s="149" t="b">
        <v>0</v>
      </c>
      <c r="AI1291" s="162"/>
      <c r="AJ1291" s="143"/>
      <c r="AK1291" s="143"/>
      <c r="AL1291" s="1112"/>
      <c r="AM1291" s="1112"/>
      <c r="AN1291" s="1112"/>
      <c r="AO1291" s="1112"/>
      <c r="AP1291" s="1112"/>
      <c r="AQ1291" s="1112"/>
    </row>
    <row r="1292" ht="22.5" customHeight="1">
      <c r="A1292" s="166"/>
      <c r="B1292" s="1111"/>
      <c r="C1292" s="524"/>
      <c r="D1292" s="1110"/>
      <c r="E1292" s="669"/>
      <c r="F1292" s="524"/>
      <c r="G1292" s="165"/>
      <c r="H1292" s="669"/>
      <c r="I1292" s="669"/>
      <c r="J1292" s="352"/>
      <c r="K1292" s="271" t="str">
        <f t="shared" si="74"/>
        <v/>
      </c>
      <c r="L1292" s="297"/>
      <c r="M1292" s="334"/>
      <c r="N1292" s="277"/>
      <c r="O1292" s="315"/>
      <c r="P1292" s="344">
        <f t="shared" si="69"/>
        <v>0</v>
      </c>
      <c r="Q1292" s="321"/>
      <c r="R1292" s="672" t="b">
        <v>0</v>
      </c>
      <c r="S1292" s="318"/>
      <c r="T1292" s="319"/>
      <c r="U1292" s="315"/>
      <c r="V1292" s="162"/>
      <c r="W1292" s="149"/>
      <c r="X1292" s="163"/>
      <c r="Y1292" s="162"/>
      <c r="Z1292" s="164"/>
      <c r="AA1292" s="116"/>
      <c r="AB1292" s="116"/>
      <c r="AC1292" s="165"/>
      <c r="AD1292" s="675" t="str">
        <f t="shared" si="76"/>
        <v/>
      </c>
      <c r="AE1292" s="166"/>
      <c r="AF1292" s="149" t="b">
        <v>0</v>
      </c>
      <c r="AG1292" s="166"/>
      <c r="AH1292" s="149" t="b">
        <v>0</v>
      </c>
      <c r="AI1292" s="162"/>
      <c r="AJ1292" s="143"/>
      <c r="AK1292" s="143"/>
      <c r="AL1292" s="1112"/>
      <c r="AM1292" s="1112"/>
      <c r="AN1292" s="1112"/>
      <c r="AO1292" s="1112"/>
      <c r="AP1292" s="1112"/>
      <c r="AQ1292" s="1112"/>
    </row>
    <row r="1293" ht="22.5" customHeight="1">
      <c r="A1293" s="166"/>
      <c r="B1293" s="1111"/>
      <c r="C1293" s="524"/>
      <c r="D1293" s="1110"/>
      <c r="E1293" s="669"/>
      <c r="F1293" s="524"/>
      <c r="G1293" s="165"/>
      <c r="H1293" s="669"/>
      <c r="I1293" s="669"/>
      <c r="J1293" s="352"/>
      <c r="K1293" s="271" t="str">
        <f t="shared" si="74"/>
        <v/>
      </c>
      <c r="L1293" s="297"/>
      <c r="M1293" s="334"/>
      <c r="N1293" s="277"/>
      <c r="O1293" s="315"/>
      <c r="P1293" s="344">
        <f t="shared" si="69"/>
        <v>0</v>
      </c>
      <c r="Q1293" s="321"/>
      <c r="R1293" s="672" t="b">
        <v>0</v>
      </c>
      <c r="S1293" s="318"/>
      <c r="T1293" s="319"/>
      <c r="U1293" s="315"/>
      <c r="V1293" s="162"/>
      <c r="W1293" s="149"/>
      <c r="X1293" s="163"/>
      <c r="Y1293" s="162"/>
      <c r="Z1293" s="164"/>
      <c r="AA1293" s="116"/>
      <c r="AB1293" s="116"/>
      <c r="AC1293" s="165"/>
      <c r="AD1293" s="675" t="str">
        <f t="shared" si="76"/>
        <v/>
      </c>
      <c r="AE1293" s="166"/>
      <c r="AF1293" s="149" t="b">
        <v>0</v>
      </c>
      <c r="AG1293" s="166"/>
      <c r="AH1293" s="149" t="b">
        <v>0</v>
      </c>
      <c r="AI1293" s="162"/>
      <c r="AJ1293" s="143"/>
      <c r="AK1293" s="143"/>
      <c r="AL1293" s="1112"/>
      <c r="AM1293" s="1112"/>
      <c r="AN1293" s="1112"/>
      <c r="AO1293" s="1112"/>
      <c r="AP1293" s="1112"/>
      <c r="AQ1293" s="1112"/>
    </row>
    <row r="1294" ht="22.5" customHeight="1">
      <c r="A1294" s="166"/>
      <c r="B1294" s="1111"/>
      <c r="C1294" s="524"/>
      <c r="D1294" s="1110"/>
      <c r="E1294" s="669"/>
      <c r="F1294" s="524"/>
      <c r="G1294" s="165"/>
      <c r="H1294" s="669"/>
      <c r="I1294" s="669"/>
      <c r="J1294" s="352"/>
      <c r="K1294" s="271" t="str">
        <f t="shared" si="74"/>
        <v/>
      </c>
      <c r="L1294" s="297"/>
      <c r="M1294" s="334"/>
      <c r="N1294" s="277"/>
      <c r="O1294" s="315"/>
      <c r="P1294" s="344">
        <f t="shared" si="69"/>
        <v>0</v>
      </c>
      <c r="Q1294" s="321"/>
      <c r="R1294" s="672" t="b">
        <v>0</v>
      </c>
      <c r="S1294" s="318"/>
      <c r="T1294" s="319"/>
      <c r="U1294" s="315"/>
      <c r="V1294" s="162"/>
      <c r="W1294" s="149"/>
      <c r="X1294" s="163"/>
      <c r="Y1294" s="162"/>
      <c r="Z1294" s="164"/>
      <c r="AA1294" s="116"/>
      <c r="AB1294" s="116"/>
      <c r="AC1294" s="165"/>
      <c r="AD1294" s="675" t="str">
        <f t="shared" si="76"/>
        <v/>
      </c>
      <c r="AE1294" s="166"/>
      <c r="AF1294" s="149" t="b">
        <v>0</v>
      </c>
      <c r="AG1294" s="166"/>
      <c r="AH1294" s="149" t="b">
        <v>0</v>
      </c>
      <c r="AI1294" s="162"/>
      <c r="AJ1294" s="143"/>
      <c r="AK1294" s="143"/>
      <c r="AL1294" s="1112"/>
      <c r="AM1294" s="1112"/>
      <c r="AN1294" s="1112"/>
      <c r="AO1294" s="1112"/>
      <c r="AP1294" s="1112"/>
      <c r="AQ1294" s="1112"/>
    </row>
    <row r="1295" ht="22.5" customHeight="1">
      <c r="A1295" s="166"/>
      <c r="B1295" s="1111"/>
      <c r="C1295" s="524"/>
      <c r="D1295" s="1110"/>
      <c r="E1295" s="669"/>
      <c r="F1295" s="524"/>
      <c r="G1295" s="165"/>
      <c r="H1295" s="669"/>
      <c r="I1295" s="669"/>
      <c r="J1295" s="352"/>
      <c r="K1295" s="271" t="str">
        <f t="shared" si="74"/>
        <v/>
      </c>
      <c r="L1295" s="297"/>
      <c r="M1295" s="334"/>
      <c r="N1295" s="277"/>
      <c r="O1295" s="315"/>
      <c r="P1295" s="344">
        <f t="shared" si="69"/>
        <v>0</v>
      </c>
      <c r="Q1295" s="321"/>
      <c r="R1295" s="672" t="b">
        <v>0</v>
      </c>
      <c r="S1295" s="318"/>
      <c r="T1295" s="319"/>
      <c r="U1295" s="315"/>
      <c r="V1295" s="162"/>
      <c r="W1295" s="149"/>
      <c r="X1295" s="163"/>
      <c r="Y1295" s="162"/>
      <c r="Z1295" s="164"/>
      <c r="AA1295" s="116"/>
      <c r="AB1295" s="116"/>
      <c r="AC1295" s="165"/>
      <c r="AD1295" s="675" t="str">
        <f t="shared" si="76"/>
        <v/>
      </c>
      <c r="AE1295" s="166"/>
      <c r="AF1295" s="149" t="b">
        <v>0</v>
      </c>
      <c r="AG1295" s="166"/>
      <c r="AH1295" s="149" t="b">
        <v>0</v>
      </c>
      <c r="AI1295" s="162"/>
      <c r="AJ1295" s="143"/>
      <c r="AK1295" s="143"/>
      <c r="AL1295" s="1112"/>
      <c r="AM1295" s="1112"/>
      <c r="AN1295" s="1112"/>
      <c r="AO1295" s="1112"/>
      <c r="AP1295" s="1112"/>
      <c r="AQ1295" s="1112"/>
    </row>
    <row r="1296" ht="22.5" customHeight="1">
      <c r="A1296" s="166"/>
      <c r="B1296" s="1111"/>
      <c r="C1296" s="524"/>
      <c r="D1296" s="1110"/>
      <c r="E1296" s="669"/>
      <c r="F1296" s="524"/>
      <c r="G1296" s="165"/>
      <c r="H1296" s="669"/>
      <c r="I1296" s="669"/>
      <c r="J1296" s="352"/>
      <c r="K1296" s="271" t="str">
        <f t="shared" si="74"/>
        <v/>
      </c>
      <c r="L1296" s="297"/>
      <c r="M1296" s="334"/>
      <c r="N1296" s="277"/>
      <c r="O1296" s="315"/>
      <c r="P1296" s="344">
        <f t="shared" si="69"/>
        <v>0</v>
      </c>
      <c r="Q1296" s="321"/>
      <c r="R1296" s="672" t="b">
        <v>0</v>
      </c>
      <c r="S1296" s="318"/>
      <c r="T1296" s="319"/>
      <c r="U1296" s="315"/>
      <c r="V1296" s="162"/>
      <c r="W1296" s="149"/>
      <c r="X1296" s="163"/>
      <c r="Y1296" s="162"/>
      <c r="Z1296" s="164"/>
      <c r="AA1296" s="116"/>
      <c r="AB1296" s="116"/>
      <c r="AC1296" s="165"/>
      <c r="AD1296" s="675" t="str">
        <f t="shared" si="76"/>
        <v/>
      </c>
      <c r="AE1296" s="166"/>
      <c r="AF1296" s="149" t="b">
        <v>0</v>
      </c>
      <c r="AG1296" s="166"/>
      <c r="AH1296" s="149" t="b">
        <v>0</v>
      </c>
      <c r="AI1296" s="162"/>
      <c r="AJ1296" s="143"/>
      <c r="AK1296" s="143"/>
      <c r="AL1296" s="1112"/>
      <c r="AM1296" s="1112"/>
      <c r="AN1296" s="1112"/>
      <c r="AO1296" s="1112"/>
      <c r="AP1296" s="1112"/>
      <c r="AQ1296" s="1112"/>
    </row>
    <row r="1297" ht="22.5" customHeight="1">
      <c r="A1297" s="166"/>
      <c r="B1297" s="1111"/>
      <c r="C1297" s="524"/>
      <c r="D1297" s="1110"/>
      <c r="E1297" s="669"/>
      <c r="F1297" s="524"/>
      <c r="G1297" s="165"/>
      <c r="H1297" s="669"/>
      <c r="I1297" s="669"/>
      <c r="J1297" s="352"/>
      <c r="K1297" s="271" t="str">
        <f t="shared" si="74"/>
        <v/>
      </c>
      <c r="L1297" s="297"/>
      <c r="M1297" s="334"/>
      <c r="N1297" s="277"/>
      <c r="O1297" s="315"/>
      <c r="P1297" s="344">
        <f t="shared" si="69"/>
        <v>0</v>
      </c>
      <c r="Q1297" s="321"/>
      <c r="R1297" s="672" t="b">
        <v>0</v>
      </c>
      <c r="S1297" s="318"/>
      <c r="T1297" s="319"/>
      <c r="U1297" s="315"/>
      <c r="V1297" s="162"/>
      <c r="W1297" s="149"/>
      <c r="X1297" s="163"/>
      <c r="Y1297" s="162"/>
      <c r="Z1297" s="164"/>
      <c r="AA1297" s="116"/>
      <c r="AB1297" s="116"/>
      <c r="AC1297" s="165"/>
      <c r="AD1297" s="675" t="str">
        <f t="shared" si="76"/>
        <v/>
      </c>
      <c r="AE1297" s="166"/>
      <c r="AF1297" s="149" t="b">
        <v>0</v>
      </c>
      <c r="AG1297" s="166"/>
      <c r="AH1297" s="149" t="b">
        <v>0</v>
      </c>
      <c r="AI1297" s="162"/>
      <c r="AJ1297" s="143"/>
      <c r="AK1297" s="143"/>
      <c r="AL1297" s="1112"/>
      <c r="AM1297" s="1112"/>
      <c r="AN1297" s="1112"/>
      <c r="AO1297" s="1112"/>
      <c r="AP1297" s="1112"/>
      <c r="AQ1297" s="1112"/>
    </row>
    <row r="1298" ht="22.5" customHeight="1">
      <c r="A1298" s="166"/>
      <c r="B1298" s="1111"/>
      <c r="C1298" s="524"/>
      <c r="D1298" s="1110"/>
      <c r="E1298" s="669"/>
      <c r="F1298" s="524"/>
      <c r="G1298" s="165"/>
      <c r="H1298" s="669"/>
      <c r="I1298" s="669"/>
      <c r="J1298" s="352"/>
      <c r="K1298" s="271" t="str">
        <f t="shared" si="74"/>
        <v/>
      </c>
      <c r="L1298" s="297"/>
      <c r="M1298" s="334"/>
      <c r="N1298" s="277"/>
      <c r="O1298" s="315"/>
      <c r="P1298" s="344">
        <f t="shared" si="69"/>
        <v>0</v>
      </c>
      <c r="Q1298" s="321"/>
      <c r="R1298" s="672" t="b">
        <v>0</v>
      </c>
      <c r="S1298" s="318"/>
      <c r="T1298" s="319"/>
      <c r="U1298" s="315"/>
      <c r="V1298" s="162"/>
      <c r="W1298" s="149"/>
      <c r="X1298" s="163"/>
      <c r="Y1298" s="162"/>
      <c r="Z1298" s="164"/>
      <c r="AA1298" s="116"/>
      <c r="AB1298" s="116"/>
      <c r="AC1298" s="165"/>
      <c r="AD1298" s="675" t="str">
        <f t="shared" si="76"/>
        <v/>
      </c>
      <c r="AE1298" s="166"/>
      <c r="AF1298" s="149" t="b">
        <v>0</v>
      </c>
      <c r="AG1298" s="166"/>
      <c r="AH1298" s="149" t="b">
        <v>0</v>
      </c>
      <c r="AI1298" s="162"/>
      <c r="AJ1298" s="143"/>
      <c r="AK1298" s="143"/>
      <c r="AL1298" s="1112"/>
      <c r="AM1298" s="1112"/>
      <c r="AN1298" s="1112"/>
      <c r="AO1298" s="1112"/>
      <c r="AP1298" s="1112"/>
      <c r="AQ1298" s="1112"/>
    </row>
    <row r="1299" ht="22.5" customHeight="1">
      <c r="A1299" s="166"/>
      <c r="B1299" s="1111"/>
      <c r="C1299" s="524"/>
      <c r="D1299" s="1110"/>
      <c r="E1299" s="669"/>
      <c r="F1299" s="524"/>
      <c r="G1299" s="165"/>
      <c r="H1299" s="669"/>
      <c r="I1299" s="669"/>
      <c r="J1299" s="352"/>
      <c r="K1299" s="271" t="str">
        <f t="shared" si="74"/>
        <v/>
      </c>
      <c r="L1299" s="297"/>
      <c r="M1299" s="334"/>
      <c r="N1299" s="277"/>
      <c r="O1299" s="315"/>
      <c r="P1299" s="344">
        <f t="shared" si="69"/>
        <v>0</v>
      </c>
      <c r="Q1299" s="321"/>
      <c r="R1299" s="672" t="b">
        <v>0</v>
      </c>
      <c r="S1299" s="318"/>
      <c r="T1299" s="319"/>
      <c r="U1299" s="315"/>
      <c r="V1299" s="162"/>
      <c r="W1299" s="149"/>
      <c r="X1299" s="163"/>
      <c r="Y1299" s="162"/>
      <c r="Z1299" s="164"/>
      <c r="AA1299" s="116"/>
      <c r="AB1299" s="116"/>
      <c r="AC1299" s="165"/>
      <c r="AD1299" s="675" t="str">
        <f t="shared" si="76"/>
        <v/>
      </c>
      <c r="AE1299" s="166"/>
      <c r="AF1299" s="149" t="b">
        <v>0</v>
      </c>
      <c r="AG1299" s="166"/>
      <c r="AH1299" s="149" t="b">
        <v>0</v>
      </c>
      <c r="AI1299" s="162"/>
      <c r="AJ1299" s="143"/>
      <c r="AK1299" s="143"/>
      <c r="AL1299" s="1112"/>
      <c r="AM1299" s="1112"/>
      <c r="AN1299" s="1112"/>
      <c r="AO1299" s="1112"/>
      <c r="AP1299" s="1112"/>
      <c r="AQ1299" s="1112"/>
    </row>
    <row r="1300" ht="22.5" customHeight="1">
      <c r="A1300" s="166"/>
      <c r="B1300" s="1111"/>
      <c r="C1300" s="524"/>
      <c r="D1300" s="1110"/>
      <c r="E1300" s="669"/>
      <c r="F1300" s="524"/>
      <c r="G1300" s="165"/>
      <c r="H1300" s="669"/>
      <c r="I1300" s="669"/>
      <c r="J1300" s="352"/>
      <c r="K1300" s="271" t="str">
        <f t="shared" si="74"/>
        <v/>
      </c>
      <c r="L1300" s="297"/>
      <c r="M1300" s="334"/>
      <c r="N1300" s="277"/>
      <c r="O1300" s="315"/>
      <c r="P1300" s="344">
        <f t="shared" si="69"/>
        <v>0</v>
      </c>
      <c r="Q1300" s="321"/>
      <c r="R1300" s="672" t="b">
        <v>0</v>
      </c>
      <c r="S1300" s="318"/>
      <c r="T1300" s="319"/>
      <c r="U1300" s="315"/>
      <c r="V1300" s="162"/>
      <c r="W1300" s="149"/>
      <c r="X1300" s="163"/>
      <c r="Y1300" s="162"/>
      <c r="Z1300" s="164"/>
      <c r="AA1300" s="116"/>
      <c r="AB1300" s="116"/>
      <c r="AC1300" s="165"/>
      <c r="AD1300" s="675" t="str">
        <f t="shared" si="76"/>
        <v/>
      </c>
      <c r="AE1300" s="166"/>
      <c r="AF1300" s="149" t="b">
        <v>0</v>
      </c>
      <c r="AG1300" s="166"/>
      <c r="AH1300" s="149" t="b">
        <v>0</v>
      </c>
      <c r="AI1300" s="162"/>
      <c r="AJ1300" s="143"/>
      <c r="AK1300" s="143"/>
      <c r="AL1300" s="1112"/>
      <c r="AM1300" s="1112"/>
      <c r="AN1300" s="1112"/>
      <c r="AO1300" s="1112"/>
      <c r="AP1300" s="1112"/>
      <c r="AQ1300" s="1112"/>
    </row>
    <row r="1301" ht="22.5" customHeight="1">
      <c r="A1301" s="166"/>
      <c r="B1301" s="1111"/>
      <c r="C1301" s="524"/>
      <c r="D1301" s="1110"/>
      <c r="E1301" s="669"/>
      <c r="F1301" s="524"/>
      <c r="G1301" s="165"/>
      <c r="H1301" s="669"/>
      <c r="I1301" s="669"/>
      <c r="J1301" s="352"/>
      <c r="K1301" s="271" t="str">
        <f t="shared" si="74"/>
        <v/>
      </c>
      <c r="L1301" s="297"/>
      <c r="M1301" s="334"/>
      <c r="N1301" s="277"/>
      <c r="O1301" s="315"/>
      <c r="P1301" s="344">
        <f t="shared" si="69"/>
        <v>0</v>
      </c>
      <c r="Q1301" s="321"/>
      <c r="R1301" s="672" t="b">
        <v>0</v>
      </c>
      <c r="S1301" s="318"/>
      <c r="T1301" s="319"/>
      <c r="U1301" s="315"/>
      <c r="V1301" s="162"/>
      <c r="W1301" s="149"/>
      <c r="X1301" s="163"/>
      <c r="Y1301" s="162"/>
      <c r="Z1301" s="164"/>
      <c r="AA1301" s="116"/>
      <c r="AB1301" s="116"/>
      <c r="AC1301" s="165"/>
      <c r="AD1301" s="675" t="str">
        <f t="shared" si="76"/>
        <v/>
      </c>
      <c r="AE1301" s="166"/>
      <c r="AF1301" s="149" t="b">
        <v>0</v>
      </c>
      <c r="AG1301" s="166"/>
      <c r="AH1301" s="149" t="b">
        <v>0</v>
      </c>
      <c r="AI1301" s="162"/>
      <c r="AJ1301" s="143"/>
      <c r="AK1301" s="143"/>
      <c r="AL1301" s="1112"/>
      <c r="AM1301" s="1112"/>
      <c r="AN1301" s="1112"/>
      <c r="AO1301" s="1112"/>
      <c r="AP1301" s="1112"/>
      <c r="AQ1301" s="1112"/>
    </row>
    <row r="1302" ht="22.5" customHeight="1">
      <c r="A1302" s="166"/>
      <c r="B1302" s="1111"/>
      <c r="C1302" s="524"/>
      <c r="D1302" s="1110"/>
      <c r="E1302" s="669"/>
      <c r="F1302" s="524"/>
      <c r="G1302" s="165"/>
      <c r="H1302" s="669"/>
      <c r="I1302" s="669"/>
      <c r="J1302" s="352"/>
      <c r="K1302" s="271" t="str">
        <f t="shared" si="74"/>
        <v/>
      </c>
      <c r="L1302" s="297"/>
      <c r="M1302" s="334"/>
      <c r="N1302" s="277"/>
      <c r="O1302" s="315"/>
      <c r="P1302" s="344">
        <f t="shared" si="69"/>
        <v>0</v>
      </c>
      <c r="Q1302" s="321"/>
      <c r="R1302" s="672" t="b">
        <v>0</v>
      </c>
      <c r="S1302" s="318"/>
      <c r="T1302" s="319"/>
      <c r="U1302" s="315"/>
      <c r="V1302" s="162"/>
      <c r="W1302" s="149"/>
      <c r="X1302" s="163"/>
      <c r="Y1302" s="162"/>
      <c r="Z1302" s="164"/>
      <c r="AA1302" s="116"/>
      <c r="AB1302" s="116"/>
      <c r="AC1302" s="165"/>
      <c r="AD1302" s="675" t="str">
        <f t="shared" si="76"/>
        <v/>
      </c>
      <c r="AE1302" s="166"/>
      <c r="AF1302" s="149" t="b">
        <v>0</v>
      </c>
      <c r="AG1302" s="166"/>
      <c r="AH1302" s="149" t="b">
        <v>0</v>
      </c>
      <c r="AI1302" s="162"/>
      <c r="AJ1302" s="143"/>
      <c r="AK1302" s="143"/>
      <c r="AL1302" s="1112"/>
      <c r="AM1302" s="1112"/>
      <c r="AN1302" s="1112"/>
      <c r="AO1302" s="1112"/>
      <c r="AP1302" s="1112"/>
      <c r="AQ1302" s="1112"/>
    </row>
    <row r="1303" ht="22.5" customHeight="1">
      <c r="A1303" s="166"/>
      <c r="B1303" s="1111"/>
      <c r="C1303" s="524"/>
      <c r="D1303" s="1110"/>
      <c r="E1303" s="669"/>
      <c r="F1303" s="524"/>
      <c r="G1303" s="165"/>
      <c r="H1303" s="669"/>
      <c r="I1303" s="669"/>
      <c r="J1303" s="352"/>
      <c r="K1303" s="271" t="str">
        <f t="shared" si="74"/>
        <v/>
      </c>
      <c r="L1303" s="297"/>
      <c r="M1303" s="334"/>
      <c r="N1303" s="277"/>
      <c r="O1303" s="315"/>
      <c r="P1303" s="344">
        <f t="shared" si="69"/>
        <v>0</v>
      </c>
      <c r="Q1303" s="321"/>
      <c r="R1303" s="672" t="b">
        <v>0</v>
      </c>
      <c r="S1303" s="318"/>
      <c r="T1303" s="319"/>
      <c r="U1303" s="315"/>
      <c r="V1303" s="162"/>
      <c r="W1303" s="149"/>
      <c r="X1303" s="163"/>
      <c r="Y1303" s="162"/>
      <c r="Z1303" s="164"/>
      <c r="AA1303" s="116"/>
      <c r="AB1303" s="116"/>
      <c r="AC1303" s="165"/>
      <c r="AD1303" s="675" t="str">
        <f t="shared" si="76"/>
        <v/>
      </c>
      <c r="AE1303" s="166"/>
      <c r="AF1303" s="149" t="b">
        <v>0</v>
      </c>
      <c r="AG1303" s="166"/>
      <c r="AH1303" s="149" t="b">
        <v>0</v>
      </c>
      <c r="AI1303" s="162"/>
      <c r="AJ1303" s="143"/>
      <c r="AK1303" s="143"/>
      <c r="AL1303" s="1112"/>
      <c r="AM1303" s="1112"/>
      <c r="AN1303" s="1112"/>
      <c r="AO1303" s="1112"/>
      <c r="AP1303" s="1112"/>
      <c r="AQ1303" s="1112"/>
    </row>
    <row r="1304" ht="22.5" customHeight="1">
      <c r="A1304" s="166"/>
      <c r="B1304" s="1111"/>
      <c r="C1304" s="524"/>
      <c r="D1304" s="1110"/>
      <c r="E1304" s="669"/>
      <c r="F1304" s="524"/>
      <c r="G1304" s="165"/>
      <c r="H1304" s="669"/>
      <c r="I1304" s="669"/>
      <c r="J1304" s="352"/>
      <c r="K1304" s="271" t="str">
        <f t="shared" si="74"/>
        <v/>
      </c>
      <c r="L1304" s="297"/>
      <c r="M1304" s="334"/>
      <c r="N1304" s="277"/>
      <c r="O1304" s="315"/>
      <c r="P1304" s="344">
        <f t="shared" si="69"/>
        <v>0</v>
      </c>
      <c r="Q1304" s="321"/>
      <c r="R1304" s="672" t="b">
        <v>0</v>
      </c>
      <c r="S1304" s="318"/>
      <c r="T1304" s="319"/>
      <c r="U1304" s="315"/>
      <c r="V1304" s="162"/>
      <c r="W1304" s="149"/>
      <c r="X1304" s="163"/>
      <c r="Y1304" s="162"/>
      <c r="Z1304" s="164"/>
      <c r="AA1304" s="116"/>
      <c r="AB1304" s="116"/>
      <c r="AC1304" s="165"/>
      <c r="AD1304" s="675" t="str">
        <f t="shared" si="76"/>
        <v/>
      </c>
      <c r="AE1304" s="166"/>
      <c r="AF1304" s="149" t="b">
        <v>0</v>
      </c>
      <c r="AG1304" s="166"/>
      <c r="AH1304" s="149" t="b">
        <v>0</v>
      </c>
      <c r="AI1304" s="162"/>
      <c r="AJ1304" s="143"/>
      <c r="AK1304" s="143"/>
      <c r="AL1304" s="1112"/>
      <c r="AM1304" s="1112"/>
      <c r="AN1304" s="1112"/>
      <c r="AO1304" s="1112"/>
      <c r="AP1304" s="1112"/>
      <c r="AQ1304" s="1112"/>
    </row>
    <row r="1305" ht="22.5" customHeight="1">
      <c r="A1305" s="166"/>
      <c r="B1305" s="1111"/>
      <c r="C1305" s="524"/>
      <c r="D1305" s="1110"/>
      <c r="E1305" s="669"/>
      <c r="F1305" s="524"/>
      <c r="G1305" s="165"/>
      <c r="H1305" s="669"/>
      <c r="I1305" s="669"/>
      <c r="J1305" s="352"/>
      <c r="K1305" s="271" t="str">
        <f t="shared" si="74"/>
        <v/>
      </c>
      <c r="L1305" s="297"/>
      <c r="M1305" s="334"/>
      <c r="N1305" s="277"/>
      <c r="O1305" s="315"/>
      <c r="P1305" s="344">
        <f t="shared" si="69"/>
        <v>0</v>
      </c>
      <c r="Q1305" s="321"/>
      <c r="R1305" s="672" t="b">
        <v>0</v>
      </c>
      <c r="S1305" s="318"/>
      <c r="T1305" s="319"/>
      <c r="U1305" s="315"/>
      <c r="V1305" s="162"/>
      <c r="W1305" s="149"/>
      <c r="X1305" s="163"/>
      <c r="Y1305" s="162"/>
      <c r="Z1305" s="164"/>
      <c r="AA1305" s="116"/>
      <c r="AB1305" s="116"/>
      <c r="AC1305" s="165"/>
      <c r="AD1305" s="675" t="str">
        <f t="shared" si="76"/>
        <v/>
      </c>
      <c r="AE1305" s="166"/>
      <c r="AF1305" s="149" t="b">
        <v>0</v>
      </c>
      <c r="AG1305" s="166"/>
      <c r="AH1305" s="149" t="b">
        <v>0</v>
      </c>
      <c r="AI1305" s="162"/>
      <c r="AJ1305" s="143"/>
      <c r="AK1305" s="143"/>
      <c r="AL1305" s="1112"/>
      <c r="AM1305" s="1112"/>
      <c r="AN1305" s="1112"/>
      <c r="AO1305" s="1112"/>
      <c r="AP1305" s="1112"/>
      <c r="AQ1305" s="1112"/>
    </row>
    <row r="1306" ht="22.5" customHeight="1">
      <c r="A1306" s="166"/>
      <c r="B1306" s="1111"/>
      <c r="C1306" s="524"/>
      <c r="D1306" s="1110"/>
      <c r="E1306" s="669"/>
      <c r="F1306" s="524"/>
      <c r="G1306" s="165"/>
      <c r="H1306" s="669"/>
      <c r="I1306" s="669"/>
      <c r="J1306" s="352"/>
      <c r="K1306" s="271" t="str">
        <f t="shared" si="74"/>
        <v/>
      </c>
      <c r="L1306" s="297"/>
      <c r="M1306" s="334"/>
      <c r="N1306" s="277"/>
      <c r="O1306" s="315"/>
      <c r="P1306" s="344">
        <f t="shared" si="69"/>
        <v>0</v>
      </c>
      <c r="Q1306" s="321"/>
      <c r="R1306" s="672" t="b">
        <v>0</v>
      </c>
      <c r="S1306" s="318"/>
      <c r="T1306" s="319"/>
      <c r="U1306" s="315"/>
      <c r="V1306" s="162"/>
      <c r="W1306" s="149"/>
      <c r="X1306" s="163"/>
      <c r="Y1306" s="162"/>
      <c r="Z1306" s="164"/>
      <c r="AA1306" s="116"/>
      <c r="AB1306" s="116"/>
      <c r="AC1306" s="165"/>
      <c r="AD1306" s="675" t="str">
        <f t="shared" si="76"/>
        <v/>
      </c>
      <c r="AE1306" s="166"/>
      <c r="AF1306" s="149" t="b">
        <v>0</v>
      </c>
      <c r="AG1306" s="166"/>
      <c r="AH1306" s="149" t="b">
        <v>0</v>
      </c>
      <c r="AI1306" s="162"/>
      <c r="AJ1306" s="143"/>
      <c r="AK1306" s="143"/>
      <c r="AL1306" s="1112"/>
      <c r="AM1306" s="1112"/>
      <c r="AN1306" s="1112"/>
      <c r="AO1306" s="1112"/>
      <c r="AP1306" s="1112"/>
      <c r="AQ1306" s="1112"/>
    </row>
    <row r="1307" ht="22.5" customHeight="1">
      <c r="A1307" s="166"/>
      <c r="B1307" s="1111"/>
      <c r="C1307" s="524"/>
      <c r="D1307" s="1110"/>
      <c r="E1307" s="669"/>
      <c r="F1307" s="524"/>
      <c r="G1307" s="165"/>
      <c r="H1307" s="669"/>
      <c r="I1307" s="669"/>
      <c r="J1307" s="352"/>
      <c r="K1307" s="271" t="str">
        <f t="shared" si="74"/>
        <v/>
      </c>
      <c r="L1307" s="297"/>
      <c r="M1307" s="334"/>
      <c r="N1307" s="277"/>
      <c r="O1307" s="315"/>
      <c r="P1307" s="344">
        <f t="shared" si="69"/>
        <v>0</v>
      </c>
      <c r="Q1307" s="321"/>
      <c r="R1307" s="672" t="b">
        <v>0</v>
      </c>
      <c r="S1307" s="318"/>
      <c r="T1307" s="319"/>
      <c r="U1307" s="315"/>
      <c r="V1307" s="162"/>
      <c r="W1307" s="149"/>
      <c r="X1307" s="163"/>
      <c r="Y1307" s="162"/>
      <c r="Z1307" s="164"/>
      <c r="AA1307" s="116"/>
      <c r="AB1307" s="116"/>
      <c r="AC1307" s="165"/>
      <c r="AD1307" s="675" t="str">
        <f t="shared" si="76"/>
        <v/>
      </c>
      <c r="AE1307" s="166"/>
      <c r="AF1307" s="149" t="b">
        <v>0</v>
      </c>
      <c r="AG1307" s="166"/>
      <c r="AH1307" s="149" t="b">
        <v>0</v>
      </c>
      <c r="AI1307" s="162"/>
      <c r="AJ1307" s="143"/>
      <c r="AK1307" s="143"/>
      <c r="AL1307" s="1112"/>
      <c r="AM1307" s="1112"/>
      <c r="AN1307" s="1112"/>
      <c r="AO1307" s="1112"/>
      <c r="AP1307" s="1112"/>
      <c r="AQ1307" s="1112"/>
    </row>
    <row r="1308" ht="22.5" customHeight="1">
      <c r="A1308" s="166"/>
      <c r="B1308" s="1111"/>
      <c r="C1308" s="524"/>
      <c r="D1308" s="1110"/>
      <c r="E1308" s="669"/>
      <c r="F1308" s="524"/>
      <c r="G1308" s="165"/>
      <c r="H1308" s="669"/>
      <c r="I1308" s="669"/>
      <c r="J1308" s="352"/>
      <c r="K1308" s="271" t="str">
        <f t="shared" si="74"/>
        <v/>
      </c>
      <c r="L1308" s="297"/>
      <c r="M1308" s="334"/>
      <c r="N1308" s="277"/>
      <c r="O1308" s="315"/>
      <c r="P1308" s="344">
        <f t="shared" si="69"/>
        <v>0</v>
      </c>
      <c r="Q1308" s="321"/>
      <c r="R1308" s="672" t="b">
        <v>0</v>
      </c>
      <c r="S1308" s="318"/>
      <c r="T1308" s="319"/>
      <c r="U1308" s="315"/>
      <c r="V1308" s="162"/>
      <c r="W1308" s="149"/>
      <c r="X1308" s="163"/>
      <c r="Y1308" s="162"/>
      <c r="Z1308" s="164"/>
      <c r="AA1308" s="116"/>
      <c r="AB1308" s="116"/>
      <c r="AC1308" s="165"/>
      <c r="AD1308" s="675" t="str">
        <f t="shared" si="76"/>
        <v/>
      </c>
      <c r="AE1308" s="166"/>
      <c r="AF1308" s="149" t="b">
        <v>0</v>
      </c>
      <c r="AG1308" s="166"/>
      <c r="AH1308" s="149" t="b">
        <v>0</v>
      </c>
      <c r="AI1308" s="162"/>
      <c r="AJ1308" s="143"/>
      <c r="AK1308" s="143"/>
      <c r="AL1308" s="1112"/>
      <c r="AM1308" s="1112"/>
      <c r="AN1308" s="1112"/>
      <c r="AO1308" s="1112"/>
      <c r="AP1308" s="1112"/>
      <c r="AQ1308" s="1112"/>
    </row>
    <row r="1309" ht="22.5" customHeight="1">
      <c r="A1309" s="166"/>
      <c r="B1309" s="1111"/>
      <c r="C1309" s="524"/>
      <c r="D1309" s="1110"/>
      <c r="E1309" s="669"/>
      <c r="F1309" s="524"/>
      <c r="G1309" s="165"/>
      <c r="H1309" s="669"/>
      <c r="I1309" s="669"/>
      <c r="J1309" s="352"/>
      <c r="K1309" s="271" t="str">
        <f t="shared" si="74"/>
        <v/>
      </c>
      <c r="L1309" s="297"/>
      <c r="M1309" s="334"/>
      <c r="N1309" s="277"/>
      <c r="O1309" s="315"/>
      <c r="P1309" s="344">
        <f t="shared" si="69"/>
        <v>0</v>
      </c>
      <c r="Q1309" s="321"/>
      <c r="R1309" s="672" t="b">
        <v>0</v>
      </c>
      <c r="S1309" s="318"/>
      <c r="T1309" s="319"/>
      <c r="U1309" s="315"/>
      <c r="V1309" s="162"/>
      <c r="W1309" s="149"/>
      <c r="X1309" s="163"/>
      <c r="Y1309" s="162"/>
      <c r="Z1309" s="164"/>
      <c r="AA1309" s="116"/>
      <c r="AB1309" s="116"/>
      <c r="AC1309" s="165"/>
      <c r="AD1309" s="675" t="str">
        <f t="shared" si="76"/>
        <v/>
      </c>
      <c r="AE1309" s="166"/>
      <c r="AF1309" s="149" t="b">
        <v>0</v>
      </c>
      <c r="AG1309" s="166"/>
      <c r="AH1309" s="149" t="b">
        <v>0</v>
      </c>
      <c r="AI1309" s="162"/>
      <c r="AJ1309" s="143"/>
      <c r="AK1309" s="143"/>
      <c r="AL1309" s="1112"/>
      <c r="AM1309" s="1112"/>
      <c r="AN1309" s="1112"/>
      <c r="AO1309" s="1112"/>
      <c r="AP1309" s="1112"/>
      <c r="AQ1309" s="1112"/>
    </row>
    <row r="1310" ht="22.5" customHeight="1">
      <c r="A1310" s="166"/>
      <c r="B1310" s="1111"/>
      <c r="C1310" s="524"/>
      <c r="D1310" s="1110"/>
      <c r="E1310" s="669"/>
      <c r="F1310" s="524"/>
      <c r="G1310" s="165"/>
      <c r="H1310" s="669"/>
      <c r="I1310" s="669"/>
      <c r="J1310" s="352"/>
      <c r="K1310" s="271" t="str">
        <f t="shared" si="74"/>
        <v/>
      </c>
      <c r="L1310" s="297"/>
      <c r="M1310" s="334"/>
      <c r="N1310" s="277"/>
      <c r="O1310" s="315"/>
      <c r="P1310" s="344">
        <f t="shared" si="69"/>
        <v>0</v>
      </c>
      <c r="Q1310" s="321"/>
      <c r="R1310" s="672" t="b">
        <v>0</v>
      </c>
      <c r="S1310" s="318"/>
      <c r="T1310" s="319"/>
      <c r="U1310" s="315"/>
      <c r="V1310" s="162"/>
      <c r="W1310" s="149"/>
      <c r="X1310" s="163"/>
      <c r="Y1310" s="162"/>
      <c r="Z1310" s="164"/>
      <c r="AA1310" s="116"/>
      <c r="AB1310" s="116"/>
      <c r="AC1310" s="165"/>
      <c r="AD1310" s="675" t="str">
        <f t="shared" si="76"/>
        <v/>
      </c>
      <c r="AE1310" s="166"/>
      <c r="AF1310" s="149" t="b">
        <v>0</v>
      </c>
      <c r="AG1310" s="166"/>
      <c r="AH1310" s="149" t="b">
        <v>0</v>
      </c>
      <c r="AI1310" s="162"/>
      <c r="AJ1310" s="143"/>
      <c r="AK1310" s="143"/>
      <c r="AL1310" s="1112"/>
      <c r="AM1310" s="1112"/>
      <c r="AN1310" s="1112"/>
      <c r="AO1310" s="1112"/>
      <c r="AP1310" s="1112"/>
      <c r="AQ1310" s="1112"/>
    </row>
    <row r="1311" ht="22.5" customHeight="1">
      <c r="A1311" s="166"/>
      <c r="B1311" s="1111"/>
      <c r="C1311" s="524"/>
      <c r="D1311" s="1110"/>
      <c r="E1311" s="669"/>
      <c r="F1311" s="524"/>
      <c r="G1311" s="165"/>
      <c r="H1311" s="669"/>
      <c r="I1311" s="669"/>
      <c r="J1311" s="352"/>
      <c r="K1311" s="271" t="str">
        <f t="shared" si="74"/>
        <v/>
      </c>
      <c r="L1311" s="297"/>
      <c r="M1311" s="334"/>
      <c r="N1311" s="277"/>
      <c r="O1311" s="315"/>
      <c r="P1311" s="344">
        <f t="shared" si="69"/>
        <v>0</v>
      </c>
      <c r="Q1311" s="321"/>
      <c r="R1311" s="672" t="b">
        <v>0</v>
      </c>
      <c r="S1311" s="318"/>
      <c r="T1311" s="319"/>
      <c r="U1311" s="315"/>
      <c r="V1311" s="162"/>
      <c r="W1311" s="149"/>
      <c r="X1311" s="163"/>
      <c r="Y1311" s="162"/>
      <c r="Z1311" s="164"/>
      <c r="AA1311" s="116"/>
      <c r="AB1311" s="116"/>
      <c r="AC1311" s="165"/>
      <c r="AD1311" s="675" t="str">
        <f t="shared" si="76"/>
        <v/>
      </c>
      <c r="AE1311" s="166"/>
      <c r="AF1311" s="149" t="b">
        <v>0</v>
      </c>
      <c r="AG1311" s="166"/>
      <c r="AH1311" s="149" t="b">
        <v>0</v>
      </c>
      <c r="AI1311" s="162"/>
      <c r="AJ1311" s="143"/>
      <c r="AK1311" s="143"/>
      <c r="AL1311" s="1112"/>
      <c r="AM1311" s="1112"/>
      <c r="AN1311" s="1112"/>
      <c r="AO1311" s="1112"/>
      <c r="AP1311" s="1112"/>
      <c r="AQ1311" s="1112"/>
    </row>
    <row r="1312" ht="22.5" customHeight="1">
      <c r="A1312" s="166"/>
      <c r="B1312" s="1111"/>
      <c r="C1312" s="524"/>
      <c r="D1312" s="1110"/>
      <c r="E1312" s="669"/>
      <c r="F1312" s="524"/>
      <c r="G1312" s="165"/>
      <c r="H1312" s="669"/>
      <c r="I1312" s="669"/>
      <c r="J1312" s="352"/>
      <c r="K1312" s="271" t="str">
        <f t="shared" si="74"/>
        <v/>
      </c>
      <c r="L1312" s="297"/>
      <c r="M1312" s="334"/>
      <c r="N1312" s="277"/>
      <c r="O1312" s="315"/>
      <c r="P1312" s="344">
        <f t="shared" si="69"/>
        <v>0</v>
      </c>
      <c r="Q1312" s="321"/>
      <c r="R1312" s="672" t="b">
        <v>0</v>
      </c>
      <c r="S1312" s="318"/>
      <c r="T1312" s="319"/>
      <c r="U1312" s="315"/>
      <c r="V1312" s="162"/>
      <c r="W1312" s="149"/>
      <c r="X1312" s="163"/>
      <c r="Y1312" s="162"/>
      <c r="Z1312" s="164"/>
      <c r="AA1312" s="116"/>
      <c r="AB1312" s="116"/>
      <c r="AC1312" s="165"/>
      <c r="AD1312" s="675" t="str">
        <f t="shared" si="76"/>
        <v/>
      </c>
      <c r="AE1312" s="166"/>
      <c r="AF1312" s="149" t="b">
        <v>0</v>
      </c>
      <c r="AG1312" s="166"/>
      <c r="AH1312" s="149" t="b">
        <v>0</v>
      </c>
      <c r="AI1312" s="162"/>
      <c r="AJ1312" s="143"/>
      <c r="AK1312" s="143"/>
      <c r="AL1312" s="1112"/>
      <c r="AM1312" s="1112"/>
      <c r="AN1312" s="1112"/>
      <c r="AO1312" s="1112"/>
      <c r="AP1312" s="1112"/>
      <c r="AQ1312" s="1112"/>
    </row>
    <row r="1313" ht="22.5" customHeight="1">
      <c r="A1313" s="166"/>
      <c r="B1313" s="1111"/>
      <c r="C1313" s="524"/>
      <c r="D1313" s="1110"/>
      <c r="E1313" s="669"/>
      <c r="F1313" s="524"/>
      <c r="G1313" s="165"/>
      <c r="H1313" s="669"/>
      <c r="I1313" s="669"/>
      <c r="J1313" s="352"/>
      <c r="K1313" s="271" t="str">
        <f t="shared" si="74"/>
        <v/>
      </c>
      <c r="L1313" s="297"/>
      <c r="M1313" s="334"/>
      <c r="N1313" s="277"/>
      <c r="O1313" s="315"/>
      <c r="P1313" s="344">
        <f t="shared" si="69"/>
        <v>0</v>
      </c>
      <c r="Q1313" s="321"/>
      <c r="R1313" s="672" t="b">
        <v>0</v>
      </c>
      <c r="S1313" s="318"/>
      <c r="T1313" s="319"/>
      <c r="U1313" s="315"/>
      <c r="V1313" s="162"/>
      <c r="W1313" s="149"/>
      <c r="X1313" s="163"/>
      <c r="Y1313" s="162"/>
      <c r="Z1313" s="164"/>
      <c r="AA1313" s="116"/>
      <c r="AB1313" s="116"/>
      <c r="AC1313" s="165"/>
      <c r="AD1313" s="675" t="str">
        <f t="shared" si="76"/>
        <v/>
      </c>
      <c r="AE1313" s="166"/>
      <c r="AF1313" s="149" t="b">
        <v>0</v>
      </c>
      <c r="AG1313" s="166"/>
      <c r="AH1313" s="149" t="b">
        <v>0</v>
      </c>
      <c r="AI1313" s="162"/>
      <c r="AJ1313" s="143"/>
      <c r="AK1313" s="143"/>
      <c r="AL1313" s="1112"/>
      <c r="AM1313" s="1112"/>
      <c r="AN1313" s="1112"/>
      <c r="AO1313" s="1112"/>
      <c r="AP1313" s="1112"/>
      <c r="AQ1313" s="1112"/>
    </row>
    <row r="1314" ht="22.5" customHeight="1">
      <c r="A1314" s="166"/>
      <c r="B1314" s="1111"/>
      <c r="C1314" s="524"/>
      <c r="D1314" s="1110"/>
      <c r="E1314" s="669"/>
      <c r="F1314" s="524"/>
      <c r="G1314" s="165"/>
      <c r="H1314" s="669"/>
      <c r="I1314" s="669"/>
      <c r="J1314" s="352"/>
      <c r="K1314" s="271" t="str">
        <f t="shared" si="74"/>
        <v/>
      </c>
      <c r="L1314" s="297"/>
      <c r="M1314" s="334"/>
      <c r="N1314" s="277"/>
      <c r="O1314" s="315"/>
      <c r="P1314" s="344">
        <f t="shared" si="69"/>
        <v>0</v>
      </c>
      <c r="Q1314" s="321"/>
      <c r="R1314" s="672" t="b">
        <v>0</v>
      </c>
      <c r="S1314" s="318"/>
      <c r="T1314" s="319"/>
      <c r="U1314" s="315"/>
      <c r="V1314" s="162"/>
      <c r="W1314" s="149"/>
      <c r="X1314" s="163"/>
      <c r="Y1314" s="162"/>
      <c r="Z1314" s="164"/>
      <c r="AA1314" s="116"/>
      <c r="AB1314" s="116"/>
      <c r="AC1314" s="165"/>
      <c r="AD1314" s="675" t="str">
        <f t="shared" si="76"/>
        <v/>
      </c>
      <c r="AE1314" s="166"/>
      <c r="AF1314" s="149" t="b">
        <v>0</v>
      </c>
      <c r="AG1314" s="166"/>
      <c r="AH1314" s="149" t="b">
        <v>0</v>
      </c>
      <c r="AI1314" s="162"/>
      <c r="AJ1314" s="143"/>
      <c r="AK1314" s="143"/>
      <c r="AL1314" s="1112"/>
      <c r="AM1314" s="1112"/>
      <c r="AN1314" s="1112"/>
      <c r="AO1314" s="1112"/>
      <c r="AP1314" s="1112"/>
      <c r="AQ1314" s="1112"/>
    </row>
    <row r="1315" ht="22.5" customHeight="1">
      <c r="A1315" s="166"/>
      <c r="B1315" s="1111"/>
      <c r="C1315" s="524"/>
      <c r="D1315" s="1110"/>
      <c r="E1315" s="669"/>
      <c r="F1315" s="524"/>
      <c r="G1315" s="165"/>
      <c r="H1315" s="669"/>
      <c r="I1315" s="669"/>
      <c r="J1315" s="352"/>
      <c r="K1315" s="271" t="str">
        <f t="shared" si="74"/>
        <v/>
      </c>
      <c r="L1315" s="297"/>
      <c r="M1315" s="334"/>
      <c r="N1315" s="277"/>
      <c r="O1315" s="315"/>
      <c r="P1315" s="344">
        <f t="shared" si="69"/>
        <v>0</v>
      </c>
      <c r="Q1315" s="321"/>
      <c r="R1315" s="672" t="b">
        <v>0</v>
      </c>
      <c r="S1315" s="318"/>
      <c r="T1315" s="319"/>
      <c r="U1315" s="315"/>
      <c r="V1315" s="162"/>
      <c r="W1315" s="149"/>
      <c r="X1315" s="163"/>
      <c r="Y1315" s="162"/>
      <c r="Z1315" s="164"/>
      <c r="AA1315" s="116"/>
      <c r="AB1315" s="116"/>
      <c r="AC1315" s="165"/>
      <c r="AD1315" s="675" t="str">
        <f t="shared" si="76"/>
        <v/>
      </c>
      <c r="AE1315" s="166"/>
      <c r="AF1315" s="149" t="b">
        <v>0</v>
      </c>
      <c r="AG1315" s="166"/>
      <c r="AH1315" s="149" t="b">
        <v>0</v>
      </c>
      <c r="AI1315" s="162"/>
      <c r="AJ1315" s="143"/>
      <c r="AK1315" s="143"/>
      <c r="AL1315" s="1112"/>
      <c r="AM1315" s="1112"/>
      <c r="AN1315" s="1112"/>
      <c r="AO1315" s="1112"/>
      <c r="AP1315" s="1112"/>
      <c r="AQ1315" s="1112"/>
    </row>
    <row r="1316" ht="22.5" customHeight="1">
      <c r="A1316" s="166"/>
      <c r="B1316" s="1111"/>
      <c r="C1316" s="524"/>
      <c r="D1316" s="1110"/>
      <c r="E1316" s="669"/>
      <c r="F1316" s="524"/>
      <c r="G1316" s="165"/>
      <c r="H1316" s="669"/>
      <c r="I1316" s="669"/>
      <c r="J1316" s="352"/>
      <c r="K1316" s="271" t="str">
        <f t="shared" si="74"/>
        <v/>
      </c>
      <c r="L1316" s="297"/>
      <c r="M1316" s="334"/>
      <c r="N1316" s="277"/>
      <c r="O1316" s="315"/>
      <c r="P1316" s="344">
        <f t="shared" si="69"/>
        <v>0</v>
      </c>
      <c r="Q1316" s="321"/>
      <c r="R1316" s="672" t="b">
        <v>0</v>
      </c>
      <c r="S1316" s="318"/>
      <c r="T1316" s="319"/>
      <c r="U1316" s="315"/>
      <c r="V1316" s="162"/>
      <c r="W1316" s="149"/>
      <c r="X1316" s="163"/>
      <c r="Y1316" s="162"/>
      <c r="Z1316" s="164"/>
      <c r="AA1316" s="116"/>
      <c r="AB1316" s="116"/>
      <c r="AC1316" s="165"/>
      <c r="AD1316" s="675" t="str">
        <f t="shared" si="76"/>
        <v/>
      </c>
      <c r="AE1316" s="166"/>
      <c r="AF1316" s="149" t="b">
        <v>0</v>
      </c>
      <c r="AG1316" s="166"/>
      <c r="AH1316" s="149" t="b">
        <v>0</v>
      </c>
      <c r="AI1316" s="162"/>
      <c r="AJ1316" s="143"/>
      <c r="AK1316" s="143"/>
      <c r="AL1316" s="1112"/>
      <c r="AM1316" s="1112"/>
      <c r="AN1316" s="1112"/>
      <c r="AO1316" s="1112"/>
      <c r="AP1316" s="1112"/>
      <c r="AQ1316" s="1112"/>
    </row>
    <row r="1317" ht="22.5" customHeight="1">
      <c r="A1317" s="166"/>
      <c r="B1317" s="1111"/>
      <c r="C1317" s="524"/>
      <c r="D1317" s="1110"/>
      <c r="E1317" s="669"/>
      <c r="F1317" s="524"/>
      <c r="G1317" s="165"/>
      <c r="H1317" s="669"/>
      <c r="I1317" s="669"/>
      <c r="J1317" s="352"/>
      <c r="K1317" s="271" t="str">
        <f t="shared" si="74"/>
        <v/>
      </c>
      <c r="L1317" s="297"/>
      <c r="M1317" s="334"/>
      <c r="N1317" s="277"/>
      <c r="O1317" s="315"/>
      <c r="P1317" s="344">
        <f t="shared" si="69"/>
        <v>0</v>
      </c>
      <c r="Q1317" s="321"/>
      <c r="R1317" s="672" t="b">
        <v>0</v>
      </c>
      <c r="S1317" s="318"/>
      <c r="T1317" s="319"/>
      <c r="U1317" s="315"/>
      <c r="V1317" s="162"/>
      <c r="W1317" s="149"/>
      <c r="X1317" s="163"/>
      <c r="Y1317" s="162"/>
      <c r="Z1317" s="164"/>
      <c r="AA1317" s="116"/>
      <c r="AB1317" s="116"/>
      <c r="AC1317" s="165"/>
      <c r="AD1317" s="675" t="str">
        <f t="shared" si="76"/>
        <v/>
      </c>
      <c r="AE1317" s="166"/>
      <c r="AF1317" s="149" t="b">
        <v>0</v>
      </c>
      <c r="AG1317" s="166"/>
      <c r="AH1317" s="149" t="b">
        <v>0</v>
      </c>
      <c r="AI1317" s="162"/>
      <c r="AJ1317" s="143"/>
      <c r="AK1317" s="143"/>
      <c r="AL1317" s="1112"/>
      <c r="AM1317" s="1112"/>
      <c r="AN1317" s="1112"/>
      <c r="AO1317" s="1112"/>
      <c r="AP1317" s="1112"/>
      <c r="AQ1317" s="1112"/>
    </row>
    <row r="1318" ht="22.5" customHeight="1">
      <c r="A1318" s="166"/>
      <c r="B1318" s="1111"/>
      <c r="C1318" s="524"/>
      <c r="D1318" s="1110"/>
      <c r="E1318" s="669"/>
      <c r="F1318" s="524"/>
      <c r="G1318" s="165"/>
      <c r="H1318" s="669"/>
      <c r="I1318" s="669"/>
      <c r="J1318" s="352"/>
      <c r="K1318" s="271" t="str">
        <f t="shared" si="74"/>
        <v/>
      </c>
      <c r="L1318" s="297"/>
      <c r="M1318" s="334"/>
      <c r="N1318" s="277"/>
      <c r="O1318" s="315"/>
      <c r="P1318" s="344">
        <f t="shared" si="69"/>
        <v>0</v>
      </c>
      <c r="Q1318" s="321"/>
      <c r="R1318" s="672" t="b">
        <v>0</v>
      </c>
      <c r="S1318" s="318"/>
      <c r="T1318" s="319"/>
      <c r="U1318" s="315"/>
      <c r="V1318" s="162"/>
      <c r="W1318" s="149"/>
      <c r="X1318" s="163"/>
      <c r="Y1318" s="162"/>
      <c r="Z1318" s="164"/>
      <c r="AA1318" s="116"/>
      <c r="AB1318" s="116"/>
      <c r="AC1318" s="165"/>
      <c r="AD1318" s="675" t="str">
        <f t="shared" si="76"/>
        <v/>
      </c>
      <c r="AE1318" s="166"/>
      <c r="AF1318" s="149" t="b">
        <v>0</v>
      </c>
      <c r="AG1318" s="166"/>
      <c r="AH1318" s="149" t="b">
        <v>0</v>
      </c>
      <c r="AI1318" s="162"/>
      <c r="AJ1318" s="143"/>
      <c r="AK1318" s="143"/>
      <c r="AL1318" s="1112"/>
      <c r="AM1318" s="1112"/>
      <c r="AN1318" s="1112"/>
      <c r="AO1318" s="1112"/>
      <c r="AP1318" s="1112"/>
      <c r="AQ1318" s="1112"/>
    </row>
    <row r="1319" ht="22.5" customHeight="1">
      <c r="A1319" s="166"/>
      <c r="B1319" s="1111"/>
      <c r="C1319" s="524"/>
      <c r="D1319" s="1110"/>
      <c r="E1319" s="669"/>
      <c r="F1319" s="524"/>
      <c r="G1319" s="165"/>
      <c r="H1319" s="669"/>
      <c r="I1319" s="669"/>
      <c r="J1319" s="352"/>
      <c r="K1319" s="271" t="str">
        <f t="shared" si="74"/>
        <v/>
      </c>
      <c r="L1319" s="297"/>
      <c r="M1319" s="334"/>
      <c r="N1319" s="277"/>
      <c r="O1319" s="315"/>
      <c r="P1319" s="344">
        <f t="shared" si="69"/>
        <v>0</v>
      </c>
      <c r="Q1319" s="321"/>
      <c r="R1319" s="672" t="b">
        <v>0</v>
      </c>
      <c r="S1319" s="318"/>
      <c r="T1319" s="319"/>
      <c r="U1319" s="315"/>
      <c r="V1319" s="162"/>
      <c r="W1319" s="149"/>
      <c r="X1319" s="163"/>
      <c r="Y1319" s="162"/>
      <c r="Z1319" s="164"/>
      <c r="AA1319" s="116"/>
      <c r="AB1319" s="116"/>
      <c r="AC1319" s="165"/>
      <c r="AD1319" s="675" t="str">
        <f t="shared" si="76"/>
        <v/>
      </c>
      <c r="AE1319" s="166"/>
      <c r="AF1319" s="149" t="b">
        <v>0</v>
      </c>
      <c r="AG1319" s="166"/>
      <c r="AH1319" s="149" t="b">
        <v>0</v>
      </c>
      <c r="AI1319" s="162"/>
      <c r="AJ1319" s="143"/>
      <c r="AK1319" s="143"/>
      <c r="AL1319" s="1112"/>
      <c r="AM1319" s="1112"/>
      <c r="AN1319" s="1112"/>
      <c r="AO1319" s="1112"/>
      <c r="AP1319" s="1112"/>
      <c r="AQ1319" s="1112"/>
    </row>
    <row r="1320" ht="22.5" customHeight="1">
      <c r="A1320" s="166"/>
      <c r="B1320" s="1111"/>
      <c r="C1320" s="524"/>
      <c r="D1320" s="1110"/>
      <c r="E1320" s="669"/>
      <c r="F1320" s="524"/>
      <c r="G1320" s="165"/>
      <c r="H1320" s="669"/>
      <c r="I1320" s="669"/>
      <c r="J1320" s="352"/>
      <c r="K1320" s="271" t="str">
        <f t="shared" si="74"/>
        <v/>
      </c>
      <c r="L1320" s="297"/>
      <c r="M1320" s="334"/>
      <c r="N1320" s="277"/>
      <c r="O1320" s="315"/>
      <c r="P1320" s="344">
        <f t="shared" si="69"/>
        <v>0</v>
      </c>
      <c r="Q1320" s="321"/>
      <c r="R1320" s="672" t="b">
        <v>0</v>
      </c>
      <c r="S1320" s="318"/>
      <c r="T1320" s="319"/>
      <c r="U1320" s="315"/>
      <c r="V1320" s="162"/>
      <c r="W1320" s="149"/>
      <c r="X1320" s="163"/>
      <c r="Y1320" s="162"/>
      <c r="Z1320" s="164"/>
      <c r="AA1320" s="116"/>
      <c r="AB1320" s="116"/>
      <c r="AC1320" s="165"/>
      <c r="AD1320" s="675" t="str">
        <f t="shared" si="76"/>
        <v/>
      </c>
      <c r="AE1320" s="166"/>
      <c r="AF1320" s="149" t="b">
        <v>0</v>
      </c>
      <c r="AG1320" s="166"/>
      <c r="AH1320" s="149" t="b">
        <v>0</v>
      </c>
      <c r="AI1320" s="162"/>
      <c r="AJ1320" s="143"/>
      <c r="AK1320" s="143"/>
      <c r="AL1320" s="1112"/>
      <c r="AM1320" s="1112"/>
      <c r="AN1320" s="1112"/>
      <c r="AO1320" s="1112"/>
      <c r="AP1320" s="1112"/>
      <c r="AQ1320" s="1112"/>
    </row>
    <row r="1321" ht="22.5" customHeight="1">
      <c r="A1321" s="166"/>
      <c r="B1321" s="1111"/>
      <c r="C1321" s="524"/>
      <c r="D1321" s="1110"/>
      <c r="E1321" s="669"/>
      <c r="F1321" s="524"/>
      <c r="G1321" s="165"/>
      <c r="H1321" s="669"/>
      <c r="I1321" s="669"/>
      <c r="J1321" s="352"/>
      <c r="K1321" s="271" t="str">
        <f t="shared" si="74"/>
        <v/>
      </c>
      <c r="L1321" s="297"/>
      <c r="M1321" s="334"/>
      <c r="N1321" s="277"/>
      <c r="O1321" s="315"/>
      <c r="P1321" s="344">
        <f t="shared" si="69"/>
        <v>0</v>
      </c>
      <c r="Q1321" s="321"/>
      <c r="R1321" s="672" t="b">
        <v>0</v>
      </c>
      <c r="S1321" s="318"/>
      <c r="T1321" s="319"/>
      <c r="U1321" s="315"/>
      <c r="V1321" s="162"/>
      <c r="W1321" s="149"/>
      <c r="X1321" s="163"/>
      <c r="Y1321" s="162"/>
      <c r="Z1321" s="164"/>
      <c r="AA1321" s="116"/>
      <c r="AB1321" s="116"/>
      <c r="AC1321" s="165"/>
      <c r="AD1321" s="675" t="str">
        <f t="shared" si="76"/>
        <v/>
      </c>
      <c r="AE1321" s="166"/>
      <c r="AF1321" s="149" t="b">
        <v>0</v>
      </c>
      <c r="AG1321" s="166"/>
      <c r="AH1321" s="149" t="b">
        <v>0</v>
      </c>
      <c r="AI1321" s="162"/>
      <c r="AJ1321" s="143"/>
      <c r="AK1321" s="143"/>
      <c r="AL1321" s="1112"/>
      <c r="AM1321" s="1112"/>
      <c r="AN1321" s="1112"/>
      <c r="AO1321" s="1112"/>
      <c r="AP1321" s="1112"/>
      <c r="AQ1321" s="1112"/>
    </row>
    <row r="1322" ht="22.5" customHeight="1">
      <c r="A1322" s="166"/>
      <c r="B1322" s="1111"/>
      <c r="C1322" s="524"/>
      <c r="D1322" s="1110"/>
      <c r="E1322" s="669"/>
      <c r="F1322" s="524"/>
      <c r="G1322" s="165"/>
      <c r="H1322" s="669"/>
      <c r="I1322" s="669"/>
      <c r="J1322" s="352"/>
      <c r="K1322" s="271" t="str">
        <f t="shared" si="74"/>
        <v/>
      </c>
      <c r="L1322" s="297"/>
      <c r="M1322" s="334"/>
      <c r="N1322" s="277"/>
      <c r="O1322" s="315"/>
      <c r="P1322" s="344">
        <f t="shared" si="69"/>
        <v>0</v>
      </c>
      <c r="Q1322" s="321"/>
      <c r="R1322" s="672" t="b">
        <v>0</v>
      </c>
      <c r="S1322" s="318"/>
      <c r="T1322" s="319"/>
      <c r="U1322" s="315"/>
      <c r="V1322" s="162"/>
      <c r="W1322" s="149"/>
      <c r="X1322" s="163"/>
      <c r="Y1322" s="162"/>
      <c r="Z1322" s="164"/>
      <c r="AA1322" s="116"/>
      <c r="AB1322" s="116"/>
      <c r="AC1322" s="165"/>
      <c r="AD1322" s="675" t="str">
        <f t="shared" si="76"/>
        <v/>
      </c>
      <c r="AE1322" s="166"/>
      <c r="AF1322" s="149" t="b">
        <v>0</v>
      </c>
      <c r="AG1322" s="166"/>
      <c r="AH1322" s="149" t="b">
        <v>0</v>
      </c>
      <c r="AI1322" s="162"/>
      <c r="AJ1322" s="143"/>
      <c r="AK1322" s="143"/>
      <c r="AL1322" s="1112"/>
      <c r="AM1322" s="1112"/>
      <c r="AN1322" s="1112"/>
      <c r="AO1322" s="1112"/>
      <c r="AP1322" s="1112"/>
      <c r="AQ1322" s="1112"/>
    </row>
    <row r="1323" ht="22.5" customHeight="1">
      <c r="A1323" s="166"/>
      <c r="B1323" s="1111"/>
      <c r="C1323" s="524"/>
      <c r="D1323" s="1110"/>
      <c r="E1323" s="669"/>
      <c r="F1323" s="524"/>
      <c r="G1323" s="165"/>
      <c r="H1323" s="669"/>
      <c r="I1323" s="669"/>
      <c r="J1323" s="352"/>
      <c r="K1323" s="271" t="str">
        <f t="shared" si="74"/>
        <v/>
      </c>
      <c r="L1323" s="297"/>
      <c r="M1323" s="334"/>
      <c r="N1323" s="277"/>
      <c r="O1323" s="315"/>
      <c r="P1323" s="344">
        <f t="shared" si="69"/>
        <v>0</v>
      </c>
      <c r="Q1323" s="321"/>
      <c r="R1323" s="672" t="b">
        <v>0</v>
      </c>
      <c r="S1323" s="318"/>
      <c r="T1323" s="319"/>
      <c r="U1323" s="315"/>
      <c r="V1323" s="162"/>
      <c r="W1323" s="149"/>
      <c r="X1323" s="163"/>
      <c r="Y1323" s="162"/>
      <c r="Z1323" s="164"/>
      <c r="AA1323" s="116"/>
      <c r="AB1323" s="116"/>
      <c r="AC1323" s="165"/>
      <c r="AD1323" s="675" t="str">
        <f t="shared" si="76"/>
        <v/>
      </c>
      <c r="AE1323" s="166"/>
      <c r="AF1323" s="149" t="b">
        <v>0</v>
      </c>
      <c r="AG1323" s="166"/>
      <c r="AH1323" s="149" t="b">
        <v>0</v>
      </c>
      <c r="AI1323" s="162"/>
      <c r="AJ1323" s="143"/>
      <c r="AK1323" s="143"/>
      <c r="AL1323" s="1112"/>
      <c r="AM1323" s="1112"/>
      <c r="AN1323" s="1112"/>
      <c r="AO1323" s="1112"/>
      <c r="AP1323" s="1112"/>
      <c r="AQ1323" s="1112"/>
    </row>
    <row r="1324" ht="22.5" customHeight="1">
      <c r="A1324" s="166"/>
      <c r="B1324" s="1111"/>
      <c r="C1324" s="524"/>
      <c r="D1324" s="1110"/>
      <c r="E1324" s="669"/>
      <c r="F1324" s="524"/>
      <c r="G1324" s="165"/>
      <c r="H1324" s="669"/>
      <c r="I1324" s="669"/>
      <c r="J1324" s="352"/>
      <c r="K1324" s="271" t="str">
        <f t="shared" si="74"/>
        <v/>
      </c>
      <c r="L1324" s="297"/>
      <c r="M1324" s="334"/>
      <c r="N1324" s="277"/>
      <c r="O1324" s="315"/>
      <c r="P1324" s="344">
        <f t="shared" si="69"/>
        <v>0</v>
      </c>
      <c r="Q1324" s="321"/>
      <c r="R1324" s="672" t="b">
        <v>0</v>
      </c>
      <c r="S1324" s="318"/>
      <c r="T1324" s="319"/>
      <c r="U1324" s="315"/>
      <c r="V1324" s="162"/>
      <c r="W1324" s="149"/>
      <c r="X1324" s="163"/>
      <c r="Y1324" s="162"/>
      <c r="Z1324" s="164"/>
      <c r="AA1324" s="116"/>
      <c r="AB1324" s="116"/>
      <c r="AC1324" s="165"/>
      <c r="AD1324" s="675" t="str">
        <f t="shared" si="76"/>
        <v/>
      </c>
      <c r="AE1324" s="166"/>
      <c r="AF1324" s="149" t="b">
        <v>0</v>
      </c>
      <c r="AG1324" s="166"/>
      <c r="AH1324" s="149" t="b">
        <v>0</v>
      </c>
      <c r="AI1324" s="162"/>
      <c r="AJ1324" s="143"/>
      <c r="AK1324" s="143"/>
      <c r="AL1324" s="1112"/>
      <c r="AM1324" s="1112"/>
      <c r="AN1324" s="1112"/>
      <c r="AO1324" s="1112"/>
      <c r="AP1324" s="1112"/>
      <c r="AQ1324" s="1112"/>
    </row>
    <row r="1325" ht="22.5" customHeight="1">
      <c r="A1325" s="166"/>
      <c r="B1325" s="1111"/>
      <c r="C1325" s="524"/>
      <c r="D1325" s="1110"/>
      <c r="E1325" s="669"/>
      <c r="F1325" s="524"/>
      <c r="G1325" s="165"/>
      <c r="H1325" s="669"/>
      <c r="I1325" s="669"/>
      <c r="J1325" s="352"/>
      <c r="K1325" s="271" t="str">
        <f t="shared" si="74"/>
        <v/>
      </c>
      <c r="L1325" s="297"/>
      <c r="M1325" s="334"/>
      <c r="N1325" s="277"/>
      <c r="O1325" s="315"/>
      <c r="P1325" s="344">
        <f t="shared" si="69"/>
        <v>0</v>
      </c>
      <c r="Q1325" s="321"/>
      <c r="R1325" s="672" t="b">
        <v>0</v>
      </c>
      <c r="S1325" s="318"/>
      <c r="T1325" s="319"/>
      <c r="U1325" s="315"/>
      <c r="V1325" s="162"/>
      <c r="W1325" s="149"/>
      <c r="X1325" s="163"/>
      <c r="Y1325" s="162"/>
      <c r="Z1325" s="164"/>
      <c r="AA1325" s="116"/>
      <c r="AB1325" s="116"/>
      <c r="AC1325" s="165"/>
      <c r="AD1325" s="675" t="str">
        <f t="shared" si="76"/>
        <v/>
      </c>
      <c r="AE1325" s="166"/>
      <c r="AF1325" s="149" t="b">
        <v>0</v>
      </c>
      <c r="AG1325" s="166"/>
      <c r="AH1325" s="149" t="b">
        <v>0</v>
      </c>
      <c r="AI1325" s="162"/>
      <c r="AJ1325" s="143"/>
      <c r="AK1325" s="143"/>
      <c r="AL1325" s="1112"/>
      <c r="AM1325" s="1112"/>
      <c r="AN1325" s="1112"/>
      <c r="AO1325" s="1112"/>
      <c r="AP1325" s="1112"/>
      <c r="AQ1325" s="1112"/>
    </row>
    <row r="1326" ht="22.5" customHeight="1">
      <c r="A1326" s="166"/>
      <c r="B1326" s="1111"/>
      <c r="C1326" s="524"/>
      <c r="D1326" s="1110"/>
      <c r="E1326" s="669"/>
      <c r="F1326" s="524"/>
      <c r="G1326" s="165"/>
      <c r="H1326" s="669"/>
      <c r="I1326" s="669"/>
      <c r="J1326" s="352"/>
      <c r="K1326" s="271" t="str">
        <f t="shared" si="74"/>
        <v/>
      </c>
      <c r="L1326" s="297"/>
      <c r="M1326" s="334"/>
      <c r="N1326" s="277"/>
      <c r="O1326" s="315"/>
      <c r="P1326" s="344">
        <f t="shared" si="69"/>
        <v>0</v>
      </c>
      <c r="Q1326" s="321"/>
      <c r="R1326" s="672" t="b">
        <v>0</v>
      </c>
      <c r="S1326" s="318"/>
      <c r="T1326" s="319"/>
      <c r="U1326" s="315"/>
      <c r="V1326" s="162"/>
      <c r="W1326" s="149"/>
      <c r="X1326" s="163"/>
      <c r="Y1326" s="162"/>
      <c r="Z1326" s="164"/>
      <c r="AA1326" s="116"/>
      <c r="AB1326" s="116"/>
      <c r="AC1326" s="165"/>
      <c r="AD1326" s="675" t="str">
        <f t="shared" si="76"/>
        <v/>
      </c>
      <c r="AE1326" s="166"/>
      <c r="AF1326" s="149" t="b">
        <v>0</v>
      </c>
      <c r="AG1326" s="166"/>
      <c r="AH1326" s="149" t="b">
        <v>0</v>
      </c>
      <c r="AI1326" s="162"/>
      <c r="AJ1326" s="143"/>
      <c r="AK1326" s="143"/>
      <c r="AL1326" s="1112"/>
      <c r="AM1326" s="1112"/>
      <c r="AN1326" s="1112"/>
      <c r="AO1326" s="1112"/>
      <c r="AP1326" s="1112"/>
      <c r="AQ1326" s="1112"/>
    </row>
    <row r="1327" ht="22.5" customHeight="1">
      <c r="A1327" s="166"/>
      <c r="B1327" s="1111"/>
      <c r="C1327" s="524"/>
      <c r="D1327" s="1110"/>
      <c r="E1327" s="669"/>
      <c r="F1327" s="524"/>
      <c r="G1327" s="165"/>
      <c r="H1327" s="669"/>
      <c r="I1327" s="669"/>
      <c r="J1327" s="352"/>
      <c r="K1327" s="271" t="str">
        <f t="shared" si="74"/>
        <v/>
      </c>
      <c r="L1327" s="297"/>
      <c r="M1327" s="334"/>
      <c r="N1327" s="277"/>
      <c r="O1327" s="315"/>
      <c r="P1327" s="344">
        <f t="shared" si="69"/>
        <v>0</v>
      </c>
      <c r="Q1327" s="321"/>
      <c r="R1327" s="672" t="b">
        <v>0</v>
      </c>
      <c r="S1327" s="318"/>
      <c r="T1327" s="319"/>
      <c r="U1327" s="315"/>
      <c r="V1327" s="162"/>
      <c r="W1327" s="149"/>
      <c r="X1327" s="163"/>
      <c r="Y1327" s="162"/>
      <c r="Z1327" s="164"/>
      <c r="AA1327" s="116"/>
      <c r="AB1327" s="116"/>
      <c r="AC1327" s="165"/>
      <c r="AD1327" s="675" t="str">
        <f t="shared" si="76"/>
        <v/>
      </c>
      <c r="AE1327" s="166"/>
      <c r="AF1327" s="149" t="b">
        <v>0</v>
      </c>
      <c r="AG1327" s="166"/>
      <c r="AH1327" s="149" t="b">
        <v>0</v>
      </c>
      <c r="AI1327" s="162"/>
      <c r="AJ1327" s="143"/>
      <c r="AK1327" s="143"/>
      <c r="AL1327" s="1112"/>
      <c r="AM1327" s="1112"/>
      <c r="AN1327" s="1112"/>
      <c r="AO1327" s="1112"/>
      <c r="AP1327" s="1112"/>
      <c r="AQ1327" s="1112"/>
    </row>
    <row r="1328" ht="22.5" customHeight="1">
      <c r="A1328" s="166"/>
      <c r="B1328" s="1111"/>
      <c r="C1328" s="524"/>
      <c r="D1328" s="1110"/>
      <c r="E1328" s="669"/>
      <c r="F1328" s="524"/>
      <c r="G1328" s="165"/>
      <c r="H1328" s="669"/>
      <c r="I1328" s="669"/>
      <c r="J1328" s="352"/>
      <c r="K1328" s="271" t="str">
        <f t="shared" si="74"/>
        <v/>
      </c>
      <c r="L1328" s="297"/>
      <c r="M1328" s="334"/>
      <c r="N1328" s="277"/>
      <c r="O1328" s="315"/>
      <c r="P1328" s="344">
        <f t="shared" si="69"/>
        <v>0</v>
      </c>
      <c r="Q1328" s="321"/>
      <c r="R1328" s="672" t="b">
        <v>0</v>
      </c>
      <c r="S1328" s="318"/>
      <c r="T1328" s="319"/>
      <c r="U1328" s="315"/>
      <c r="V1328" s="162"/>
      <c r="W1328" s="149"/>
      <c r="X1328" s="163"/>
      <c r="Y1328" s="162"/>
      <c r="Z1328" s="164"/>
      <c r="AA1328" s="116"/>
      <c r="AB1328" s="116"/>
      <c r="AC1328" s="165"/>
      <c r="AD1328" s="675" t="str">
        <f t="shared" si="76"/>
        <v/>
      </c>
      <c r="AE1328" s="166"/>
      <c r="AF1328" s="149" t="b">
        <v>0</v>
      </c>
      <c r="AG1328" s="166"/>
      <c r="AH1328" s="149" t="b">
        <v>0</v>
      </c>
      <c r="AI1328" s="162"/>
      <c r="AJ1328" s="143"/>
      <c r="AK1328" s="143"/>
      <c r="AL1328" s="1112"/>
      <c r="AM1328" s="1112"/>
      <c r="AN1328" s="1112"/>
      <c r="AO1328" s="1112"/>
      <c r="AP1328" s="1112"/>
      <c r="AQ1328" s="1112"/>
    </row>
    <row r="1329" ht="22.5" customHeight="1">
      <c r="A1329" s="166"/>
      <c r="B1329" s="1111"/>
      <c r="C1329" s="524"/>
      <c r="D1329" s="1110"/>
      <c r="E1329" s="669"/>
      <c r="F1329" s="524"/>
      <c r="G1329" s="165"/>
      <c r="H1329" s="669"/>
      <c r="I1329" s="669"/>
      <c r="J1329" s="352"/>
      <c r="K1329" s="271" t="str">
        <f t="shared" si="74"/>
        <v/>
      </c>
      <c r="L1329" s="297"/>
      <c r="M1329" s="334"/>
      <c r="N1329" s="277"/>
      <c r="O1329" s="315"/>
      <c r="P1329" s="344">
        <f t="shared" si="69"/>
        <v>0</v>
      </c>
      <c r="Q1329" s="321"/>
      <c r="R1329" s="672" t="b">
        <v>0</v>
      </c>
      <c r="S1329" s="318"/>
      <c r="T1329" s="319"/>
      <c r="U1329" s="315"/>
      <c r="V1329" s="162"/>
      <c r="W1329" s="149"/>
      <c r="X1329" s="163"/>
      <c r="Y1329" s="162"/>
      <c r="Z1329" s="164"/>
      <c r="AA1329" s="116"/>
      <c r="AB1329" s="116"/>
      <c r="AC1329" s="165"/>
      <c r="AD1329" s="675" t="str">
        <f t="shared" si="76"/>
        <v/>
      </c>
      <c r="AE1329" s="166"/>
      <c r="AF1329" s="149" t="b">
        <v>0</v>
      </c>
      <c r="AG1329" s="166"/>
      <c r="AH1329" s="149" t="b">
        <v>0</v>
      </c>
      <c r="AI1329" s="162"/>
      <c r="AJ1329" s="143"/>
      <c r="AK1329" s="143"/>
      <c r="AL1329" s="1112"/>
      <c r="AM1329" s="1112"/>
      <c r="AN1329" s="1112"/>
      <c r="AO1329" s="1112"/>
      <c r="AP1329" s="1112"/>
      <c r="AQ1329" s="1112"/>
    </row>
    <row r="1330" ht="22.5" customHeight="1">
      <c r="A1330" s="166"/>
      <c r="B1330" s="1111"/>
      <c r="C1330" s="524"/>
      <c r="D1330" s="1110"/>
      <c r="E1330" s="669"/>
      <c r="F1330" s="524"/>
      <c r="G1330" s="165"/>
      <c r="H1330" s="669"/>
      <c r="I1330" s="669"/>
      <c r="J1330" s="352"/>
      <c r="K1330" s="271" t="str">
        <f t="shared" si="74"/>
        <v/>
      </c>
      <c r="L1330" s="297"/>
      <c r="M1330" s="334"/>
      <c r="N1330" s="277"/>
      <c r="O1330" s="315"/>
      <c r="P1330" s="344">
        <f t="shared" si="69"/>
        <v>0</v>
      </c>
      <c r="Q1330" s="321"/>
      <c r="R1330" s="672" t="b">
        <v>0</v>
      </c>
      <c r="S1330" s="318"/>
      <c r="T1330" s="319"/>
      <c r="U1330" s="315"/>
      <c r="V1330" s="162"/>
      <c r="W1330" s="149"/>
      <c r="X1330" s="163"/>
      <c r="Y1330" s="162"/>
      <c r="Z1330" s="164"/>
      <c r="AA1330" s="116"/>
      <c r="AB1330" s="116"/>
      <c r="AC1330" s="165"/>
      <c r="AD1330" s="675" t="str">
        <f t="shared" si="76"/>
        <v/>
      </c>
      <c r="AE1330" s="166"/>
      <c r="AF1330" s="149" t="b">
        <v>0</v>
      </c>
      <c r="AG1330" s="166"/>
      <c r="AH1330" s="149" t="b">
        <v>0</v>
      </c>
      <c r="AI1330" s="162"/>
      <c r="AJ1330" s="143"/>
      <c r="AK1330" s="143"/>
      <c r="AL1330" s="1112"/>
      <c r="AM1330" s="1112"/>
      <c r="AN1330" s="1112"/>
      <c r="AO1330" s="1112"/>
      <c r="AP1330" s="1112"/>
      <c r="AQ1330" s="1112"/>
    </row>
    <row r="1331" ht="22.5" customHeight="1">
      <c r="A1331" s="166"/>
      <c r="B1331" s="1111"/>
      <c r="C1331" s="524"/>
      <c r="D1331" s="1110"/>
      <c r="E1331" s="669"/>
      <c r="F1331" s="524"/>
      <c r="G1331" s="165"/>
      <c r="H1331" s="669"/>
      <c r="I1331" s="669"/>
      <c r="J1331" s="352"/>
      <c r="K1331" s="271" t="str">
        <f t="shared" si="74"/>
        <v/>
      </c>
      <c r="L1331" s="297"/>
      <c r="M1331" s="334"/>
      <c r="N1331" s="277"/>
      <c r="O1331" s="315"/>
      <c r="P1331" s="344">
        <f t="shared" si="69"/>
        <v>0</v>
      </c>
      <c r="Q1331" s="321"/>
      <c r="R1331" s="672" t="b">
        <v>0</v>
      </c>
      <c r="S1331" s="318"/>
      <c r="T1331" s="319"/>
      <c r="U1331" s="315"/>
      <c r="V1331" s="162"/>
      <c r="W1331" s="149"/>
      <c r="X1331" s="163"/>
      <c r="Y1331" s="162"/>
      <c r="Z1331" s="164"/>
      <c r="AA1331" s="116"/>
      <c r="AB1331" s="116"/>
      <c r="AC1331" s="165"/>
      <c r="AD1331" s="675" t="str">
        <f t="shared" si="76"/>
        <v/>
      </c>
      <c r="AE1331" s="166"/>
      <c r="AF1331" s="149" t="b">
        <v>0</v>
      </c>
      <c r="AG1331" s="166"/>
      <c r="AH1331" s="149" t="b">
        <v>0</v>
      </c>
      <c r="AI1331" s="162"/>
      <c r="AJ1331" s="143"/>
      <c r="AK1331" s="143"/>
      <c r="AL1331" s="1112"/>
      <c r="AM1331" s="1112"/>
      <c r="AN1331" s="1112"/>
      <c r="AO1331" s="1112"/>
      <c r="AP1331" s="1112"/>
      <c r="AQ1331" s="1112"/>
    </row>
    <row r="1332" ht="22.5" customHeight="1">
      <c r="A1332" s="166"/>
      <c r="B1332" s="1111"/>
      <c r="C1332" s="524"/>
      <c r="D1332" s="1110"/>
      <c r="E1332" s="669"/>
      <c r="F1332" s="524"/>
      <c r="G1332" s="165"/>
      <c r="H1332" s="669"/>
      <c r="I1332" s="669"/>
      <c r="J1332" s="352"/>
      <c r="K1332" s="271" t="str">
        <f t="shared" si="74"/>
        <v/>
      </c>
      <c r="L1332" s="297"/>
      <c r="M1332" s="334"/>
      <c r="N1332" s="277"/>
      <c r="O1332" s="315"/>
      <c r="P1332" s="344">
        <f t="shared" si="69"/>
        <v>0</v>
      </c>
      <c r="Q1332" s="321"/>
      <c r="R1332" s="672" t="b">
        <v>0</v>
      </c>
      <c r="S1332" s="318"/>
      <c r="T1332" s="319"/>
      <c r="U1332" s="315"/>
      <c r="V1332" s="162"/>
      <c r="W1332" s="149"/>
      <c r="X1332" s="163"/>
      <c r="Y1332" s="162"/>
      <c r="Z1332" s="164"/>
      <c r="AA1332" s="116"/>
      <c r="AB1332" s="116"/>
      <c r="AC1332" s="165"/>
      <c r="AD1332" s="675" t="str">
        <f t="shared" si="76"/>
        <v/>
      </c>
      <c r="AE1332" s="166"/>
      <c r="AF1332" s="149" t="b">
        <v>0</v>
      </c>
      <c r="AG1332" s="166"/>
      <c r="AH1332" s="149" t="b">
        <v>0</v>
      </c>
      <c r="AI1332" s="162"/>
      <c r="AJ1332" s="143"/>
      <c r="AK1332" s="143"/>
      <c r="AL1332" s="1112"/>
      <c r="AM1332" s="1112"/>
      <c r="AN1332" s="1112"/>
      <c r="AO1332" s="1112"/>
      <c r="AP1332" s="1112"/>
      <c r="AQ1332" s="1112"/>
    </row>
    <row r="1333" ht="22.5" customHeight="1">
      <c r="A1333" s="166"/>
      <c r="B1333" s="1111"/>
      <c r="C1333" s="524"/>
      <c r="D1333" s="1110"/>
      <c r="E1333" s="669"/>
      <c r="F1333" s="524"/>
      <c r="G1333" s="165"/>
      <c r="H1333" s="669"/>
      <c r="I1333" s="669"/>
      <c r="J1333" s="352"/>
      <c r="K1333" s="271" t="str">
        <f t="shared" si="74"/>
        <v/>
      </c>
      <c r="L1333" s="297"/>
      <c r="M1333" s="334"/>
      <c r="N1333" s="277"/>
      <c r="O1333" s="315"/>
      <c r="P1333" s="344">
        <f t="shared" si="69"/>
        <v>0</v>
      </c>
      <c r="Q1333" s="321"/>
      <c r="R1333" s="672" t="b">
        <v>0</v>
      </c>
      <c r="S1333" s="318"/>
      <c r="T1333" s="319"/>
      <c r="U1333" s="315"/>
      <c r="V1333" s="162"/>
      <c r="W1333" s="149"/>
      <c r="X1333" s="163"/>
      <c r="Y1333" s="162"/>
      <c r="Z1333" s="164"/>
      <c r="AA1333" s="116"/>
      <c r="AB1333" s="116"/>
      <c r="AC1333" s="165"/>
      <c r="AD1333" s="675" t="str">
        <f t="shared" si="76"/>
        <v/>
      </c>
      <c r="AE1333" s="166"/>
      <c r="AF1333" s="149" t="b">
        <v>0</v>
      </c>
      <c r="AG1333" s="166"/>
      <c r="AH1333" s="149" t="b">
        <v>0</v>
      </c>
      <c r="AI1333" s="162"/>
      <c r="AJ1333" s="143"/>
      <c r="AK1333" s="143"/>
      <c r="AL1333" s="1112"/>
      <c r="AM1333" s="1112"/>
      <c r="AN1333" s="1112"/>
      <c r="AO1333" s="1112"/>
      <c r="AP1333" s="1112"/>
      <c r="AQ1333" s="1112"/>
    </row>
    <row r="1334" ht="22.5" customHeight="1">
      <c r="A1334" s="166"/>
      <c r="B1334" s="1111"/>
      <c r="C1334" s="524"/>
      <c r="D1334" s="1110"/>
      <c r="E1334" s="669"/>
      <c r="F1334" s="524"/>
      <c r="G1334" s="165"/>
      <c r="H1334" s="669"/>
      <c r="I1334" s="669"/>
      <c r="J1334" s="352"/>
      <c r="K1334" s="271" t="str">
        <f t="shared" si="74"/>
        <v/>
      </c>
      <c r="L1334" s="297"/>
      <c r="M1334" s="334"/>
      <c r="N1334" s="277"/>
      <c r="O1334" s="315"/>
      <c r="P1334" s="344">
        <f t="shared" si="69"/>
        <v>0</v>
      </c>
      <c r="Q1334" s="321"/>
      <c r="R1334" s="672" t="b">
        <v>0</v>
      </c>
      <c r="S1334" s="318"/>
      <c r="T1334" s="319"/>
      <c r="U1334" s="315"/>
      <c r="V1334" s="162"/>
      <c r="W1334" s="149"/>
      <c r="X1334" s="163"/>
      <c r="Y1334" s="162"/>
      <c r="Z1334" s="164"/>
      <c r="AA1334" s="116"/>
      <c r="AB1334" s="116"/>
      <c r="AC1334" s="165"/>
      <c r="AD1334" s="675" t="str">
        <f t="shared" si="76"/>
        <v/>
      </c>
      <c r="AE1334" s="166"/>
      <c r="AF1334" s="149" t="b">
        <v>0</v>
      </c>
      <c r="AG1334" s="166"/>
      <c r="AH1334" s="149" t="b">
        <v>0</v>
      </c>
      <c r="AI1334" s="162"/>
      <c r="AJ1334" s="143"/>
      <c r="AK1334" s="143"/>
      <c r="AL1334" s="1112"/>
      <c r="AM1334" s="1112"/>
      <c r="AN1334" s="1112"/>
      <c r="AO1334" s="1112"/>
      <c r="AP1334" s="1112"/>
      <c r="AQ1334" s="1112"/>
    </row>
    <row r="1335" ht="22.5" customHeight="1">
      <c r="A1335" s="166"/>
      <c r="B1335" s="1111"/>
      <c r="C1335" s="524"/>
      <c r="D1335" s="1110"/>
      <c r="E1335" s="669"/>
      <c r="F1335" s="524"/>
      <c r="G1335" s="165"/>
      <c r="H1335" s="669"/>
      <c r="I1335" s="669"/>
      <c r="J1335" s="352"/>
      <c r="K1335" s="271" t="str">
        <f t="shared" si="74"/>
        <v/>
      </c>
      <c r="L1335" s="297"/>
      <c r="M1335" s="334"/>
      <c r="N1335" s="277"/>
      <c r="O1335" s="315"/>
      <c r="P1335" s="344">
        <f t="shared" si="69"/>
        <v>0</v>
      </c>
      <c r="Q1335" s="321"/>
      <c r="R1335" s="672" t="b">
        <v>0</v>
      </c>
      <c r="S1335" s="318"/>
      <c r="T1335" s="319"/>
      <c r="U1335" s="315"/>
      <c r="V1335" s="162"/>
      <c r="W1335" s="149"/>
      <c r="X1335" s="163"/>
      <c r="Y1335" s="162"/>
      <c r="Z1335" s="164"/>
      <c r="AA1335" s="116"/>
      <c r="AB1335" s="116"/>
      <c r="AC1335" s="165"/>
      <c r="AD1335" s="675" t="str">
        <f t="shared" si="76"/>
        <v/>
      </c>
      <c r="AE1335" s="166"/>
      <c r="AF1335" s="149" t="b">
        <v>0</v>
      </c>
      <c r="AG1335" s="166"/>
      <c r="AH1335" s="149" t="b">
        <v>0</v>
      </c>
      <c r="AI1335" s="162"/>
      <c r="AJ1335" s="143"/>
      <c r="AK1335" s="143"/>
      <c r="AL1335" s="1112"/>
      <c r="AM1335" s="1112"/>
      <c r="AN1335" s="1112"/>
      <c r="AO1335" s="1112"/>
      <c r="AP1335" s="1112"/>
      <c r="AQ1335" s="1112"/>
    </row>
    <row r="1336" ht="22.5" customHeight="1">
      <c r="A1336" s="166"/>
      <c r="B1336" s="1111"/>
      <c r="C1336" s="524"/>
      <c r="D1336" s="1110"/>
      <c r="E1336" s="669"/>
      <c r="F1336" s="524"/>
      <c r="G1336" s="165"/>
      <c r="H1336" s="669"/>
      <c r="I1336" s="669"/>
      <c r="J1336" s="352"/>
      <c r="K1336" s="271" t="str">
        <f t="shared" si="74"/>
        <v/>
      </c>
      <c r="L1336" s="297"/>
      <c r="M1336" s="334"/>
      <c r="N1336" s="277"/>
      <c r="O1336" s="315"/>
      <c r="P1336" s="344">
        <f t="shared" si="69"/>
        <v>0</v>
      </c>
      <c r="Q1336" s="321"/>
      <c r="R1336" s="672" t="b">
        <v>0</v>
      </c>
      <c r="S1336" s="318"/>
      <c r="T1336" s="319"/>
      <c r="U1336" s="315"/>
      <c r="V1336" s="162"/>
      <c r="W1336" s="149"/>
      <c r="X1336" s="163"/>
      <c r="Y1336" s="162"/>
      <c r="Z1336" s="164"/>
      <c r="AA1336" s="116"/>
      <c r="AB1336" s="116"/>
      <c r="AC1336" s="165"/>
      <c r="AD1336" s="675" t="str">
        <f t="shared" si="76"/>
        <v/>
      </c>
      <c r="AE1336" s="166"/>
      <c r="AF1336" s="149" t="b">
        <v>0</v>
      </c>
      <c r="AG1336" s="166"/>
      <c r="AH1336" s="149" t="b">
        <v>0</v>
      </c>
      <c r="AI1336" s="162"/>
      <c r="AJ1336" s="143"/>
      <c r="AK1336" s="143"/>
      <c r="AL1336" s="1112"/>
      <c r="AM1336" s="1112"/>
      <c r="AN1336" s="1112"/>
      <c r="AO1336" s="1112"/>
      <c r="AP1336" s="1112"/>
      <c r="AQ1336" s="1112"/>
    </row>
    <row r="1337" ht="22.5" customHeight="1">
      <c r="A1337" s="166"/>
      <c r="B1337" s="1111"/>
      <c r="C1337" s="524"/>
      <c r="D1337" s="1110"/>
      <c r="E1337" s="669"/>
      <c r="F1337" s="524"/>
      <c r="G1337" s="165"/>
      <c r="H1337" s="669"/>
      <c r="I1337" s="669"/>
      <c r="J1337" s="352"/>
      <c r="K1337" s="271" t="str">
        <f t="shared" si="74"/>
        <v/>
      </c>
      <c r="L1337" s="297"/>
      <c r="M1337" s="334"/>
      <c r="N1337" s="277"/>
      <c r="O1337" s="315"/>
      <c r="P1337" s="344">
        <f t="shared" si="69"/>
        <v>0</v>
      </c>
      <c r="Q1337" s="321"/>
      <c r="R1337" s="672" t="b">
        <v>0</v>
      </c>
      <c r="S1337" s="318"/>
      <c r="T1337" s="319"/>
      <c r="U1337" s="315"/>
      <c r="V1337" s="162"/>
      <c r="W1337" s="149"/>
      <c r="X1337" s="163"/>
      <c r="Y1337" s="162"/>
      <c r="Z1337" s="164"/>
      <c r="AA1337" s="116"/>
      <c r="AB1337" s="116"/>
      <c r="AC1337" s="165"/>
      <c r="AD1337" s="675" t="str">
        <f t="shared" si="76"/>
        <v/>
      </c>
      <c r="AE1337" s="166"/>
      <c r="AF1337" s="149" t="b">
        <v>0</v>
      </c>
      <c r="AG1337" s="166"/>
      <c r="AH1337" s="149" t="b">
        <v>0</v>
      </c>
      <c r="AI1337" s="162"/>
      <c r="AJ1337" s="143"/>
      <c r="AK1337" s="143"/>
      <c r="AL1337" s="1112"/>
      <c r="AM1337" s="1112"/>
      <c r="AN1337" s="1112"/>
      <c r="AO1337" s="1112"/>
      <c r="AP1337" s="1112"/>
      <c r="AQ1337" s="1112"/>
    </row>
    <row r="1338" ht="22.5" customHeight="1">
      <c r="A1338" s="166"/>
      <c r="B1338" s="1111"/>
      <c r="C1338" s="524"/>
      <c r="D1338" s="1110"/>
      <c r="E1338" s="669"/>
      <c r="F1338" s="524"/>
      <c r="G1338" s="165"/>
      <c r="H1338" s="669"/>
      <c r="I1338" s="669"/>
      <c r="J1338" s="352"/>
      <c r="K1338" s="271" t="str">
        <f t="shared" si="74"/>
        <v/>
      </c>
      <c r="L1338" s="297"/>
      <c r="M1338" s="334"/>
      <c r="N1338" s="277"/>
      <c r="O1338" s="315"/>
      <c r="P1338" s="344">
        <f t="shared" si="69"/>
        <v>0</v>
      </c>
      <c r="Q1338" s="321"/>
      <c r="R1338" s="672" t="b">
        <v>0</v>
      </c>
      <c r="S1338" s="318"/>
      <c r="T1338" s="319"/>
      <c r="U1338" s="315"/>
      <c r="V1338" s="162"/>
      <c r="W1338" s="149"/>
      <c r="X1338" s="163"/>
      <c r="Y1338" s="162"/>
      <c r="Z1338" s="164"/>
      <c r="AA1338" s="116"/>
      <c r="AB1338" s="116"/>
      <c r="AC1338" s="165"/>
      <c r="AD1338" s="675" t="str">
        <f t="shared" si="76"/>
        <v/>
      </c>
      <c r="AE1338" s="166"/>
      <c r="AF1338" s="149" t="b">
        <v>0</v>
      </c>
      <c r="AG1338" s="166"/>
      <c r="AH1338" s="149" t="b">
        <v>0</v>
      </c>
      <c r="AI1338" s="162"/>
      <c r="AJ1338" s="143"/>
      <c r="AK1338" s="143"/>
      <c r="AL1338" s="1112"/>
      <c r="AM1338" s="1112"/>
      <c r="AN1338" s="1112"/>
      <c r="AO1338" s="1112"/>
      <c r="AP1338" s="1112"/>
      <c r="AQ1338" s="1112"/>
    </row>
    <row r="1339" ht="22.5" customHeight="1">
      <c r="A1339" s="166"/>
      <c r="B1339" s="1111"/>
      <c r="C1339" s="524"/>
      <c r="D1339" s="1110"/>
      <c r="E1339" s="669"/>
      <c r="F1339" s="524"/>
      <c r="G1339" s="165"/>
      <c r="H1339" s="669"/>
      <c r="I1339" s="669"/>
      <c r="J1339" s="352"/>
      <c r="K1339" s="271" t="str">
        <f t="shared" si="74"/>
        <v/>
      </c>
      <c r="L1339" s="297"/>
      <c r="M1339" s="334"/>
      <c r="N1339" s="277"/>
      <c r="O1339" s="315"/>
      <c r="P1339" s="344">
        <f t="shared" si="69"/>
        <v>0</v>
      </c>
      <c r="Q1339" s="321"/>
      <c r="R1339" s="672" t="b">
        <v>0</v>
      </c>
      <c r="S1339" s="318"/>
      <c r="T1339" s="319"/>
      <c r="U1339" s="315"/>
      <c r="V1339" s="162"/>
      <c r="W1339" s="149"/>
      <c r="X1339" s="163"/>
      <c r="Y1339" s="162"/>
      <c r="Z1339" s="164"/>
      <c r="AA1339" s="116"/>
      <c r="AB1339" s="116"/>
      <c r="AC1339" s="165"/>
      <c r="AD1339" s="675" t="str">
        <f t="shared" si="76"/>
        <v/>
      </c>
      <c r="AE1339" s="166"/>
      <c r="AF1339" s="149" t="b">
        <v>0</v>
      </c>
      <c r="AG1339" s="166"/>
      <c r="AH1339" s="149" t="b">
        <v>0</v>
      </c>
      <c r="AI1339" s="162"/>
      <c r="AJ1339" s="143"/>
      <c r="AK1339" s="143"/>
      <c r="AL1339" s="1112"/>
      <c r="AM1339" s="1112"/>
      <c r="AN1339" s="1112"/>
      <c r="AO1339" s="1112"/>
      <c r="AP1339" s="1112"/>
      <c r="AQ1339" s="1112"/>
    </row>
    <row r="1340" ht="22.5" customHeight="1">
      <c r="A1340" s="166"/>
      <c r="B1340" s="1111"/>
      <c r="C1340" s="524"/>
      <c r="D1340" s="1110"/>
      <c r="E1340" s="669"/>
      <c r="F1340" s="524"/>
      <c r="G1340" s="165"/>
      <c r="H1340" s="669"/>
      <c r="I1340" s="669"/>
      <c r="J1340" s="352"/>
      <c r="K1340" s="271" t="str">
        <f t="shared" si="74"/>
        <v/>
      </c>
      <c r="L1340" s="297"/>
      <c r="M1340" s="334"/>
      <c r="N1340" s="277"/>
      <c r="O1340" s="315"/>
      <c r="P1340" s="344">
        <f t="shared" si="69"/>
        <v>0</v>
      </c>
      <c r="Q1340" s="321"/>
      <c r="R1340" s="672" t="b">
        <v>0</v>
      </c>
      <c r="S1340" s="318"/>
      <c r="T1340" s="319"/>
      <c r="U1340" s="315"/>
      <c r="V1340" s="162"/>
      <c r="W1340" s="149"/>
      <c r="X1340" s="163"/>
      <c r="Y1340" s="162"/>
      <c r="Z1340" s="164"/>
      <c r="AA1340" s="116"/>
      <c r="AB1340" s="116"/>
      <c r="AC1340" s="165"/>
      <c r="AD1340" s="675" t="str">
        <f t="shared" si="76"/>
        <v/>
      </c>
      <c r="AE1340" s="166"/>
      <c r="AF1340" s="149" t="b">
        <v>0</v>
      </c>
      <c r="AG1340" s="166"/>
      <c r="AH1340" s="149" t="b">
        <v>0</v>
      </c>
      <c r="AI1340" s="162"/>
      <c r="AJ1340" s="143"/>
      <c r="AK1340" s="143"/>
      <c r="AL1340" s="1112"/>
      <c r="AM1340" s="1112"/>
      <c r="AN1340" s="1112"/>
      <c r="AO1340" s="1112"/>
      <c r="AP1340" s="1112"/>
      <c r="AQ1340" s="1112"/>
    </row>
    <row r="1341" ht="22.5" customHeight="1">
      <c r="A1341" s="166"/>
      <c r="B1341" s="1111"/>
      <c r="C1341" s="524"/>
      <c r="D1341" s="1110"/>
      <c r="E1341" s="669"/>
      <c r="F1341" s="524"/>
      <c r="G1341" s="165"/>
      <c r="H1341" s="669"/>
      <c r="I1341" s="669"/>
      <c r="J1341" s="352"/>
      <c r="K1341" s="271" t="str">
        <f t="shared" si="74"/>
        <v/>
      </c>
      <c r="L1341" s="297"/>
      <c r="M1341" s="334"/>
      <c r="N1341" s="277"/>
      <c r="O1341" s="315"/>
      <c r="P1341" s="344">
        <f t="shared" si="69"/>
        <v>0</v>
      </c>
      <c r="Q1341" s="321"/>
      <c r="R1341" s="672" t="b">
        <v>0</v>
      </c>
      <c r="S1341" s="318"/>
      <c r="T1341" s="319"/>
      <c r="U1341" s="315"/>
      <c r="V1341" s="162"/>
      <c r="W1341" s="149"/>
      <c r="X1341" s="163"/>
      <c r="Y1341" s="162"/>
      <c r="Z1341" s="164"/>
      <c r="AA1341" s="116"/>
      <c r="AB1341" s="116"/>
      <c r="AC1341" s="165"/>
      <c r="AD1341" s="675" t="str">
        <f t="shared" si="76"/>
        <v/>
      </c>
      <c r="AE1341" s="166"/>
      <c r="AF1341" s="149" t="b">
        <v>0</v>
      </c>
      <c r="AG1341" s="166"/>
      <c r="AH1341" s="149" t="b">
        <v>0</v>
      </c>
      <c r="AI1341" s="162"/>
      <c r="AJ1341" s="143"/>
      <c r="AK1341" s="143"/>
      <c r="AL1341" s="1112"/>
      <c r="AM1341" s="1112"/>
      <c r="AN1341" s="1112"/>
      <c r="AO1341" s="1112"/>
      <c r="AP1341" s="1112"/>
      <c r="AQ1341" s="1112"/>
    </row>
    <row r="1342" ht="22.5" customHeight="1">
      <c r="A1342" s="166"/>
      <c r="B1342" s="1111"/>
      <c r="C1342" s="524"/>
      <c r="D1342" s="1110"/>
      <c r="E1342" s="669"/>
      <c r="F1342" s="524"/>
      <c r="G1342" s="165"/>
      <c r="H1342" s="669"/>
      <c r="I1342" s="669"/>
      <c r="J1342" s="352"/>
      <c r="K1342" s="271" t="str">
        <f t="shared" si="74"/>
        <v/>
      </c>
      <c r="L1342" s="297"/>
      <c r="M1342" s="334"/>
      <c r="N1342" s="277"/>
      <c r="O1342" s="315"/>
      <c r="P1342" s="344">
        <f t="shared" si="69"/>
        <v>0</v>
      </c>
      <c r="Q1342" s="321"/>
      <c r="R1342" s="672" t="b">
        <v>0</v>
      </c>
      <c r="S1342" s="318"/>
      <c r="T1342" s="319"/>
      <c r="U1342" s="315"/>
      <c r="V1342" s="162"/>
      <c r="W1342" s="149"/>
      <c r="X1342" s="163"/>
      <c r="Y1342" s="162"/>
      <c r="Z1342" s="164"/>
      <c r="AA1342" s="116"/>
      <c r="AB1342" s="116"/>
      <c r="AC1342" s="165"/>
      <c r="AD1342" s="675" t="str">
        <f t="shared" si="76"/>
        <v/>
      </c>
      <c r="AE1342" s="166"/>
      <c r="AF1342" s="149" t="b">
        <v>0</v>
      </c>
      <c r="AG1342" s="166"/>
      <c r="AH1342" s="149" t="b">
        <v>0</v>
      </c>
      <c r="AI1342" s="162"/>
      <c r="AJ1342" s="143"/>
      <c r="AK1342" s="143"/>
      <c r="AL1342" s="1112"/>
      <c r="AM1342" s="1112"/>
      <c r="AN1342" s="1112"/>
      <c r="AO1342" s="1112"/>
      <c r="AP1342" s="1112"/>
      <c r="AQ1342" s="1112"/>
    </row>
    <row r="1343" ht="22.5" customHeight="1">
      <c r="A1343" s="166"/>
      <c r="B1343" s="1111"/>
      <c r="C1343" s="524"/>
      <c r="D1343" s="1110"/>
      <c r="E1343" s="669"/>
      <c r="F1343" s="524"/>
      <c r="G1343" s="165"/>
      <c r="H1343" s="669"/>
      <c r="I1343" s="669"/>
      <c r="J1343" s="352"/>
      <c r="K1343" s="271" t="str">
        <f t="shared" si="74"/>
        <v/>
      </c>
      <c r="L1343" s="297"/>
      <c r="M1343" s="334"/>
      <c r="N1343" s="277"/>
      <c r="O1343" s="315"/>
      <c r="P1343" s="344">
        <f t="shared" si="69"/>
        <v>0</v>
      </c>
      <c r="Q1343" s="321"/>
      <c r="R1343" s="672" t="b">
        <v>0</v>
      </c>
      <c r="S1343" s="318"/>
      <c r="T1343" s="319"/>
      <c r="U1343" s="315"/>
      <c r="V1343" s="162"/>
      <c r="W1343" s="149"/>
      <c r="X1343" s="163"/>
      <c r="Y1343" s="162"/>
      <c r="Z1343" s="164"/>
      <c r="AA1343" s="116"/>
      <c r="AB1343" s="116"/>
      <c r="AC1343" s="165"/>
      <c r="AD1343" s="675" t="str">
        <f t="shared" si="76"/>
        <v/>
      </c>
      <c r="AE1343" s="166"/>
      <c r="AF1343" s="149" t="b">
        <v>0</v>
      </c>
      <c r="AG1343" s="166"/>
      <c r="AH1343" s="149" t="b">
        <v>0</v>
      </c>
      <c r="AI1343" s="162"/>
      <c r="AJ1343" s="143"/>
      <c r="AK1343" s="143"/>
      <c r="AL1343" s="1112"/>
      <c r="AM1343" s="1112"/>
      <c r="AN1343" s="1112"/>
      <c r="AO1343" s="1112"/>
      <c r="AP1343" s="1112"/>
      <c r="AQ1343" s="1112"/>
    </row>
    <row r="1344" ht="22.5" customHeight="1">
      <c r="A1344" s="166"/>
      <c r="B1344" s="1111"/>
      <c r="C1344" s="524"/>
      <c r="D1344" s="1110"/>
      <c r="E1344" s="669"/>
      <c r="F1344" s="524"/>
      <c r="G1344" s="165"/>
      <c r="H1344" s="669"/>
      <c r="I1344" s="669"/>
      <c r="J1344" s="352"/>
      <c r="K1344" s="271" t="str">
        <f t="shared" si="74"/>
        <v/>
      </c>
      <c r="L1344" s="297"/>
      <c r="M1344" s="334"/>
      <c r="N1344" s="277"/>
      <c r="O1344" s="315"/>
      <c r="P1344" s="344">
        <f t="shared" si="69"/>
        <v>0</v>
      </c>
      <c r="Q1344" s="321"/>
      <c r="R1344" s="672" t="b">
        <v>0</v>
      </c>
      <c r="S1344" s="318"/>
      <c r="T1344" s="319"/>
      <c r="U1344" s="315"/>
      <c r="V1344" s="162"/>
      <c r="W1344" s="149"/>
      <c r="X1344" s="163"/>
      <c r="Y1344" s="162"/>
      <c r="Z1344" s="164"/>
      <c r="AA1344" s="116"/>
      <c r="AB1344" s="116"/>
      <c r="AC1344" s="165"/>
      <c r="AD1344" s="675" t="str">
        <f t="shared" si="76"/>
        <v/>
      </c>
      <c r="AE1344" s="166"/>
      <c r="AF1344" s="149" t="b">
        <v>0</v>
      </c>
      <c r="AG1344" s="166"/>
      <c r="AH1344" s="149" t="b">
        <v>0</v>
      </c>
      <c r="AI1344" s="162"/>
      <c r="AJ1344" s="143"/>
      <c r="AK1344" s="143"/>
      <c r="AL1344" s="1112"/>
      <c r="AM1344" s="1112"/>
      <c r="AN1344" s="1112"/>
      <c r="AO1344" s="1112"/>
      <c r="AP1344" s="1112"/>
      <c r="AQ1344" s="1112"/>
    </row>
    <row r="1345" ht="22.5" customHeight="1">
      <c r="A1345" s="166"/>
      <c r="B1345" s="1111"/>
      <c r="C1345" s="524"/>
      <c r="D1345" s="1110"/>
      <c r="E1345" s="669"/>
      <c r="F1345" s="524"/>
      <c r="G1345" s="165"/>
      <c r="H1345" s="669"/>
      <c r="I1345" s="669"/>
      <c r="J1345" s="352"/>
      <c r="K1345" s="271" t="str">
        <f t="shared" si="74"/>
        <v/>
      </c>
      <c r="L1345" s="297"/>
      <c r="M1345" s="334"/>
      <c r="N1345" s="277"/>
      <c r="O1345" s="315"/>
      <c r="P1345" s="344">
        <f t="shared" si="69"/>
        <v>0</v>
      </c>
      <c r="Q1345" s="321"/>
      <c r="R1345" s="672" t="b">
        <v>0</v>
      </c>
      <c r="S1345" s="318"/>
      <c r="T1345" s="319"/>
      <c r="U1345" s="315"/>
      <c r="V1345" s="162"/>
      <c r="W1345" s="149"/>
      <c r="X1345" s="163"/>
      <c r="Y1345" s="162"/>
      <c r="Z1345" s="164"/>
      <c r="AA1345" s="116"/>
      <c r="AB1345" s="116"/>
      <c r="AC1345" s="165"/>
      <c r="AD1345" s="675" t="str">
        <f t="shared" si="76"/>
        <v/>
      </c>
      <c r="AE1345" s="166"/>
      <c r="AF1345" s="149" t="b">
        <v>0</v>
      </c>
      <c r="AG1345" s="166"/>
      <c r="AH1345" s="149" t="b">
        <v>0</v>
      </c>
      <c r="AI1345" s="162"/>
      <c r="AJ1345" s="143"/>
      <c r="AK1345" s="143"/>
      <c r="AL1345" s="1112"/>
      <c r="AM1345" s="1112"/>
      <c r="AN1345" s="1112"/>
      <c r="AO1345" s="1112"/>
      <c r="AP1345" s="1112"/>
      <c r="AQ1345" s="1112"/>
    </row>
    <row r="1346" ht="22.5" customHeight="1">
      <c r="A1346" s="166"/>
      <c r="B1346" s="1111"/>
      <c r="C1346" s="524"/>
      <c r="D1346" s="1110"/>
      <c r="E1346" s="669"/>
      <c r="F1346" s="524"/>
      <c r="G1346" s="165"/>
      <c r="H1346" s="669"/>
      <c r="I1346" s="669"/>
      <c r="J1346" s="352"/>
      <c r="K1346" s="271" t="str">
        <f t="shared" si="74"/>
        <v/>
      </c>
      <c r="L1346" s="297"/>
      <c r="M1346" s="334"/>
      <c r="N1346" s="277"/>
      <c r="O1346" s="315"/>
      <c r="P1346" s="344">
        <f t="shared" si="69"/>
        <v>0</v>
      </c>
      <c r="Q1346" s="321"/>
      <c r="R1346" s="672" t="b">
        <v>0</v>
      </c>
      <c r="S1346" s="318"/>
      <c r="T1346" s="319"/>
      <c r="U1346" s="315"/>
      <c r="V1346" s="162"/>
      <c r="W1346" s="149"/>
      <c r="X1346" s="163"/>
      <c r="Y1346" s="162"/>
      <c r="Z1346" s="164"/>
      <c r="AA1346" s="116"/>
      <c r="AB1346" s="116"/>
      <c r="AC1346" s="165"/>
      <c r="AD1346" s="675" t="str">
        <f t="shared" si="76"/>
        <v/>
      </c>
      <c r="AE1346" s="166"/>
      <c r="AF1346" s="149" t="b">
        <v>0</v>
      </c>
      <c r="AG1346" s="166"/>
      <c r="AH1346" s="149" t="b">
        <v>0</v>
      </c>
      <c r="AI1346" s="162"/>
      <c r="AJ1346" s="143"/>
      <c r="AK1346" s="143"/>
      <c r="AL1346" s="1112"/>
      <c r="AM1346" s="1112"/>
      <c r="AN1346" s="1112"/>
      <c r="AO1346" s="1112"/>
      <c r="AP1346" s="1112"/>
      <c r="AQ1346" s="1112"/>
    </row>
    <row r="1347" ht="22.5" customHeight="1">
      <c r="A1347" s="166"/>
      <c r="B1347" s="1111"/>
      <c r="C1347" s="524"/>
      <c r="D1347" s="1110"/>
      <c r="E1347" s="669"/>
      <c r="F1347" s="524"/>
      <c r="G1347" s="165"/>
      <c r="H1347" s="669"/>
      <c r="I1347" s="669"/>
      <c r="J1347" s="352"/>
      <c r="K1347" s="271" t="str">
        <f t="shared" si="74"/>
        <v/>
      </c>
      <c r="L1347" s="297"/>
      <c r="M1347" s="334"/>
      <c r="N1347" s="277"/>
      <c r="O1347" s="315"/>
      <c r="P1347" s="344">
        <f t="shared" si="69"/>
        <v>0</v>
      </c>
      <c r="Q1347" s="321"/>
      <c r="R1347" s="672" t="b">
        <v>0</v>
      </c>
      <c r="S1347" s="318"/>
      <c r="T1347" s="319"/>
      <c r="U1347" s="315"/>
      <c r="V1347" s="162"/>
      <c r="W1347" s="149"/>
      <c r="X1347" s="163"/>
      <c r="Y1347" s="162"/>
      <c r="Z1347" s="164"/>
      <c r="AA1347" s="116"/>
      <c r="AB1347" s="116"/>
      <c r="AC1347" s="165"/>
      <c r="AD1347" s="675" t="str">
        <f t="shared" si="76"/>
        <v/>
      </c>
      <c r="AE1347" s="166"/>
      <c r="AF1347" s="149" t="b">
        <v>0</v>
      </c>
      <c r="AG1347" s="166"/>
      <c r="AH1347" s="149" t="b">
        <v>0</v>
      </c>
      <c r="AI1347" s="162"/>
      <c r="AJ1347" s="143"/>
      <c r="AK1347" s="143"/>
      <c r="AL1347" s="1112"/>
      <c r="AM1347" s="1112"/>
      <c r="AN1347" s="1112"/>
      <c r="AO1347" s="1112"/>
      <c r="AP1347" s="1112"/>
      <c r="AQ1347" s="1112"/>
    </row>
    <row r="1348" ht="22.5" customHeight="1">
      <c r="A1348" s="166"/>
      <c r="B1348" s="1111"/>
      <c r="C1348" s="524"/>
      <c r="D1348" s="1110"/>
      <c r="E1348" s="669"/>
      <c r="F1348" s="524"/>
      <c r="G1348" s="165"/>
      <c r="H1348" s="669"/>
      <c r="I1348" s="669"/>
      <c r="J1348" s="352"/>
      <c r="K1348" s="271" t="str">
        <f t="shared" si="74"/>
        <v/>
      </c>
      <c r="L1348" s="297"/>
      <c r="M1348" s="334"/>
      <c r="N1348" s="277"/>
      <c r="O1348" s="315"/>
      <c r="P1348" s="344">
        <f t="shared" si="69"/>
        <v>0</v>
      </c>
      <c r="Q1348" s="321"/>
      <c r="R1348" s="672" t="b">
        <v>0</v>
      </c>
      <c r="S1348" s="318"/>
      <c r="T1348" s="319"/>
      <c r="U1348" s="315"/>
      <c r="V1348" s="162"/>
      <c r="W1348" s="149"/>
      <c r="X1348" s="163"/>
      <c r="Y1348" s="162"/>
      <c r="Z1348" s="164"/>
      <c r="AA1348" s="116"/>
      <c r="AB1348" s="116"/>
      <c r="AC1348" s="165"/>
      <c r="AD1348" s="675" t="str">
        <f t="shared" si="76"/>
        <v/>
      </c>
      <c r="AE1348" s="166"/>
      <c r="AF1348" s="149" t="b">
        <v>0</v>
      </c>
      <c r="AG1348" s="166"/>
      <c r="AH1348" s="149" t="b">
        <v>0</v>
      </c>
      <c r="AI1348" s="162"/>
      <c r="AJ1348" s="143"/>
      <c r="AK1348" s="143"/>
      <c r="AL1348" s="1112"/>
      <c r="AM1348" s="1112"/>
      <c r="AN1348" s="1112"/>
      <c r="AO1348" s="1112"/>
      <c r="AP1348" s="1112"/>
      <c r="AQ1348" s="1112"/>
    </row>
    <row r="1349" ht="22.5" customHeight="1">
      <c r="A1349" s="166"/>
      <c r="B1349" s="1111"/>
      <c r="C1349" s="524"/>
      <c r="D1349" s="1110"/>
      <c r="E1349" s="669"/>
      <c r="F1349" s="524"/>
      <c r="G1349" s="165"/>
      <c r="H1349" s="669"/>
      <c r="I1349" s="669"/>
      <c r="J1349" s="352"/>
      <c r="K1349" s="271" t="str">
        <f t="shared" si="74"/>
        <v/>
      </c>
      <c r="L1349" s="297"/>
      <c r="M1349" s="334"/>
      <c r="N1349" s="277"/>
      <c r="O1349" s="315"/>
      <c r="P1349" s="344">
        <f t="shared" si="69"/>
        <v>0</v>
      </c>
      <c r="Q1349" s="321"/>
      <c r="R1349" s="672" t="b">
        <v>0</v>
      </c>
      <c r="S1349" s="318"/>
      <c r="T1349" s="319"/>
      <c r="U1349" s="315"/>
      <c r="V1349" s="162"/>
      <c r="W1349" s="149"/>
      <c r="X1349" s="163"/>
      <c r="Y1349" s="162"/>
      <c r="Z1349" s="164"/>
      <c r="AA1349" s="116"/>
      <c r="AB1349" s="116"/>
      <c r="AC1349" s="165"/>
      <c r="AD1349" s="675" t="str">
        <f t="shared" si="76"/>
        <v/>
      </c>
      <c r="AE1349" s="166"/>
      <c r="AF1349" s="149" t="b">
        <v>0</v>
      </c>
      <c r="AG1349" s="166"/>
      <c r="AH1349" s="149" t="b">
        <v>0</v>
      </c>
      <c r="AI1349" s="162"/>
      <c r="AJ1349" s="143"/>
      <c r="AK1349" s="143"/>
      <c r="AL1349" s="1112"/>
      <c r="AM1349" s="1112"/>
      <c r="AN1349" s="1112"/>
      <c r="AO1349" s="1112"/>
      <c r="AP1349" s="1112"/>
      <c r="AQ1349" s="1112"/>
    </row>
    <row r="1350" ht="22.5" customHeight="1">
      <c r="A1350" s="166"/>
      <c r="B1350" s="1111"/>
      <c r="C1350" s="524"/>
      <c r="D1350" s="1110"/>
      <c r="E1350" s="669"/>
      <c r="F1350" s="524"/>
      <c r="G1350" s="165"/>
      <c r="H1350" s="669"/>
      <c r="I1350" s="669"/>
      <c r="J1350" s="352"/>
      <c r="K1350" s="271" t="str">
        <f t="shared" si="74"/>
        <v/>
      </c>
      <c r="L1350" s="297"/>
      <c r="M1350" s="334"/>
      <c r="N1350" s="277"/>
      <c r="O1350" s="315"/>
      <c r="P1350" s="344">
        <f t="shared" si="69"/>
        <v>0</v>
      </c>
      <c r="Q1350" s="321"/>
      <c r="R1350" s="672" t="b">
        <v>0</v>
      </c>
      <c r="S1350" s="318"/>
      <c r="T1350" s="319"/>
      <c r="U1350" s="315"/>
      <c r="V1350" s="162"/>
      <c r="W1350" s="149"/>
      <c r="X1350" s="163"/>
      <c r="Y1350" s="162"/>
      <c r="Z1350" s="164"/>
      <c r="AA1350" s="116"/>
      <c r="AB1350" s="116"/>
      <c r="AC1350" s="165"/>
      <c r="AD1350" s="675" t="str">
        <f t="shared" si="76"/>
        <v/>
      </c>
      <c r="AE1350" s="166"/>
      <c r="AF1350" s="149" t="b">
        <v>0</v>
      </c>
      <c r="AG1350" s="166"/>
      <c r="AH1350" s="149" t="b">
        <v>0</v>
      </c>
      <c r="AI1350" s="162"/>
      <c r="AJ1350" s="143"/>
      <c r="AK1350" s="143"/>
      <c r="AL1350" s="1112"/>
      <c r="AM1350" s="1112"/>
      <c r="AN1350" s="1112"/>
      <c r="AO1350" s="1112"/>
      <c r="AP1350" s="1112"/>
      <c r="AQ1350" s="1112"/>
    </row>
    <row r="1351" ht="22.5" customHeight="1">
      <c r="A1351" s="166"/>
      <c r="B1351" s="1111"/>
      <c r="C1351" s="524"/>
      <c r="D1351" s="1110"/>
      <c r="E1351" s="669"/>
      <c r="F1351" s="524"/>
      <c r="G1351" s="165"/>
      <c r="H1351" s="669"/>
      <c r="I1351" s="669"/>
      <c r="J1351" s="352"/>
      <c r="K1351" s="271" t="str">
        <f t="shared" si="74"/>
        <v/>
      </c>
      <c r="L1351" s="297"/>
      <c r="M1351" s="334"/>
      <c r="N1351" s="277"/>
      <c r="O1351" s="315"/>
      <c r="P1351" s="344">
        <f t="shared" si="69"/>
        <v>0</v>
      </c>
      <c r="Q1351" s="321"/>
      <c r="R1351" s="672" t="b">
        <v>0</v>
      </c>
      <c r="S1351" s="318"/>
      <c r="T1351" s="319"/>
      <c r="U1351" s="315"/>
      <c r="V1351" s="162"/>
      <c r="W1351" s="149"/>
      <c r="X1351" s="163"/>
      <c r="Y1351" s="162"/>
      <c r="Z1351" s="164"/>
      <c r="AA1351" s="116"/>
      <c r="AB1351" s="116"/>
      <c r="AC1351" s="165"/>
      <c r="AD1351" s="675" t="str">
        <f t="shared" si="76"/>
        <v/>
      </c>
      <c r="AE1351" s="166"/>
      <c r="AF1351" s="149" t="b">
        <v>0</v>
      </c>
      <c r="AG1351" s="166"/>
      <c r="AH1351" s="149" t="b">
        <v>0</v>
      </c>
      <c r="AI1351" s="162"/>
      <c r="AJ1351" s="143"/>
      <c r="AK1351" s="143"/>
      <c r="AL1351" s="1112"/>
      <c r="AM1351" s="1112"/>
      <c r="AN1351" s="1112"/>
      <c r="AO1351" s="1112"/>
      <c r="AP1351" s="1112"/>
      <c r="AQ1351" s="1112"/>
    </row>
    <row r="1352" ht="22.5" customHeight="1">
      <c r="A1352" s="166"/>
      <c r="B1352" s="1111"/>
      <c r="C1352" s="524"/>
      <c r="D1352" s="1110"/>
      <c r="E1352" s="669"/>
      <c r="F1352" s="524"/>
      <c r="G1352" s="165"/>
      <c r="H1352" s="669"/>
      <c r="I1352" s="669"/>
      <c r="J1352" s="352"/>
      <c r="K1352" s="271" t="str">
        <f t="shared" si="74"/>
        <v/>
      </c>
      <c r="L1352" s="297"/>
      <c r="M1352" s="334"/>
      <c r="N1352" s="277"/>
      <c r="O1352" s="315"/>
      <c r="P1352" s="344">
        <f t="shared" si="69"/>
        <v>0</v>
      </c>
      <c r="Q1352" s="321"/>
      <c r="R1352" s="672" t="b">
        <v>0</v>
      </c>
      <c r="S1352" s="318"/>
      <c r="T1352" s="319"/>
      <c r="U1352" s="315"/>
      <c r="V1352" s="162"/>
      <c r="W1352" s="149"/>
      <c r="X1352" s="163"/>
      <c r="Y1352" s="162"/>
      <c r="Z1352" s="164"/>
      <c r="AA1352" s="116"/>
      <c r="AB1352" s="116"/>
      <c r="AC1352" s="165"/>
      <c r="AD1352" s="675" t="str">
        <f t="shared" si="76"/>
        <v/>
      </c>
      <c r="AE1352" s="166"/>
      <c r="AF1352" s="149" t="b">
        <v>0</v>
      </c>
      <c r="AG1352" s="166"/>
      <c r="AH1352" s="149" t="b">
        <v>0</v>
      </c>
      <c r="AI1352" s="162"/>
      <c r="AJ1352" s="143"/>
      <c r="AK1352" s="143"/>
      <c r="AL1352" s="1112"/>
      <c r="AM1352" s="1112"/>
      <c r="AN1352" s="1112"/>
      <c r="AO1352" s="1112"/>
      <c r="AP1352" s="1112"/>
      <c r="AQ1352" s="1112"/>
    </row>
    <row r="1353" ht="22.5" customHeight="1">
      <c r="A1353" s="166"/>
      <c r="B1353" s="1111"/>
      <c r="C1353" s="524"/>
      <c r="D1353" s="1110"/>
      <c r="E1353" s="669"/>
      <c r="F1353" s="524"/>
      <c r="G1353" s="165"/>
      <c r="H1353" s="669"/>
      <c r="I1353" s="669"/>
      <c r="J1353" s="352"/>
      <c r="K1353" s="271" t="str">
        <f t="shared" si="74"/>
        <v/>
      </c>
      <c r="L1353" s="297"/>
      <c r="M1353" s="334"/>
      <c r="N1353" s="277"/>
      <c r="O1353" s="315"/>
      <c r="P1353" s="344">
        <f t="shared" si="69"/>
        <v>0</v>
      </c>
      <c r="Q1353" s="321"/>
      <c r="R1353" s="672" t="b">
        <v>0</v>
      </c>
      <c r="S1353" s="318"/>
      <c r="T1353" s="319"/>
      <c r="U1353" s="315"/>
      <c r="V1353" s="162"/>
      <c r="W1353" s="149"/>
      <c r="X1353" s="163"/>
      <c r="Y1353" s="162"/>
      <c r="Z1353" s="164"/>
      <c r="AA1353" s="116"/>
      <c r="AB1353" s="116"/>
      <c r="AC1353" s="165"/>
      <c r="AD1353" s="675" t="str">
        <f t="shared" si="76"/>
        <v/>
      </c>
      <c r="AE1353" s="166"/>
      <c r="AF1353" s="149" t="b">
        <v>0</v>
      </c>
      <c r="AG1353" s="166"/>
      <c r="AH1353" s="149" t="b">
        <v>0</v>
      </c>
      <c r="AI1353" s="162"/>
      <c r="AJ1353" s="143"/>
      <c r="AK1353" s="143"/>
      <c r="AL1353" s="1112"/>
      <c r="AM1353" s="1112"/>
      <c r="AN1353" s="1112"/>
      <c r="AO1353" s="1112"/>
      <c r="AP1353" s="1112"/>
      <c r="AQ1353" s="1112"/>
    </row>
    <row r="1354" ht="22.5" customHeight="1">
      <c r="A1354" s="166"/>
      <c r="B1354" s="1111"/>
      <c r="C1354" s="524"/>
      <c r="D1354" s="1110"/>
      <c r="E1354" s="669"/>
      <c r="F1354" s="524"/>
      <c r="G1354" s="165"/>
      <c r="H1354" s="669"/>
      <c r="I1354" s="669"/>
      <c r="J1354" s="352"/>
      <c r="K1354" s="271" t="str">
        <f t="shared" si="74"/>
        <v/>
      </c>
      <c r="L1354" s="297"/>
      <c r="M1354" s="334"/>
      <c r="N1354" s="277"/>
      <c r="O1354" s="315"/>
      <c r="P1354" s="344">
        <f t="shared" si="69"/>
        <v>0</v>
      </c>
      <c r="Q1354" s="321"/>
      <c r="R1354" s="672" t="b">
        <v>0</v>
      </c>
      <c r="S1354" s="318"/>
      <c r="T1354" s="319"/>
      <c r="U1354" s="315"/>
      <c r="V1354" s="162"/>
      <c r="W1354" s="149"/>
      <c r="X1354" s="163"/>
      <c r="Y1354" s="162"/>
      <c r="Z1354" s="164"/>
      <c r="AA1354" s="116"/>
      <c r="AB1354" s="116"/>
      <c r="AC1354" s="165"/>
      <c r="AD1354" s="675" t="str">
        <f t="shared" si="76"/>
        <v/>
      </c>
      <c r="AE1354" s="166"/>
      <c r="AF1354" s="149" t="b">
        <v>0</v>
      </c>
      <c r="AG1354" s="166"/>
      <c r="AH1354" s="149" t="b">
        <v>0</v>
      </c>
      <c r="AI1354" s="162"/>
      <c r="AJ1354" s="143"/>
      <c r="AK1354" s="143"/>
      <c r="AL1354" s="1112"/>
      <c r="AM1354" s="1112"/>
      <c r="AN1354" s="1112"/>
      <c r="AO1354" s="1112"/>
      <c r="AP1354" s="1112"/>
      <c r="AQ1354" s="1112"/>
    </row>
    <row r="1355" ht="22.5" customHeight="1">
      <c r="A1355" s="166"/>
      <c r="B1355" s="1111"/>
      <c r="C1355" s="524"/>
      <c r="D1355" s="1110"/>
      <c r="E1355" s="669"/>
      <c r="F1355" s="524"/>
      <c r="G1355" s="165"/>
      <c r="H1355" s="669"/>
      <c r="I1355" s="669"/>
      <c r="J1355" s="352"/>
      <c r="K1355" s="271" t="str">
        <f t="shared" si="74"/>
        <v/>
      </c>
      <c r="L1355" s="297"/>
      <c r="M1355" s="334"/>
      <c r="N1355" s="277"/>
      <c r="O1355" s="315"/>
      <c r="P1355" s="344">
        <f t="shared" si="69"/>
        <v>0</v>
      </c>
      <c r="Q1355" s="321"/>
      <c r="R1355" s="672" t="b">
        <v>0</v>
      </c>
      <c r="S1355" s="318"/>
      <c r="T1355" s="319"/>
      <c r="U1355" s="315"/>
      <c r="V1355" s="162"/>
      <c r="W1355" s="149"/>
      <c r="X1355" s="163"/>
      <c r="Y1355" s="162"/>
      <c r="Z1355" s="164"/>
      <c r="AA1355" s="116"/>
      <c r="AB1355" s="116"/>
      <c r="AC1355" s="165"/>
      <c r="AD1355" s="675" t="str">
        <f t="shared" si="76"/>
        <v/>
      </c>
      <c r="AE1355" s="166"/>
      <c r="AF1355" s="149" t="b">
        <v>0</v>
      </c>
      <c r="AG1355" s="166"/>
      <c r="AH1355" s="149" t="b">
        <v>0</v>
      </c>
      <c r="AI1355" s="162"/>
      <c r="AJ1355" s="143"/>
      <c r="AK1355" s="143"/>
      <c r="AL1355" s="1112"/>
      <c r="AM1355" s="1112"/>
      <c r="AN1355" s="1112"/>
      <c r="AO1355" s="1112"/>
      <c r="AP1355" s="1112"/>
      <c r="AQ1355" s="1112"/>
    </row>
    <row r="1356" ht="22.5" customHeight="1">
      <c r="A1356" s="166"/>
      <c r="B1356" s="1111"/>
      <c r="C1356" s="524"/>
      <c r="D1356" s="1110"/>
      <c r="E1356" s="669"/>
      <c r="F1356" s="524"/>
      <c r="G1356" s="165"/>
      <c r="H1356" s="669"/>
      <c r="I1356" s="669"/>
      <c r="J1356" s="352"/>
      <c r="K1356" s="271" t="str">
        <f t="shared" si="74"/>
        <v/>
      </c>
      <c r="L1356" s="297"/>
      <c r="M1356" s="334"/>
      <c r="N1356" s="277"/>
      <c r="O1356" s="315"/>
      <c r="P1356" s="344">
        <f t="shared" si="69"/>
        <v>0</v>
      </c>
      <c r="Q1356" s="321"/>
      <c r="R1356" s="672" t="b">
        <v>0</v>
      </c>
      <c r="S1356" s="318"/>
      <c r="T1356" s="319"/>
      <c r="U1356" s="315"/>
      <c r="V1356" s="162"/>
      <c r="W1356" s="149"/>
      <c r="X1356" s="163"/>
      <c r="Y1356" s="162"/>
      <c r="Z1356" s="164"/>
      <c r="AA1356" s="116"/>
      <c r="AB1356" s="116"/>
      <c r="AC1356" s="165"/>
      <c r="AD1356" s="675" t="str">
        <f t="shared" si="76"/>
        <v/>
      </c>
      <c r="AE1356" s="166"/>
      <c r="AF1356" s="149" t="b">
        <v>0</v>
      </c>
      <c r="AG1356" s="166"/>
      <c r="AH1356" s="149" t="b">
        <v>0</v>
      </c>
      <c r="AI1356" s="162"/>
      <c r="AJ1356" s="143"/>
      <c r="AK1356" s="143"/>
      <c r="AL1356" s="1112"/>
      <c r="AM1356" s="1112"/>
      <c r="AN1356" s="1112"/>
      <c r="AO1356" s="1112"/>
      <c r="AP1356" s="1112"/>
      <c r="AQ1356" s="1112"/>
    </row>
    <row r="1357" ht="22.5" customHeight="1">
      <c r="A1357" s="166"/>
      <c r="B1357" s="1111"/>
      <c r="C1357" s="524"/>
      <c r="D1357" s="1110"/>
      <c r="E1357" s="669"/>
      <c r="F1357" s="524"/>
      <c r="G1357" s="165"/>
      <c r="H1357" s="669"/>
      <c r="I1357" s="669"/>
      <c r="J1357" s="352"/>
      <c r="K1357" s="271" t="str">
        <f t="shared" si="74"/>
        <v/>
      </c>
      <c r="L1357" s="297"/>
      <c r="M1357" s="334"/>
      <c r="N1357" s="277"/>
      <c r="O1357" s="315"/>
      <c r="P1357" s="344">
        <f t="shared" si="69"/>
        <v>0</v>
      </c>
      <c r="Q1357" s="321"/>
      <c r="R1357" s="672" t="b">
        <v>0</v>
      </c>
      <c r="S1357" s="318"/>
      <c r="T1357" s="319"/>
      <c r="U1357" s="315"/>
      <c r="V1357" s="162"/>
      <c r="W1357" s="149"/>
      <c r="X1357" s="163"/>
      <c r="Y1357" s="162"/>
      <c r="Z1357" s="164"/>
      <c r="AA1357" s="116"/>
      <c r="AB1357" s="116"/>
      <c r="AC1357" s="165"/>
      <c r="AD1357" s="675" t="str">
        <f t="shared" si="76"/>
        <v/>
      </c>
      <c r="AE1357" s="166"/>
      <c r="AF1357" s="149" t="b">
        <v>0</v>
      </c>
      <c r="AG1357" s="166"/>
      <c r="AH1357" s="149" t="b">
        <v>0</v>
      </c>
      <c r="AI1357" s="162"/>
      <c r="AJ1357" s="143"/>
      <c r="AK1357" s="143"/>
      <c r="AL1357" s="1112"/>
      <c r="AM1357" s="1112"/>
      <c r="AN1357" s="1112"/>
      <c r="AO1357" s="1112"/>
      <c r="AP1357" s="1112"/>
      <c r="AQ1357" s="1112"/>
    </row>
    <row r="1358" ht="22.5" customHeight="1">
      <c r="A1358" s="166"/>
      <c r="B1358" s="1111"/>
      <c r="C1358" s="524"/>
      <c r="D1358" s="1110"/>
      <c r="E1358" s="669"/>
      <c r="F1358" s="524"/>
      <c r="G1358" s="165"/>
      <c r="H1358" s="669"/>
      <c r="I1358" s="669"/>
      <c r="J1358" s="352"/>
      <c r="K1358" s="271" t="str">
        <f t="shared" si="74"/>
        <v/>
      </c>
      <c r="L1358" s="297"/>
      <c r="M1358" s="334"/>
      <c r="N1358" s="277"/>
      <c r="O1358" s="315"/>
      <c r="P1358" s="344">
        <f t="shared" si="69"/>
        <v>0</v>
      </c>
      <c r="Q1358" s="321"/>
      <c r="R1358" s="672" t="b">
        <v>0</v>
      </c>
      <c r="S1358" s="318"/>
      <c r="T1358" s="319"/>
      <c r="U1358" s="315"/>
      <c r="V1358" s="162"/>
      <c r="W1358" s="149"/>
      <c r="X1358" s="163"/>
      <c r="Y1358" s="162"/>
      <c r="Z1358" s="164"/>
      <c r="AA1358" s="116"/>
      <c r="AB1358" s="116"/>
      <c r="AC1358" s="165"/>
      <c r="AD1358" s="675" t="str">
        <f t="shared" si="76"/>
        <v/>
      </c>
      <c r="AE1358" s="166"/>
      <c r="AF1358" s="149" t="b">
        <v>0</v>
      </c>
      <c r="AG1358" s="166"/>
      <c r="AH1358" s="149" t="b">
        <v>0</v>
      </c>
      <c r="AI1358" s="162"/>
      <c r="AJ1358" s="143"/>
      <c r="AK1358" s="143"/>
      <c r="AL1358" s="1112"/>
      <c r="AM1358" s="1112"/>
      <c r="AN1358" s="1112"/>
      <c r="AO1358" s="1112"/>
      <c r="AP1358" s="1112"/>
      <c r="AQ1358" s="1112"/>
    </row>
    <row r="1359" ht="22.5" customHeight="1">
      <c r="A1359" s="166"/>
      <c r="B1359" s="1111"/>
      <c r="C1359" s="524"/>
      <c r="D1359" s="1110"/>
      <c r="E1359" s="669"/>
      <c r="F1359" s="524"/>
      <c r="G1359" s="165"/>
      <c r="H1359" s="669"/>
      <c r="I1359" s="669"/>
      <c r="J1359" s="352"/>
      <c r="K1359" s="271" t="str">
        <f t="shared" si="74"/>
        <v/>
      </c>
      <c r="L1359" s="297"/>
      <c r="M1359" s="334"/>
      <c r="N1359" s="277"/>
      <c r="O1359" s="315"/>
      <c r="P1359" s="344">
        <f t="shared" si="69"/>
        <v>0</v>
      </c>
      <c r="Q1359" s="321"/>
      <c r="R1359" s="672" t="b">
        <v>0</v>
      </c>
      <c r="S1359" s="318"/>
      <c r="T1359" s="319"/>
      <c r="U1359" s="315"/>
      <c r="V1359" s="162"/>
      <c r="W1359" s="149"/>
      <c r="X1359" s="163"/>
      <c r="Y1359" s="162"/>
      <c r="Z1359" s="164"/>
      <c r="AA1359" s="116"/>
      <c r="AB1359" s="116"/>
      <c r="AC1359" s="165"/>
      <c r="AD1359" s="675" t="str">
        <f t="shared" si="76"/>
        <v/>
      </c>
      <c r="AE1359" s="166"/>
      <c r="AF1359" s="149" t="b">
        <v>0</v>
      </c>
      <c r="AG1359" s="166"/>
      <c r="AH1359" s="149" t="b">
        <v>0</v>
      </c>
      <c r="AI1359" s="162"/>
      <c r="AJ1359" s="143"/>
      <c r="AK1359" s="143"/>
      <c r="AL1359" s="1112"/>
      <c r="AM1359" s="1112"/>
      <c r="AN1359" s="1112"/>
      <c r="AO1359" s="1112"/>
      <c r="AP1359" s="1112"/>
      <c r="AQ1359" s="1112"/>
    </row>
    <row r="1360" ht="22.5" customHeight="1">
      <c r="A1360" s="166"/>
      <c r="B1360" s="1111"/>
      <c r="C1360" s="524"/>
      <c r="D1360" s="1110"/>
      <c r="E1360" s="669"/>
      <c r="F1360" s="524"/>
      <c r="G1360" s="165"/>
      <c r="H1360" s="669"/>
      <c r="I1360" s="669"/>
      <c r="J1360" s="352"/>
      <c r="K1360" s="271" t="str">
        <f t="shared" si="74"/>
        <v/>
      </c>
      <c r="L1360" s="297"/>
      <c r="M1360" s="334"/>
      <c r="N1360" s="277"/>
      <c r="O1360" s="315"/>
      <c r="P1360" s="344">
        <f t="shared" si="69"/>
        <v>0</v>
      </c>
      <c r="Q1360" s="321"/>
      <c r="R1360" s="672" t="b">
        <v>0</v>
      </c>
      <c r="S1360" s="318"/>
      <c r="T1360" s="319"/>
      <c r="U1360" s="315"/>
      <c r="V1360" s="162"/>
      <c r="W1360" s="149"/>
      <c r="X1360" s="163"/>
      <c r="Y1360" s="162"/>
      <c r="Z1360" s="164"/>
      <c r="AA1360" s="116"/>
      <c r="AB1360" s="116"/>
      <c r="AC1360" s="165"/>
      <c r="AD1360" s="675" t="str">
        <f t="shared" si="76"/>
        <v/>
      </c>
      <c r="AE1360" s="166"/>
      <c r="AF1360" s="149" t="b">
        <v>0</v>
      </c>
      <c r="AG1360" s="166"/>
      <c r="AH1360" s="149" t="b">
        <v>0</v>
      </c>
      <c r="AI1360" s="162"/>
      <c r="AJ1360" s="143"/>
      <c r="AK1360" s="143"/>
      <c r="AL1360" s="1112"/>
      <c r="AM1360" s="1112"/>
      <c r="AN1360" s="1112"/>
      <c r="AO1360" s="1112"/>
      <c r="AP1360" s="1112"/>
      <c r="AQ1360" s="1112"/>
    </row>
    <row r="1361" ht="22.5" customHeight="1">
      <c r="A1361" s="166"/>
      <c r="B1361" s="1111"/>
      <c r="C1361" s="524"/>
      <c r="D1361" s="1110"/>
      <c r="E1361" s="669"/>
      <c r="F1361" s="524"/>
      <c r="G1361" s="165"/>
      <c r="H1361" s="669"/>
      <c r="I1361" s="669"/>
      <c r="J1361" s="352"/>
      <c r="K1361" s="271" t="str">
        <f t="shared" si="74"/>
        <v/>
      </c>
      <c r="L1361" s="297"/>
      <c r="M1361" s="334"/>
      <c r="N1361" s="277"/>
      <c r="O1361" s="315"/>
      <c r="P1361" s="344">
        <f t="shared" si="69"/>
        <v>0</v>
      </c>
      <c r="Q1361" s="321"/>
      <c r="R1361" s="672" t="b">
        <v>0</v>
      </c>
      <c r="S1361" s="318"/>
      <c r="T1361" s="319"/>
      <c r="U1361" s="315"/>
      <c r="V1361" s="162"/>
      <c r="W1361" s="149"/>
      <c r="X1361" s="163"/>
      <c r="Y1361" s="162"/>
      <c r="Z1361" s="164"/>
      <c r="AA1361" s="116"/>
      <c r="AB1361" s="116"/>
      <c r="AC1361" s="165"/>
      <c r="AD1361" s="675" t="str">
        <f t="shared" si="76"/>
        <v/>
      </c>
      <c r="AE1361" s="166"/>
      <c r="AF1361" s="149" t="b">
        <v>0</v>
      </c>
      <c r="AG1361" s="166"/>
      <c r="AH1361" s="149" t="b">
        <v>0</v>
      </c>
      <c r="AI1361" s="162"/>
      <c r="AJ1361" s="143"/>
      <c r="AK1361" s="143"/>
      <c r="AL1361" s="1112"/>
      <c r="AM1361" s="1112"/>
      <c r="AN1361" s="1112"/>
      <c r="AO1361" s="1112"/>
      <c r="AP1361" s="1112"/>
      <c r="AQ1361" s="1112"/>
    </row>
    <row r="1362" ht="22.5" customHeight="1">
      <c r="A1362" s="166"/>
      <c r="B1362" s="1111"/>
      <c r="C1362" s="524"/>
      <c r="D1362" s="1110"/>
      <c r="E1362" s="669"/>
      <c r="F1362" s="524"/>
      <c r="G1362" s="165"/>
      <c r="H1362" s="669"/>
      <c r="I1362" s="669"/>
      <c r="J1362" s="352"/>
      <c r="K1362" s="271" t="str">
        <f t="shared" si="74"/>
        <v/>
      </c>
      <c r="L1362" s="297"/>
      <c r="M1362" s="334"/>
      <c r="N1362" s="277"/>
      <c r="O1362" s="315"/>
      <c r="P1362" s="344">
        <f t="shared" si="69"/>
        <v>0</v>
      </c>
      <c r="Q1362" s="321"/>
      <c r="R1362" s="672" t="b">
        <v>0</v>
      </c>
      <c r="S1362" s="318"/>
      <c r="T1362" s="319"/>
      <c r="U1362" s="315"/>
      <c r="V1362" s="162"/>
      <c r="W1362" s="149"/>
      <c r="X1362" s="163"/>
      <c r="Y1362" s="162"/>
      <c r="Z1362" s="164"/>
      <c r="AA1362" s="116"/>
      <c r="AB1362" s="116"/>
      <c r="AC1362" s="165"/>
      <c r="AD1362" s="675" t="str">
        <f t="shared" si="76"/>
        <v/>
      </c>
      <c r="AE1362" s="166"/>
      <c r="AF1362" s="149" t="b">
        <v>0</v>
      </c>
      <c r="AG1362" s="166"/>
      <c r="AH1362" s="149" t="b">
        <v>0</v>
      </c>
      <c r="AI1362" s="162"/>
      <c r="AJ1362" s="143"/>
      <c r="AK1362" s="143"/>
      <c r="AL1362" s="1112"/>
      <c r="AM1362" s="1112"/>
      <c r="AN1362" s="1112"/>
      <c r="AO1362" s="1112"/>
      <c r="AP1362" s="1112"/>
      <c r="AQ1362" s="1112"/>
    </row>
    <row r="1363" ht="22.5" customHeight="1">
      <c r="A1363" s="166"/>
      <c r="B1363" s="1111"/>
      <c r="C1363" s="524"/>
      <c r="D1363" s="1110"/>
      <c r="E1363" s="669"/>
      <c r="F1363" s="524"/>
      <c r="G1363" s="165"/>
      <c r="H1363" s="669"/>
      <c r="I1363" s="669"/>
      <c r="J1363" s="352"/>
      <c r="K1363" s="271" t="str">
        <f t="shared" si="74"/>
        <v/>
      </c>
      <c r="L1363" s="297"/>
      <c r="M1363" s="334"/>
      <c r="N1363" s="277"/>
      <c r="O1363" s="315"/>
      <c r="P1363" s="344">
        <f t="shared" si="69"/>
        <v>0</v>
      </c>
      <c r="Q1363" s="321"/>
      <c r="R1363" s="672" t="b">
        <v>0</v>
      </c>
      <c r="S1363" s="318"/>
      <c r="T1363" s="319"/>
      <c r="U1363" s="315"/>
      <c r="V1363" s="162"/>
      <c r="W1363" s="149"/>
      <c r="X1363" s="163"/>
      <c r="Y1363" s="162"/>
      <c r="Z1363" s="164"/>
      <c r="AA1363" s="116"/>
      <c r="AB1363" s="116"/>
      <c r="AC1363" s="165"/>
      <c r="AD1363" s="675" t="str">
        <f t="shared" si="76"/>
        <v/>
      </c>
      <c r="AE1363" s="166"/>
      <c r="AF1363" s="149" t="b">
        <v>0</v>
      </c>
      <c r="AG1363" s="166"/>
      <c r="AH1363" s="149" t="b">
        <v>0</v>
      </c>
      <c r="AI1363" s="162"/>
      <c r="AJ1363" s="143"/>
      <c r="AK1363" s="143"/>
      <c r="AL1363" s="1112"/>
      <c r="AM1363" s="1112"/>
      <c r="AN1363" s="1112"/>
      <c r="AO1363" s="1112"/>
      <c r="AP1363" s="1112"/>
      <c r="AQ1363" s="1112"/>
    </row>
    <row r="1364" ht="22.5" customHeight="1">
      <c r="A1364" s="166"/>
      <c r="B1364" s="1111"/>
      <c r="C1364" s="524"/>
      <c r="D1364" s="1110"/>
      <c r="E1364" s="669"/>
      <c r="F1364" s="524"/>
      <c r="G1364" s="165"/>
      <c r="H1364" s="669"/>
      <c r="I1364" s="669"/>
      <c r="J1364" s="352"/>
      <c r="K1364" s="271" t="str">
        <f t="shared" si="74"/>
        <v/>
      </c>
      <c r="L1364" s="297"/>
      <c r="M1364" s="334"/>
      <c r="N1364" s="277"/>
      <c r="O1364" s="315"/>
      <c r="P1364" s="344">
        <f t="shared" si="69"/>
        <v>0</v>
      </c>
      <c r="Q1364" s="321"/>
      <c r="R1364" s="672" t="b">
        <v>0</v>
      </c>
      <c r="S1364" s="318"/>
      <c r="T1364" s="319"/>
      <c r="U1364" s="315"/>
      <c r="V1364" s="162"/>
      <c r="W1364" s="149"/>
      <c r="X1364" s="163"/>
      <c r="Y1364" s="162"/>
      <c r="Z1364" s="164"/>
      <c r="AA1364" s="116"/>
      <c r="AB1364" s="116"/>
      <c r="AC1364" s="165"/>
      <c r="AD1364" s="675" t="str">
        <f t="shared" si="76"/>
        <v/>
      </c>
      <c r="AE1364" s="166"/>
      <c r="AF1364" s="149" t="b">
        <v>0</v>
      </c>
      <c r="AG1364" s="166"/>
      <c r="AH1364" s="149" t="b">
        <v>0</v>
      </c>
      <c r="AI1364" s="162"/>
      <c r="AJ1364" s="143"/>
      <c r="AK1364" s="143"/>
      <c r="AL1364" s="1112"/>
      <c r="AM1364" s="1112"/>
      <c r="AN1364" s="1112"/>
      <c r="AO1364" s="1112"/>
      <c r="AP1364" s="1112"/>
      <c r="AQ1364" s="1112"/>
    </row>
    <row r="1365" ht="22.5" customHeight="1">
      <c r="A1365" s="166"/>
      <c r="B1365" s="1111"/>
      <c r="C1365" s="524"/>
      <c r="D1365" s="1110"/>
      <c r="E1365" s="669"/>
      <c r="F1365" s="524"/>
      <c r="G1365" s="165"/>
      <c r="H1365" s="669"/>
      <c r="I1365" s="669"/>
      <c r="J1365" s="352"/>
      <c r="K1365" s="271" t="str">
        <f t="shared" si="74"/>
        <v/>
      </c>
      <c r="L1365" s="297"/>
      <c r="M1365" s="334"/>
      <c r="N1365" s="277"/>
      <c r="O1365" s="315"/>
      <c r="P1365" s="344">
        <f t="shared" si="69"/>
        <v>0</v>
      </c>
      <c r="Q1365" s="321"/>
      <c r="R1365" s="672" t="b">
        <v>0</v>
      </c>
      <c r="S1365" s="318"/>
      <c r="T1365" s="319"/>
      <c r="U1365" s="315"/>
      <c r="V1365" s="162"/>
      <c r="W1365" s="149"/>
      <c r="X1365" s="163"/>
      <c r="Y1365" s="162"/>
      <c r="Z1365" s="164"/>
      <c r="AA1365" s="116"/>
      <c r="AB1365" s="116"/>
      <c r="AC1365" s="165"/>
      <c r="AD1365" s="675" t="str">
        <f t="shared" si="76"/>
        <v/>
      </c>
      <c r="AE1365" s="166"/>
      <c r="AF1365" s="149" t="b">
        <v>0</v>
      </c>
      <c r="AG1365" s="166"/>
      <c r="AH1365" s="149" t="b">
        <v>0</v>
      </c>
      <c r="AI1365" s="162"/>
      <c r="AJ1365" s="143"/>
      <c r="AK1365" s="143"/>
      <c r="AL1365" s="1112"/>
      <c r="AM1365" s="1112"/>
      <c r="AN1365" s="1112"/>
      <c r="AO1365" s="1112"/>
      <c r="AP1365" s="1112"/>
      <c r="AQ1365" s="1112"/>
    </row>
    <row r="1366" ht="22.5" customHeight="1">
      <c r="A1366" s="166"/>
      <c r="B1366" s="1111"/>
      <c r="C1366" s="524"/>
      <c r="D1366" s="1110"/>
      <c r="E1366" s="669"/>
      <c r="F1366" s="524"/>
      <c r="G1366" s="165"/>
      <c r="H1366" s="669"/>
      <c r="I1366" s="669"/>
      <c r="J1366" s="352"/>
      <c r="K1366" s="271" t="str">
        <f t="shared" si="74"/>
        <v/>
      </c>
      <c r="L1366" s="297"/>
      <c r="M1366" s="334"/>
      <c r="N1366" s="277"/>
      <c r="O1366" s="315"/>
      <c r="P1366" s="344">
        <f t="shared" si="69"/>
        <v>0</v>
      </c>
      <c r="Q1366" s="321"/>
      <c r="R1366" s="672" t="b">
        <v>0</v>
      </c>
      <c r="S1366" s="318"/>
      <c r="T1366" s="319"/>
      <c r="U1366" s="315"/>
      <c r="V1366" s="162"/>
      <c r="W1366" s="149"/>
      <c r="X1366" s="163"/>
      <c r="Y1366" s="162"/>
      <c r="Z1366" s="164"/>
      <c r="AA1366" s="116"/>
      <c r="AB1366" s="116"/>
      <c r="AC1366" s="165"/>
      <c r="AD1366" s="675" t="str">
        <f t="shared" si="76"/>
        <v/>
      </c>
      <c r="AE1366" s="166"/>
      <c r="AF1366" s="149" t="b">
        <v>0</v>
      </c>
      <c r="AG1366" s="166"/>
      <c r="AH1366" s="149" t="b">
        <v>0</v>
      </c>
      <c r="AI1366" s="162"/>
      <c r="AJ1366" s="143"/>
      <c r="AK1366" s="143"/>
      <c r="AL1366" s="1112"/>
      <c r="AM1366" s="1112"/>
      <c r="AN1366" s="1112"/>
      <c r="AO1366" s="1112"/>
      <c r="AP1366" s="1112"/>
      <c r="AQ1366" s="1112"/>
    </row>
    <row r="1367" ht="22.5" customHeight="1">
      <c r="A1367" s="166"/>
      <c r="B1367" s="1111"/>
      <c r="C1367" s="524"/>
      <c r="D1367" s="1110"/>
      <c r="E1367" s="669"/>
      <c r="F1367" s="524"/>
      <c r="G1367" s="165"/>
      <c r="H1367" s="669"/>
      <c r="I1367" s="669"/>
      <c r="J1367" s="352"/>
      <c r="K1367" s="271" t="str">
        <f t="shared" si="74"/>
        <v/>
      </c>
      <c r="L1367" s="297"/>
      <c r="M1367" s="334"/>
      <c r="N1367" s="277"/>
      <c r="O1367" s="315"/>
      <c r="P1367" s="344">
        <f t="shared" si="69"/>
        <v>0</v>
      </c>
      <c r="Q1367" s="321"/>
      <c r="R1367" s="672" t="b">
        <v>0</v>
      </c>
      <c r="S1367" s="318"/>
      <c r="T1367" s="319"/>
      <c r="U1367" s="315"/>
      <c r="V1367" s="162"/>
      <c r="W1367" s="149"/>
      <c r="X1367" s="163"/>
      <c r="Y1367" s="162"/>
      <c r="Z1367" s="164"/>
      <c r="AA1367" s="116"/>
      <c r="AB1367" s="116"/>
      <c r="AC1367" s="165"/>
      <c r="AD1367" s="675" t="str">
        <f t="shared" si="76"/>
        <v/>
      </c>
      <c r="AE1367" s="166"/>
      <c r="AF1367" s="149" t="b">
        <v>0</v>
      </c>
      <c r="AG1367" s="166"/>
      <c r="AH1367" s="149" t="b">
        <v>0</v>
      </c>
      <c r="AI1367" s="162"/>
      <c r="AJ1367" s="143"/>
      <c r="AK1367" s="143"/>
      <c r="AL1367" s="1112"/>
      <c r="AM1367" s="1112"/>
      <c r="AN1367" s="1112"/>
      <c r="AO1367" s="1112"/>
      <c r="AP1367" s="1112"/>
      <c r="AQ1367" s="1112"/>
    </row>
    <row r="1368" ht="22.5" customHeight="1">
      <c r="A1368" s="166"/>
      <c r="B1368" s="1111"/>
      <c r="C1368" s="524"/>
      <c r="D1368" s="1110"/>
      <c r="E1368" s="669"/>
      <c r="F1368" s="524"/>
      <c r="G1368" s="165"/>
      <c r="H1368" s="669"/>
      <c r="I1368" s="669"/>
      <c r="J1368" s="352"/>
      <c r="K1368" s="271" t="str">
        <f t="shared" si="74"/>
        <v/>
      </c>
      <c r="L1368" s="297"/>
      <c r="M1368" s="334"/>
      <c r="N1368" s="277"/>
      <c r="O1368" s="315"/>
      <c r="P1368" s="344">
        <f t="shared" si="69"/>
        <v>0</v>
      </c>
      <c r="Q1368" s="321"/>
      <c r="R1368" s="672" t="b">
        <v>0</v>
      </c>
      <c r="S1368" s="318"/>
      <c r="T1368" s="319"/>
      <c r="U1368" s="315"/>
      <c r="V1368" s="162"/>
      <c r="W1368" s="149"/>
      <c r="X1368" s="163"/>
      <c r="Y1368" s="162"/>
      <c r="Z1368" s="164"/>
      <c r="AA1368" s="116"/>
      <c r="AB1368" s="116"/>
      <c r="AC1368" s="165"/>
      <c r="AD1368" s="675" t="str">
        <f t="shared" si="76"/>
        <v/>
      </c>
      <c r="AE1368" s="166"/>
      <c r="AF1368" s="149" t="b">
        <v>0</v>
      </c>
      <c r="AG1368" s="166"/>
      <c r="AH1368" s="149" t="b">
        <v>0</v>
      </c>
      <c r="AI1368" s="162"/>
      <c r="AJ1368" s="143"/>
      <c r="AK1368" s="143"/>
      <c r="AL1368" s="1112"/>
      <c r="AM1368" s="1112"/>
      <c r="AN1368" s="1112"/>
      <c r="AO1368" s="1112"/>
      <c r="AP1368" s="1112"/>
      <c r="AQ1368" s="1112"/>
    </row>
    <row r="1369" ht="22.5" customHeight="1">
      <c r="A1369" s="166"/>
      <c r="B1369" s="1111"/>
      <c r="C1369" s="524"/>
      <c r="D1369" s="1110"/>
      <c r="E1369" s="669"/>
      <c r="F1369" s="524"/>
      <c r="G1369" s="165"/>
      <c r="H1369" s="669"/>
      <c r="I1369" s="669"/>
      <c r="J1369" s="352"/>
      <c r="K1369" s="271" t="str">
        <f t="shared" si="74"/>
        <v/>
      </c>
      <c r="L1369" s="297"/>
      <c r="M1369" s="334"/>
      <c r="N1369" s="277"/>
      <c r="O1369" s="315"/>
      <c r="P1369" s="344">
        <f t="shared" si="69"/>
        <v>0</v>
      </c>
      <c r="Q1369" s="321"/>
      <c r="R1369" s="672" t="b">
        <v>0</v>
      </c>
      <c r="S1369" s="318"/>
      <c r="T1369" s="319"/>
      <c r="U1369" s="315"/>
      <c r="V1369" s="162"/>
      <c r="W1369" s="149"/>
      <c r="X1369" s="163"/>
      <c r="Y1369" s="162"/>
      <c r="Z1369" s="164"/>
      <c r="AA1369" s="116"/>
      <c r="AB1369" s="116"/>
      <c r="AC1369" s="165"/>
      <c r="AD1369" s="675" t="str">
        <f t="shared" si="76"/>
        <v/>
      </c>
      <c r="AE1369" s="166"/>
      <c r="AF1369" s="149" t="b">
        <v>0</v>
      </c>
      <c r="AG1369" s="166"/>
      <c r="AH1369" s="149" t="b">
        <v>0</v>
      </c>
      <c r="AI1369" s="162"/>
      <c r="AJ1369" s="143"/>
      <c r="AK1369" s="143"/>
      <c r="AL1369" s="1112"/>
      <c r="AM1369" s="1112"/>
      <c r="AN1369" s="1112"/>
      <c r="AO1369" s="1112"/>
      <c r="AP1369" s="1112"/>
      <c r="AQ1369" s="1112"/>
    </row>
    <row r="1370" ht="22.5" customHeight="1">
      <c r="A1370" s="166"/>
      <c r="B1370" s="1111"/>
      <c r="C1370" s="524"/>
      <c r="D1370" s="1110"/>
      <c r="E1370" s="669"/>
      <c r="F1370" s="524"/>
      <c r="G1370" s="165"/>
      <c r="H1370" s="669"/>
      <c r="I1370" s="669"/>
      <c r="J1370" s="352"/>
      <c r="K1370" s="271" t="str">
        <f t="shared" si="74"/>
        <v/>
      </c>
      <c r="L1370" s="297"/>
      <c r="M1370" s="334"/>
      <c r="N1370" s="277"/>
      <c r="O1370" s="315"/>
      <c r="P1370" s="344">
        <f t="shared" si="69"/>
        <v>0</v>
      </c>
      <c r="Q1370" s="321"/>
      <c r="R1370" s="672" t="b">
        <v>0</v>
      </c>
      <c r="S1370" s="318"/>
      <c r="T1370" s="319"/>
      <c r="U1370" s="315"/>
      <c r="V1370" s="162"/>
      <c r="W1370" s="149"/>
      <c r="X1370" s="163"/>
      <c r="Y1370" s="162"/>
      <c r="Z1370" s="164"/>
      <c r="AA1370" s="116"/>
      <c r="AB1370" s="116"/>
      <c r="AC1370" s="165"/>
      <c r="AD1370" s="675" t="str">
        <f t="shared" si="76"/>
        <v/>
      </c>
      <c r="AE1370" s="166"/>
      <c r="AF1370" s="149" t="b">
        <v>0</v>
      </c>
      <c r="AG1370" s="166"/>
      <c r="AH1370" s="149" t="b">
        <v>0</v>
      </c>
      <c r="AI1370" s="162"/>
      <c r="AJ1370" s="143"/>
      <c r="AK1370" s="143"/>
      <c r="AL1370" s="1112"/>
      <c r="AM1370" s="1112"/>
      <c r="AN1370" s="1112"/>
      <c r="AO1370" s="1112"/>
      <c r="AP1370" s="1112"/>
      <c r="AQ1370" s="1112"/>
    </row>
    <row r="1371" ht="22.5" customHeight="1">
      <c r="A1371" s="166"/>
      <c r="B1371" s="1111"/>
      <c r="C1371" s="524"/>
      <c r="D1371" s="1110"/>
      <c r="E1371" s="669"/>
      <c r="F1371" s="524"/>
      <c r="G1371" s="165"/>
      <c r="H1371" s="669"/>
      <c r="I1371" s="669"/>
      <c r="J1371" s="352"/>
      <c r="K1371" s="271" t="str">
        <f t="shared" si="74"/>
        <v/>
      </c>
      <c r="L1371" s="297"/>
      <c r="M1371" s="334"/>
      <c r="N1371" s="277"/>
      <c r="O1371" s="315"/>
      <c r="P1371" s="344">
        <f t="shared" si="69"/>
        <v>0</v>
      </c>
      <c r="Q1371" s="321"/>
      <c r="R1371" s="672" t="b">
        <v>0</v>
      </c>
      <c r="S1371" s="318"/>
      <c r="T1371" s="319"/>
      <c r="U1371" s="315"/>
      <c r="V1371" s="162"/>
      <c r="W1371" s="149"/>
      <c r="X1371" s="163"/>
      <c r="Y1371" s="162"/>
      <c r="Z1371" s="164"/>
      <c r="AA1371" s="116"/>
      <c r="AB1371" s="116"/>
      <c r="AC1371" s="165"/>
      <c r="AD1371" s="675" t="str">
        <f t="shared" si="76"/>
        <v/>
      </c>
      <c r="AE1371" s="166"/>
      <c r="AF1371" s="149" t="b">
        <v>0</v>
      </c>
      <c r="AG1371" s="166"/>
      <c r="AH1371" s="149" t="b">
        <v>0</v>
      </c>
      <c r="AI1371" s="162"/>
      <c r="AJ1371" s="143"/>
      <c r="AK1371" s="143"/>
      <c r="AL1371" s="1112"/>
      <c r="AM1371" s="1112"/>
      <c r="AN1371" s="1112"/>
      <c r="AO1371" s="1112"/>
      <c r="AP1371" s="1112"/>
      <c r="AQ1371" s="1112"/>
    </row>
    <row r="1372" ht="22.5" customHeight="1">
      <c r="A1372" s="166"/>
      <c r="B1372" s="1111"/>
      <c r="C1372" s="524"/>
      <c r="D1372" s="1110"/>
      <c r="E1372" s="669"/>
      <c r="F1372" s="524"/>
      <c r="G1372" s="165"/>
      <c r="H1372" s="669"/>
      <c r="I1372" s="669"/>
      <c r="J1372" s="352"/>
      <c r="K1372" s="271" t="str">
        <f t="shared" si="74"/>
        <v/>
      </c>
      <c r="L1372" s="297"/>
      <c r="M1372" s="334"/>
      <c r="N1372" s="277"/>
      <c r="O1372" s="315"/>
      <c r="P1372" s="344">
        <f t="shared" si="69"/>
        <v>0</v>
      </c>
      <c r="Q1372" s="321"/>
      <c r="R1372" s="672" t="b">
        <v>0</v>
      </c>
      <c r="S1372" s="318"/>
      <c r="T1372" s="319"/>
      <c r="U1372" s="315"/>
      <c r="V1372" s="162"/>
      <c r="W1372" s="149"/>
      <c r="X1372" s="163"/>
      <c r="Y1372" s="162"/>
      <c r="Z1372" s="164"/>
      <c r="AA1372" s="116"/>
      <c r="AB1372" s="116"/>
      <c r="AC1372" s="165"/>
      <c r="AD1372" s="675" t="str">
        <f t="shared" si="76"/>
        <v/>
      </c>
      <c r="AE1372" s="166"/>
      <c r="AF1372" s="149" t="b">
        <v>0</v>
      </c>
      <c r="AG1372" s="166"/>
      <c r="AH1372" s="149" t="b">
        <v>0</v>
      </c>
      <c r="AI1372" s="162"/>
      <c r="AJ1372" s="143"/>
      <c r="AK1372" s="143"/>
      <c r="AL1372" s="1112"/>
      <c r="AM1372" s="1112"/>
      <c r="AN1372" s="1112"/>
      <c r="AO1372" s="1112"/>
      <c r="AP1372" s="1112"/>
      <c r="AQ1372" s="1112"/>
    </row>
    <row r="1373" ht="22.5" customHeight="1">
      <c r="A1373" s="166"/>
      <c r="B1373" s="1111"/>
      <c r="C1373" s="524"/>
      <c r="D1373" s="1110"/>
      <c r="E1373" s="669"/>
      <c r="F1373" s="524"/>
      <c r="G1373" s="165"/>
      <c r="H1373" s="669"/>
      <c r="I1373" s="669"/>
      <c r="J1373" s="352"/>
      <c r="K1373" s="271" t="str">
        <f t="shared" si="74"/>
        <v/>
      </c>
      <c r="L1373" s="297"/>
      <c r="M1373" s="334"/>
      <c r="N1373" s="277"/>
      <c r="O1373" s="315"/>
      <c r="P1373" s="344">
        <f t="shared" si="69"/>
        <v>0</v>
      </c>
      <c r="Q1373" s="321"/>
      <c r="R1373" s="672" t="b">
        <v>0</v>
      </c>
      <c r="S1373" s="318"/>
      <c r="T1373" s="319"/>
      <c r="U1373" s="315"/>
      <c r="V1373" s="162"/>
      <c r="W1373" s="149"/>
      <c r="X1373" s="163"/>
      <c r="Y1373" s="162"/>
      <c r="Z1373" s="164"/>
      <c r="AA1373" s="116"/>
      <c r="AB1373" s="116"/>
      <c r="AC1373" s="165"/>
      <c r="AD1373" s="675" t="str">
        <f t="shared" si="76"/>
        <v/>
      </c>
      <c r="AE1373" s="166"/>
      <c r="AF1373" s="149" t="b">
        <v>0</v>
      </c>
      <c r="AG1373" s="166"/>
      <c r="AH1373" s="149" t="b">
        <v>0</v>
      </c>
      <c r="AI1373" s="162"/>
      <c r="AJ1373" s="143"/>
      <c r="AK1373" s="143"/>
      <c r="AL1373" s="1112"/>
      <c r="AM1373" s="1112"/>
      <c r="AN1373" s="1112"/>
      <c r="AO1373" s="1112"/>
      <c r="AP1373" s="1112"/>
      <c r="AQ1373" s="1112"/>
    </row>
    <row r="1374" ht="22.5" customHeight="1">
      <c r="A1374" s="166"/>
      <c r="B1374" s="1111"/>
      <c r="C1374" s="524"/>
      <c r="D1374" s="1110"/>
      <c r="E1374" s="669"/>
      <c r="F1374" s="524"/>
      <c r="G1374" s="165"/>
      <c r="H1374" s="669"/>
      <c r="I1374" s="669"/>
      <c r="J1374" s="352"/>
      <c r="K1374" s="271" t="str">
        <f t="shared" si="74"/>
        <v/>
      </c>
      <c r="L1374" s="297"/>
      <c r="M1374" s="334"/>
      <c r="N1374" s="277"/>
      <c r="O1374" s="315"/>
      <c r="P1374" s="344">
        <f t="shared" si="69"/>
        <v>0</v>
      </c>
      <c r="Q1374" s="321"/>
      <c r="R1374" s="672" t="b">
        <v>0</v>
      </c>
      <c r="S1374" s="318"/>
      <c r="T1374" s="319"/>
      <c r="U1374" s="315"/>
      <c r="V1374" s="162"/>
      <c r="W1374" s="149"/>
      <c r="X1374" s="163"/>
      <c r="Y1374" s="162"/>
      <c r="Z1374" s="164"/>
      <c r="AA1374" s="116"/>
      <c r="AB1374" s="116"/>
      <c r="AC1374" s="165"/>
      <c r="AD1374" s="675" t="str">
        <f t="shared" si="76"/>
        <v/>
      </c>
      <c r="AE1374" s="166"/>
      <c r="AF1374" s="149" t="b">
        <v>0</v>
      </c>
      <c r="AG1374" s="166"/>
      <c r="AH1374" s="149" t="b">
        <v>0</v>
      </c>
      <c r="AI1374" s="162"/>
      <c r="AJ1374" s="143"/>
      <c r="AK1374" s="143"/>
      <c r="AL1374" s="1112"/>
      <c r="AM1374" s="1112"/>
      <c r="AN1374" s="1112"/>
      <c r="AO1374" s="1112"/>
      <c r="AP1374" s="1112"/>
      <c r="AQ1374" s="1112"/>
    </row>
    <row r="1375" ht="22.5" customHeight="1">
      <c r="A1375" s="166"/>
      <c r="B1375" s="1111"/>
      <c r="C1375" s="524"/>
      <c r="D1375" s="1110"/>
      <c r="E1375" s="669"/>
      <c r="F1375" s="524"/>
      <c r="G1375" s="165"/>
      <c r="H1375" s="669"/>
      <c r="I1375" s="669"/>
      <c r="J1375" s="352"/>
      <c r="K1375" s="271" t="str">
        <f t="shared" si="74"/>
        <v/>
      </c>
      <c r="L1375" s="297"/>
      <c r="M1375" s="334"/>
      <c r="N1375" s="277"/>
      <c r="O1375" s="315"/>
      <c r="P1375" s="344">
        <f t="shared" si="69"/>
        <v>0</v>
      </c>
      <c r="Q1375" s="321"/>
      <c r="R1375" s="672" t="b">
        <v>0</v>
      </c>
      <c r="S1375" s="318"/>
      <c r="T1375" s="319"/>
      <c r="U1375" s="315"/>
      <c r="V1375" s="162"/>
      <c r="W1375" s="149"/>
      <c r="X1375" s="163"/>
      <c r="Y1375" s="162"/>
      <c r="Z1375" s="164"/>
      <c r="AA1375" s="116"/>
      <c r="AB1375" s="116"/>
      <c r="AC1375" s="165"/>
      <c r="AD1375" s="675" t="str">
        <f t="shared" si="76"/>
        <v/>
      </c>
      <c r="AE1375" s="166"/>
      <c r="AF1375" s="149" t="b">
        <v>0</v>
      </c>
      <c r="AG1375" s="166"/>
      <c r="AH1375" s="149" t="b">
        <v>0</v>
      </c>
      <c r="AI1375" s="162"/>
      <c r="AJ1375" s="143"/>
      <c r="AK1375" s="143"/>
      <c r="AL1375" s="1112"/>
      <c r="AM1375" s="1112"/>
      <c r="AN1375" s="1112"/>
      <c r="AO1375" s="1112"/>
      <c r="AP1375" s="1112"/>
      <c r="AQ1375" s="1112"/>
    </row>
    <row r="1376" ht="22.5" customHeight="1">
      <c r="A1376" s="166"/>
      <c r="B1376" s="1111"/>
      <c r="C1376" s="524"/>
      <c r="D1376" s="1110"/>
      <c r="E1376" s="669"/>
      <c r="F1376" s="524"/>
      <c r="G1376" s="165"/>
      <c r="H1376" s="669"/>
      <c r="I1376" s="669"/>
      <c r="J1376" s="352"/>
      <c r="K1376" s="271" t="str">
        <f t="shared" si="74"/>
        <v/>
      </c>
      <c r="L1376" s="297"/>
      <c r="M1376" s="334"/>
      <c r="N1376" s="277"/>
      <c r="O1376" s="315"/>
      <c r="P1376" s="344">
        <f t="shared" si="69"/>
        <v>0</v>
      </c>
      <c r="Q1376" s="321"/>
      <c r="R1376" s="672" t="b">
        <v>0</v>
      </c>
      <c r="S1376" s="318"/>
      <c r="T1376" s="319"/>
      <c r="U1376" s="315"/>
      <c r="V1376" s="162"/>
      <c r="W1376" s="149"/>
      <c r="X1376" s="163"/>
      <c r="Y1376" s="162"/>
      <c r="Z1376" s="164"/>
      <c r="AA1376" s="116"/>
      <c r="AB1376" s="116"/>
      <c r="AC1376" s="165"/>
      <c r="AD1376" s="675" t="str">
        <f t="shared" si="76"/>
        <v/>
      </c>
      <c r="AE1376" s="166"/>
      <c r="AF1376" s="149" t="b">
        <v>0</v>
      </c>
      <c r="AG1376" s="166"/>
      <c r="AH1376" s="149" t="b">
        <v>0</v>
      </c>
      <c r="AI1376" s="162"/>
      <c r="AJ1376" s="143"/>
      <c r="AK1376" s="143"/>
      <c r="AL1376" s="1112"/>
      <c r="AM1376" s="1112"/>
      <c r="AN1376" s="1112"/>
      <c r="AO1376" s="1112"/>
      <c r="AP1376" s="1112"/>
      <c r="AQ1376" s="1112"/>
    </row>
    <row r="1377" ht="22.5" customHeight="1">
      <c r="A1377" s="166"/>
      <c r="B1377" s="1111"/>
      <c r="C1377" s="524"/>
      <c r="D1377" s="1110"/>
      <c r="E1377" s="669"/>
      <c r="F1377" s="524"/>
      <c r="G1377" s="165"/>
      <c r="H1377" s="669"/>
      <c r="I1377" s="669"/>
      <c r="J1377" s="352"/>
      <c r="K1377" s="271" t="str">
        <f t="shared" si="74"/>
        <v/>
      </c>
      <c r="L1377" s="297"/>
      <c r="M1377" s="334"/>
      <c r="N1377" s="277"/>
      <c r="O1377" s="315"/>
      <c r="P1377" s="344">
        <f t="shared" si="69"/>
        <v>0</v>
      </c>
      <c r="Q1377" s="321"/>
      <c r="R1377" s="672" t="b">
        <v>0</v>
      </c>
      <c r="S1377" s="318"/>
      <c r="T1377" s="319"/>
      <c r="U1377" s="315"/>
      <c r="V1377" s="162"/>
      <c r="W1377" s="149"/>
      <c r="X1377" s="163"/>
      <c r="Y1377" s="162"/>
      <c r="Z1377" s="164"/>
      <c r="AA1377" s="116"/>
      <c r="AB1377" s="116"/>
      <c r="AC1377" s="165"/>
      <c r="AD1377" s="675" t="str">
        <f t="shared" si="76"/>
        <v/>
      </c>
      <c r="AE1377" s="166"/>
      <c r="AF1377" s="149" t="b">
        <v>0</v>
      </c>
      <c r="AG1377" s="166"/>
      <c r="AH1377" s="149" t="b">
        <v>0</v>
      </c>
      <c r="AI1377" s="162"/>
      <c r="AJ1377" s="143"/>
      <c r="AK1377" s="143"/>
      <c r="AL1377" s="1112"/>
      <c r="AM1377" s="1112"/>
      <c r="AN1377" s="1112"/>
      <c r="AO1377" s="1112"/>
      <c r="AP1377" s="1112"/>
      <c r="AQ1377" s="1112"/>
    </row>
    <row r="1378" ht="22.5" customHeight="1">
      <c r="A1378" s="166"/>
      <c r="B1378" s="1111"/>
      <c r="C1378" s="524"/>
      <c r="D1378" s="1110"/>
      <c r="E1378" s="669"/>
      <c r="F1378" s="524"/>
      <c r="G1378" s="165"/>
      <c r="H1378" s="669"/>
      <c r="I1378" s="669"/>
      <c r="J1378" s="352"/>
      <c r="K1378" s="271" t="str">
        <f t="shared" si="74"/>
        <v/>
      </c>
      <c r="L1378" s="297"/>
      <c r="M1378" s="334"/>
      <c r="N1378" s="277"/>
      <c r="O1378" s="315"/>
      <c r="P1378" s="344">
        <f t="shared" si="69"/>
        <v>0</v>
      </c>
      <c r="Q1378" s="321"/>
      <c r="R1378" s="672" t="b">
        <v>0</v>
      </c>
      <c r="S1378" s="318"/>
      <c r="T1378" s="319"/>
      <c r="U1378" s="315"/>
      <c r="V1378" s="162"/>
      <c r="W1378" s="149"/>
      <c r="X1378" s="163"/>
      <c r="Y1378" s="162"/>
      <c r="Z1378" s="164"/>
      <c r="AA1378" s="116"/>
      <c r="AB1378" s="116"/>
      <c r="AC1378" s="165"/>
      <c r="AD1378" s="675" t="str">
        <f t="shared" si="76"/>
        <v/>
      </c>
      <c r="AE1378" s="166"/>
      <c r="AF1378" s="149" t="b">
        <v>0</v>
      </c>
      <c r="AG1378" s="166"/>
      <c r="AH1378" s="149" t="b">
        <v>0</v>
      </c>
      <c r="AI1378" s="162"/>
      <c r="AJ1378" s="143"/>
      <c r="AK1378" s="143"/>
      <c r="AL1378" s="1112"/>
      <c r="AM1378" s="1112"/>
      <c r="AN1378" s="1112"/>
      <c r="AO1378" s="1112"/>
      <c r="AP1378" s="1112"/>
      <c r="AQ1378" s="1112"/>
    </row>
    <row r="1379" ht="22.5" customHeight="1">
      <c r="A1379" s="166"/>
      <c r="B1379" s="1111"/>
      <c r="C1379" s="524"/>
      <c r="D1379" s="1110"/>
      <c r="E1379" s="669"/>
      <c r="F1379" s="524"/>
      <c r="G1379" s="165"/>
      <c r="H1379" s="669"/>
      <c r="I1379" s="669"/>
      <c r="J1379" s="352"/>
      <c r="K1379" s="271" t="str">
        <f t="shared" si="74"/>
        <v/>
      </c>
      <c r="L1379" s="297"/>
      <c r="M1379" s="334"/>
      <c r="N1379" s="277"/>
      <c r="O1379" s="315"/>
      <c r="P1379" s="344">
        <f t="shared" si="69"/>
        <v>0</v>
      </c>
      <c r="Q1379" s="321"/>
      <c r="R1379" s="672" t="b">
        <v>0</v>
      </c>
      <c r="S1379" s="318"/>
      <c r="T1379" s="319"/>
      <c r="U1379" s="315"/>
      <c r="V1379" s="162"/>
      <c r="W1379" s="149"/>
      <c r="X1379" s="163"/>
      <c r="Y1379" s="162"/>
      <c r="Z1379" s="164"/>
      <c r="AA1379" s="116"/>
      <c r="AB1379" s="116"/>
      <c r="AC1379" s="165"/>
      <c r="AD1379" s="675" t="str">
        <f t="shared" si="76"/>
        <v/>
      </c>
      <c r="AE1379" s="166"/>
      <c r="AF1379" s="149" t="b">
        <v>0</v>
      </c>
      <c r="AG1379" s="166"/>
      <c r="AH1379" s="149" t="b">
        <v>0</v>
      </c>
      <c r="AI1379" s="162"/>
      <c r="AJ1379" s="143"/>
      <c r="AK1379" s="143"/>
      <c r="AL1379" s="1112"/>
      <c r="AM1379" s="1112"/>
      <c r="AN1379" s="1112"/>
      <c r="AO1379" s="1112"/>
      <c r="AP1379" s="1112"/>
      <c r="AQ1379" s="1112"/>
    </row>
    <row r="1380" ht="22.5" customHeight="1">
      <c r="A1380" s="166"/>
      <c r="B1380" s="1111"/>
      <c r="C1380" s="524"/>
      <c r="D1380" s="1110"/>
      <c r="E1380" s="669"/>
      <c r="F1380" s="524"/>
      <c r="G1380" s="165"/>
      <c r="H1380" s="669"/>
      <c r="I1380" s="669"/>
      <c r="J1380" s="352"/>
      <c r="K1380" s="271" t="str">
        <f t="shared" si="74"/>
        <v/>
      </c>
      <c r="L1380" s="297"/>
      <c r="M1380" s="334"/>
      <c r="N1380" s="277"/>
      <c r="O1380" s="315"/>
      <c r="P1380" s="344">
        <f t="shared" si="69"/>
        <v>0</v>
      </c>
      <c r="Q1380" s="321"/>
      <c r="R1380" s="672" t="b">
        <v>0</v>
      </c>
      <c r="S1380" s="318"/>
      <c r="T1380" s="319"/>
      <c r="U1380" s="315"/>
      <c r="V1380" s="162"/>
      <c r="W1380" s="149"/>
      <c r="X1380" s="163"/>
      <c r="Y1380" s="162"/>
      <c r="Z1380" s="164"/>
      <c r="AA1380" s="116"/>
      <c r="AB1380" s="116"/>
      <c r="AC1380" s="165"/>
      <c r="AD1380" s="675" t="str">
        <f t="shared" si="76"/>
        <v/>
      </c>
      <c r="AE1380" s="166"/>
      <c r="AF1380" s="149" t="b">
        <v>0</v>
      </c>
      <c r="AG1380" s="166"/>
      <c r="AH1380" s="149" t="b">
        <v>0</v>
      </c>
      <c r="AI1380" s="162"/>
      <c r="AJ1380" s="143"/>
      <c r="AK1380" s="143"/>
      <c r="AL1380" s="1112"/>
      <c r="AM1380" s="1112"/>
      <c r="AN1380" s="1112"/>
      <c r="AO1380" s="1112"/>
      <c r="AP1380" s="1112"/>
      <c r="AQ1380" s="1112"/>
    </row>
    <row r="1381" ht="22.5" customHeight="1">
      <c r="A1381" s="166"/>
      <c r="B1381" s="1111"/>
      <c r="C1381" s="524"/>
      <c r="D1381" s="1110"/>
      <c r="E1381" s="669"/>
      <c r="F1381" s="524"/>
      <c r="G1381" s="165"/>
      <c r="H1381" s="669"/>
      <c r="I1381" s="669"/>
      <c r="J1381" s="352"/>
      <c r="K1381" s="271" t="str">
        <f t="shared" si="74"/>
        <v/>
      </c>
      <c r="L1381" s="297"/>
      <c r="M1381" s="334"/>
      <c r="N1381" s="277"/>
      <c r="O1381" s="315"/>
      <c r="P1381" s="344">
        <f t="shared" si="69"/>
        <v>0</v>
      </c>
      <c r="Q1381" s="321"/>
      <c r="R1381" s="672" t="b">
        <v>0</v>
      </c>
      <c r="S1381" s="318"/>
      <c r="T1381" s="319"/>
      <c r="U1381" s="315"/>
      <c r="V1381" s="162"/>
      <c r="W1381" s="149"/>
      <c r="X1381" s="163"/>
      <c r="Y1381" s="162"/>
      <c r="Z1381" s="164"/>
      <c r="AA1381" s="116"/>
      <c r="AB1381" s="116"/>
      <c r="AC1381" s="165"/>
      <c r="AD1381" s="675" t="str">
        <f t="shared" si="76"/>
        <v/>
      </c>
      <c r="AE1381" s="166"/>
      <c r="AF1381" s="149" t="b">
        <v>0</v>
      </c>
      <c r="AG1381" s="166"/>
      <c r="AH1381" s="149" t="b">
        <v>0</v>
      </c>
      <c r="AI1381" s="162"/>
      <c r="AJ1381" s="143"/>
      <c r="AK1381" s="143"/>
      <c r="AL1381" s="1112"/>
      <c r="AM1381" s="1112"/>
      <c r="AN1381" s="1112"/>
      <c r="AO1381" s="1112"/>
      <c r="AP1381" s="1112"/>
      <c r="AQ1381" s="1112"/>
    </row>
    <row r="1382" ht="22.5" customHeight="1">
      <c r="A1382" s="166"/>
      <c r="B1382" s="1111"/>
      <c r="C1382" s="524"/>
      <c r="D1382" s="1110"/>
      <c r="E1382" s="669"/>
      <c r="F1382" s="524"/>
      <c r="G1382" s="165"/>
      <c r="H1382" s="669"/>
      <c r="I1382" s="669"/>
      <c r="J1382" s="352"/>
      <c r="K1382" s="271" t="str">
        <f t="shared" si="74"/>
        <v/>
      </c>
      <c r="L1382" s="297"/>
      <c r="M1382" s="334"/>
      <c r="N1382" s="277"/>
      <c r="O1382" s="315"/>
      <c r="P1382" s="344">
        <f t="shared" si="69"/>
        <v>0</v>
      </c>
      <c r="Q1382" s="321"/>
      <c r="R1382" s="672" t="b">
        <v>0</v>
      </c>
      <c r="S1382" s="318"/>
      <c r="T1382" s="319"/>
      <c r="U1382" s="315"/>
      <c r="V1382" s="162"/>
      <c r="W1382" s="149"/>
      <c r="X1382" s="163"/>
      <c r="Y1382" s="162"/>
      <c r="Z1382" s="164"/>
      <c r="AA1382" s="116"/>
      <c r="AB1382" s="116"/>
      <c r="AC1382" s="165"/>
      <c r="AD1382" s="675" t="str">
        <f t="shared" si="76"/>
        <v/>
      </c>
      <c r="AE1382" s="166"/>
      <c r="AF1382" s="149" t="b">
        <v>0</v>
      </c>
      <c r="AG1382" s="166"/>
      <c r="AH1382" s="149" t="b">
        <v>0</v>
      </c>
      <c r="AI1382" s="162"/>
      <c r="AJ1382" s="143"/>
      <c r="AK1382" s="143"/>
      <c r="AL1382" s="1112"/>
      <c r="AM1382" s="1112"/>
      <c r="AN1382" s="1112"/>
      <c r="AO1382" s="1112"/>
      <c r="AP1382" s="1112"/>
      <c r="AQ1382" s="1112"/>
    </row>
    <row r="1383" ht="22.5" customHeight="1">
      <c r="A1383" s="166"/>
      <c r="B1383" s="1111"/>
      <c r="C1383" s="524"/>
      <c r="D1383" s="1110"/>
      <c r="E1383" s="669"/>
      <c r="F1383" s="524"/>
      <c r="G1383" s="165"/>
      <c r="H1383" s="669"/>
      <c r="I1383" s="669"/>
      <c r="J1383" s="352"/>
      <c r="K1383" s="271" t="str">
        <f t="shared" si="74"/>
        <v/>
      </c>
      <c r="L1383" s="297"/>
      <c r="M1383" s="334"/>
      <c r="N1383" s="277"/>
      <c r="O1383" s="315"/>
      <c r="P1383" s="344">
        <f t="shared" si="69"/>
        <v>0</v>
      </c>
      <c r="Q1383" s="321"/>
      <c r="R1383" s="672" t="b">
        <v>0</v>
      </c>
      <c r="S1383" s="318"/>
      <c r="T1383" s="319"/>
      <c r="U1383" s="315"/>
      <c r="V1383" s="162"/>
      <c r="W1383" s="149"/>
      <c r="X1383" s="163"/>
      <c r="Y1383" s="162"/>
      <c r="Z1383" s="164"/>
      <c r="AA1383" s="116"/>
      <c r="AB1383" s="116"/>
      <c r="AC1383" s="165"/>
      <c r="AD1383" s="675" t="str">
        <f t="shared" si="76"/>
        <v/>
      </c>
      <c r="AE1383" s="166"/>
      <c r="AF1383" s="149" t="b">
        <v>0</v>
      </c>
      <c r="AG1383" s="166"/>
      <c r="AH1383" s="149" t="b">
        <v>0</v>
      </c>
      <c r="AI1383" s="162"/>
      <c r="AJ1383" s="143"/>
      <c r="AK1383" s="143"/>
      <c r="AL1383" s="1112"/>
      <c r="AM1383" s="1112"/>
      <c r="AN1383" s="1112"/>
      <c r="AO1383" s="1112"/>
      <c r="AP1383" s="1112"/>
      <c r="AQ1383" s="1112"/>
    </row>
    <row r="1384" ht="22.5" customHeight="1">
      <c r="A1384" s="166"/>
      <c r="B1384" s="1111"/>
      <c r="C1384" s="524"/>
      <c r="D1384" s="1110"/>
      <c r="E1384" s="669"/>
      <c r="F1384" s="524"/>
      <c r="G1384" s="165"/>
      <c r="H1384" s="669"/>
      <c r="I1384" s="669"/>
      <c r="J1384" s="352"/>
      <c r="K1384" s="271" t="str">
        <f t="shared" si="74"/>
        <v/>
      </c>
      <c r="L1384" s="297"/>
      <c r="M1384" s="334"/>
      <c r="N1384" s="277"/>
      <c r="O1384" s="315"/>
      <c r="P1384" s="344">
        <f t="shared" si="69"/>
        <v>0</v>
      </c>
      <c r="Q1384" s="321"/>
      <c r="R1384" s="672" t="b">
        <v>0</v>
      </c>
      <c r="S1384" s="318"/>
      <c r="T1384" s="319"/>
      <c r="U1384" s="315"/>
      <c r="V1384" s="162"/>
      <c r="W1384" s="149"/>
      <c r="X1384" s="163"/>
      <c r="Y1384" s="162"/>
      <c r="Z1384" s="164"/>
      <c r="AA1384" s="116"/>
      <c r="AB1384" s="116"/>
      <c r="AC1384" s="165"/>
      <c r="AD1384" s="675" t="str">
        <f t="shared" si="76"/>
        <v/>
      </c>
      <c r="AE1384" s="166"/>
      <c r="AF1384" s="149" t="b">
        <v>0</v>
      </c>
      <c r="AG1384" s="166"/>
      <c r="AH1384" s="149" t="b">
        <v>0</v>
      </c>
      <c r="AI1384" s="162"/>
      <c r="AJ1384" s="143"/>
      <c r="AK1384" s="143"/>
      <c r="AL1384" s="1112"/>
      <c r="AM1384" s="1112"/>
      <c r="AN1384" s="1112"/>
      <c r="AO1384" s="1112"/>
      <c r="AP1384" s="1112"/>
      <c r="AQ1384" s="1112"/>
    </row>
    <row r="1385" ht="22.5" customHeight="1">
      <c r="A1385" s="166"/>
      <c r="B1385" s="1111"/>
      <c r="C1385" s="524"/>
      <c r="D1385" s="1110"/>
      <c r="E1385" s="669"/>
      <c r="F1385" s="524"/>
      <c r="G1385" s="165"/>
      <c r="H1385" s="669"/>
      <c r="I1385" s="669"/>
      <c r="J1385" s="352"/>
      <c r="K1385" s="271" t="str">
        <f t="shared" si="74"/>
        <v/>
      </c>
      <c r="L1385" s="297"/>
      <c r="M1385" s="334"/>
      <c r="N1385" s="277"/>
      <c r="O1385" s="315"/>
      <c r="P1385" s="344">
        <f t="shared" si="69"/>
        <v>0</v>
      </c>
      <c r="Q1385" s="321"/>
      <c r="R1385" s="672" t="b">
        <v>0</v>
      </c>
      <c r="S1385" s="318"/>
      <c r="T1385" s="319"/>
      <c r="U1385" s="315"/>
      <c r="V1385" s="162"/>
      <c r="W1385" s="149"/>
      <c r="X1385" s="163"/>
      <c r="Y1385" s="162"/>
      <c r="Z1385" s="164"/>
      <c r="AA1385" s="116"/>
      <c r="AB1385" s="116"/>
      <c r="AC1385" s="165"/>
      <c r="AD1385" s="675" t="str">
        <f t="shared" si="76"/>
        <v/>
      </c>
      <c r="AE1385" s="166"/>
      <c r="AF1385" s="149" t="b">
        <v>0</v>
      </c>
      <c r="AG1385" s="166"/>
      <c r="AH1385" s="149" t="b">
        <v>0</v>
      </c>
      <c r="AI1385" s="162"/>
      <c r="AJ1385" s="143"/>
      <c r="AK1385" s="143"/>
      <c r="AL1385" s="1112"/>
      <c r="AM1385" s="1112"/>
      <c r="AN1385" s="1112"/>
      <c r="AO1385" s="1112"/>
      <c r="AP1385" s="1112"/>
      <c r="AQ1385" s="1112"/>
    </row>
    <row r="1386" ht="22.5" customHeight="1">
      <c r="A1386" s="166"/>
      <c r="B1386" s="1111"/>
      <c r="C1386" s="524"/>
      <c r="D1386" s="1110"/>
      <c r="E1386" s="669"/>
      <c r="F1386" s="524"/>
      <c r="G1386" s="165"/>
      <c r="H1386" s="669"/>
      <c r="I1386" s="669"/>
      <c r="J1386" s="352"/>
      <c r="K1386" s="271" t="str">
        <f t="shared" si="74"/>
        <v/>
      </c>
      <c r="L1386" s="297"/>
      <c r="M1386" s="334"/>
      <c r="N1386" s="277"/>
      <c r="O1386" s="315"/>
      <c r="P1386" s="344">
        <f t="shared" si="69"/>
        <v>0</v>
      </c>
      <c r="Q1386" s="321"/>
      <c r="R1386" s="672" t="b">
        <v>0</v>
      </c>
      <c r="S1386" s="318"/>
      <c r="T1386" s="319"/>
      <c r="U1386" s="315"/>
      <c r="V1386" s="162"/>
      <c r="W1386" s="149"/>
      <c r="X1386" s="163"/>
      <c r="Y1386" s="162"/>
      <c r="Z1386" s="164"/>
      <c r="AA1386" s="116"/>
      <c r="AB1386" s="116"/>
      <c r="AC1386" s="165"/>
      <c r="AD1386" s="675" t="str">
        <f t="shared" si="76"/>
        <v/>
      </c>
      <c r="AE1386" s="166"/>
      <c r="AF1386" s="149" t="b">
        <v>0</v>
      </c>
      <c r="AG1386" s="166"/>
      <c r="AH1386" s="149" t="b">
        <v>0</v>
      </c>
      <c r="AI1386" s="162"/>
      <c r="AJ1386" s="143"/>
      <c r="AK1386" s="143"/>
      <c r="AL1386" s="1112"/>
      <c r="AM1386" s="1112"/>
      <c r="AN1386" s="1112"/>
      <c r="AO1386" s="1112"/>
      <c r="AP1386" s="1112"/>
      <c r="AQ1386" s="1112"/>
    </row>
    <row r="1387" ht="22.5" customHeight="1">
      <c r="A1387" s="166"/>
      <c r="B1387" s="1111"/>
      <c r="C1387" s="524"/>
      <c r="D1387" s="1110"/>
      <c r="E1387" s="669"/>
      <c r="F1387" s="524"/>
      <c r="G1387" s="165"/>
      <c r="H1387" s="669"/>
      <c r="I1387" s="669"/>
      <c r="J1387" s="352"/>
      <c r="K1387" s="271" t="str">
        <f t="shared" si="74"/>
        <v/>
      </c>
      <c r="L1387" s="297"/>
      <c r="M1387" s="334"/>
      <c r="N1387" s="277"/>
      <c r="O1387" s="315"/>
      <c r="P1387" s="344">
        <f t="shared" si="69"/>
        <v>0</v>
      </c>
      <c r="Q1387" s="321"/>
      <c r="R1387" s="672" t="b">
        <v>0</v>
      </c>
      <c r="S1387" s="318"/>
      <c r="T1387" s="319"/>
      <c r="U1387" s="315"/>
      <c r="V1387" s="162"/>
      <c r="W1387" s="149"/>
      <c r="X1387" s="163"/>
      <c r="Y1387" s="162"/>
      <c r="Z1387" s="164"/>
      <c r="AA1387" s="116"/>
      <c r="AB1387" s="116"/>
      <c r="AC1387" s="165"/>
      <c r="AD1387" s="675" t="str">
        <f t="shared" si="76"/>
        <v/>
      </c>
      <c r="AE1387" s="166"/>
      <c r="AF1387" s="149" t="b">
        <v>0</v>
      </c>
      <c r="AG1387" s="166"/>
      <c r="AH1387" s="149" t="b">
        <v>0</v>
      </c>
      <c r="AI1387" s="162"/>
      <c r="AJ1387" s="143"/>
      <c r="AK1387" s="143"/>
      <c r="AL1387" s="1112"/>
      <c r="AM1387" s="1112"/>
      <c r="AN1387" s="1112"/>
      <c r="AO1387" s="1112"/>
      <c r="AP1387" s="1112"/>
      <c r="AQ1387" s="1112"/>
    </row>
    <row r="1388" ht="22.5" customHeight="1">
      <c r="A1388" s="166"/>
      <c r="B1388" s="1111"/>
      <c r="C1388" s="524"/>
      <c r="D1388" s="1110"/>
      <c r="E1388" s="669"/>
      <c r="F1388" s="524"/>
      <c r="G1388" s="165"/>
      <c r="H1388" s="669"/>
      <c r="I1388" s="669"/>
      <c r="J1388" s="352"/>
      <c r="K1388" s="271" t="str">
        <f t="shared" si="74"/>
        <v/>
      </c>
      <c r="L1388" s="297"/>
      <c r="M1388" s="334"/>
      <c r="N1388" s="277"/>
      <c r="O1388" s="315"/>
      <c r="P1388" s="344">
        <f t="shared" si="69"/>
        <v>0</v>
      </c>
      <c r="Q1388" s="321"/>
      <c r="R1388" s="672" t="b">
        <v>0</v>
      </c>
      <c r="S1388" s="318"/>
      <c r="T1388" s="319"/>
      <c r="U1388" s="315"/>
      <c r="V1388" s="162"/>
      <c r="W1388" s="149"/>
      <c r="X1388" s="163"/>
      <c r="Y1388" s="162"/>
      <c r="Z1388" s="164"/>
      <c r="AA1388" s="116"/>
      <c r="AB1388" s="116"/>
      <c r="AC1388" s="165"/>
      <c r="AD1388" s="675" t="str">
        <f t="shared" si="76"/>
        <v/>
      </c>
      <c r="AE1388" s="166"/>
      <c r="AF1388" s="149" t="b">
        <v>0</v>
      </c>
      <c r="AG1388" s="166"/>
      <c r="AH1388" s="149" t="b">
        <v>0</v>
      </c>
      <c r="AI1388" s="162"/>
      <c r="AJ1388" s="143"/>
      <c r="AK1388" s="143"/>
      <c r="AL1388" s="1112"/>
      <c r="AM1388" s="1112"/>
      <c r="AN1388" s="1112"/>
      <c r="AO1388" s="1112"/>
      <c r="AP1388" s="1112"/>
      <c r="AQ1388" s="1112"/>
    </row>
    <row r="1389" ht="22.5" customHeight="1">
      <c r="A1389" s="166"/>
      <c r="B1389" s="1111"/>
      <c r="C1389" s="524"/>
      <c r="D1389" s="1110"/>
      <c r="E1389" s="669"/>
      <c r="F1389" s="524"/>
      <c r="G1389" s="165"/>
      <c r="H1389" s="669"/>
      <c r="I1389" s="669"/>
      <c r="J1389" s="352"/>
      <c r="K1389" s="271" t="str">
        <f t="shared" si="74"/>
        <v/>
      </c>
      <c r="L1389" s="297"/>
      <c r="M1389" s="334"/>
      <c r="N1389" s="277"/>
      <c r="O1389" s="315"/>
      <c r="P1389" s="344">
        <f t="shared" si="69"/>
        <v>0</v>
      </c>
      <c r="Q1389" s="321"/>
      <c r="R1389" s="672" t="b">
        <v>0</v>
      </c>
      <c r="S1389" s="318"/>
      <c r="T1389" s="319"/>
      <c r="U1389" s="315"/>
      <c r="V1389" s="162"/>
      <c r="W1389" s="149"/>
      <c r="X1389" s="163"/>
      <c r="Y1389" s="162"/>
      <c r="Z1389" s="164"/>
      <c r="AA1389" s="116"/>
      <c r="AB1389" s="116"/>
      <c r="AC1389" s="165"/>
      <c r="AD1389" s="675" t="str">
        <f t="shared" si="76"/>
        <v/>
      </c>
      <c r="AE1389" s="166"/>
      <c r="AF1389" s="149" t="b">
        <v>0</v>
      </c>
      <c r="AG1389" s="166"/>
      <c r="AH1389" s="149" t="b">
        <v>0</v>
      </c>
      <c r="AI1389" s="162"/>
      <c r="AJ1389" s="143"/>
      <c r="AK1389" s="143"/>
      <c r="AL1389" s="1112"/>
      <c r="AM1389" s="1112"/>
      <c r="AN1389" s="1112"/>
      <c r="AO1389" s="1112"/>
      <c r="AP1389" s="1112"/>
      <c r="AQ1389" s="1112"/>
    </row>
    <row r="1390" ht="22.5" customHeight="1">
      <c r="A1390" s="166"/>
      <c r="B1390" s="1111"/>
      <c r="C1390" s="524"/>
      <c r="D1390" s="1110"/>
      <c r="E1390" s="669"/>
      <c r="F1390" s="524"/>
      <c r="G1390" s="165"/>
      <c r="H1390" s="669"/>
      <c r="I1390" s="669"/>
      <c r="J1390" s="352"/>
      <c r="K1390" s="271" t="str">
        <f t="shared" si="74"/>
        <v/>
      </c>
      <c r="L1390" s="297"/>
      <c r="M1390" s="334"/>
      <c r="N1390" s="277"/>
      <c r="O1390" s="315"/>
      <c r="P1390" s="344">
        <f t="shared" si="69"/>
        <v>0</v>
      </c>
      <c r="Q1390" s="321"/>
      <c r="R1390" s="672" t="b">
        <v>0</v>
      </c>
      <c r="S1390" s="318"/>
      <c r="T1390" s="319"/>
      <c r="U1390" s="315"/>
      <c r="V1390" s="162"/>
      <c r="W1390" s="149"/>
      <c r="X1390" s="163"/>
      <c r="Y1390" s="162"/>
      <c r="Z1390" s="164"/>
      <c r="AA1390" s="116"/>
      <c r="AB1390" s="116"/>
      <c r="AC1390" s="165"/>
      <c r="AD1390" s="675" t="str">
        <f t="shared" si="76"/>
        <v/>
      </c>
      <c r="AE1390" s="166"/>
      <c r="AF1390" s="149" t="b">
        <v>0</v>
      </c>
      <c r="AG1390" s="166"/>
      <c r="AH1390" s="149" t="b">
        <v>0</v>
      </c>
      <c r="AI1390" s="162"/>
      <c r="AJ1390" s="143"/>
      <c r="AK1390" s="143"/>
      <c r="AL1390" s="1112"/>
      <c r="AM1390" s="1112"/>
      <c r="AN1390" s="1112"/>
      <c r="AO1390" s="1112"/>
      <c r="AP1390" s="1112"/>
      <c r="AQ1390" s="1112"/>
    </row>
    <row r="1391" ht="22.5" customHeight="1">
      <c r="A1391" s="166"/>
      <c r="B1391" s="1111"/>
      <c r="C1391" s="524"/>
      <c r="D1391" s="1110"/>
      <c r="E1391" s="669"/>
      <c r="F1391" s="524"/>
      <c r="G1391" s="165"/>
      <c r="H1391" s="669"/>
      <c r="I1391" s="669"/>
      <c r="J1391" s="352"/>
      <c r="K1391" s="271" t="str">
        <f t="shared" si="74"/>
        <v/>
      </c>
      <c r="L1391" s="297"/>
      <c r="M1391" s="334"/>
      <c r="N1391" s="277"/>
      <c r="O1391" s="315"/>
      <c r="P1391" s="344">
        <f t="shared" si="69"/>
        <v>0</v>
      </c>
      <c r="Q1391" s="321"/>
      <c r="R1391" s="672" t="b">
        <v>0</v>
      </c>
      <c r="S1391" s="318"/>
      <c r="T1391" s="319"/>
      <c r="U1391" s="315"/>
      <c r="V1391" s="162"/>
      <c r="W1391" s="149"/>
      <c r="X1391" s="163"/>
      <c r="Y1391" s="162"/>
      <c r="Z1391" s="164"/>
      <c r="AA1391" s="116"/>
      <c r="AB1391" s="116"/>
      <c r="AC1391" s="165"/>
      <c r="AD1391" s="675" t="str">
        <f t="shared" si="76"/>
        <v/>
      </c>
      <c r="AE1391" s="166"/>
      <c r="AF1391" s="149" t="b">
        <v>0</v>
      </c>
      <c r="AG1391" s="166"/>
      <c r="AH1391" s="149" t="b">
        <v>0</v>
      </c>
      <c r="AI1391" s="162"/>
      <c r="AJ1391" s="143"/>
      <c r="AK1391" s="143"/>
      <c r="AL1391" s="1112"/>
      <c r="AM1391" s="1112"/>
      <c r="AN1391" s="1112"/>
      <c r="AO1391" s="1112"/>
      <c r="AP1391" s="1112"/>
      <c r="AQ1391" s="1112"/>
    </row>
    <row r="1392" ht="22.5" customHeight="1">
      <c r="A1392" s="166"/>
      <c r="B1392" s="1111"/>
      <c r="C1392" s="524"/>
      <c r="D1392" s="1110"/>
      <c r="E1392" s="669"/>
      <c r="F1392" s="524"/>
      <c r="G1392" s="165"/>
      <c r="H1392" s="669"/>
      <c r="I1392" s="669"/>
      <c r="J1392" s="352"/>
      <c r="K1392" s="271" t="str">
        <f t="shared" si="74"/>
        <v/>
      </c>
      <c r="L1392" s="297"/>
      <c r="M1392" s="334"/>
      <c r="N1392" s="277"/>
      <c r="O1392" s="315"/>
      <c r="P1392" s="344">
        <f t="shared" si="69"/>
        <v>0</v>
      </c>
      <c r="Q1392" s="321"/>
      <c r="R1392" s="672" t="b">
        <v>0</v>
      </c>
      <c r="S1392" s="318"/>
      <c r="T1392" s="319"/>
      <c r="U1392" s="315"/>
      <c r="V1392" s="162"/>
      <c r="W1392" s="149"/>
      <c r="X1392" s="163"/>
      <c r="Y1392" s="162"/>
      <c r="Z1392" s="164"/>
      <c r="AA1392" s="116"/>
      <c r="AB1392" s="116"/>
      <c r="AC1392" s="165"/>
      <c r="AD1392" s="675" t="str">
        <f t="shared" si="76"/>
        <v/>
      </c>
      <c r="AE1392" s="166"/>
      <c r="AF1392" s="149" t="b">
        <v>0</v>
      </c>
      <c r="AG1392" s="166"/>
      <c r="AH1392" s="149" t="b">
        <v>0</v>
      </c>
      <c r="AI1392" s="162"/>
      <c r="AJ1392" s="143"/>
      <c r="AK1392" s="143"/>
      <c r="AL1392" s="1112"/>
      <c r="AM1392" s="1112"/>
      <c r="AN1392" s="1112"/>
      <c r="AO1392" s="1112"/>
      <c r="AP1392" s="1112"/>
      <c r="AQ1392" s="1112"/>
    </row>
    <row r="1393" ht="22.5" customHeight="1">
      <c r="A1393" s="166"/>
      <c r="B1393" s="1111"/>
      <c r="C1393" s="524"/>
      <c r="D1393" s="1110"/>
      <c r="E1393" s="669"/>
      <c r="F1393" s="524"/>
      <c r="G1393" s="165"/>
      <c r="H1393" s="669"/>
      <c r="I1393" s="669"/>
      <c r="J1393" s="352"/>
      <c r="K1393" s="271" t="str">
        <f t="shared" si="74"/>
        <v/>
      </c>
      <c r="L1393" s="297"/>
      <c r="M1393" s="334"/>
      <c r="N1393" s="277"/>
      <c r="O1393" s="315"/>
      <c r="P1393" s="344">
        <f t="shared" si="69"/>
        <v>0</v>
      </c>
      <c r="Q1393" s="321"/>
      <c r="R1393" s="672" t="b">
        <v>0</v>
      </c>
      <c r="S1393" s="318"/>
      <c r="T1393" s="319"/>
      <c r="U1393" s="315"/>
      <c r="V1393" s="162"/>
      <c r="W1393" s="149"/>
      <c r="X1393" s="163"/>
      <c r="Y1393" s="162"/>
      <c r="Z1393" s="164"/>
      <c r="AA1393" s="116"/>
      <c r="AB1393" s="116"/>
      <c r="AC1393" s="165"/>
      <c r="AD1393" s="675" t="str">
        <f t="shared" si="76"/>
        <v/>
      </c>
      <c r="AE1393" s="166"/>
      <c r="AF1393" s="149" t="b">
        <v>0</v>
      </c>
      <c r="AG1393" s="166"/>
      <c r="AH1393" s="149" t="b">
        <v>0</v>
      </c>
      <c r="AI1393" s="162"/>
      <c r="AJ1393" s="143"/>
      <c r="AK1393" s="143"/>
      <c r="AL1393" s="1112"/>
      <c r="AM1393" s="1112"/>
      <c r="AN1393" s="1112"/>
      <c r="AO1393" s="1112"/>
      <c r="AP1393" s="1112"/>
      <c r="AQ1393" s="1112"/>
    </row>
    <row r="1394" ht="22.5" customHeight="1">
      <c r="A1394" s="166"/>
      <c r="B1394" s="1111"/>
      <c r="C1394" s="524"/>
      <c r="D1394" s="1110"/>
      <c r="E1394" s="669"/>
      <c r="F1394" s="524"/>
      <c r="G1394" s="165"/>
      <c r="H1394" s="669"/>
      <c r="I1394" s="669"/>
      <c r="J1394" s="352"/>
      <c r="K1394" s="271" t="str">
        <f t="shared" si="74"/>
        <v/>
      </c>
      <c r="L1394" s="297"/>
      <c r="M1394" s="334"/>
      <c r="N1394" s="277"/>
      <c r="O1394" s="315"/>
      <c r="P1394" s="344">
        <f t="shared" si="69"/>
        <v>0</v>
      </c>
      <c r="Q1394" s="321"/>
      <c r="R1394" s="672" t="b">
        <v>0</v>
      </c>
      <c r="S1394" s="318"/>
      <c r="T1394" s="319"/>
      <c r="U1394" s="315"/>
      <c r="V1394" s="162"/>
      <c r="W1394" s="149"/>
      <c r="X1394" s="163"/>
      <c r="Y1394" s="162"/>
      <c r="Z1394" s="164"/>
      <c r="AA1394" s="116"/>
      <c r="AB1394" s="116"/>
      <c r="AC1394" s="165"/>
      <c r="AD1394" s="675" t="str">
        <f t="shared" si="76"/>
        <v/>
      </c>
      <c r="AE1394" s="166"/>
      <c r="AF1394" s="149" t="b">
        <v>0</v>
      </c>
      <c r="AG1394" s="166"/>
      <c r="AH1394" s="149" t="b">
        <v>0</v>
      </c>
      <c r="AI1394" s="162"/>
      <c r="AJ1394" s="143"/>
      <c r="AK1394" s="143"/>
      <c r="AL1394" s="1112"/>
      <c r="AM1394" s="1112"/>
      <c r="AN1394" s="1112"/>
      <c r="AO1394" s="1112"/>
      <c r="AP1394" s="1112"/>
      <c r="AQ1394" s="1112"/>
    </row>
    <row r="1395" ht="22.5" customHeight="1">
      <c r="A1395" s="166"/>
      <c r="B1395" s="1111"/>
      <c r="C1395" s="524"/>
      <c r="D1395" s="1110"/>
      <c r="E1395" s="669"/>
      <c r="F1395" s="524"/>
      <c r="G1395" s="165"/>
      <c r="H1395" s="669"/>
      <c r="I1395" s="669"/>
      <c r="J1395" s="352"/>
      <c r="K1395" s="271" t="str">
        <f t="shared" si="74"/>
        <v/>
      </c>
      <c r="L1395" s="297"/>
      <c r="M1395" s="334"/>
      <c r="N1395" s="277"/>
      <c r="O1395" s="315"/>
      <c r="P1395" s="344">
        <f t="shared" si="69"/>
        <v>0</v>
      </c>
      <c r="Q1395" s="321"/>
      <c r="R1395" s="672" t="b">
        <v>0</v>
      </c>
      <c r="S1395" s="318"/>
      <c r="T1395" s="319"/>
      <c r="U1395" s="315"/>
      <c r="V1395" s="162"/>
      <c r="W1395" s="149"/>
      <c r="X1395" s="163"/>
      <c r="Y1395" s="162"/>
      <c r="Z1395" s="164"/>
      <c r="AA1395" s="116"/>
      <c r="AB1395" s="116"/>
      <c r="AC1395" s="165"/>
      <c r="AD1395" s="675" t="str">
        <f t="shared" si="76"/>
        <v/>
      </c>
      <c r="AE1395" s="166"/>
      <c r="AF1395" s="149" t="b">
        <v>0</v>
      </c>
      <c r="AG1395" s="166"/>
      <c r="AH1395" s="149" t="b">
        <v>0</v>
      </c>
      <c r="AI1395" s="162"/>
      <c r="AJ1395" s="143"/>
      <c r="AK1395" s="143"/>
      <c r="AL1395" s="1112"/>
      <c r="AM1395" s="1112"/>
      <c r="AN1395" s="1112"/>
      <c r="AO1395" s="1112"/>
      <c r="AP1395" s="1112"/>
      <c r="AQ1395" s="1112"/>
    </row>
    <row r="1396" ht="22.5" customHeight="1">
      <c r="A1396" s="166"/>
      <c r="B1396" s="1111"/>
      <c r="C1396" s="524"/>
      <c r="D1396" s="1110"/>
      <c r="E1396" s="669"/>
      <c r="F1396" s="524"/>
      <c r="G1396" s="165"/>
      <c r="H1396" s="669"/>
      <c r="I1396" s="669"/>
      <c r="J1396" s="352"/>
      <c r="K1396" s="271" t="str">
        <f t="shared" si="74"/>
        <v/>
      </c>
      <c r="L1396" s="297"/>
      <c r="M1396" s="334"/>
      <c r="N1396" s="277"/>
      <c r="O1396" s="315"/>
      <c r="P1396" s="344">
        <f t="shared" si="69"/>
        <v>0</v>
      </c>
      <c r="Q1396" s="321"/>
      <c r="R1396" s="672" t="b">
        <v>0</v>
      </c>
      <c r="S1396" s="318"/>
      <c r="T1396" s="319"/>
      <c r="U1396" s="315"/>
      <c r="V1396" s="162"/>
      <c r="W1396" s="149"/>
      <c r="X1396" s="163"/>
      <c r="Y1396" s="162"/>
      <c r="Z1396" s="164"/>
      <c r="AA1396" s="116"/>
      <c r="AB1396" s="116"/>
      <c r="AC1396" s="165"/>
      <c r="AD1396" s="675" t="str">
        <f t="shared" si="76"/>
        <v/>
      </c>
      <c r="AE1396" s="166"/>
      <c r="AF1396" s="149" t="b">
        <v>0</v>
      </c>
      <c r="AG1396" s="166"/>
      <c r="AH1396" s="149" t="b">
        <v>0</v>
      </c>
      <c r="AI1396" s="162"/>
      <c r="AJ1396" s="143"/>
      <c r="AK1396" s="143"/>
      <c r="AL1396" s="1112"/>
      <c r="AM1396" s="1112"/>
      <c r="AN1396" s="1112"/>
      <c r="AO1396" s="1112"/>
      <c r="AP1396" s="1112"/>
      <c r="AQ1396" s="1112"/>
    </row>
    <row r="1397" ht="22.5" customHeight="1">
      <c r="A1397" s="166"/>
      <c r="B1397" s="1111"/>
      <c r="C1397" s="524"/>
      <c r="D1397" s="1110"/>
      <c r="E1397" s="669"/>
      <c r="F1397" s="524"/>
      <c r="G1397" s="165"/>
      <c r="H1397" s="669"/>
      <c r="I1397" s="669"/>
      <c r="J1397" s="352"/>
      <c r="K1397" s="271" t="str">
        <f t="shared" si="74"/>
        <v/>
      </c>
      <c r="L1397" s="297"/>
      <c r="M1397" s="334"/>
      <c r="N1397" s="277"/>
      <c r="O1397" s="315"/>
      <c r="P1397" s="344">
        <f t="shared" si="69"/>
        <v>0</v>
      </c>
      <c r="Q1397" s="321"/>
      <c r="R1397" s="672" t="b">
        <v>0</v>
      </c>
      <c r="S1397" s="318"/>
      <c r="T1397" s="319"/>
      <c r="U1397" s="315"/>
      <c r="V1397" s="162"/>
      <c r="W1397" s="149"/>
      <c r="X1397" s="163"/>
      <c r="Y1397" s="162"/>
      <c r="Z1397" s="164"/>
      <c r="AA1397" s="116"/>
      <c r="AB1397" s="116"/>
      <c r="AC1397" s="165"/>
      <c r="AD1397" s="675" t="str">
        <f t="shared" si="76"/>
        <v/>
      </c>
      <c r="AE1397" s="166"/>
      <c r="AF1397" s="149" t="b">
        <v>0</v>
      </c>
      <c r="AG1397" s="166"/>
      <c r="AH1397" s="149" t="b">
        <v>0</v>
      </c>
      <c r="AI1397" s="162"/>
      <c r="AJ1397" s="143"/>
      <c r="AK1397" s="143"/>
      <c r="AL1397" s="1112"/>
      <c r="AM1397" s="1112"/>
      <c r="AN1397" s="1112"/>
      <c r="AO1397" s="1112"/>
      <c r="AP1397" s="1112"/>
      <c r="AQ1397" s="1112"/>
    </row>
    <row r="1398" ht="22.5" customHeight="1">
      <c r="A1398" s="166"/>
      <c r="B1398" s="1111"/>
      <c r="C1398" s="524"/>
      <c r="D1398" s="1110"/>
      <c r="E1398" s="669"/>
      <c r="F1398" s="524"/>
      <c r="G1398" s="165"/>
      <c r="H1398" s="669"/>
      <c r="I1398" s="669"/>
      <c r="J1398" s="352"/>
      <c r="K1398" s="271" t="str">
        <f t="shared" si="74"/>
        <v/>
      </c>
      <c r="L1398" s="297"/>
      <c r="M1398" s="334"/>
      <c r="N1398" s="277"/>
      <c r="O1398" s="315"/>
      <c r="P1398" s="344">
        <f t="shared" si="69"/>
        <v>0</v>
      </c>
      <c r="Q1398" s="321"/>
      <c r="R1398" s="672" t="b">
        <v>0</v>
      </c>
      <c r="S1398" s="318"/>
      <c r="T1398" s="319"/>
      <c r="U1398" s="315"/>
      <c r="V1398" s="162"/>
      <c r="W1398" s="149"/>
      <c r="X1398" s="163"/>
      <c r="Y1398" s="162"/>
      <c r="Z1398" s="164"/>
      <c r="AA1398" s="116"/>
      <c r="AB1398" s="116"/>
      <c r="AC1398" s="165"/>
      <c r="AD1398" s="675" t="str">
        <f t="shared" si="76"/>
        <v/>
      </c>
      <c r="AE1398" s="166"/>
      <c r="AF1398" s="149" t="b">
        <v>0</v>
      </c>
      <c r="AG1398" s="166"/>
      <c r="AH1398" s="149" t="b">
        <v>0</v>
      </c>
      <c r="AI1398" s="162"/>
      <c r="AJ1398" s="143"/>
      <c r="AK1398" s="143"/>
      <c r="AL1398" s="1112"/>
      <c r="AM1398" s="1112"/>
      <c r="AN1398" s="1112"/>
      <c r="AO1398" s="1112"/>
      <c r="AP1398" s="1112"/>
      <c r="AQ1398" s="1112"/>
    </row>
    <row r="1399" ht="22.5" customHeight="1">
      <c r="A1399" s="166"/>
      <c r="B1399" s="1111"/>
      <c r="C1399" s="524"/>
      <c r="D1399" s="1110"/>
      <c r="E1399" s="669"/>
      <c r="F1399" s="524"/>
      <c r="G1399" s="165"/>
      <c r="H1399" s="669"/>
      <c r="I1399" s="669"/>
      <c r="J1399" s="352"/>
      <c r="K1399" s="271" t="str">
        <f t="shared" si="74"/>
        <v/>
      </c>
      <c r="L1399" s="297"/>
      <c r="M1399" s="334"/>
      <c r="N1399" s="277"/>
      <c r="O1399" s="315"/>
      <c r="P1399" s="344">
        <f t="shared" si="69"/>
        <v>0</v>
      </c>
      <c r="Q1399" s="321"/>
      <c r="R1399" s="672" t="b">
        <v>0</v>
      </c>
      <c r="S1399" s="318"/>
      <c r="T1399" s="319"/>
      <c r="U1399" s="315"/>
      <c r="V1399" s="162"/>
      <c r="W1399" s="149"/>
      <c r="X1399" s="163"/>
      <c r="Y1399" s="162"/>
      <c r="Z1399" s="164"/>
      <c r="AA1399" s="116"/>
      <c r="AB1399" s="116"/>
      <c r="AC1399" s="165"/>
      <c r="AD1399" s="675" t="str">
        <f t="shared" si="76"/>
        <v/>
      </c>
      <c r="AE1399" s="166"/>
      <c r="AF1399" s="149" t="b">
        <v>0</v>
      </c>
      <c r="AG1399" s="166"/>
      <c r="AH1399" s="149" t="b">
        <v>0</v>
      </c>
      <c r="AI1399" s="162"/>
      <c r="AJ1399" s="143"/>
      <c r="AK1399" s="143"/>
      <c r="AL1399" s="1112"/>
      <c r="AM1399" s="1112"/>
      <c r="AN1399" s="1112"/>
      <c r="AO1399" s="1112"/>
      <c r="AP1399" s="1112"/>
      <c r="AQ1399" s="1112"/>
    </row>
    <row r="1400" ht="22.5" customHeight="1">
      <c r="A1400" s="166"/>
      <c r="B1400" s="1111"/>
      <c r="C1400" s="524"/>
      <c r="D1400" s="1110"/>
      <c r="E1400" s="669"/>
      <c r="F1400" s="524"/>
      <c r="G1400" s="165"/>
      <c r="H1400" s="669"/>
      <c r="I1400" s="669"/>
      <c r="J1400" s="352"/>
      <c r="K1400" s="271" t="str">
        <f t="shared" si="74"/>
        <v/>
      </c>
      <c r="L1400" s="297"/>
      <c r="M1400" s="334"/>
      <c r="N1400" s="277"/>
      <c r="O1400" s="315"/>
      <c r="P1400" s="344">
        <f t="shared" si="69"/>
        <v>0</v>
      </c>
      <c r="Q1400" s="321"/>
      <c r="R1400" s="672" t="b">
        <v>0</v>
      </c>
      <c r="S1400" s="318"/>
      <c r="T1400" s="319"/>
      <c r="U1400" s="315"/>
      <c r="V1400" s="162"/>
      <c r="W1400" s="149"/>
      <c r="X1400" s="163"/>
      <c r="Y1400" s="162"/>
      <c r="Z1400" s="164"/>
      <c r="AA1400" s="116"/>
      <c r="AB1400" s="116"/>
      <c r="AC1400" s="165"/>
      <c r="AD1400" s="675" t="str">
        <f t="shared" si="76"/>
        <v/>
      </c>
      <c r="AE1400" s="166"/>
      <c r="AF1400" s="149" t="b">
        <v>0</v>
      </c>
      <c r="AG1400" s="166"/>
      <c r="AH1400" s="149" t="b">
        <v>0</v>
      </c>
      <c r="AI1400" s="162"/>
      <c r="AJ1400" s="143"/>
      <c r="AK1400" s="143"/>
      <c r="AL1400" s="1112"/>
      <c r="AM1400" s="1112"/>
      <c r="AN1400" s="1112"/>
      <c r="AO1400" s="1112"/>
      <c r="AP1400" s="1112"/>
      <c r="AQ1400" s="1112"/>
    </row>
    <row r="1401" ht="22.5" customHeight="1">
      <c r="A1401" s="166"/>
      <c r="B1401" s="1111"/>
      <c r="C1401" s="524"/>
      <c r="D1401" s="1110"/>
      <c r="E1401" s="669"/>
      <c r="F1401" s="524"/>
      <c r="G1401" s="165"/>
      <c r="H1401" s="669"/>
      <c r="I1401" s="669"/>
      <c r="J1401" s="352"/>
      <c r="K1401" s="271" t="str">
        <f t="shared" si="74"/>
        <v/>
      </c>
      <c r="L1401" s="297"/>
      <c r="M1401" s="334"/>
      <c r="N1401" s="277"/>
      <c r="O1401" s="315"/>
      <c r="P1401" s="344">
        <f t="shared" si="69"/>
        <v>0</v>
      </c>
      <c r="Q1401" s="321"/>
      <c r="R1401" s="672" t="b">
        <v>0</v>
      </c>
      <c r="S1401" s="318"/>
      <c r="T1401" s="319"/>
      <c r="U1401" s="315"/>
      <c r="V1401" s="162"/>
      <c r="W1401" s="149"/>
      <c r="X1401" s="163"/>
      <c r="Y1401" s="162"/>
      <c r="Z1401" s="164"/>
      <c r="AA1401" s="116"/>
      <c r="AB1401" s="116"/>
      <c r="AC1401" s="165"/>
      <c r="AD1401" s="675" t="str">
        <f t="shared" si="76"/>
        <v/>
      </c>
      <c r="AE1401" s="166"/>
      <c r="AF1401" s="149" t="b">
        <v>0</v>
      </c>
      <c r="AG1401" s="166"/>
      <c r="AH1401" s="149" t="b">
        <v>0</v>
      </c>
      <c r="AI1401" s="162"/>
      <c r="AJ1401" s="143"/>
      <c r="AK1401" s="143"/>
      <c r="AL1401" s="1112"/>
      <c r="AM1401" s="1112"/>
      <c r="AN1401" s="1112"/>
      <c r="AO1401" s="1112"/>
      <c r="AP1401" s="1112"/>
      <c r="AQ1401" s="1112"/>
    </row>
    <row r="1402" ht="22.5" customHeight="1">
      <c r="A1402" s="166"/>
      <c r="B1402" s="1111"/>
      <c r="C1402" s="524"/>
      <c r="D1402" s="1110"/>
      <c r="E1402" s="669"/>
      <c r="F1402" s="524"/>
      <c r="G1402" s="165"/>
      <c r="H1402" s="669"/>
      <c r="I1402" s="669"/>
      <c r="J1402" s="352"/>
      <c r="K1402" s="271" t="str">
        <f t="shared" si="74"/>
        <v/>
      </c>
      <c r="L1402" s="297"/>
      <c r="M1402" s="334"/>
      <c r="N1402" s="277"/>
      <c r="O1402" s="315"/>
      <c r="P1402" s="344">
        <f t="shared" si="69"/>
        <v>0</v>
      </c>
      <c r="Q1402" s="321"/>
      <c r="R1402" s="672" t="b">
        <v>0</v>
      </c>
      <c r="S1402" s="318"/>
      <c r="T1402" s="319"/>
      <c r="U1402" s="315"/>
      <c r="V1402" s="162"/>
      <c r="W1402" s="149"/>
      <c r="X1402" s="163"/>
      <c r="Y1402" s="162"/>
      <c r="Z1402" s="164"/>
      <c r="AA1402" s="116"/>
      <c r="AB1402" s="116"/>
      <c r="AC1402" s="165"/>
      <c r="AD1402" s="675" t="str">
        <f t="shared" si="76"/>
        <v/>
      </c>
      <c r="AE1402" s="166"/>
      <c r="AF1402" s="149" t="b">
        <v>0</v>
      </c>
      <c r="AG1402" s="166"/>
      <c r="AH1402" s="149" t="b">
        <v>0</v>
      </c>
      <c r="AI1402" s="162"/>
      <c r="AJ1402" s="143"/>
      <c r="AK1402" s="143"/>
      <c r="AL1402" s="1112"/>
      <c r="AM1402" s="1112"/>
      <c r="AN1402" s="1112"/>
      <c r="AO1402" s="1112"/>
      <c r="AP1402" s="1112"/>
      <c r="AQ1402" s="1112"/>
    </row>
    <row r="1403" ht="22.5" customHeight="1">
      <c r="A1403" s="166"/>
      <c r="B1403" s="1111"/>
      <c r="C1403" s="524"/>
      <c r="D1403" s="1110"/>
      <c r="E1403" s="669"/>
      <c r="F1403" s="524"/>
      <c r="G1403" s="165"/>
      <c r="H1403" s="669"/>
      <c r="I1403" s="669"/>
      <c r="J1403" s="352"/>
      <c r="K1403" s="271" t="str">
        <f t="shared" si="74"/>
        <v/>
      </c>
      <c r="L1403" s="297"/>
      <c r="M1403" s="334"/>
      <c r="N1403" s="277"/>
      <c r="O1403" s="315"/>
      <c r="P1403" s="344">
        <f t="shared" si="69"/>
        <v>0</v>
      </c>
      <c r="Q1403" s="321"/>
      <c r="R1403" s="672" t="b">
        <v>0</v>
      </c>
      <c r="S1403" s="318"/>
      <c r="T1403" s="319"/>
      <c r="U1403" s="315"/>
      <c r="V1403" s="162"/>
      <c r="W1403" s="149"/>
      <c r="X1403" s="163"/>
      <c r="Y1403" s="162"/>
      <c r="Z1403" s="164"/>
      <c r="AA1403" s="116"/>
      <c r="AB1403" s="116"/>
      <c r="AC1403" s="165"/>
      <c r="AD1403" s="675" t="str">
        <f t="shared" si="76"/>
        <v/>
      </c>
      <c r="AE1403" s="166"/>
      <c r="AF1403" s="149" t="b">
        <v>0</v>
      </c>
      <c r="AG1403" s="166"/>
      <c r="AH1403" s="149" t="b">
        <v>0</v>
      </c>
      <c r="AI1403" s="162"/>
      <c r="AJ1403" s="143"/>
      <c r="AK1403" s="143"/>
      <c r="AL1403" s="1112"/>
      <c r="AM1403" s="1112"/>
      <c r="AN1403" s="1112"/>
      <c r="AO1403" s="1112"/>
      <c r="AP1403" s="1112"/>
      <c r="AQ1403" s="1112"/>
    </row>
    <row r="1404" ht="22.5" customHeight="1">
      <c r="A1404" s="166"/>
      <c r="B1404" s="1111"/>
      <c r="C1404" s="524"/>
      <c r="D1404" s="1110"/>
      <c r="E1404" s="669"/>
      <c r="F1404" s="524"/>
      <c r="G1404" s="165"/>
      <c r="H1404" s="669"/>
      <c r="I1404" s="669"/>
      <c r="J1404" s="352"/>
      <c r="K1404" s="271" t="str">
        <f t="shared" si="74"/>
        <v/>
      </c>
      <c r="L1404" s="297"/>
      <c r="M1404" s="334"/>
      <c r="N1404" s="277"/>
      <c r="O1404" s="315"/>
      <c r="P1404" s="344">
        <f t="shared" si="69"/>
        <v>0</v>
      </c>
      <c r="Q1404" s="321"/>
      <c r="R1404" s="672" t="b">
        <v>0</v>
      </c>
      <c r="S1404" s="318"/>
      <c r="T1404" s="319"/>
      <c r="U1404" s="315"/>
      <c r="V1404" s="162"/>
      <c r="W1404" s="149"/>
      <c r="X1404" s="163"/>
      <c r="Y1404" s="162"/>
      <c r="Z1404" s="164"/>
      <c r="AA1404" s="116"/>
      <c r="AB1404" s="116"/>
      <c r="AC1404" s="165"/>
      <c r="AD1404" s="675" t="str">
        <f t="shared" si="76"/>
        <v/>
      </c>
      <c r="AE1404" s="166"/>
      <c r="AF1404" s="149" t="b">
        <v>0</v>
      </c>
      <c r="AG1404" s="166"/>
      <c r="AH1404" s="149" t="b">
        <v>0</v>
      </c>
      <c r="AI1404" s="162"/>
      <c r="AJ1404" s="143"/>
      <c r="AK1404" s="143"/>
      <c r="AL1404" s="1112"/>
      <c r="AM1404" s="1112"/>
      <c r="AN1404" s="1112"/>
      <c r="AO1404" s="1112"/>
      <c r="AP1404" s="1112"/>
      <c r="AQ1404" s="1112"/>
    </row>
    <row r="1405" ht="22.5" customHeight="1">
      <c r="A1405" s="166"/>
      <c r="B1405" s="1111"/>
      <c r="C1405" s="524"/>
      <c r="D1405" s="1110"/>
      <c r="E1405" s="669"/>
      <c r="F1405" s="524"/>
      <c r="G1405" s="165"/>
      <c r="H1405" s="669"/>
      <c r="I1405" s="669"/>
      <c r="J1405" s="352"/>
      <c r="K1405" s="271" t="str">
        <f t="shared" si="74"/>
        <v/>
      </c>
      <c r="L1405" s="297"/>
      <c r="M1405" s="334"/>
      <c r="N1405" s="277"/>
      <c r="O1405" s="315"/>
      <c r="P1405" s="344">
        <f t="shared" si="69"/>
        <v>0</v>
      </c>
      <c r="Q1405" s="321"/>
      <c r="R1405" s="672" t="b">
        <v>0</v>
      </c>
      <c r="S1405" s="318"/>
      <c r="T1405" s="319"/>
      <c r="U1405" s="315"/>
      <c r="V1405" s="162"/>
      <c r="W1405" s="149"/>
      <c r="X1405" s="163"/>
      <c r="Y1405" s="162"/>
      <c r="Z1405" s="164"/>
      <c r="AA1405" s="116"/>
      <c r="AB1405" s="116"/>
      <c r="AC1405" s="165"/>
      <c r="AD1405" s="675" t="str">
        <f t="shared" si="76"/>
        <v/>
      </c>
      <c r="AE1405" s="166"/>
      <c r="AF1405" s="149" t="b">
        <v>0</v>
      </c>
      <c r="AG1405" s="166"/>
      <c r="AH1405" s="149" t="b">
        <v>0</v>
      </c>
      <c r="AI1405" s="162"/>
      <c r="AJ1405" s="143"/>
      <c r="AK1405" s="143"/>
      <c r="AL1405" s="1112"/>
      <c r="AM1405" s="1112"/>
      <c r="AN1405" s="1112"/>
      <c r="AO1405" s="1112"/>
      <c r="AP1405" s="1112"/>
      <c r="AQ1405" s="1112"/>
    </row>
    <row r="1406" ht="22.5" customHeight="1">
      <c r="A1406" s="166"/>
      <c r="B1406" s="1111"/>
      <c r="C1406" s="524"/>
      <c r="D1406" s="1110"/>
      <c r="E1406" s="669"/>
      <c r="F1406" s="524"/>
      <c r="G1406" s="165"/>
      <c r="H1406" s="669"/>
      <c r="I1406" s="669"/>
      <c r="J1406" s="352"/>
      <c r="K1406" s="271" t="str">
        <f t="shared" si="74"/>
        <v/>
      </c>
      <c r="L1406" s="297"/>
      <c r="M1406" s="334"/>
      <c r="N1406" s="277"/>
      <c r="O1406" s="315"/>
      <c r="P1406" s="344">
        <f t="shared" si="69"/>
        <v>0</v>
      </c>
      <c r="Q1406" s="321"/>
      <c r="R1406" s="672" t="b">
        <v>0</v>
      </c>
      <c r="S1406" s="318"/>
      <c r="T1406" s="319"/>
      <c r="U1406" s="315"/>
      <c r="V1406" s="162"/>
      <c r="W1406" s="149"/>
      <c r="X1406" s="163"/>
      <c r="Y1406" s="162"/>
      <c r="Z1406" s="164"/>
      <c r="AA1406" s="116"/>
      <c r="AB1406" s="116"/>
      <c r="AC1406" s="165"/>
      <c r="AD1406" s="675" t="str">
        <f t="shared" si="76"/>
        <v/>
      </c>
      <c r="AE1406" s="166"/>
      <c r="AF1406" s="149" t="b">
        <v>0</v>
      </c>
      <c r="AG1406" s="166"/>
      <c r="AH1406" s="149" t="b">
        <v>0</v>
      </c>
      <c r="AI1406" s="162"/>
      <c r="AJ1406" s="143"/>
      <c r="AK1406" s="143"/>
      <c r="AL1406" s="1112"/>
      <c r="AM1406" s="1112"/>
      <c r="AN1406" s="1112"/>
      <c r="AO1406" s="1112"/>
      <c r="AP1406" s="1112"/>
      <c r="AQ1406" s="1112"/>
    </row>
    <row r="1407" ht="22.5" customHeight="1">
      <c r="A1407" s="166"/>
      <c r="B1407" s="1111"/>
      <c r="C1407" s="524"/>
      <c r="D1407" s="1110"/>
      <c r="E1407" s="669"/>
      <c r="F1407" s="524"/>
      <c r="G1407" s="165"/>
      <c r="H1407" s="669"/>
      <c r="I1407" s="669"/>
      <c r="J1407" s="352"/>
      <c r="K1407" s="271" t="str">
        <f t="shared" si="74"/>
        <v/>
      </c>
      <c r="L1407" s="297"/>
      <c r="M1407" s="334"/>
      <c r="N1407" s="277"/>
      <c r="O1407" s="315"/>
      <c r="P1407" s="344">
        <f t="shared" si="69"/>
        <v>0</v>
      </c>
      <c r="Q1407" s="321"/>
      <c r="R1407" s="672" t="b">
        <v>0</v>
      </c>
      <c r="S1407" s="318"/>
      <c r="T1407" s="319"/>
      <c r="U1407" s="315"/>
      <c r="V1407" s="162"/>
      <c r="W1407" s="149"/>
      <c r="X1407" s="163"/>
      <c r="Y1407" s="162"/>
      <c r="Z1407" s="164"/>
      <c r="AA1407" s="116"/>
      <c r="AB1407" s="116"/>
      <c r="AC1407" s="165"/>
      <c r="AD1407" s="675" t="str">
        <f t="shared" si="76"/>
        <v/>
      </c>
      <c r="AE1407" s="166"/>
      <c r="AF1407" s="149" t="b">
        <v>0</v>
      </c>
      <c r="AG1407" s="166"/>
      <c r="AH1407" s="149" t="b">
        <v>0</v>
      </c>
      <c r="AI1407" s="162"/>
      <c r="AJ1407" s="143"/>
      <c r="AK1407" s="143"/>
      <c r="AL1407" s="1112"/>
      <c r="AM1407" s="1112"/>
      <c r="AN1407" s="1112"/>
      <c r="AO1407" s="1112"/>
      <c r="AP1407" s="1112"/>
      <c r="AQ1407" s="1112"/>
    </row>
    <row r="1408" ht="22.5" customHeight="1">
      <c r="A1408" s="166"/>
      <c r="B1408" s="1111"/>
      <c r="C1408" s="524"/>
      <c r="D1408" s="1110"/>
      <c r="E1408" s="669"/>
      <c r="F1408" s="524"/>
      <c r="G1408" s="165"/>
      <c r="H1408" s="669"/>
      <c r="I1408" s="669"/>
      <c r="J1408" s="352"/>
      <c r="K1408" s="271" t="str">
        <f t="shared" si="74"/>
        <v/>
      </c>
      <c r="L1408" s="297"/>
      <c r="M1408" s="334"/>
      <c r="N1408" s="277"/>
      <c r="O1408" s="315"/>
      <c r="P1408" s="344">
        <f t="shared" si="69"/>
        <v>0</v>
      </c>
      <c r="Q1408" s="321"/>
      <c r="R1408" s="672" t="b">
        <v>0</v>
      </c>
      <c r="S1408" s="318"/>
      <c r="T1408" s="319"/>
      <c r="U1408" s="315"/>
      <c r="V1408" s="162"/>
      <c r="W1408" s="149"/>
      <c r="X1408" s="163"/>
      <c r="Y1408" s="162"/>
      <c r="Z1408" s="164"/>
      <c r="AA1408" s="116"/>
      <c r="AB1408" s="116"/>
      <c r="AC1408" s="165"/>
      <c r="AD1408" s="675" t="str">
        <f t="shared" si="76"/>
        <v/>
      </c>
      <c r="AE1408" s="166"/>
      <c r="AF1408" s="149" t="b">
        <v>0</v>
      </c>
      <c r="AG1408" s="166"/>
      <c r="AH1408" s="149" t="b">
        <v>0</v>
      </c>
      <c r="AI1408" s="162"/>
      <c r="AJ1408" s="143"/>
      <c r="AK1408" s="143"/>
      <c r="AL1408" s="1112"/>
      <c r="AM1408" s="1112"/>
      <c r="AN1408" s="1112"/>
      <c r="AO1408" s="1112"/>
      <c r="AP1408" s="1112"/>
      <c r="AQ1408" s="1112"/>
    </row>
    <row r="1409" ht="22.5" customHeight="1">
      <c r="A1409" s="166"/>
      <c r="B1409" s="1111"/>
      <c r="C1409" s="524"/>
      <c r="D1409" s="1110"/>
      <c r="E1409" s="669"/>
      <c r="F1409" s="524"/>
      <c r="G1409" s="165"/>
      <c r="H1409" s="669"/>
      <c r="I1409" s="669"/>
      <c r="J1409" s="352"/>
      <c r="K1409" s="271" t="str">
        <f t="shared" si="74"/>
        <v/>
      </c>
      <c r="L1409" s="297"/>
      <c r="M1409" s="334"/>
      <c r="N1409" s="277"/>
      <c r="O1409" s="315"/>
      <c r="P1409" s="344">
        <f t="shared" si="69"/>
        <v>0</v>
      </c>
      <c r="Q1409" s="321"/>
      <c r="R1409" s="672" t="b">
        <v>0</v>
      </c>
      <c r="S1409" s="318"/>
      <c r="T1409" s="319"/>
      <c r="U1409" s="315"/>
      <c r="V1409" s="162"/>
      <c r="W1409" s="149"/>
      <c r="X1409" s="163"/>
      <c r="Y1409" s="162"/>
      <c r="Z1409" s="164"/>
      <c r="AA1409" s="116"/>
      <c r="AB1409" s="116"/>
      <c r="AC1409" s="165"/>
      <c r="AD1409" s="675" t="str">
        <f t="shared" si="76"/>
        <v/>
      </c>
      <c r="AE1409" s="166"/>
      <c r="AF1409" s="149" t="b">
        <v>0</v>
      </c>
      <c r="AG1409" s="166"/>
      <c r="AH1409" s="149" t="b">
        <v>0</v>
      </c>
      <c r="AI1409" s="162"/>
      <c r="AJ1409" s="143"/>
      <c r="AK1409" s="143"/>
      <c r="AL1409" s="1112"/>
      <c r="AM1409" s="1112"/>
      <c r="AN1409" s="1112"/>
      <c r="AO1409" s="1112"/>
      <c r="AP1409" s="1112"/>
      <c r="AQ1409" s="1112"/>
    </row>
    <row r="1410" ht="22.5" customHeight="1">
      <c r="A1410" s="166"/>
      <c r="B1410" s="1111"/>
      <c r="C1410" s="524"/>
      <c r="D1410" s="1110"/>
      <c r="E1410" s="669"/>
      <c r="F1410" s="524"/>
      <c r="G1410" s="165"/>
      <c r="H1410" s="669"/>
      <c r="I1410" s="669"/>
      <c r="J1410" s="352"/>
      <c r="K1410" s="271" t="str">
        <f t="shared" si="74"/>
        <v/>
      </c>
      <c r="L1410" s="297"/>
      <c r="M1410" s="334"/>
      <c r="N1410" s="277"/>
      <c r="O1410" s="315"/>
      <c r="P1410" s="344">
        <f t="shared" si="69"/>
        <v>0</v>
      </c>
      <c r="Q1410" s="321"/>
      <c r="R1410" s="672" t="b">
        <v>0</v>
      </c>
      <c r="S1410" s="318"/>
      <c r="T1410" s="319"/>
      <c r="U1410" s="315"/>
      <c r="V1410" s="162"/>
      <c r="W1410" s="149"/>
      <c r="X1410" s="163"/>
      <c r="Y1410" s="162"/>
      <c r="Z1410" s="164"/>
      <c r="AA1410" s="116"/>
      <c r="AB1410" s="116"/>
      <c r="AC1410" s="165"/>
      <c r="AD1410" s="675" t="str">
        <f t="shared" si="76"/>
        <v/>
      </c>
      <c r="AE1410" s="166"/>
      <c r="AF1410" s="149" t="b">
        <v>0</v>
      </c>
      <c r="AG1410" s="166"/>
      <c r="AH1410" s="149" t="b">
        <v>0</v>
      </c>
      <c r="AI1410" s="162"/>
      <c r="AJ1410" s="143"/>
      <c r="AK1410" s="143"/>
      <c r="AL1410" s="1112"/>
      <c r="AM1410" s="1112"/>
      <c r="AN1410" s="1112"/>
      <c r="AO1410" s="1112"/>
      <c r="AP1410" s="1112"/>
      <c r="AQ1410" s="1112"/>
    </row>
    <row r="1411" ht="22.5" customHeight="1">
      <c r="A1411" s="166"/>
      <c r="B1411" s="1111"/>
      <c r="C1411" s="524"/>
      <c r="D1411" s="1110"/>
      <c r="E1411" s="669"/>
      <c r="F1411" s="524"/>
      <c r="G1411" s="165"/>
      <c r="H1411" s="669"/>
      <c r="I1411" s="669"/>
      <c r="J1411" s="352"/>
      <c r="K1411" s="271" t="str">
        <f t="shared" si="74"/>
        <v/>
      </c>
      <c r="L1411" s="297"/>
      <c r="M1411" s="334"/>
      <c r="N1411" s="277"/>
      <c r="O1411" s="315"/>
      <c r="P1411" s="344">
        <f t="shared" si="69"/>
        <v>0</v>
      </c>
      <c r="Q1411" s="321"/>
      <c r="R1411" s="672" t="b">
        <v>0</v>
      </c>
      <c r="S1411" s="318"/>
      <c r="T1411" s="319"/>
      <c r="U1411" s="315"/>
      <c r="V1411" s="162"/>
      <c r="W1411" s="149"/>
      <c r="X1411" s="163"/>
      <c r="Y1411" s="162"/>
      <c r="Z1411" s="164"/>
      <c r="AA1411" s="116"/>
      <c r="AB1411" s="116"/>
      <c r="AC1411" s="165"/>
      <c r="AD1411" s="675" t="str">
        <f t="shared" si="76"/>
        <v/>
      </c>
      <c r="AE1411" s="166"/>
      <c r="AF1411" s="149" t="b">
        <v>0</v>
      </c>
      <c r="AG1411" s="166"/>
      <c r="AH1411" s="149" t="b">
        <v>0</v>
      </c>
      <c r="AI1411" s="162"/>
      <c r="AJ1411" s="143"/>
      <c r="AK1411" s="143"/>
      <c r="AL1411" s="1112"/>
      <c r="AM1411" s="1112"/>
      <c r="AN1411" s="1112"/>
      <c r="AO1411" s="1112"/>
      <c r="AP1411" s="1112"/>
      <c r="AQ1411" s="1112"/>
    </row>
    <row r="1412" ht="22.5" customHeight="1">
      <c r="A1412" s="166"/>
      <c r="B1412" s="1111"/>
      <c r="C1412" s="524"/>
      <c r="D1412" s="1110"/>
      <c r="E1412" s="669"/>
      <c r="F1412" s="524"/>
      <c r="G1412" s="165"/>
      <c r="H1412" s="669"/>
      <c r="I1412" s="669"/>
      <c r="J1412" s="352"/>
      <c r="K1412" s="271" t="str">
        <f t="shared" si="74"/>
        <v/>
      </c>
      <c r="L1412" s="297"/>
      <c r="M1412" s="334"/>
      <c r="N1412" s="277"/>
      <c r="O1412" s="315"/>
      <c r="P1412" s="344">
        <f t="shared" si="69"/>
        <v>0</v>
      </c>
      <c r="Q1412" s="321"/>
      <c r="R1412" s="672" t="b">
        <v>0</v>
      </c>
      <c r="S1412" s="318"/>
      <c r="T1412" s="319"/>
      <c r="U1412" s="315"/>
      <c r="V1412" s="162"/>
      <c r="W1412" s="149"/>
      <c r="X1412" s="163"/>
      <c r="Y1412" s="162"/>
      <c r="Z1412" s="164"/>
      <c r="AA1412" s="116"/>
      <c r="AB1412" s="116"/>
      <c r="AC1412" s="165"/>
      <c r="AD1412" s="675" t="str">
        <f t="shared" si="76"/>
        <v/>
      </c>
      <c r="AE1412" s="166"/>
      <c r="AF1412" s="149" t="b">
        <v>0</v>
      </c>
      <c r="AG1412" s="166"/>
      <c r="AH1412" s="149" t="b">
        <v>0</v>
      </c>
      <c r="AI1412" s="162"/>
      <c r="AJ1412" s="143"/>
      <c r="AK1412" s="143"/>
      <c r="AL1412" s="1112"/>
      <c r="AM1412" s="1112"/>
      <c r="AN1412" s="1112"/>
      <c r="AO1412" s="1112"/>
      <c r="AP1412" s="1112"/>
      <c r="AQ1412" s="1112"/>
    </row>
    <row r="1413" ht="22.5" customHeight="1">
      <c r="A1413" s="166"/>
      <c r="B1413" s="1111"/>
      <c r="C1413" s="524"/>
      <c r="D1413" s="1110"/>
      <c r="E1413" s="669"/>
      <c r="F1413" s="524"/>
      <c r="G1413" s="165"/>
      <c r="H1413" s="669"/>
      <c r="I1413" s="669"/>
      <c r="J1413" s="352"/>
      <c r="K1413" s="271" t="str">
        <f t="shared" si="74"/>
        <v/>
      </c>
      <c r="L1413" s="297"/>
      <c r="M1413" s="334"/>
      <c r="N1413" s="277"/>
      <c r="O1413" s="315"/>
      <c r="P1413" s="344">
        <f t="shared" si="69"/>
        <v>0</v>
      </c>
      <c r="Q1413" s="321"/>
      <c r="R1413" s="672" t="b">
        <v>0</v>
      </c>
      <c r="S1413" s="318"/>
      <c r="T1413" s="319"/>
      <c r="U1413" s="315"/>
      <c r="V1413" s="162"/>
      <c r="W1413" s="149"/>
      <c r="X1413" s="163"/>
      <c r="Y1413" s="162"/>
      <c r="Z1413" s="164"/>
      <c r="AA1413" s="116"/>
      <c r="AB1413" s="116"/>
      <c r="AC1413" s="165"/>
      <c r="AD1413" s="675" t="str">
        <f t="shared" si="76"/>
        <v/>
      </c>
      <c r="AE1413" s="166"/>
      <c r="AF1413" s="149" t="b">
        <v>0</v>
      </c>
      <c r="AG1413" s="166"/>
      <c r="AH1413" s="149" t="b">
        <v>0</v>
      </c>
      <c r="AI1413" s="162"/>
      <c r="AJ1413" s="143"/>
      <c r="AK1413" s="143"/>
      <c r="AL1413" s="1112"/>
      <c r="AM1413" s="1112"/>
      <c r="AN1413" s="1112"/>
      <c r="AO1413" s="1112"/>
      <c r="AP1413" s="1112"/>
      <c r="AQ1413" s="1112"/>
    </row>
    <row r="1414" ht="22.5" customHeight="1">
      <c r="A1414" s="166"/>
      <c r="B1414" s="1111"/>
      <c r="C1414" s="524"/>
      <c r="D1414" s="1110"/>
      <c r="E1414" s="669"/>
      <c r="F1414" s="524"/>
      <c r="G1414" s="165"/>
      <c r="H1414" s="669"/>
      <c r="I1414" s="669"/>
      <c r="J1414" s="352"/>
      <c r="K1414" s="271" t="str">
        <f t="shared" si="74"/>
        <v/>
      </c>
      <c r="L1414" s="297"/>
      <c r="M1414" s="334"/>
      <c r="N1414" s="277"/>
      <c r="O1414" s="315"/>
      <c r="P1414" s="344">
        <f t="shared" si="69"/>
        <v>0</v>
      </c>
      <c r="Q1414" s="321"/>
      <c r="R1414" s="672" t="b">
        <v>0</v>
      </c>
      <c r="S1414" s="318"/>
      <c r="T1414" s="319"/>
      <c r="U1414" s="315"/>
      <c r="V1414" s="162"/>
      <c r="W1414" s="149"/>
      <c r="X1414" s="163"/>
      <c r="Y1414" s="162"/>
      <c r="Z1414" s="164"/>
      <c r="AA1414" s="116"/>
      <c r="AB1414" s="116"/>
      <c r="AC1414" s="165"/>
      <c r="AD1414" s="675" t="str">
        <f t="shared" si="76"/>
        <v/>
      </c>
      <c r="AE1414" s="166"/>
      <c r="AF1414" s="149" t="b">
        <v>0</v>
      </c>
      <c r="AG1414" s="166"/>
      <c r="AH1414" s="149" t="b">
        <v>0</v>
      </c>
      <c r="AI1414" s="162"/>
      <c r="AJ1414" s="143"/>
      <c r="AK1414" s="143"/>
      <c r="AL1414" s="1112"/>
      <c r="AM1414" s="1112"/>
      <c r="AN1414" s="1112"/>
      <c r="AO1414" s="1112"/>
      <c r="AP1414" s="1112"/>
      <c r="AQ1414" s="1112"/>
    </row>
    <row r="1415" ht="22.5" customHeight="1">
      <c r="A1415" s="166"/>
      <c r="B1415" s="1111"/>
      <c r="C1415" s="524"/>
      <c r="D1415" s="1110"/>
      <c r="E1415" s="669"/>
      <c r="F1415" s="524"/>
      <c r="G1415" s="165"/>
      <c r="H1415" s="669"/>
      <c r="I1415" s="669"/>
      <c r="J1415" s="352"/>
      <c r="K1415" s="271" t="str">
        <f t="shared" si="74"/>
        <v/>
      </c>
      <c r="L1415" s="297"/>
      <c r="M1415" s="334"/>
      <c r="N1415" s="277"/>
      <c r="O1415" s="315"/>
      <c r="P1415" s="344">
        <f t="shared" si="69"/>
        <v>0</v>
      </c>
      <c r="Q1415" s="321"/>
      <c r="R1415" s="672" t="b">
        <v>0</v>
      </c>
      <c r="S1415" s="318"/>
      <c r="T1415" s="319"/>
      <c r="U1415" s="315"/>
      <c r="V1415" s="162"/>
      <c r="W1415" s="149"/>
      <c r="X1415" s="163"/>
      <c r="Y1415" s="162"/>
      <c r="Z1415" s="164"/>
      <c r="AA1415" s="116"/>
      <c r="AB1415" s="116"/>
      <c r="AC1415" s="165"/>
      <c r="AD1415" s="675" t="str">
        <f t="shared" si="76"/>
        <v/>
      </c>
      <c r="AE1415" s="166"/>
      <c r="AF1415" s="149" t="b">
        <v>0</v>
      </c>
      <c r="AG1415" s="166"/>
      <c r="AH1415" s="149" t="b">
        <v>0</v>
      </c>
      <c r="AI1415" s="162"/>
      <c r="AJ1415" s="143"/>
      <c r="AK1415" s="143"/>
      <c r="AL1415" s="1112"/>
      <c r="AM1415" s="1112"/>
      <c r="AN1415" s="1112"/>
      <c r="AO1415" s="1112"/>
      <c r="AP1415" s="1112"/>
      <c r="AQ1415" s="1112"/>
    </row>
    <row r="1416" ht="22.5" customHeight="1">
      <c r="A1416" s="166"/>
      <c r="B1416" s="1111"/>
      <c r="C1416" s="524"/>
      <c r="D1416" s="1110"/>
      <c r="E1416" s="669"/>
      <c r="F1416" s="524"/>
      <c r="G1416" s="165"/>
      <c r="H1416" s="669"/>
      <c r="I1416" s="669"/>
      <c r="J1416" s="352"/>
      <c r="K1416" s="271" t="str">
        <f t="shared" si="74"/>
        <v/>
      </c>
      <c r="L1416" s="297"/>
      <c r="M1416" s="334"/>
      <c r="N1416" s="277"/>
      <c r="O1416" s="315"/>
      <c r="P1416" s="344">
        <f t="shared" si="69"/>
        <v>0</v>
      </c>
      <c r="Q1416" s="321"/>
      <c r="R1416" s="672" t="b">
        <v>0</v>
      </c>
      <c r="S1416" s="318"/>
      <c r="T1416" s="319"/>
      <c r="U1416" s="315"/>
      <c r="V1416" s="162"/>
      <c r="W1416" s="149"/>
      <c r="X1416" s="163"/>
      <c r="Y1416" s="162"/>
      <c r="Z1416" s="164"/>
      <c r="AA1416" s="116"/>
      <c r="AB1416" s="116"/>
      <c r="AC1416" s="165"/>
      <c r="AD1416" s="675" t="str">
        <f t="shared" si="76"/>
        <v/>
      </c>
      <c r="AE1416" s="166"/>
      <c r="AF1416" s="149" t="b">
        <v>0</v>
      </c>
      <c r="AG1416" s="166"/>
      <c r="AH1416" s="149" t="b">
        <v>0</v>
      </c>
      <c r="AI1416" s="162"/>
      <c r="AJ1416" s="143"/>
      <c r="AK1416" s="143"/>
      <c r="AL1416" s="1112"/>
      <c r="AM1416" s="1112"/>
      <c r="AN1416" s="1112"/>
      <c r="AO1416" s="1112"/>
      <c r="AP1416" s="1112"/>
      <c r="AQ1416" s="1112"/>
    </row>
    <row r="1417" ht="22.5" customHeight="1">
      <c r="A1417" s="166"/>
      <c r="B1417" s="1111"/>
      <c r="C1417" s="524"/>
      <c r="D1417" s="1110"/>
      <c r="E1417" s="669"/>
      <c r="F1417" s="524"/>
      <c r="G1417" s="165"/>
      <c r="H1417" s="669"/>
      <c r="I1417" s="669"/>
      <c r="J1417" s="352"/>
      <c r="K1417" s="271" t="str">
        <f t="shared" si="74"/>
        <v/>
      </c>
      <c r="L1417" s="297"/>
      <c r="M1417" s="334"/>
      <c r="N1417" s="277"/>
      <c r="O1417" s="315"/>
      <c r="P1417" s="344">
        <f t="shared" si="69"/>
        <v>0</v>
      </c>
      <c r="Q1417" s="321"/>
      <c r="R1417" s="672" t="b">
        <v>0</v>
      </c>
      <c r="S1417" s="318"/>
      <c r="T1417" s="319"/>
      <c r="U1417" s="315"/>
      <c r="V1417" s="162"/>
      <c r="W1417" s="149"/>
      <c r="X1417" s="163"/>
      <c r="Y1417" s="162"/>
      <c r="Z1417" s="164"/>
      <c r="AA1417" s="116"/>
      <c r="AB1417" s="116"/>
      <c r="AC1417" s="165"/>
      <c r="AD1417" s="675" t="str">
        <f t="shared" si="76"/>
        <v/>
      </c>
      <c r="AE1417" s="166"/>
      <c r="AF1417" s="149" t="b">
        <v>0</v>
      </c>
      <c r="AG1417" s="166"/>
      <c r="AH1417" s="149" t="b">
        <v>0</v>
      </c>
      <c r="AI1417" s="162"/>
      <c r="AJ1417" s="143"/>
      <c r="AK1417" s="143"/>
      <c r="AL1417" s="1112"/>
      <c r="AM1417" s="1112"/>
      <c r="AN1417" s="1112"/>
      <c r="AO1417" s="1112"/>
      <c r="AP1417" s="1112"/>
      <c r="AQ1417" s="1112"/>
    </row>
    <row r="1418" ht="22.5" customHeight="1">
      <c r="A1418" s="166"/>
      <c r="B1418" s="1111"/>
      <c r="C1418" s="524"/>
      <c r="D1418" s="1110"/>
      <c r="E1418" s="669"/>
      <c r="F1418" s="524"/>
      <c r="G1418" s="165"/>
      <c r="H1418" s="669"/>
      <c r="I1418" s="669"/>
      <c r="J1418" s="352"/>
      <c r="K1418" s="271" t="str">
        <f t="shared" si="74"/>
        <v/>
      </c>
      <c r="L1418" s="297"/>
      <c r="M1418" s="334"/>
      <c r="N1418" s="277"/>
      <c r="O1418" s="315"/>
      <c r="P1418" s="344">
        <f t="shared" si="69"/>
        <v>0</v>
      </c>
      <c r="Q1418" s="321"/>
      <c r="R1418" s="672" t="b">
        <v>0</v>
      </c>
      <c r="S1418" s="318"/>
      <c r="T1418" s="319"/>
      <c r="U1418" s="315"/>
      <c r="V1418" s="162"/>
      <c r="W1418" s="149"/>
      <c r="X1418" s="163"/>
      <c r="Y1418" s="162"/>
      <c r="Z1418" s="164"/>
      <c r="AA1418" s="116"/>
      <c r="AB1418" s="116"/>
      <c r="AC1418" s="165"/>
      <c r="AD1418" s="675" t="str">
        <f t="shared" si="76"/>
        <v/>
      </c>
      <c r="AE1418" s="166"/>
      <c r="AF1418" s="149" t="b">
        <v>0</v>
      </c>
      <c r="AG1418" s="166"/>
      <c r="AH1418" s="149" t="b">
        <v>0</v>
      </c>
      <c r="AI1418" s="162"/>
      <c r="AJ1418" s="143"/>
      <c r="AK1418" s="143"/>
      <c r="AL1418" s="1112"/>
      <c r="AM1418" s="1112"/>
      <c r="AN1418" s="1112"/>
      <c r="AO1418" s="1112"/>
      <c r="AP1418" s="1112"/>
      <c r="AQ1418" s="1112"/>
    </row>
    <row r="1419" ht="22.5" customHeight="1">
      <c r="A1419" s="166"/>
      <c r="B1419" s="1111"/>
      <c r="C1419" s="524"/>
      <c r="D1419" s="1110"/>
      <c r="E1419" s="669"/>
      <c r="F1419" s="524"/>
      <c r="G1419" s="165"/>
      <c r="H1419" s="669"/>
      <c r="I1419" s="669"/>
      <c r="J1419" s="352"/>
      <c r="K1419" s="271" t="str">
        <f t="shared" si="74"/>
        <v/>
      </c>
      <c r="L1419" s="297"/>
      <c r="M1419" s="334"/>
      <c r="N1419" s="277"/>
      <c r="O1419" s="315"/>
      <c r="P1419" s="344">
        <f t="shared" si="69"/>
        <v>0</v>
      </c>
      <c r="Q1419" s="321"/>
      <c r="R1419" s="672" t="b">
        <v>0</v>
      </c>
      <c r="S1419" s="318"/>
      <c r="T1419" s="319"/>
      <c r="U1419" s="315"/>
      <c r="V1419" s="162"/>
      <c r="W1419" s="149"/>
      <c r="X1419" s="163"/>
      <c r="Y1419" s="162"/>
      <c r="Z1419" s="164"/>
      <c r="AA1419" s="116"/>
      <c r="AB1419" s="116"/>
      <c r="AC1419" s="165"/>
      <c r="AD1419" s="675" t="str">
        <f t="shared" si="76"/>
        <v/>
      </c>
      <c r="AE1419" s="166"/>
      <c r="AF1419" s="149" t="b">
        <v>0</v>
      </c>
      <c r="AG1419" s="166"/>
      <c r="AH1419" s="149" t="b">
        <v>0</v>
      </c>
      <c r="AI1419" s="162"/>
      <c r="AJ1419" s="143"/>
      <c r="AK1419" s="143"/>
      <c r="AL1419" s="1112"/>
      <c r="AM1419" s="1112"/>
      <c r="AN1419" s="1112"/>
      <c r="AO1419" s="1112"/>
      <c r="AP1419" s="1112"/>
      <c r="AQ1419" s="1112"/>
    </row>
    <row r="1420" ht="22.5" customHeight="1">
      <c r="A1420" s="166"/>
      <c r="B1420" s="1111"/>
      <c r="C1420" s="524"/>
      <c r="D1420" s="1110"/>
      <c r="E1420" s="669"/>
      <c r="F1420" s="524"/>
      <c r="G1420" s="165"/>
      <c r="H1420" s="669"/>
      <c r="I1420" s="669"/>
      <c r="J1420" s="352"/>
      <c r="K1420" s="271" t="str">
        <f t="shared" si="74"/>
        <v/>
      </c>
      <c r="L1420" s="297"/>
      <c r="M1420" s="334"/>
      <c r="N1420" s="277"/>
      <c r="O1420" s="315"/>
      <c r="P1420" s="344">
        <f t="shared" si="69"/>
        <v>0</v>
      </c>
      <c r="Q1420" s="321"/>
      <c r="R1420" s="672" t="b">
        <v>0</v>
      </c>
      <c r="S1420" s="318"/>
      <c r="T1420" s="319"/>
      <c r="U1420" s="315"/>
      <c r="V1420" s="162"/>
      <c r="W1420" s="149"/>
      <c r="X1420" s="163"/>
      <c r="Y1420" s="162"/>
      <c r="Z1420" s="164"/>
      <c r="AA1420" s="116"/>
      <c r="AB1420" s="116"/>
      <c r="AC1420" s="165"/>
      <c r="AD1420" s="675" t="str">
        <f t="shared" si="76"/>
        <v/>
      </c>
      <c r="AE1420" s="166"/>
      <c r="AF1420" s="149" t="b">
        <v>0</v>
      </c>
      <c r="AG1420" s="166"/>
      <c r="AH1420" s="149" t="b">
        <v>0</v>
      </c>
      <c r="AI1420" s="162"/>
      <c r="AJ1420" s="143"/>
      <c r="AK1420" s="143"/>
      <c r="AL1420" s="1112"/>
      <c r="AM1420" s="1112"/>
      <c r="AN1420" s="1112"/>
      <c r="AO1420" s="1112"/>
      <c r="AP1420" s="1112"/>
      <c r="AQ1420" s="1112"/>
    </row>
    <row r="1421" ht="22.5" customHeight="1">
      <c r="A1421" s="166"/>
      <c r="B1421" s="1111"/>
      <c r="C1421" s="524"/>
      <c r="D1421" s="1110"/>
      <c r="E1421" s="669"/>
      <c r="F1421" s="524"/>
      <c r="G1421" s="165"/>
      <c r="H1421" s="669"/>
      <c r="I1421" s="669"/>
      <c r="J1421" s="352"/>
      <c r="K1421" s="271" t="str">
        <f t="shared" si="74"/>
        <v/>
      </c>
      <c r="L1421" s="297"/>
      <c r="M1421" s="334"/>
      <c r="N1421" s="277"/>
      <c r="O1421" s="315"/>
      <c r="P1421" s="344">
        <f t="shared" si="69"/>
        <v>0</v>
      </c>
      <c r="Q1421" s="321"/>
      <c r="R1421" s="672" t="b">
        <v>0</v>
      </c>
      <c r="S1421" s="318"/>
      <c r="T1421" s="319"/>
      <c r="U1421" s="315"/>
      <c r="V1421" s="162"/>
      <c r="W1421" s="149"/>
      <c r="X1421" s="163"/>
      <c r="Y1421" s="162"/>
      <c r="Z1421" s="164"/>
      <c r="AA1421" s="116"/>
      <c r="AB1421" s="116"/>
      <c r="AC1421" s="165"/>
      <c r="AD1421" s="675" t="str">
        <f t="shared" si="76"/>
        <v/>
      </c>
      <c r="AE1421" s="166"/>
      <c r="AF1421" s="149" t="b">
        <v>0</v>
      </c>
      <c r="AG1421" s="166"/>
      <c r="AH1421" s="149" t="b">
        <v>0</v>
      </c>
      <c r="AI1421" s="162"/>
      <c r="AJ1421" s="143"/>
      <c r="AK1421" s="143"/>
      <c r="AL1421" s="1112"/>
      <c r="AM1421" s="1112"/>
      <c r="AN1421" s="1112"/>
      <c r="AO1421" s="1112"/>
      <c r="AP1421" s="1112"/>
      <c r="AQ1421" s="1112"/>
    </row>
    <row r="1422" ht="22.5" customHeight="1">
      <c r="A1422" s="166"/>
      <c r="B1422" s="1111"/>
      <c r="C1422" s="524"/>
      <c r="D1422" s="1110"/>
      <c r="E1422" s="669"/>
      <c r="F1422" s="524"/>
      <c r="G1422" s="165"/>
      <c r="H1422" s="669"/>
      <c r="I1422" s="669"/>
      <c r="J1422" s="352"/>
      <c r="K1422" s="271" t="str">
        <f t="shared" si="74"/>
        <v/>
      </c>
      <c r="L1422" s="297"/>
      <c r="M1422" s="334"/>
      <c r="N1422" s="277"/>
      <c r="O1422" s="315"/>
      <c r="P1422" s="344">
        <f t="shared" si="69"/>
        <v>0</v>
      </c>
      <c r="Q1422" s="321"/>
      <c r="R1422" s="672" t="b">
        <v>0</v>
      </c>
      <c r="S1422" s="318"/>
      <c r="T1422" s="319"/>
      <c r="U1422" s="315"/>
      <c r="V1422" s="162"/>
      <c r="W1422" s="149"/>
      <c r="X1422" s="163"/>
      <c r="Y1422" s="162"/>
      <c r="Z1422" s="164"/>
      <c r="AA1422" s="116"/>
      <c r="AB1422" s="116"/>
      <c r="AC1422" s="165"/>
      <c r="AD1422" s="675" t="str">
        <f t="shared" si="76"/>
        <v/>
      </c>
      <c r="AE1422" s="166"/>
      <c r="AF1422" s="149" t="b">
        <v>0</v>
      </c>
      <c r="AG1422" s="166"/>
      <c r="AH1422" s="149" t="b">
        <v>0</v>
      </c>
      <c r="AI1422" s="162"/>
      <c r="AJ1422" s="143"/>
      <c r="AK1422" s="143"/>
      <c r="AL1422" s="1112"/>
      <c r="AM1422" s="1112"/>
      <c r="AN1422" s="1112"/>
      <c r="AO1422" s="1112"/>
      <c r="AP1422" s="1112"/>
      <c r="AQ1422" s="1112"/>
    </row>
    <row r="1423" ht="22.5" customHeight="1">
      <c r="A1423" s="166"/>
      <c r="B1423" s="1111"/>
      <c r="C1423" s="524"/>
      <c r="D1423" s="1110"/>
      <c r="E1423" s="669"/>
      <c r="F1423" s="524"/>
      <c r="G1423" s="165"/>
      <c r="H1423" s="669"/>
      <c r="I1423" s="669"/>
      <c r="J1423" s="352"/>
      <c r="K1423" s="271" t="str">
        <f t="shared" si="74"/>
        <v/>
      </c>
      <c r="L1423" s="297"/>
      <c r="M1423" s="334"/>
      <c r="N1423" s="277"/>
      <c r="O1423" s="315"/>
      <c r="P1423" s="344">
        <f t="shared" si="69"/>
        <v>0</v>
      </c>
      <c r="Q1423" s="321"/>
      <c r="R1423" s="672" t="b">
        <v>0</v>
      </c>
      <c r="S1423" s="318"/>
      <c r="T1423" s="319"/>
      <c r="U1423" s="315"/>
      <c r="V1423" s="162"/>
      <c r="W1423" s="149"/>
      <c r="X1423" s="163"/>
      <c r="Y1423" s="162"/>
      <c r="Z1423" s="164"/>
      <c r="AA1423" s="116"/>
      <c r="AB1423" s="116"/>
      <c r="AC1423" s="165"/>
      <c r="AD1423" s="675" t="str">
        <f t="shared" si="76"/>
        <v/>
      </c>
      <c r="AE1423" s="166"/>
      <c r="AF1423" s="149" t="b">
        <v>0</v>
      </c>
      <c r="AG1423" s="166"/>
      <c r="AH1423" s="149" t="b">
        <v>0</v>
      </c>
      <c r="AI1423" s="162"/>
      <c r="AJ1423" s="143"/>
      <c r="AK1423" s="143"/>
      <c r="AL1423" s="1112"/>
      <c r="AM1423" s="1112"/>
      <c r="AN1423" s="1112"/>
      <c r="AO1423" s="1112"/>
      <c r="AP1423" s="1112"/>
      <c r="AQ1423" s="1112"/>
    </row>
    <row r="1424" ht="22.5" customHeight="1">
      <c r="A1424" s="166"/>
      <c r="B1424" s="1111"/>
      <c r="C1424" s="524"/>
      <c r="D1424" s="1110"/>
      <c r="E1424" s="669"/>
      <c r="F1424" s="524"/>
      <c r="G1424" s="165"/>
      <c r="H1424" s="669"/>
      <c r="I1424" s="669"/>
      <c r="J1424" s="352"/>
      <c r="K1424" s="271" t="str">
        <f t="shared" si="74"/>
        <v/>
      </c>
      <c r="L1424" s="297"/>
      <c r="M1424" s="334"/>
      <c r="N1424" s="277"/>
      <c r="O1424" s="315"/>
      <c r="P1424" s="344">
        <f t="shared" si="69"/>
        <v>0</v>
      </c>
      <c r="Q1424" s="321"/>
      <c r="R1424" s="672" t="b">
        <v>0</v>
      </c>
      <c r="S1424" s="318"/>
      <c r="T1424" s="319"/>
      <c r="U1424" s="315"/>
      <c r="V1424" s="162"/>
      <c r="W1424" s="149"/>
      <c r="X1424" s="163"/>
      <c r="Y1424" s="162"/>
      <c r="Z1424" s="164"/>
      <c r="AA1424" s="116"/>
      <c r="AB1424" s="116"/>
      <c r="AC1424" s="165"/>
      <c r="AD1424" s="675" t="str">
        <f t="shared" si="76"/>
        <v/>
      </c>
      <c r="AE1424" s="166"/>
      <c r="AF1424" s="149" t="b">
        <v>0</v>
      </c>
      <c r="AG1424" s="166"/>
      <c r="AH1424" s="149" t="b">
        <v>0</v>
      </c>
      <c r="AI1424" s="162"/>
      <c r="AJ1424" s="143"/>
      <c r="AK1424" s="143"/>
      <c r="AL1424" s="1112"/>
      <c r="AM1424" s="1112"/>
      <c r="AN1424" s="1112"/>
      <c r="AO1424" s="1112"/>
      <c r="AP1424" s="1112"/>
      <c r="AQ1424" s="1112"/>
    </row>
    <row r="1425" ht="22.5" customHeight="1">
      <c r="A1425" s="166"/>
      <c r="B1425" s="1111"/>
      <c r="C1425" s="524"/>
      <c r="D1425" s="1110"/>
      <c r="E1425" s="669"/>
      <c r="F1425" s="524"/>
      <c r="G1425" s="165"/>
      <c r="H1425" s="669"/>
      <c r="I1425" s="669"/>
      <c r="J1425" s="352"/>
      <c r="K1425" s="271" t="str">
        <f t="shared" si="74"/>
        <v/>
      </c>
      <c r="L1425" s="297"/>
      <c r="M1425" s="334"/>
      <c r="N1425" s="277"/>
      <c r="O1425" s="315"/>
      <c r="P1425" s="344">
        <f t="shared" si="69"/>
        <v>0</v>
      </c>
      <c r="Q1425" s="321"/>
      <c r="R1425" s="672" t="b">
        <v>0</v>
      </c>
      <c r="S1425" s="318"/>
      <c r="T1425" s="319"/>
      <c r="U1425" s="315"/>
      <c r="V1425" s="162"/>
      <c r="W1425" s="149"/>
      <c r="X1425" s="163"/>
      <c r="Y1425" s="162"/>
      <c r="Z1425" s="164"/>
      <c r="AA1425" s="116"/>
      <c r="AB1425" s="116"/>
      <c r="AC1425" s="165"/>
      <c r="AD1425" s="675" t="str">
        <f t="shared" si="76"/>
        <v/>
      </c>
      <c r="AE1425" s="166"/>
      <c r="AF1425" s="149" t="b">
        <v>0</v>
      </c>
      <c r="AG1425" s="166"/>
      <c r="AH1425" s="149" t="b">
        <v>0</v>
      </c>
      <c r="AI1425" s="162"/>
      <c r="AJ1425" s="143"/>
      <c r="AK1425" s="143"/>
      <c r="AL1425" s="1112"/>
      <c r="AM1425" s="1112"/>
      <c r="AN1425" s="1112"/>
      <c r="AO1425" s="1112"/>
      <c r="AP1425" s="1112"/>
      <c r="AQ1425" s="1112"/>
    </row>
    <row r="1426" ht="22.5" customHeight="1">
      <c r="A1426" s="166"/>
      <c r="B1426" s="1111"/>
      <c r="C1426" s="524"/>
      <c r="D1426" s="1110"/>
      <c r="E1426" s="669"/>
      <c r="F1426" s="524"/>
      <c r="G1426" s="165"/>
      <c r="H1426" s="669"/>
      <c r="I1426" s="669"/>
      <c r="J1426" s="352"/>
      <c r="K1426" s="271" t="str">
        <f t="shared" si="74"/>
        <v/>
      </c>
      <c r="L1426" s="297"/>
      <c r="M1426" s="334"/>
      <c r="N1426" s="277"/>
      <c r="O1426" s="315"/>
      <c r="P1426" s="344">
        <f t="shared" si="69"/>
        <v>0</v>
      </c>
      <c r="Q1426" s="321"/>
      <c r="R1426" s="672" t="b">
        <v>0</v>
      </c>
      <c r="S1426" s="318"/>
      <c r="T1426" s="319"/>
      <c r="U1426" s="315"/>
      <c r="V1426" s="162"/>
      <c r="W1426" s="149"/>
      <c r="X1426" s="163"/>
      <c r="Y1426" s="162"/>
      <c r="Z1426" s="164"/>
      <c r="AA1426" s="116"/>
      <c r="AB1426" s="116"/>
      <c r="AC1426" s="165"/>
      <c r="AD1426" s="675" t="str">
        <f t="shared" si="76"/>
        <v/>
      </c>
      <c r="AE1426" s="166"/>
      <c r="AF1426" s="149" t="b">
        <v>0</v>
      </c>
      <c r="AG1426" s="166"/>
      <c r="AH1426" s="149" t="b">
        <v>0</v>
      </c>
      <c r="AI1426" s="162"/>
      <c r="AJ1426" s="143"/>
      <c r="AK1426" s="143"/>
      <c r="AL1426" s="1112"/>
      <c r="AM1426" s="1112"/>
      <c r="AN1426" s="1112"/>
      <c r="AO1426" s="1112"/>
      <c r="AP1426" s="1112"/>
      <c r="AQ1426" s="1112"/>
    </row>
    <row r="1427" ht="22.5" customHeight="1">
      <c r="A1427" s="166"/>
      <c r="B1427" s="1111"/>
      <c r="C1427" s="524"/>
      <c r="D1427" s="1110"/>
      <c r="E1427" s="669"/>
      <c r="F1427" s="524"/>
      <c r="G1427" s="165"/>
      <c r="H1427" s="669"/>
      <c r="I1427" s="669"/>
      <c r="J1427" s="352"/>
      <c r="K1427" s="271" t="str">
        <f t="shared" si="74"/>
        <v/>
      </c>
      <c r="L1427" s="297"/>
      <c r="M1427" s="334"/>
      <c r="N1427" s="277"/>
      <c r="O1427" s="315"/>
      <c r="P1427" s="344">
        <f t="shared" si="69"/>
        <v>0</v>
      </c>
      <c r="Q1427" s="321"/>
      <c r="R1427" s="672" t="b">
        <v>0</v>
      </c>
      <c r="S1427" s="318"/>
      <c r="T1427" s="319"/>
      <c r="U1427" s="315"/>
      <c r="V1427" s="162"/>
      <c r="W1427" s="149"/>
      <c r="X1427" s="163"/>
      <c r="Y1427" s="162"/>
      <c r="Z1427" s="164"/>
      <c r="AA1427" s="116"/>
      <c r="AB1427" s="116"/>
      <c r="AC1427" s="165"/>
      <c r="AD1427" s="675" t="str">
        <f t="shared" si="76"/>
        <v/>
      </c>
      <c r="AE1427" s="166"/>
      <c r="AF1427" s="149" t="b">
        <v>0</v>
      </c>
      <c r="AG1427" s="166"/>
      <c r="AH1427" s="149" t="b">
        <v>0</v>
      </c>
      <c r="AI1427" s="162"/>
      <c r="AJ1427" s="143"/>
      <c r="AK1427" s="143"/>
      <c r="AL1427" s="1112"/>
      <c r="AM1427" s="1112"/>
      <c r="AN1427" s="1112"/>
      <c r="AO1427" s="1112"/>
      <c r="AP1427" s="1112"/>
      <c r="AQ1427" s="1112"/>
    </row>
    <row r="1428" ht="22.5" customHeight="1">
      <c r="A1428" s="166"/>
      <c r="B1428" s="1111"/>
      <c r="C1428" s="524"/>
      <c r="D1428" s="1110"/>
      <c r="E1428" s="669"/>
      <c r="F1428" s="524"/>
      <c r="G1428" s="165"/>
      <c r="H1428" s="669"/>
      <c r="I1428" s="669"/>
      <c r="J1428" s="352"/>
      <c r="K1428" s="271" t="str">
        <f t="shared" si="74"/>
        <v/>
      </c>
      <c r="L1428" s="297"/>
      <c r="M1428" s="334"/>
      <c r="N1428" s="277"/>
      <c r="O1428" s="315"/>
      <c r="P1428" s="344">
        <f t="shared" si="69"/>
        <v>0</v>
      </c>
      <c r="Q1428" s="321"/>
      <c r="R1428" s="672" t="b">
        <v>0</v>
      </c>
      <c r="S1428" s="318"/>
      <c r="T1428" s="319"/>
      <c r="U1428" s="315"/>
      <c r="V1428" s="162"/>
      <c r="W1428" s="149"/>
      <c r="X1428" s="163"/>
      <c r="Y1428" s="162"/>
      <c r="Z1428" s="164"/>
      <c r="AA1428" s="116"/>
      <c r="AB1428" s="116"/>
      <c r="AC1428" s="165"/>
      <c r="AD1428" s="675" t="str">
        <f t="shared" si="76"/>
        <v/>
      </c>
      <c r="AE1428" s="166"/>
      <c r="AF1428" s="149" t="b">
        <v>0</v>
      </c>
      <c r="AG1428" s="166"/>
      <c r="AH1428" s="149" t="b">
        <v>0</v>
      </c>
      <c r="AI1428" s="162"/>
      <c r="AJ1428" s="143"/>
      <c r="AK1428" s="143"/>
      <c r="AL1428" s="1112"/>
      <c r="AM1428" s="1112"/>
      <c r="AN1428" s="1112"/>
      <c r="AO1428" s="1112"/>
      <c r="AP1428" s="1112"/>
      <c r="AQ1428" s="1112"/>
    </row>
    <row r="1429" ht="22.5" customHeight="1">
      <c r="A1429" s="166"/>
      <c r="B1429" s="1111"/>
      <c r="C1429" s="524"/>
      <c r="D1429" s="1110"/>
      <c r="E1429" s="669"/>
      <c r="F1429" s="524"/>
      <c r="G1429" s="165"/>
      <c r="H1429" s="669"/>
      <c r="I1429" s="669"/>
      <c r="J1429" s="352"/>
      <c r="K1429" s="271" t="str">
        <f t="shared" si="74"/>
        <v/>
      </c>
      <c r="L1429" s="297"/>
      <c r="M1429" s="334"/>
      <c r="N1429" s="277"/>
      <c r="O1429" s="315"/>
      <c r="P1429" s="344">
        <f t="shared" si="69"/>
        <v>0</v>
      </c>
      <c r="Q1429" s="321"/>
      <c r="R1429" s="672" t="b">
        <v>0</v>
      </c>
      <c r="S1429" s="318"/>
      <c r="T1429" s="319"/>
      <c r="U1429" s="315"/>
      <c r="V1429" s="162"/>
      <c r="W1429" s="149"/>
      <c r="X1429" s="163"/>
      <c r="Y1429" s="162"/>
      <c r="Z1429" s="164"/>
      <c r="AA1429" s="116"/>
      <c r="AB1429" s="116"/>
      <c r="AC1429" s="165"/>
      <c r="AD1429" s="675" t="str">
        <f t="shared" si="76"/>
        <v/>
      </c>
      <c r="AE1429" s="166"/>
      <c r="AF1429" s="149" t="b">
        <v>0</v>
      </c>
      <c r="AG1429" s="166"/>
      <c r="AH1429" s="149" t="b">
        <v>0</v>
      </c>
      <c r="AI1429" s="162"/>
      <c r="AJ1429" s="143"/>
      <c r="AK1429" s="143"/>
      <c r="AL1429" s="1112"/>
      <c r="AM1429" s="1112"/>
      <c r="AN1429" s="1112"/>
      <c r="AO1429" s="1112"/>
      <c r="AP1429" s="1112"/>
      <c r="AQ1429" s="1112"/>
    </row>
    <row r="1430" ht="22.5" customHeight="1">
      <c r="A1430" s="166"/>
      <c r="B1430" s="1111"/>
      <c r="C1430" s="524"/>
      <c r="D1430" s="1110"/>
      <c r="E1430" s="669"/>
      <c r="F1430" s="524"/>
      <c r="G1430" s="165"/>
      <c r="H1430" s="669"/>
      <c r="I1430" s="669"/>
      <c r="J1430" s="352"/>
      <c r="K1430" s="271" t="str">
        <f t="shared" si="74"/>
        <v/>
      </c>
      <c r="L1430" s="297"/>
      <c r="M1430" s="334"/>
      <c r="N1430" s="277"/>
      <c r="O1430" s="315"/>
      <c r="P1430" s="344">
        <f t="shared" si="69"/>
        <v>0</v>
      </c>
      <c r="Q1430" s="321"/>
      <c r="R1430" s="672" t="b">
        <v>0</v>
      </c>
      <c r="S1430" s="318"/>
      <c r="T1430" s="319"/>
      <c r="U1430" s="315"/>
      <c r="V1430" s="162"/>
      <c r="W1430" s="149"/>
      <c r="X1430" s="163"/>
      <c r="Y1430" s="162"/>
      <c r="Z1430" s="164"/>
      <c r="AA1430" s="116"/>
      <c r="AB1430" s="116"/>
      <c r="AC1430" s="165"/>
      <c r="AD1430" s="675" t="str">
        <f t="shared" si="76"/>
        <v/>
      </c>
      <c r="AE1430" s="166"/>
      <c r="AF1430" s="149" t="b">
        <v>0</v>
      </c>
      <c r="AG1430" s="166"/>
      <c r="AH1430" s="149" t="b">
        <v>0</v>
      </c>
      <c r="AI1430" s="162"/>
      <c r="AJ1430" s="143"/>
      <c r="AK1430" s="143"/>
      <c r="AL1430" s="1112"/>
      <c r="AM1430" s="1112"/>
      <c r="AN1430" s="1112"/>
      <c r="AO1430" s="1112"/>
      <c r="AP1430" s="1112"/>
      <c r="AQ1430" s="1112"/>
    </row>
    <row r="1431" ht="22.5" customHeight="1">
      <c r="A1431" s="166"/>
      <c r="B1431" s="1111"/>
      <c r="C1431" s="524"/>
      <c r="D1431" s="1110"/>
      <c r="E1431" s="669"/>
      <c r="F1431" s="524"/>
      <c r="G1431" s="165"/>
      <c r="H1431" s="669"/>
      <c r="I1431" s="669"/>
      <c r="J1431" s="352"/>
      <c r="K1431" s="271" t="str">
        <f t="shared" si="74"/>
        <v/>
      </c>
      <c r="L1431" s="297"/>
      <c r="M1431" s="334"/>
      <c r="N1431" s="277"/>
      <c r="O1431" s="315"/>
      <c r="P1431" s="344">
        <f t="shared" si="69"/>
        <v>0</v>
      </c>
      <c r="Q1431" s="321"/>
      <c r="R1431" s="672" t="b">
        <v>0</v>
      </c>
      <c r="S1431" s="318"/>
      <c r="T1431" s="319"/>
      <c r="U1431" s="315"/>
      <c r="V1431" s="162"/>
      <c r="W1431" s="149"/>
      <c r="X1431" s="163"/>
      <c r="Y1431" s="162"/>
      <c r="Z1431" s="164"/>
      <c r="AA1431" s="116"/>
      <c r="AB1431" s="116"/>
      <c r="AC1431" s="165"/>
      <c r="AD1431" s="675" t="str">
        <f t="shared" si="76"/>
        <v/>
      </c>
      <c r="AE1431" s="166"/>
      <c r="AF1431" s="149" t="b">
        <v>0</v>
      </c>
      <c r="AG1431" s="166"/>
      <c r="AH1431" s="149" t="b">
        <v>0</v>
      </c>
      <c r="AI1431" s="162"/>
      <c r="AJ1431" s="143"/>
      <c r="AK1431" s="143"/>
      <c r="AL1431" s="1112"/>
      <c r="AM1431" s="1112"/>
      <c r="AN1431" s="1112"/>
      <c r="AO1431" s="1112"/>
      <c r="AP1431" s="1112"/>
      <c r="AQ1431" s="1112"/>
    </row>
    <row r="1432" ht="22.5" customHeight="1">
      <c r="A1432" s="166"/>
      <c r="B1432" s="1111"/>
      <c r="C1432" s="524"/>
      <c r="D1432" s="1110"/>
      <c r="E1432" s="669"/>
      <c r="F1432" s="524"/>
      <c r="G1432" s="165"/>
      <c r="H1432" s="669"/>
      <c r="I1432" s="669"/>
      <c r="J1432" s="352"/>
      <c r="K1432" s="271" t="str">
        <f t="shared" si="74"/>
        <v/>
      </c>
      <c r="L1432" s="297"/>
      <c r="M1432" s="334"/>
      <c r="N1432" s="277"/>
      <c r="O1432" s="315"/>
      <c r="P1432" s="344">
        <f t="shared" si="69"/>
        <v>0</v>
      </c>
      <c r="Q1432" s="321"/>
      <c r="R1432" s="672" t="b">
        <v>0</v>
      </c>
      <c r="S1432" s="318"/>
      <c r="T1432" s="319"/>
      <c r="U1432" s="315"/>
      <c r="V1432" s="162"/>
      <c r="W1432" s="149"/>
      <c r="X1432" s="163"/>
      <c r="Y1432" s="162"/>
      <c r="Z1432" s="164"/>
      <c r="AA1432" s="116"/>
      <c r="AB1432" s="116"/>
      <c r="AC1432" s="165"/>
      <c r="AD1432" s="675" t="str">
        <f t="shared" si="76"/>
        <v/>
      </c>
      <c r="AE1432" s="166"/>
      <c r="AF1432" s="149" t="b">
        <v>0</v>
      </c>
      <c r="AG1432" s="166"/>
      <c r="AH1432" s="149" t="b">
        <v>0</v>
      </c>
      <c r="AI1432" s="162"/>
      <c r="AJ1432" s="143"/>
      <c r="AK1432" s="143"/>
      <c r="AL1432" s="1112"/>
      <c r="AM1432" s="1112"/>
      <c r="AN1432" s="1112"/>
      <c r="AO1432" s="1112"/>
      <c r="AP1432" s="1112"/>
      <c r="AQ1432" s="1112"/>
    </row>
    <row r="1433" ht="22.5" customHeight="1">
      <c r="A1433" s="166"/>
      <c r="B1433" s="1111"/>
      <c r="C1433" s="524"/>
      <c r="D1433" s="1110"/>
      <c r="E1433" s="669"/>
      <c r="F1433" s="524"/>
      <c r="G1433" s="165"/>
      <c r="H1433" s="669"/>
      <c r="I1433" s="669"/>
      <c r="J1433" s="352"/>
      <c r="K1433" s="271" t="str">
        <f t="shared" si="74"/>
        <v/>
      </c>
      <c r="L1433" s="297"/>
      <c r="M1433" s="334"/>
      <c r="N1433" s="277"/>
      <c r="O1433" s="315"/>
      <c r="P1433" s="344">
        <f t="shared" si="69"/>
        <v>0</v>
      </c>
      <c r="Q1433" s="321"/>
      <c r="R1433" s="672" t="b">
        <v>0</v>
      </c>
      <c r="S1433" s="318"/>
      <c r="T1433" s="319"/>
      <c r="U1433" s="315"/>
      <c r="V1433" s="162"/>
      <c r="W1433" s="149"/>
      <c r="X1433" s="163"/>
      <c r="Y1433" s="162"/>
      <c r="Z1433" s="164"/>
      <c r="AA1433" s="116"/>
      <c r="AB1433" s="116"/>
      <c r="AC1433" s="165"/>
      <c r="AD1433" s="675" t="str">
        <f t="shared" si="76"/>
        <v/>
      </c>
      <c r="AE1433" s="166"/>
      <c r="AF1433" s="149" t="b">
        <v>0</v>
      </c>
      <c r="AG1433" s="166"/>
      <c r="AH1433" s="149" t="b">
        <v>0</v>
      </c>
      <c r="AI1433" s="162"/>
      <c r="AJ1433" s="143"/>
      <c r="AK1433" s="143"/>
      <c r="AL1433" s="1112"/>
      <c r="AM1433" s="1112"/>
      <c r="AN1433" s="1112"/>
      <c r="AO1433" s="1112"/>
      <c r="AP1433" s="1112"/>
      <c r="AQ1433" s="1112"/>
    </row>
    <row r="1434" ht="22.5" customHeight="1">
      <c r="A1434" s="166"/>
      <c r="B1434" s="1111"/>
      <c r="C1434" s="524"/>
      <c r="D1434" s="1110"/>
      <c r="E1434" s="669"/>
      <c r="F1434" s="524"/>
      <c r="G1434" s="165"/>
      <c r="H1434" s="669"/>
      <c r="I1434" s="669"/>
      <c r="J1434" s="352"/>
      <c r="K1434" s="271" t="str">
        <f t="shared" si="74"/>
        <v/>
      </c>
      <c r="L1434" s="297"/>
      <c r="M1434" s="334"/>
      <c r="N1434" s="277"/>
      <c r="O1434" s="315"/>
      <c r="P1434" s="344">
        <f t="shared" si="69"/>
        <v>0</v>
      </c>
      <c r="Q1434" s="321"/>
      <c r="R1434" s="672" t="b">
        <v>0</v>
      </c>
      <c r="S1434" s="318"/>
      <c r="T1434" s="319"/>
      <c r="U1434" s="315"/>
      <c r="V1434" s="162"/>
      <c r="W1434" s="149"/>
      <c r="X1434" s="163"/>
      <c r="Y1434" s="162"/>
      <c r="Z1434" s="164"/>
      <c r="AA1434" s="116"/>
      <c r="AB1434" s="116"/>
      <c r="AC1434" s="165"/>
      <c r="AD1434" s="675" t="str">
        <f t="shared" si="76"/>
        <v/>
      </c>
      <c r="AE1434" s="166"/>
      <c r="AF1434" s="149" t="b">
        <v>0</v>
      </c>
      <c r="AG1434" s="166"/>
      <c r="AH1434" s="149" t="b">
        <v>0</v>
      </c>
      <c r="AI1434" s="162"/>
      <c r="AJ1434" s="143"/>
      <c r="AK1434" s="143"/>
      <c r="AL1434" s="1112"/>
      <c r="AM1434" s="1112"/>
      <c r="AN1434" s="1112"/>
      <c r="AO1434" s="1112"/>
      <c r="AP1434" s="1112"/>
      <c r="AQ1434" s="1112"/>
    </row>
    <row r="1435" ht="22.5" customHeight="1">
      <c r="A1435" s="166"/>
      <c r="B1435" s="1111"/>
      <c r="C1435" s="524"/>
      <c r="D1435" s="1110"/>
      <c r="E1435" s="669"/>
      <c r="F1435" s="524"/>
      <c r="G1435" s="165"/>
      <c r="H1435" s="669"/>
      <c r="I1435" s="669"/>
      <c r="J1435" s="352"/>
      <c r="K1435" s="271" t="str">
        <f t="shared" si="74"/>
        <v/>
      </c>
      <c r="L1435" s="297"/>
      <c r="M1435" s="334"/>
      <c r="N1435" s="277"/>
      <c r="O1435" s="315"/>
      <c r="P1435" s="344">
        <f t="shared" si="69"/>
        <v>0</v>
      </c>
      <c r="Q1435" s="321"/>
      <c r="R1435" s="672" t="b">
        <v>0</v>
      </c>
      <c r="S1435" s="318"/>
      <c r="T1435" s="319"/>
      <c r="U1435" s="315"/>
      <c r="V1435" s="162"/>
      <c r="W1435" s="149"/>
      <c r="X1435" s="163"/>
      <c r="Y1435" s="162"/>
      <c r="Z1435" s="164"/>
      <c r="AA1435" s="116"/>
      <c r="AB1435" s="116"/>
      <c r="AC1435" s="165"/>
      <c r="AD1435" s="675" t="str">
        <f t="shared" si="76"/>
        <v/>
      </c>
      <c r="AE1435" s="166"/>
      <c r="AF1435" s="149" t="b">
        <v>0</v>
      </c>
      <c r="AG1435" s="166"/>
      <c r="AH1435" s="149" t="b">
        <v>0</v>
      </c>
      <c r="AI1435" s="162"/>
      <c r="AJ1435" s="143"/>
      <c r="AK1435" s="143"/>
      <c r="AL1435" s="1112"/>
      <c r="AM1435" s="1112"/>
      <c r="AN1435" s="1112"/>
      <c r="AO1435" s="1112"/>
      <c r="AP1435" s="1112"/>
      <c r="AQ1435" s="1112"/>
    </row>
    <row r="1436" ht="22.5" customHeight="1">
      <c r="A1436" s="166"/>
      <c r="B1436" s="1111"/>
      <c r="C1436" s="524"/>
      <c r="D1436" s="1110"/>
      <c r="E1436" s="669"/>
      <c r="F1436" s="524"/>
      <c r="G1436" s="165"/>
      <c r="H1436" s="669"/>
      <c r="I1436" s="669"/>
      <c r="J1436" s="352"/>
      <c r="K1436" s="271" t="str">
        <f t="shared" si="74"/>
        <v/>
      </c>
      <c r="L1436" s="297"/>
      <c r="M1436" s="334"/>
      <c r="N1436" s="277"/>
      <c r="O1436" s="315"/>
      <c r="P1436" s="344">
        <f t="shared" si="69"/>
        <v>0</v>
      </c>
      <c r="Q1436" s="321"/>
      <c r="R1436" s="672" t="b">
        <v>0</v>
      </c>
      <c r="S1436" s="318"/>
      <c r="T1436" s="319"/>
      <c r="U1436" s="315"/>
      <c r="V1436" s="162"/>
      <c r="W1436" s="149"/>
      <c r="X1436" s="163"/>
      <c r="Y1436" s="162"/>
      <c r="Z1436" s="164"/>
      <c r="AA1436" s="116"/>
      <c r="AB1436" s="116"/>
      <c r="AC1436" s="165"/>
      <c r="AD1436" s="675" t="str">
        <f t="shared" si="76"/>
        <v/>
      </c>
      <c r="AE1436" s="166"/>
      <c r="AF1436" s="149" t="b">
        <v>0</v>
      </c>
      <c r="AG1436" s="166"/>
      <c r="AH1436" s="149" t="b">
        <v>0</v>
      </c>
      <c r="AI1436" s="162"/>
      <c r="AJ1436" s="143"/>
      <c r="AK1436" s="143"/>
      <c r="AL1436" s="1112"/>
      <c r="AM1436" s="1112"/>
      <c r="AN1436" s="1112"/>
      <c r="AO1436" s="1112"/>
      <c r="AP1436" s="1112"/>
      <c r="AQ1436" s="1112"/>
    </row>
    <row r="1437" ht="22.5" customHeight="1">
      <c r="A1437" s="166"/>
      <c r="B1437" s="1111"/>
      <c r="C1437" s="524"/>
      <c r="D1437" s="1110"/>
      <c r="E1437" s="669"/>
      <c r="F1437" s="524"/>
      <c r="G1437" s="165"/>
      <c r="H1437" s="669"/>
      <c r="I1437" s="669"/>
      <c r="J1437" s="352"/>
      <c r="K1437" s="271" t="str">
        <f t="shared" si="74"/>
        <v/>
      </c>
      <c r="L1437" s="297"/>
      <c r="M1437" s="334"/>
      <c r="N1437" s="277"/>
      <c r="O1437" s="315"/>
      <c r="P1437" s="344">
        <f t="shared" si="69"/>
        <v>0</v>
      </c>
      <c r="Q1437" s="321"/>
      <c r="R1437" s="672" t="b">
        <v>0</v>
      </c>
      <c r="S1437" s="318"/>
      <c r="T1437" s="319"/>
      <c r="U1437" s="315"/>
      <c r="V1437" s="162"/>
      <c r="W1437" s="149"/>
      <c r="X1437" s="163"/>
      <c r="Y1437" s="162"/>
      <c r="Z1437" s="164"/>
      <c r="AA1437" s="116"/>
      <c r="AB1437" s="116"/>
      <c r="AC1437" s="165"/>
      <c r="AD1437" s="675" t="str">
        <f t="shared" si="76"/>
        <v/>
      </c>
      <c r="AE1437" s="166"/>
      <c r="AF1437" s="149" t="b">
        <v>0</v>
      </c>
      <c r="AG1437" s="166"/>
      <c r="AH1437" s="149" t="b">
        <v>0</v>
      </c>
      <c r="AI1437" s="162"/>
      <c r="AJ1437" s="143"/>
      <c r="AK1437" s="143"/>
      <c r="AL1437" s="1112"/>
      <c r="AM1437" s="1112"/>
      <c r="AN1437" s="1112"/>
      <c r="AO1437" s="1112"/>
      <c r="AP1437" s="1112"/>
      <c r="AQ1437" s="1112"/>
    </row>
    <row r="1438" ht="22.5" customHeight="1">
      <c r="A1438" s="166"/>
      <c r="B1438" s="1111"/>
      <c r="C1438" s="524"/>
      <c r="D1438" s="1110"/>
      <c r="E1438" s="669"/>
      <c r="F1438" s="524"/>
      <c r="G1438" s="165"/>
      <c r="H1438" s="669"/>
      <c r="I1438" s="669"/>
      <c r="J1438" s="352"/>
      <c r="K1438" s="271" t="str">
        <f t="shared" si="74"/>
        <v/>
      </c>
      <c r="L1438" s="297"/>
      <c r="M1438" s="334"/>
      <c r="N1438" s="277"/>
      <c r="O1438" s="315"/>
      <c r="P1438" s="344">
        <f t="shared" si="69"/>
        <v>0</v>
      </c>
      <c r="Q1438" s="321"/>
      <c r="R1438" s="672" t="b">
        <v>0</v>
      </c>
      <c r="S1438" s="318"/>
      <c r="T1438" s="319"/>
      <c r="U1438" s="315"/>
      <c r="V1438" s="162"/>
      <c r="W1438" s="149"/>
      <c r="X1438" s="163"/>
      <c r="Y1438" s="162"/>
      <c r="Z1438" s="164"/>
      <c r="AA1438" s="116"/>
      <c r="AB1438" s="116"/>
      <c r="AC1438" s="165"/>
      <c r="AD1438" s="675" t="str">
        <f t="shared" si="76"/>
        <v/>
      </c>
      <c r="AE1438" s="166"/>
      <c r="AF1438" s="149" t="b">
        <v>0</v>
      </c>
      <c r="AG1438" s="166"/>
      <c r="AH1438" s="149" t="b">
        <v>0</v>
      </c>
      <c r="AI1438" s="162"/>
      <c r="AJ1438" s="143"/>
      <c r="AK1438" s="143"/>
      <c r="AL1438" s="1112"/>
      <c r="AM1438" s="1112"/>
      <c r="AN1438" s="1112"/>
      <c r="AO1438" s="1112"/>
      <c r="AP1438" s="1112"/>
      <c r="AQ1438" s="1112"/>
    </row>
    <row r="1439" ht="22.5" customHeight="1">
      <c r="A1439" s="166"/>
      <c r="B1439" s="1111"/>
      <c r="C1439" s="524"/>
      <c r="D1439" s="1110"/>
      <c r="E1439" s="669"/>
      <c r="F1439" s="524"/>
      <c r="G1439" s="165"/>
      <c r="H1439" s="669"/>
      <c r="I1439" s="669"/>
      <c r="J1439" s="352"/>
      <c r="K1439" s="271" t="str">
        <f t="shared" si="74"/>
        <v/>
      </c>
      <c r="L1439" s="297"/>
      <c r="M1439" s="334"/>
      <c r="N1439" s="277"/>
      <c r="O1439" s="315"/>
      <c r="P1439" s="344">
        <f t="shared" si="69"/>
        <v>0</v>
      </c>
      <c r="Q1439" s="321"/>
      <c r="R1439" s="672" t="b">
        <v>0</v>
      </c>
      <c r="S1439" s="318"/>
      <c r="T1439" s="319"/>
      <c r="U1439" s="315"/>
      <c r="V1439" s="162"/>
      <c r="W1439" s="149"/>
      <c r="X1439" s="163"/>
      <c r="Y1439" s="162"/>
      <c r="Z1439" s="164"/>
      <c r="AA1439" s="116"/>
      <c r="AB1439" s="116"/>
      <c r="AC1439" s="165"/>
      <c r="AD1439" s="675" t="str">
        <f t="shared" si="76"/>
        <v/>
      </c>
      <c r="AE1439" s="166"/>
      <c r="AF1439" s="149" t="b">
        <v>0</v>
      </c>
      <c r="AG1439" s="166"/>
      <c r="AH1439" s="149" t="b">
        <v>0</v>
      </c>
      <c r="AI1439" s="162"/>
      <c r="AJ1439" s="143"/>
      <c r="AK1439" s="143"/>
      <c r="AL1439" s="1112"/>
      <c r="AM1439" s="1112"/>
      <c r="AN1439" s="1112"/>
      <c r="AO1439" s="1112"/>
      <c r="AP1439" s="1112"/>
      <c r="AQ1439" s="1112"/>
    </row>
    <row r="1440" ht="22.5" customHeight="1">
      <c r="A1440" s="166"/>
      <c r="B1440" s="1111"/>
      <c r="C1440" s="524"/>
      <c r="D1440" s="1110"/>
      <c r="E1440" s="669"/>
      <c r="F1440" s="524"/>
      <c r="G1440" s="165"/>
      <c r="H1440" s="669"/>
      <c r="I1440" s="669"/>
      <c r="J1440" s="352"/>
      <c r="K1440" s="271" t="str">
        <f t="shared" si="74"/>
        <v/>
      </c>
      <c r="L1440" s="297"/>
      <c r="M1440" s="334"/>
      <c r="N1440" s="277"/>
      <c r="O1440" s="315"/>
      <c r="P1440" s="344">
        <f t="shared" si="69"/>
        <v>0</v>
      </c>
      <c r="Q1440" s="321"/>
      <c r="R1440" s="672" t="b">
        <v>0</v>
      </c>
      <c r="S1440" s="318"/>
      <c r="T1440" s="319"/>
      <c r="U1440" s="315"/>
      <c r="V1440" s="162"/>
      <c r="W1440" s="149"/>
      <c r="X1440" s="163"/>
      <c r="Y1440" s="162"/>
      <c r="Z1440" s="164"/>
      <c r="AA1440" s="116"/>
      <c r="AB1440" s="116"/>
      <c r="AC1440" s="165"/>
      <c r="AD1440" s="675" t="str">
        <f t="shared" si="76"/>
        <v/>
      </c>
      <c r="AE1440" s="166"/>
      <c r="AF1440" s="149" t="b">
        <v>0</v>
      </c>
      <c r="AG1440" s="166"/>
      <c r="AH1440" s="149" t="b">
        <v>0</v>
      </c>
      <c r="AI1440" s="162"/>
      <c r="AJ1440" s="143"/>
      <c r="AK1440" s="143"/>
      <c r="AL1440" s="1112"/>
      <c r="AM1440" s="1112"/>
      <c r="AN1440" s="1112"/>
      <c r="AO1440" s="1112"/>
      <c r="AP1440" s="1112"/>
      <c r="AQ1440" s="1112"/>
    </row>
    <row r="1441" ht="22.5" customHeight="1">
      <c r="A1441" s="166"/>
      <c r="B1441" s="1111"/>
      <c r="C1441" s="524"/>
      <c r="D1441" s="1110"/>
      <c r="E1441" s="669"/>
      <c r="F1441" s="524"/>
      <c r="G1441" s="165"/>
      <c r="H1441" s="669"/>
      <c r="I1441" s="669"/>
      <c r="J1441" s="352"/>
      <c r="K1441" s="271" t="str">
        <f t="shared" si="74"/>
        <v/>
      </c>
      <c r="L1441" s="297"/>
      <c r="M1441" s="334"/>
      <c r="N1441" s="277"/>
      <c r="O1441" s="315"/>
      <c r="P1441" s="344">
        <f t="shared" si="69"/>
        <v>0</v>
      </c>
      <c r="Q1441" s="321"/>
      <c r="R1441" s="672" t="b">
        <v>0</v>
      </c>
      <c r="S1441" s="318"/>
      <c r="T1441" s="319"/>
      <c r="U1441" s="315"/>
      <c r="V1441" s="162"/>
      <c r="W1441" s="149"/>
      <c r="X1441" s="163"/>
      <c r="Y1441" s="162"/>
      <c r="Z1441" s="164"/>
      <c r="AA1441" s="116"/>
      <c r="AB1441" s="116"/>
      <c r="AC1441" s="165"/>
      <c r="AD1441" s="675" t="str">
        <f t="shared" si="76"/>
        <v/>
      </c>
      <c r="AE1441" s="166"/>
      <c r="AF1441" s="149" t="b">
        <v>0</v>
      </c>
      <c r="AG1441" s="166"/>
      <c r="AH1441" s="149" t="b">
        <v>0</v>
      </c>
      <c r="AI1441" s="162"/>
      <c r="AJ1441" s="143"/>
      <c r="AK1441" s="143"/>
      <c r="AL1441" s="1112"/>
      <c r="AM1441" s="1112"/>
      <c r="AN1441" s="1112"/>
      <c r="AO1441" s="1112"/>
      <c r="AP1441" s="1112"/>
      <c r="AQ1441" s="1112"/>
    </row>
    <row r="1442" ht="22.5" customHeight="1">
      <c r="A1442" s="166"/>
      <c r="B1442" s="1111"/>
      <c r="C1442" s="524"/>
      <c r="D1442" s="1110"/>
      <c r="E1442" s="669"/>
      <c r="F1442" s="524"/>
      <c r="G1442" s="165"/>
      <c r="H1442" s="669"/>
      <c r="I1442" s="669"/>
      <c r="J1442" s="352"/>
      <c r="K1442" s="271" t="str">
        <f t="shared" si="74"/>
        <v/>
      </c>
      <c r="L1442" s="297"/>
      <c r="M1442" s="334"/>
      <c r="N1442" s="277"/>
      <c r="O1442" s="315"/>
      <c r="P1442" s="344">
        <f t="shared" si="69"/>
        <v>0</v>
      </c>
      <c r="Q1442" s="321"/>
      <c r="R1442" s="672" t="b">
        <v>0</v>
      </c>
      <c r="S1442" s="318"/>
      <c r="T1442" s="319"/>
      <c r="U1442" s="315"/>
      <c r="V1442" s="162"/>
      <c r="W1442" s="149"/>
      <c r="X1442" s="163"/>
      <c r="Y1442" s="162"/>
      <c r="Z1442" s="164"/>
      <c r="AA1442" s="116"/>
      <c r="AB1442" s="116"/>
      <c r="AC1442" s="165"/>
      <c r="AD1442" s="675" t="str">
        <f t="shared" si="76"/>
        <v/>
      </c>
      <c r="AE1442" s="166"/>
      <c r="AF1442" s="149" t="b">
        <v>0</v>
      </c>
      <c r="AG1442" s="166"/>
      <c r="AH1442" s="149" t="b">
        <v>0</v>
      </c>
      <c r="AI1442" s="162"/>
      <c r="AJ1442" s="143"/>
      <c r="AK1442" s="143"/>
      <c r="AL1442" s="1112"/>
      <c r="AM1442" s="1112"/>
      <c r="AN1442" s="1112"/>
      <c r="AO1442" s="1112"/>
      <c r="AP1442" s="1112"/>
      <c r="AQ1442" s="1112"/>
    </row>
    <row r="1443" ht="22.5" customHeight="1">
      <c r="A1443" s="166"/>
      <c r="B1443" s="1111"/>
      <c r="C1443" s="524"/>
      <c r="D1443" s="1110"/>
      <c r="E1443" s="669"/>
      <c r="F1443" s="524"/>
      <c r="G1443" s="165"/>
      <c r="H1443" s="669"/>
      <c r="I1443" s="669"/>
      <c r="J1443" s="352"/>
      <c r="K1443" s="271" t="str">
        <f t="shared" si="74"/>
        <v/>
      </c>
      <c r="L1443" s="297"/>
      <c r="M1443" s="334"/>
      <c r="N1443" s="277"/>
      <c r="O1443" s="315"/>
      <c r="P1443" s="344">
        <f t="shared" si="69"/>
        <v>0</v>
      </c>
      <c r="Q1443" s="321"/>
      <c r="R1443" s="672" t="b">
        <v>0</v>
      </c>
      <c r="S1443" s="318"/>
      <c r="T1443" s="319"/>
      <c r="U1443" s="315"/>
      <c r="V1443" s="162"/>
      <c r="W1443" s="149"/>
      <c r="X1443" s="163"/>
      <c r="Y1443" s="162"/>
      <c r="Z1443" s="164"/>
      <c r="AA1443" s="116"/>
      <c r="AB1443" s="116"/>
      <c r="AC1443" s="165"/>
      <c r="AD1443" s="675" t="str">
        <f t="shared" si="76"/>
        <v/>
      </c>
      <c r="AE1443" s="166"/>
      <c r="AF1443" s="149" t="b">
        <v>0</v>
      </c>
      <c r="AG1443" s="166"/>
      <c r="AH1443" s="149" t="b">
        <v>0</v>
      </c>
      <c r="AI1443" s="162"/>
      <c r="AJ1443" s="143"/>
      <c r="AK1443" s="143"/>
      <c r="AL1443" s="1112"/>
      <c r="AM1443" s="1112"/>
      <c r="AN1443" s="1112"/>
      <c r="AO1443" s="1112"/>
      <c r="AP1443" s="1112"/>
      <c r="AQ1443" s="1112"/>
    </row>
    <row r="1444" ht="22.5" customHeight="1">
      <c r="A1444" s="166"/>
      <c r="B1444" s="1111"/>
      <c r="C1444" s="524"/>
      <c r="D1444" s="1110"/>
      <c r="E1444" s="669"/>
      <c r="F1444" s="524"/>
      <c r="G1444" s="165"/>
      <c r="H1444" s="669"/>
      <c r="I1444" s="669"/>
      <c r="J1444" s="352"/>
      <c r="K1444" s="271" t="str">
        <f t="shared" si="74"/>
        <v/>
      </c>
      <c r="L1444" s="297"/>
      <c r="M1444" s="334"/>
      <c r="N1444" s="277"/>
      <c r="O1444" s="315"/>
      <c r="P1444" s="344">
        <f t="shared" si="69"/>
        <v>0</v>
      </c>
      <c r="Q1444" s="321"/>
      <c r="R1444" s="672" t="b">
        <v>0</v>
      </c>
      <c r="S1444" s="318"/>
      <c r="T1444" s="319"/>
      <c r="U1444" s="315"/>
      <c r="V1444" s="162"/>
      <c r="W1444" s="149"/>
      <c r="X1444" s="163"/>
      <c r="Y1444" s="162"/>
      <c r="Z1444" s="164"/>
      <c r="AA1444" s="116"/>
      <c r="AB1444" s="116"/>
      <c r="AC1444" s="165"/>
      <c r="AD1444" s="675" t="str">
        <f t="shared" si="76"/>
        <v/>
      </c>
      <c r="AE1444" s="166"/>
      <c r="AF1444" s="149" t="b">
        <v>0</v>
      </c>
      <c r="AG1444" s="166"/>
      <c r="AH1444" s="149" t="b">
        <v>0</v>
      </c>
      <c r="AI1444" s="162"/>
      <c r="AJ1444" s="143"/>
      <c r="AK1444" s="143"/>
      <c r="AL1444" s="1112"/>
      <c r="AM1444" s="1112"/>
      <c r="AN1444" s="1112"/>
      <c r="AO1444" s="1112"/>
      <c r="AP1444" s="1112"/>
      <c r="AQ1444" s="1112"/>
    </row>
    <row r="1445" ht="22.5" customHeight="1">
      <c r="A1445" s="166"/>
      <c r="B1445" s="1111"/>
      <c r="C1445" s="524"/>
      <c r="D1445" s="1110"/>
      <c r="E1445" s="669"/>
      <c r="F1445" s="524"/>
      <c r="G1445" s="165"/>
      <c r="H1445" s="669"/>
      <c r="I1445" s="669"/>
      <c r="J1445" s="352"/>
      <c r="K1445" s="271" t="str">
        <f t="shared" si="74"/>
        <v/>
      </c>
      <c r="L1445" s="297"/>
      <c r="M1445" s="334"/>
      <c r="N1445" s="277"/>
      <c r="O1445" s="315"/>
      <c r="P1445" s="344">
        <f t="shared" si="69"/>
        <v>0</v>
      </c>
      <c r="Q1445" s="321"/>
      <c r="R1445" s="672" t="b">
        <v>0</v>
      </c>
      <c r="S1445" s="318"/>
      <c r="T1445" s="319"/>
      <c r="U1445" s="315"/>
      <c r="V1445" s="162"/>
      <c r="W1445" s="149"/>
      <c r="X1445" s="163"/>
      <c r="Y1445" s="162"/>
      <c r="Z1445" s="164"/>
      <c r="AA1445" s="116"/>
      <c r="AB1445" s="116"/>
      <c r="AC1445" s="165"/>
      <c r="AD1445" s="675" t="str">
        <f t="shared" si="76"/>
        <v/>
      </c>
      <c r="AE1445" s="166"/>
      <c r="AF1445" s="149" t="b">
        <v>0</v>
      </c>
      <c r="AG1445" s="166"/>
      <c r="AH1445" s="149" t="b">
        <v>0</v>
      </c>
      <c r="AI1445" s="162"/>
      <c r="AJ1445" s="143"/>
      <c r="AK1445" s="143"/>
      <c r="AL1445" s="1112"/>
      <c r="AM1445" s="1112"/>
      <c r="AN1445" s="1112"/>
      <c r="AO1445" s="1112"/>
      <c r="AP1445" s="1112"/>
      <c r="AQ1445" s="1112"/>
    </row>
    <row r="1446" ht="22.5" customHeight="1">
      <c r="A1446" s="166"/>
      <c r="B1446" s="1111"/>
      <c r="C1446" s="524"/>
      <c r="D1446" s="1110"/>
      <c r="E1446" s="669"/>
      <c r="F1446" s="524"/>
      <c r="G1446" s="165"/>
      <c r="H1446" s="669"/>
      <c r="I1446" s="669"/>
      <c r="J1446" s="352"/>
      <c r="K1446" s="271" t="str">
        <f t="shared" si="74"/>
        <v/>
      </c>
      <c r="L1446" s="297"/>
      <c r="M1446" s="334"/>
      <c r="N1446" s="277"/>
      <c r="O1446" s="315"/>
      <c r="P1446" s="344">
        <f t="shared" si="69"/>
        <v>0</v>
      </c>
      <c r="Q1446" s="321"/>
      <c r="R1446" s="672" t="b">
        <v>0</v>
      </c>
      <c r="S1446" s="318"/>
      <c r="T1446" s="319"/>
      <c r="U1446" s="315"/>
      <c r="V1446" s="162"/>
      <c r="W1446" s="149"/>
      <c r="X1446" s="163"/>
      <c r="Y1446" s="162"/>
      <c r="Z1446" s="164"/>
      <c r="AA1446" s="116"/>
      <c r="AB1446" s="116"/>
      <c r="AC1446" s="165"/>
      <c r="AD1446" s="675" t="str">
        <f t="shared" si="76"/>
        <v/>
      </c>
      <c r="AE1446" s="166"/>
      <c r="AF1446" s="149" t="b">
        <v>0</v>
      </c>
      <c r="AG1446" s="166"/>
      <c r="AH1446" s="149" t="b">
        <v>0</v>
      </c>
      <c r="AI1446" s="162"/>
      <c r="AJ1446" s="143"/>
      <c r="AK1446" s="143"/>
      <c r="AL1446" s="1112"/>
      <c r="AM1446" s="1112"/>
      <c r="AN1446" s="1112"/>
      <c r="AO1446" s="1112"/>
      <c r="AP1446" s="1112"/>
      <c r="AQ1446" s="1112"/>
    </row>
    <row r="1447" ht="22.5" customHeight="1">
      <c r="A1447" s="166"/>
      <c r="B1447" s="1111"/>
      <c r="C1447" s="524"/>
      <c r="D1447" s="1110"/>
      <c r="E1447" s="669"/>
      <c r="F1447" s="524"/>
      <c r="G1447" s="165"/>
      <c r="H1447" s="669"/>
      <c r="I1447" s="669"/>
      <c r="J1447" s="352"/>
      <c r="K1447" s="271" t="str">
        <f t="shared" si="74"/>
        <v/>
      </c>
      <c r="L1447" s="297"/>
      <c r="M1447" s="334"/>
      <c r="N1447" s="277"/>
      <c r="O1447" s="315"/>
      <c r="P1447" s="344">
        <f t="shared" si="69"/>
        <v>0</v>
      </c>
      <c r="Q1447" s="321"/>
      <c r="R1447" s="672" t="b">
        <v>0</v>
      </c>
      <c r="S1447" s="318"/>
      <c r="T1447" s="319"/>
      <c r="U1447" s="315"/>
      <c r="V1447" s="162"/>
      <c r="W1447" s="149"/>
      <c r="X1447" s="163"/>
      <c r="Y1447" s="162"/>
      <c r="Z1447" s="164"/>
      <c r="AA1447" s="116"/>
      <c r="AB1447" s="116"/>
      <c r="AC1447" s="165"/>
      <c r="AD1447" s="675" t="str">
        <f t="shared" si="76"/>
        <v/>
      </c>
      <c r="AE1447" s="166"/>
      <c r="AF1447" s="149" t="b">
        <v>0</v>
      </c>
      <c r="AG1447" s="166"/>
      <c r="AH1447" s="149" t="b">
        <v>0</v>
      </c>
      <c r="AI1447" s="162"/>
      <c r="AJ1447" s="143"/>
      <c r="AK1447" s="143"/>
      <c r="AL1447" s="1112"/>
      <c r="AM1447" s="1112"/>
      <c r="AN1447" s="1112"/>
      <c r="AO1447" s="1112"/>
      <c r="AP1447" s="1112"/>
      <c r="AQ1447" s="1112"/>
    </row>
    <row r="1448" ht="22.5" customHeight="1">
      <c r="A1448" s="166"/>
      <c r="B1448" s="1111"/>
      <c r="C1448" s="524"/>
      <c r="D1448" s="1110"/>
      <c r="E1448" s="669"/>
      <c r="F1448" s="524"/>
      <c r="G1448" s="165"/>
      <c r="H1448" s="669"/>
      <c r="I1448" s="669"/>
      <c r="J1448" s="352"/>
      <c r="K1448" s="271" t="str">
        <f t="shared" si="74"/>
        <v/>
      </c>
      <c r="L1448" s="297"/>
      <c r="M1448" s="334"/>
      <c r="N1448" s="277"/>
      <c r="O1448" s="315"/>
      <c r="P1448" s="344">
        <f t="shared" si="69"/>
        <v>0</v>
      </c>
      <c r="Q1448" s="321"/>
      <c r="R1448" s="672" t="b">
        <v>0</v>
      </c>
      <c r="S1448" s="318"/>
      <c r="T1448" s="319"/>
      <c r="U1448" s="315"/>
      <c r="V1448" s="162"/>
      <c r="W1448" s="149"/>
      <c r="X1448" s="163"/>
      <c r="Y1448" s="162"/>
      <c r="Z1448" s="164"/>
      <c r="AA1448" s="116"/>
      <c r="AB1448" s="116"/>
      <c r="AC1448" s="165"/>
      <c r="AD1448" s="675" t="str">
        <f t="shared" si="76"/>
        <v/>
      </c>
      <c r="AE1448" s="166"/>
      <c r="AF1448" s="149" t="b">
        <v>0</v>
      </c>
      <c r="AG1448" s="166"/>
      <c r="AH1448" s="149" t="b">
        <v>0</v>
      </c>
      <c r="AI1448" s="162"/>
      <c r="AJ1448" s="143"/>
      <c r="AK1448" s="143"/>
      <c r="AL1448" s="1112"/>
      <c r="AM1448" s="1112"/>
      <c r="AN1448" s="1112"/>
      <c r="AO1448" s="1112"/>
      <c r="AP1448" s="1112"/>
      <c r="AQ1448" s="1112"/>
    </row>
    <row r="1449" ht="22.5" customHeight="1">
      <c r="A1449" s="166"/>
      <c r="B1449" s="1111"/>
      <c r="C1449" s="524"/>
      <c r="D1449" s="1110"/>
      <c r="E1449" s="669"/>
      <c r="F1449" s="524"/>
      <c r="G1449" s="165"/>
      <c r="H1449" s="669"/>
      <c r="I1449" s="669"/>
      <c r="J1449" s="352"/>
      <c r="K1449" s="271" t="str">
        <f t="shared" si="74"/>
        <v/>
      </c>
      <c r="L1449" s="297"/>
      <c r="M1449" s="334"/>
      <c r="N1449" s="277"/>
      <c r="O1449" s="315"/>
      <c r="P1449" s="344">
        <f t="shared" si="69"/>
        <v>0</v>
      </c>
      <c r="Q1449" s="321"/>
      <c r="R1449" s="672" t="b">
        <v>0</v>
      </c>
      <c r="S1449" s="318"/>
      <c r="T1449" s="319"/>
      <c r="U1449" s="315"/>
      <c r="V1449" s="162"/>
      <c r="W1449" s="149"/>
      <c r="X1449" s="163"/>
      <c r="Y1449" s="162"/>
      <c r="Z1449" s="164"/>
      <c r="AA1449" s="116"/>
      <c r="AB1449" s="116"/>
      <c r="AC1449" s="165"/>
      <c r="AD1449" s="675" t="str">
        <f t="shared" si="76"/>
        <v/>
      </c>
      <c r="AE1449" s="166"/>
      <c r="AF1449" s="149" t="b">
        <v>0</v>
      </c>
      <c r="AG1449" s="166"/>
      <c r="AH1449" s="149" t="b">
        <v>0</v>
      </c>
      <c r="AI1449" s="162"/>
      <c r="AJ1449" s="143"/>
      <c r="AK1449" s="143"/>
      <c r="AL1449" s="1112"/>
      <c r="AM1449" s="1112"/>
      <c r="AN1449" s="1112"/>
      <c r="AO1449" s="1112"/>
      <c r="AP1449" s="1112"/>
      <c r="AQ1449" s="1112"/>
    </row>
    <row r="1450" ht="22.5" customHeight="1">
      <c r="A1450" s="166"/>
      <c r="B1450" s="1111"/>
      <c r="C1450" s="524"/>
      <c r="D1450" s="1110"/>
      <c r="E1450" s="669"/>
      <c r="F1450" s="524"/>
      <c r="G1450" s="165"/>
      <c r="H1450" s="669"/>
      <c r="I1450" s="669"/>
      <c r="J1450" s="352"/>
      <c r="K1450" s="271" t="str">
        <f t="shared" si="74"/>
        <v/>
      </c>
      <c r="L1450" s="297"/>
      <c r="M1450" s="334"/>
      <c r="N1450" s="277"/>
      <c r="O1450" s="315"/>
      <c r="P1450" s="344">
        <f t="shared" si="69"/>
        <v>0</v>
      </c>
      <c r="Q1450" s="321"/>
      <c r="R1450" s="672" t="b">
        <v>0</v>
      </c>
      <c r="S1450" s="318"/>
      <c r="T1450" s="319"/>
      <c r="U1450" s="315"/>
      <c r="V1450" s="162"/>
      <c r="W1450" s="149"/>
      <c r="X1450" s="163"/>
      <c r="Y1450" s="162"/>
      <c r="Z1450" s="164"/>
      <c r="AA1450" s="116"/>
      <c r="AB1450" s="116"/>
      <c r="AC1450" s="165"/>
      <c r="AD1450" s="675" t="str">
        <f t="shared" si="76"/>
        <v/>
      </c>
      <c r="AE1450" s="166"/>
      <c r="AF1450" s="149" t="b">
        <v>0</v>
      </c>
      <c r="AG1450" s="166"/>
      <c r="AH1450" s="149" t="b">
        <v>0</v>
      </c>
      <c r="AI1450" s="162"/>
      <c r="AJ1450" s="143"/>
      <c r="AK1450" s="143"/>
      <c r="AL1450" s="1112"/>
      <c r="AM1450" s="1112"/>
      <c r="AN1450" s="1112"/>
      <c r="AO1450" s="1112"/>
      <c r="AP1450" s="1112"/>
      <c r="AQ1450" s="1112"/>
    </row>
    <row r="1451" ht="22.5" customHeight="1">
      <c r="A1451" s="166"/>
      <c r="B1451" s="1111"/>
      <c r="C1451" s="524"/>
      <c r="D1451" s="1110"/>
      <c r="E1451" s="669"/>
      <c r="F1451" s="524"/>
      <c r="G1451" s="165"/>
      <c r="H1451" s="669"/>
      <c r="I1451" s="669"/>
      <c r="J1451" s="352"/>
      <c r="K1451" s="271" t="str">
        <f t="shared" si="74"/>
        <v/>
      </c>
      <c r="L1451" s="297"/>
      <c r="M1451" s="334"/>
      <c r="N1451" s="277"/>
      <c r="O1451" s="315"/>
      <c r="P1451" s="344">
        <f t="shared" si="69"/>
        <v>0</v>
      </c>
      <c r="Q1451" s="321"/>
      <c r="R1451" s="672" t="b">
        <v>0</v>
      </c>
      <c r="S1451" s="318"/>
      <c r="T1451" s="319"/>
      <c r="U1451" s="315"/>
      <c r="V1451" s="162"/>
      <c r="W1451" s="149"/>
      <c r="X1451" s="163"/>
      <c r="Y1451" s="162"/>
      <c r="Z1451" s="164"/>
      <c r="AA1451" s="116"/>
      <c r="AB1451" s="116"/>
      <c r="AC1451" s="165"/>
      <c r="AD1451" s="675" t="str">
        <f t="shared" si="76"/>
        <v/>
      </c>
      <c r="AE1451" s="166"/>
      <c r="AF1451" s="149" t="b">
        <v>0</v>
      </c>
      <c r="AG1451" s="166"/>
      <c r="AH1451" s="149" t="b">
        <v>0</v>
      </c>
      <c r="AI1451" s="162"/>
      <c r="AJ1451" s="143"/>
      <c r="AK1451" s="143"/>
      <c r="AL1451" s="1112"/>
      <c r="AM1451" s="1112"/>
      <c r="AN1451" s="1112"/>
      <c r="AO1451" s="1112"/>
      <c r="AP1451" s="1112"/>
      <c r="AQ1451" s="1112"/>
    </row>
    <row r="1452" ht="22.5" customHeight="1">
      <c r="A1452" s="166"/>
      <c r="B1452" s="1111"/>
      <c r="C1452" s="524"/>
      <c r="D1452" s="1110"/>
      <c r="E1452" s="669"/>
      <c r="F1452" s="524"/>
      <c r="G1452" s="165"/>
      <c r="H1452" s="669"/>
      <c r="I1452" s="669"/>
      <c r="J1452" s="352"/>
      <c r="K1452" s="271" t="str">
        <f t="shared" si="74"/>
        <v/>
      </c>
      <c r="L1452" s="297"/>
      <c r="M1452" s="334"/>
      <c r="N1452" s="277"/>
      <c r="O1452" s="315"/>
      <c r="P1452" s="344">
        <f t="shared" si="69"/>
        <v>0</v>
      </c>
      <c r="Q1452" s="321"/>
      <c r="R1452" s="672" t="b">
        <v>0</v>
      </c>
      <c r="S1452" s="318"/>
      <c r="T1452" s="319"/>
      <c r="U1452" s="315"/>
      <c r="V1452" s="162"/>
      <c r="W1452" s="149"/>
      <c r="X1452" s="163"/>
      <c r="Y1452" s="162"/>
      <c r="Z1452" s="164"/>
      <c r="AA1452" s="116"/>
      <c r="AB1452" s="116"/>
      <c r="AC1452" s="165"/>
      <c r="AD1452" s="675" t="str">
        <f t="shared" si="76"/>
        <v/>
      </c>
      <c r="AE1452" s="166"/>
      <c r="AF1452" s="149" t="b">
        <v>0</v>
      </c>
      <c r="AG1452" s="166"/>
      <c r="AH1452" s="149" t="b">
        <v>0</v>
      </c>
      <c r="AI1452" s="162"/>
      <c r="AJ1452" s="143"/>
      <c r="AK1452" s="143"/>
      <c r="AL1452" s="1112"/>
      <c r="AM1452" s="1112"/>
      <c r="AN1452" s="1112"/>
      <c r="AO1452" s="1112"/>
      <c r="AP1452" s="1112"/>
      <c r="AQ1452" s="1112"/>
    </row>
    <row r="1453" ht="22.5" customHeight="1">
      <c r="A1453" s="166"/>
      <c r="B1453" s="1111"/>
      <c r="C1453" s="524"/>
      <c r="D1453" s="1110"/>
      <c r="E1453" s="669"/>
      <c r="F1453" s="524"/>
      <c r="G1453" s="165"/>
      <c r="H1453" s="669"/>
      <c r="I1453" s="669"/>
      <c r="J1453" s="352"/>
      <c r="K1453" s="271" t="str">
        <f t="shared" si="74"/>
        <v/>
      </c>
      <c r="L1453" s="297"/>
      <c r="M1453" s="334"/>
      <c r="N1453" s="277"/>
      <c r="O1453" s="315"/>
      <c r="P1453" s="344">
        <f t="shared" si="69"/>
        <v>0</v>
      </c>
      <c r="Q1453" s="321"/>
      <c r="R1453" s="672" t="b">
        <v>0</v>
      </c>
      <c r="S1453" s="318"/>
      <c r="T1453" s="319"/>
      <c r="U1453" s="315"/>
      <c r="V1453" s="162"/>
      <c r="W1453" s="149"/>
      <c r="X1453" s="163"/>
      <c r="Y1453" s="162"/>
      <c r="Z1453" s="164"/>
      <c r="AA1453" s="116"/>
      <c r="AB1453" s="116"/>
      <c r="AC1453" s="165"/>
      <c r="AD1453" s="675" t="str">
        <f t="shared" si="76"/>
        <v/>
      </c>
      <c r="AE1453" s="166"/>
      <c r="AF1453" s="149" t="b">
        <v>0</v>
      </c>
      <c r="AG1453" s="166"/>
      <c r="AH1453" s="149" t="b">
        <v>0</v>
      </c>
      <c r="AI1453" s="162"/>
      <c r="AJ1453" s="143"/>
      <c r="AK1453" s="143"/>
      <c r="AL1453" s="1112"/>
      <c r="AM1453" s="1112"/>
      <c r="AN1453" s="1112"/>
      <c r="AO1453" s="1112"/>
      <c r="AP1453" s="1112"/>
      <c r="AQ1453" s="1112"/>
    </row>
    <row r="1454" ht="22.5" customHeight="1">
      <c r="A1454" s="166"/>
      <c r="B1454" s="1111"/>
      <c r="C1454" s="524"/>
      <c r="D1454" s="1110"/>
      <c r="E1454" s="669"/>
      <c r="F1454" s="524"/>
      <c r="G1454" s="165"/>
      <c r="H1454" s="669"/>
      <c r="I1454" s="669"/>
      <c r="J1454" s="352"/>
      <c r="K1454" s="271" t="str">
        <f t="shared" si="74"/>
        <v/>
      </c>
      <c r="L1454" s="297"/>
      <c r="M1454" s="334"/>
      <c r="N1454" s="277"/>
      <c r="O1454" s="315"/>
      <c r="P1454" s="344">
        <f t="shared" si="69"/>
        <v>0</v>
      </c>
      <c r="Q1454" s="321"/>
      <c r="R1454" s="672" t="b">
        <v>0</v>
      </c>
      <c r="S1454" s="318"/>
      <c r="T1454" s="319"/>
      <c r="U1454" s="315"/>
      <c r="V1454" s="162"/>
      <c r="W1454" s="149"/>
      <c r="X1454" s="163"/>
      <c r="Y1454" s="162"/>
      <c r="Z1454" s="164"/>
      <c r="AA1454" s="116"/>
      <c r="AB1454" s="116"/>
      <c r="AC1454" s="165"/>
      <c r="AD1454" s="675" t="str">
        <f t="shared" si="76"/>
        <v/>
      </c>
      <c r="AE1454" s="166"/>
      <c r="AF1454" s="149" t="b">
        <v>0</v>
      </c>
      <c r="AG1454" s="166"/>
      <c r="AH1454" s="149" t="b">
        <v>0</v>
      </c>
      <c r="AI1454" s="162"/>
      <c r="AJ1454" s="143"/>
      <c r="AK1454" s="143"/>
      <c r="AL1454" s="1112"/>
      <c r="AM1454" s="1112"/>
      <c r="AN1454" s="1112"/>
      <c r="AO1454" s="1112"/>
      <c r="AP1454" s="1112"/>
      <c r="AQ1454" s="1112"/>
    </row>
    <row r="1455" ht="22.5" customHeight="1">
      <c r="A1455" s="166"/>
      <c r="B1455" s="1111"/>
      <c r="C1455" s="524"/>
      <c r="D1455" s="1110"/>
      <c r="E1455" s="669"/>
      <c r="F1455" s="524"/>
      <c r="G1455" s="165"/>
      <c r="H1455" s="669"/>
      <c r="I1455" s="669"/>
      <c r="J1455" s="352"/>
      <c r="K1455" s="271" t="str">
        <f t="shared" si="74"/>
        <v/>
      </c>
      <c r="L1455" s="297"/>
      <c r="M1455" s="334"/>
      <c r="N1455" s="277"/>
      <c r="O1455" s="315"/>
      <c r="P1455" s="344">
        <f t="shared" si="69"/>
        <v>0</v>
      </c>
      <c r="Q1455" s="321"/>
      <c r="R1455" s="672" t="b">
        <v>0</v>
      </c>
      <c r="S1455" s="318"/>
      <c r="T1455" s="319"/>
      <c r="U1455" s="315"/>
      <c r="V1455" s="162"/>
      <c r="W1455" s="149"/>
      <c r="X1455" s="163"/>
      <c r="Y1455" s="162"/>
      <c r="Z1455" s="164"/>
      <c r="AA1455" s="116"/>
      <c r="AB1455" s="116"/>
      <c r="AC1455" s="165"/>
      <c r="AD1455" s="675" t="str">
        <f t="shared" si="76"/>
        <v/>
      </c>
      <c r="AE1455" s="166"/>
      <c r="AF1455" s="149" t="b">
        <v>0</v>
      </c>
      <c r="AG1455" s="166"/>
      <c r="AH1455" s="149" t="b">
        <v>0</v>
      </c>
      <c r="AI1455" s="162"/>
      <c r="AJ1455" s="143"/>
      <c r="AK1455" s="143"/>
      <c r="AL1455" s="1112"/>
      <c r="AM1455" s="1112"/>
      <c r="AN1455" s="1112"/>
      <c r="AO1455" s="1112"/>
      <c r="AP1455" s="1112"/>
      <c r="AQ1455" s="1112"/>
    </row>
    <row r="1456" ht="22.5" customHeight="1">
      <c r="A1456" s="166"/>
      <c r="B1456" s="1111"/>
      <c r="C1456" s="524"/>
      <c r="D1456" s="1110"/>
      <c r="E1456" s="669"/>
      <c r="F1456" s="524"/>
      <c r="G1456" s="165"/>
      <c r="H1456" s="669"/>
      <c r="I1456" s="669"/>
      <c r="J1456" s="352"/>
      <c r="K1456" s="271" t="str">
        <f t="shared" si="74"/>
        <v/>
      </c>
      <c r="L1456" s="297"/>
      <c r="M1456" s="334"/>
      <c r="N1456" s="277"/>
      <c r="O1456" s="315"/>
      <c r="P1456" s="344">
        <f t="shared" si="69"/>
        <v>0</v>
      </c>
      <c r="Q1456" s="321"/>
      <c r="R1456" s="672" t="b">
        <v>0</v>
      </c>
      <c r="S1456" s="318"/>
      <c r="T1456" s="319"/>
      <c r="U1456" s="315"/>
      <c r="V1456" s="162"/>
      <c r="W1456" s="149"/>
      <c r="X1456" s="163"/>
      <c r="Y1456" s="162"/>
      <c r="Z1456" s="164"/>
      <c r="AA1456" s="116"/>
      <c r="AB1456" s="116"/>
      <c r="AC1456" s="165"/>
      <c r="AD1456" s="675" t="str">
        <f t="shared" si="76"/>
        <v/>
      </c>
      <c r="AE1456" s="166"/>
      <c r="AF1456" s="149" t="b">
        <v>0</v>
      </c>
      <c r="AG1456" s="166"/>
      <c r="AH1456" s="149" t="b">
        <v>0</v>
      </c>
      <c r="AI1456" s="162"/>
      <c r="AJ1456" s="143"/>
      <c r="AK1456" s="143"/>
      <c r="AL1456" s="1112"/>
      <c r="AM1456" s="1112"/>
      <c r="AN1456" s="1112"/>
      <c r="AO1456" s="1112"/>
      <c r="AP1456" s="1112"/>
      <c r="AQ1456" s="1112"/>
    </row>
    <row r="1457" ht="22.5" customHeight="1">
      <c r="A1457" s="166"/>
      <c r="B1457" s="1111"/>
      <c r="C1457" s="524"/>
      <c r="D1457" s="1110"/>
      <c r="E1457" s="669"/>
      <c r="F1457" s="524"/>
      <c r="G1457" s="165"/>
      <c r="H1457" s="669"/>
      <c r="I1457" s="669"/>
      <c r="J1457" s="352"/>
      <c r="K1457" s="271" t="str">
        <f t="shared" si="74"/>
        <v/>
      </c>
      <c r="L1457" s="297"/>
      <c r="M1457" s="334"/>
      <c r="N1457" s="277"/>
      <c r="O1457" s="315"/>
      <c r="P1457" s="344">
        <f t="shared" si="69"/>
        <v>0</v>
      </c>
      <c r="Q1457" s="321"/>
      <c r="R1457" s="672" t="b">
        <v>0</v>
      </c>
      <c r="S1457" s="318"/>
      <c r="T1457" s="319"/>
      <c r="U1457" s="315"/>
      <c r="V1457" s="162"/>
      <c r="W1457" s="149"/>
      <c r="X1457" s="163"/>
      <c r="Y1457" s="162"/>
      <c r="Z1457" s="164"/>
      <c r="AA1457" s="116"/>
      <c r="AB1457" s="116"/>
      <c r="AC1457" s="165"/>
      <c r="AD1457" s="675" t="str">
        <f t="shared" si="76"/>
        <v/>
      </c>
      <c r="AE1457" s="166"/>
      <c r="AF1457" s="149" t="b">
        <v>0</v>
      </c>
      <c r="AG1457" s="166"/>
      <c r="AH1457" s="149" t="b">
        <v>0</v>
      </c>
      <c r="AI1457" s="162"/>
      <c r="AJ1457" s="143"/>
      <c r="AK1457" s="143"/>
      <c r="AL1457" s="1112"/>
      <c r="AM1457" s="1112"/>
      <c r="AN1457" s="1112"/>
      <c r="AO1457" s="1112"/>
      <c r="AP1457" s="1112"/>
      <c r="AQ1457" s="1112"/>
    </row>
    <row r="1458" ht="22.5" customHeight="1">
      <c r="A1458" s="166"/>
      <c r="B1458" s="1111"/>
      <c r="C1458" s="524"/>
      <c r="D1458" s="1110"/>
      <c r="E1458" s="669"/>
      <c r="F1458" s="524"/>
      <c r="G1458" s="165"/>
      <c r="H1458" s="669"/>
      <c r="I1458" s="669"/>
      <c r="J1458" s="352"/>
      <c r="K1458" s="271" t="str">
        <f t="shared" si="74"/>
        <v/>
      </c>
      <c r="L1458" s="297"/>
      <c r="M1458" s="334"/>
      <c r="N1458" s="277"/>
      <c r="O1458" s="315"/>
      <c r="P1458" s="344">
        <f t="shared" si="69"/>
        <v>0</v>
      </c>
      <c r="Q1458" s="321"/>
      <c r="R1458" s="672" t="b">
        <v>0</v>
      </c>
      <c r="S1458" s="318"/>
      <c r="T1458" s="319"/>
      <c r="U1458" s="315"/>
      <c r="V1458" s="162"/>
      <c r="W1458" s="149"/>
      <c r="X1458" s="163"/>
      <c r="Y1458" s="162"/>
      <c r="Z1458" s="164"/>
      <c r="AA1458" s="116"/>
      <c r="AB1458" s="116"/>
      <c r="AC1458" s="165"/>
      <c r="AD1458" s="675" t="str">
        <f t="shared" si="76"/>
        <v/>
      </c>
      <c r="AE1458" s="166"/>
      <c r="AF1458" s="149" t="b">
        <v>0</v>
      </c>
      <c r="AG1458" s="166"/>
      <c r="AH1458" s="149" t="b">
        <v>0</v>
      </c>
      <c r="AI1458" s="162"/>
      <c r="AJ1458" s="143"/>
      <c r="AK1458" s="143"/>
      <c r="AL1458" s="1112"/>
      <c r="AM1458" s="1112"/>
      <c r="AN1458" s="1112"/>
      <c r="AO1458" s="1112"/>
      <c r="AP1458" s="1112"/>
      <c r="AQ1458" s="1112"/>
    </row>
    <row r="1459" ht="22.5" customHeight="1">
      <c r="A1459" s="166"/>
      <c r="B1459" s="1111"/>
      <c r="C1459" s="524"/>
      <c r="D1459" s="1110"/>
      <c r="E1459" s="669"/>
      <c r="F1459" s="524"/>
      <c r="G1459" s="165"/>
      <c r="H1459" s="669"/>
      <c r="I1459" s="669"/>
      <c r="J1459" s="352"/>
      <c r="K1459" s="271" t="str">
        <f t="shared" si="74"/>
        <v/>
      </c>
      <c r="L1459" s="297"/>
      <c r="M1459" s="334"/>
      <c r="N1459" s="277"/>
      <c r="O1459" s="315"/>
      <c r="P1459" s="344">
        <f t="shared" si="69"/>
        <v>0</v>
      </c>
      <c r="Q1459" s="321"/>
      <c r="R1459" s="672" t="b">
        <v>0</v>
      </c>
      <c r="S1459" s="318"/>
      <c r="T1459" s="319"/>
      <c r="U1459" s="315"/>
      <c r="V1459" s="162"/>
      <c r="W1459" s="149"/>
      <c r="X1459" s="163"/>
      <c r="Y1459" s="162"/>
      <c r="Z1459" s="164"/>
      <c r="AA1459" s="116"/>
      <c r="AB1459" s="116"/>
      <c r="AC1459" s="165"/>
      <c r="AD1459" s="675" t="str">
        <f t="shared" si="76"/>
        <v/>
      </c>
      <c r="AE1459" s="166"/>
      <c r="AF1459" s="149" t="b">
        <v>0</v>
      </c>
      <c r="AG1459" s="166"/>
      <c r="AH1459" s="149" t="b">
        <v>0</v>
      </c>
      <c r="AI1459" s="162"/>
      <c r="AJ1459" s="143"/>
      <c r="AK1459" s="143"/>
      <c r="AL1459" s="1112"/>
      <c r="AM1459" s="1112"/>
      <c r="AN1459" s="1112"/>
      <c r="AO1459" s="1112"/>
      <c r="AP1459" s="1112"/>
      <c r="AQ1459" s="1112"/>
    </row>
    <row r="1460" ht="22.5" customHeight="1">
      <c r="A1460" s="166"/>
      <c r="B1460" s="1111"/>
      <c r="C1460" s="524"/>
      <c r="D1460" s="1110"/>
      <c r="E1460" s="669"/>
      <c r="F1460" s="524"/>
      <c r="G1460" s="165"/>
      <c r="H1460" s="669"/>
      <c r="I1460" s="669"/>
      <c r="J1460" s="352"/>
      <c r="K1460" s="271" t="str">
        <f t="shared" si="74"/>
        <v/>
      </c>
      <c r="L1460" s="297"/>
      <c r="M1460" s="334"/>
      <c r="N1460" s="277"/>
      <c r="O1460" s="315"/>
      <c r="P1460" s="344">
        <f t="shared" si="69"/>
        <v>0</v>
      </c>
      <c r="Q1460" s="321"/>
      <c r="R1460" s="672" t="b">
        <v>0</v>
      </c>
      <c r="S1460" s="318"/>
      <c r="T1460" s="319"/>
      <c r="U1460" s="315"/>
      <c r="V1460" s="162"/>
      <c r="W1460" s="149"/>
      <c r="X1460" s="163"/>
      <c r="Y1460" s="162"/>
      <c r="Z1460" s="164"/>
      <c r="AA1460" s="116"/>
      <c r="AB1460" s="116"/>
      <c r="AC1460" s="165"/>
      <c r="AD1460" s="675" t="str">
        <f t="shared" si="76"/>
        <v/>
      </c>
      <c r="AE1460" s="166"/>
      <c r="AF1460" s="149" t="b">
        <v>0</v>
      </c>
      <c r="AG1460" s="166"/>
      <c r="AH1460" s="149" t="b">
        <v>0</v>
      </c>
      <c r="AI1460" s="162"/>
      <c r="AJ1460" s="143"/>
      <c r="AK1460" s="143"/>
      <c r="AL1460" s="1112"/>
      <c r="AM1460" s="1112"/>
      <c r="AN1460" s="1112"/>
      <c r="AO1460" s="1112"/>
      <c r="AP1460" s="1112"/>
      <c r="AQ1460" s="1112"/>
    </row>
    <row r="1461" ht="22.5" customHeight="1">
      <c r="A1461" s="166"/>
      <c r="B1461" s="1111"/>
      <c r="C1461" s="524"/>
      <c r="D1461" s="1110"/>
      <c r="E1461" s="669"/>
      <c r="F1461" s="524"/>
      <c r="G1461" s="165"/>
      <c r="H1461" s="669"/>
      <c r="I1461" s="669"/>
      <c r="J1461" s="352"/>
      <c r="K1461" s="271" t="str">
        <f t="shared" si="74"/>
        <v/>
      </c>
      <c r="L1461" s="297"/>
      <c r="M1461" s="334"/>
      <c r="N1461" s="277"/>
      <c r="O1461" s="315"/>
      <c r="P1461" s="344">
        <f t="shared" si="69"/>
        <v>0</v>
      </c>
      <c r="Q1461" s="321"/>
      <c r="R1461" s="672" t="b">
        <v>0</v>
      </c>
      <c r="S1461" s="318"/>
      <c r="T1461" s="319"/>
      <c r="U1461" s="315"/>
      <c r="V1461" s="162"/>
      <c r="W1461" s="149"/>
      <c r="X1461" s="163"/>
      <c r="Y1461" s="162"/>
      <c r="Z1461" s="164"/>
      <c r="AA1461" s="116"/>
      <c r="AB1461" s="116"/>
      <c r="AC1461" s="165"/>
      <c r="AD1461" s="675" t="str">
        <f t="shared" si="76"/>
        <v/>
      </c>
      <c r="AE1461" s="166"/>
      <c r="AF1461" s="149" t="b">
        <v>0</v>
      </c>
      <c r="AG1461" s="166"/>
      <c r="AH1461" s="149" t="b">
        <v>0</v>
      </c>
      <c r="AI1461" s="162"/>
      <c r="AJ1461" s="143"/>
      <c r="AK1461" s="143"/>
      <c r="AL1461" s="1112"/>
      <c r="AM1461" s="1112"/>
      <c r="AN1461" s="1112"/>
      <c r="AO1461" s="1112"/>
      <c r="AP1461" s="1112"/>
      <c r="AQ1461" s="1112"/>
    </row>
    <row r="1462" ht="22.5" customHeight="1">
      <c r="A1462" s="166"/>
      <c r="B1462" s="1111"/>
      <c r="C1462" s="524"/>
      <c r="D1462" s="1110"/>
      <c r="E1462" s="669"/>
      <c r="F1462" s="524"/>
      <c r="G1462" s="165"/>
      <c r="H1462" s="669"/>
      <c r="I1462" s="669"/>
      <c r="J1462" s="352"/>
      <c r="K1462" s="271" t="str">
        <f t="shared" si="74"/>
        <v/>
      </c>
      <c r="L1462" s="297"/>
      <c r="M1462" s="334"/>
      <c r="N1462" s="277"/>
      <c r="O1462" s="315"/>
      <c r="P1462" s="344">
        <f t="shared" si="69"/>
        <v>0</v>
      </c>
      <c r="Q1462" s="321"/>
      <c r="R1462" s="672" t="b">
        <v>0</v>
      </c>
      <c r="S1462" s="318"/>
      <c r="T1462" s="319"/>
      <c r="U1462" s="315"/>
      <c r="V1462" s="162"/>
      <c r="W1462" s="149"/>
      <c r="X1462" s="163"/>
      <c r="Y1462" s="162"/>
      <c r="Z1462" s="164"/>
      <c r="AA1462" s="116"/>
      <c r="AB1462" s="116"/>
      <c r="AC1462" s="165"/>
      <c r="AD1462" s="675" t="str">
        <f t="shared" si="76"/>
        <v/>
      </c>
      <c r="AE1462" s="166"/>
      <c r="AF1462" s="149" t="b">
        <v>0</v>
      </c>
      <c r="AG1462" s="166"/>
      <c r="AH1462" s="149" t="b">
        <v>0</v>
      </c>
      <c r="AI1462" s="162"/>
      <c r="AJ1462" s="143"/>
      <c r="AK1462" s="143"/>
      <c r="AL1462" s="1112"/>
      <c r="AM1462" s="1112"/>
      <c r="AN1462" s="1112"/>
      <c r="AO1462" s="1112"/>
      <c r="AP1462" s="1112"/>
      <c r="AQ1462" s="1112"/>
    </row>
    <row r="1463" ht="22.5" customHeight="1">
      <c r="A1463" s="166"/>
      <c r="B1463" s="1111"/>
      <c r="C1463" s="524"/>
      <c r="D1463" s="1110"/>
      <c r="E1463" s="669"/>
      <c r="F1463" s="524"/>
      <c r="G1463" s="165"/>
      <c r="H1463" s="669"/>
      <c r="I1463" s="669"/>
      <c r="J1463" s="352"/>
      <c r="K1463" s="271" t="str">
        <f t="shared" si="74"/>
        <v/>
      </c>
      <c r="L1463" s="297"/>
      <c r="M1463" s="334"/>
      <c r="N1463" s="277"/>
      <c r="O1463" s="315"/>
      <c r="P1463" s="344">
        <f t="shared" si="69"/>
        <v>0</v>
      </c>
      <c r="Q1463" s="321"/>
      <c r="R1463" s="672" t="b">
        <v>0</v>
      </c>
      <c r="S1463" s="318"/>
      <c r="T1463" s="319"/>
      <c r="U1463" s="315"/>
      <c r="V1463" s="162"/>
      <c r="W1463" s="149"/>
      <c r="X1463" s="163"/>
      <c r="Y1463" s="162"/>
      <c r="Z1463" s="164"/>
      <c r="AA1463" s="116"/>
      <c r="AB1463" s="116"/>
      <c r="AC1463" s="165"/>
      <c r="AD1463" s="675" t="str">
        <f t="shared" si="76"/>
        <v/>
      </c>
      <c r="AE1463" s="166"/>
      <c r="AF1463" s="149" t="b">
        <v>0</v>
      </c>
      <c r="AG1463" s="166"/>
      <c r="AH1463" s="149" t="b">
        <v>0</v>
      </c>
      <c r="AI1463" s="162"/>
      <c r="AJ1463" s="143"/>
      <c r="AK1463" s="143"/>
      <c r="AL1463" s="1112"/>
      <c r="AM1463" s="1112"/>
      <c r="AN1463" s="1112"/>
      <c r="AO1463" s="1112"/>
      <c r="AP1463" s="1112"/>
      <c r="AQ1463" s="1112"/>
    </row>
    <row r="1464" ht="22.5" customHeight="1">
      <c r="A1464" s="166"/>
      <c r="B1464" s="1111"/>
      <c r="C1464" s="524"/>
      <c r="D1464" s="1110"/>
      <c r="E1464" s="669"/>
      <c r="F1464" s="524"/>
      <c r="G1464" s="165"/>
      <c r="H1464" s="669"/>
      <c r="I1464" s="669"/>
      <c r="J1464" s="352"/>
      <c r="K1464" s="271" t="str">
        <f t="shared" si="74"/>
        <v/>
      </c>
      <c r="L1464" s="297"/>
      <c r="M1464" s="334"/>
      <c r="N1464" s="277"/>
      <c r="O1464" s="315"/>
      <c r="P1464" s="344">
        <f t="shared" si="69"/>
        <v>0</v>
      </c>
      <c r="Q1464" s="321"/>
      <c r="R1464" s="672" t="b">
        <v>0</v>
      </c>
      <c r="S1464" s="318"/>
      <c r="T1464" s="319"/>
      <c r="U1464" s="315"/>
      <c r="V1464" s="162"/>
      <c r="W1464" s="149"/>
      <c r="X1464" s="163"/>
      <c r="Y1464" s="162"/>
      <c r="Z1464" s="164"/>
      <c r="AA1464" s="116"/>
      <c r="AB1464" s="116"/>
      <c r="AC1464" s="165"/>
      <c r="AD1464" s="675" t="str">
        <f t="shared" si="76"/>
        <v/>
      </c>
      <c r="AE1464" s="166"/>
      <c r="AF1464" s="149" t="b">
        <v>0</v>
      </c>
      <c r="AG1464" s="166"/>
      <c r="AH1464" s="149" t="b">
        <v>0</v>
      </c>
      <c r="AI1464" s="162"/>
      <c r="AJ1464" s="143"/>
      <c r="AK1464" s="143"/>
      <c r="AL1464" s="1112"/>
      <c r="AM1464" s="1112"/>
      <c r="AN1464" s="1112"/>
      <c r="AO1464" s="1112"/>
      <c r="AP1464" s="1112"/>
      <c r="AQ1464" s="1112"/>
    </row>
    <row r="1465" ht="22.5" customHeight="1">
      <c r="A1465" s="166"/>
      <c r="B1465" s="1111"/>
      <c r="C1465" s="524"/>
      <c r="D1465" s="1110"/>
      <c r="E1465" s="669"/>
      <c r="F1465" s="524"/>
      <c r="G1465" s="165"/>
      <c r="H1465" s="669"/>
      <c r="I1465" s="669"/>
      <c r="J1465" s="352"/>
      <c r="K1465" s="271" t="str">
        <f t="shared" si="74"/>
        <v/>
      </c>
      <c r="L1465" s="297"/>
      <c r="M1465" s="334"/>
      <c r="N1465" s="277"/>
      <c r="O1465" s="315"/>
      <c r="P1465" s="344">
        <f t="shared" si="69"/>
        <v>0</v>
      </c>
      <c r="Q1465" s="321"/>
      <c r="R1465" s="672" t="b">
        <v>0</v>
      </c>
      <c r="S1465" s="318"/>
      <c r="T1465" s="319"/>
      <c r="U1465" s="315"/>
      <c r="V1465" s="162"/>
      <c r="W1465" s="149"/>
      <c r="X1465" s="163"/>
      <c r="Y1465" s="162"/>
      <c r="Z1465" s="164"/>
      <c r="AA1465" s="116"/>
      <c r="AB1465" s="116"/>
      <c r="AC1465" s="165"/>
      <c r="AD1465" s="675" t="str">
        <f t="shared" si="76"/>
        <v/>
      </c>
      <c r="AE1465" s="166"/>
      <c r="AF1465" s="149" t="b">
        <v>0</v>
      </c>
      <c r="AG1465" s="166"/>
      <c r="AH1465" s="149" t="b">
        <v>0</v>
      </c>
      <c r="AI1465" s="162"/>
      <c r="AJ1465" s="143"/>
      <c r="AK1465" s="143"/>
      <c r="AL1465" s="1112"/>
      <c r="AM1465" s="1112"/>
      <c r="AN1465" s="1112"/>
      <c r="AO1465" s="1112"/>
      <c r="AP1465" s="1112"/>
      <c r="AQ1465" s="1112"/>
    </row>
    <row r="1466" ht="22.5" customHeight="1">
      <c r="A1466" s="166"/>
      <c r="B1466" s="1111"/>
      <c r="C1466" s="524"/>
      <c r="D1466" s="1110"/>
      <c r="E1466" s="669"/>
      <c r="F1466" s="524"/>
      <c r="G1466" s="165"/>
      <c r="H1466" s="669"/>
      <c r="I1466" s="669"/>
      <c r="J1466" s="352"/>
      <c r="K1466" s="271" t="str">
        <f t="shared" si="74"/>
        <v/>
      </c>
      <c r="L1466" s="297"/>
      <c r="M1466" s="334"/>
      <c r="N1466" s="277"/>
      <c r="O1466" s="315"/>
      <c r="P1466" s="344">
        <f t="shared" si="69"/>
        <v>0</v>
      </c>
      <c r="Q1466" s="321"/>
      <c r="R1466" s="672" t="b">
        <v>0</v>
      </c>
      <c r="S1466" s="318"/>
      <c r="T1466" s="319"/>
      <c r="U1466" s="315"/>
      <c r="V1466" s="162"/>
      <c r="W1466" s="149"/>
      <c r="X1466" s="163"/>
      <c r="Y1466" s="162"/>
      <c r="Z1466" s="164"/>
      <c r="AA1466" s="116"/>
      <c r="AB1466" s="116"/>
      <c r="AC1466" s="165"/>
      <c r="AD1466" s="675" t="str">
        <f t="shared" si="76"/>
        <v/>
      </c>
      <c r="AE1466" s="166"/>
      <c r="AF1466" s="149" t="b">
        <v>0</v>
      </c>
      <c r="AG1466" s="166"/>
      <c r="AH1466" s="149" t="b">
        <v>0</v>
      </c>
      <c r="AI1466" s="162"/>
      <c r="AJ1466" s="143"/>
      <c r="AK1466" s="143"/>
      <c r="AL1466" s="1112"/>
      <c r="AM1466" s="1112"/>
      <c r="AN1466" s="1112"/>
      <c r="AO1466" s="1112"/>
      <c r="AP1466" s="1112"/>
      <c r="AQ1466" s="1112"/>
    </row>
    <row r="1467" ht="22.5" customHeight="1">
      <c r="A1467" s="166"/>
      <c r="B1467" s="1111"/>
      <c r="C1467" s="524"/>
      <c r="D1467" s="1110"/>
      <c r="E1467" s="669"/>
      <c r="F1467" s="524"/>
      <c r="G1467" s="165"/>
      <c r="H1467" s="669"/>
      <c r="I1467" s="669"/>
      <c r="J1467" s="352"/>
      <c r="K1467" s="271" t="str">
        <f t="shared" si="74"/>
        <v/>
      </c>
      <c r="L1467" s="297"/>
      <c r="M1467" s="334"/>
      <c r="N1467" s="277"/>
      <c r="O1467" s="315"/>
      <c r="P1467" s="344">
        <f t="shared" si="69"/>
        <v>0</v>
      </c>
      <c r="Q1467" s="321"/>
      <c r="R1467" s="672" t="b">
        <v>0</v>
      </c>
      <c r="S1467" s="318"/>
      <c r="T1467" s="319"/>
      <c r="U1467" s="315"/>
      <c r="V1467" s="162"/>
      <c r="W1467" s="149"/>
      <c r="X1467" s="163"/>
      <c r="Y1467" s="162"/>
      <c r="Z1467" s="164"/>
      <c r="AA1467" s="116"/>
      <c r="AB1467" s="116"/>
      <c r="AC1467" s="165"/>
      <c r="AD1467" s="675" t="str">
        <f t="shared" si="76"/>
        <v/>
      </c>
      <c r="AE1467" s="166"/>
      <c r="AF1467" s="149" t="b">
        <v>0</v>
      </c>
      <c r="AG1467" s="166"/>
      <c r="AH1467" s="149" t="b">
        <v>0</v>
      </c>
      <c r="AI1467" s="162"/>
      <c r="AJ1467" s="143"/>
      <c r="AK1467" s="143"/>
      <c r="AL1467" s="1112"/>
      <c r="AM1467" s="1112"/>
      <c r="AN1467" s="1112"/>
      <c r="AO1467" s="1112"/>
      <c r="AP1467" s="1112"/>
      <c r="AQ1467" s="1112"/>
    </row>
    <row r="1468" ht="22.5" customHeight="1">
      <c r="A1468" s="166"/>
      <c r="B1468" s="1111"/>
      <c r="C1468" s="524"/>
      <c r="D1468" s="1110"/>
      <c r="E1468" s="669"/>
      <c r="F1468" s="524"/>
      <c r="G1468" s="165"/>
      <c r="H1468" s="669"/>
      <c r="I1468" s="669"/>
      <c r="J1468" s="352"/>
      <c r="K1468" s="271" t="str">
        <f t="shared" si="74"/>
        <v/>
      </c>
      <c r="L1468" s="297"/>
      <c r="M1468" s="334"/>
      <c r="N1468" s="277"/>
      <c r="O1468" s="315"/>
      <c r="P1468" s="344">
        <f t="shared" si="69"/>
        <v>0</v>
      </c>
      <c r="Q1468" s="321"/>
      <c r="R1468" s="672" t="b">
        <v>0</v>
      </c>
      <c r="S1468" s="318"/>
      <c r="T1468" s="319"/>
      <c r="U1468" s="315"/>
      <c r="V1468" s="162"/>
      <c r="W1468" s="149"/>
      <c r="X1468" s="163"/>
      <c r="Y1468" s="162"/>
      <c r="Z1468" s="164"/>
      <c r="AA1468" s="116"/>
      <c r="AB1468" s="116"/>
      <c r="AC1468" s="165"/>
      <c r="AD1468" s="675" t="str">
        <f t="shared" si="76"/>
        <v/>
      </c>
      <c r="AE1468" s="166"/>
      <c r="AF1468" s="149" t="b">
        <v>0</v>
      </c>
      <c r="AG1468" s="166"/>
      <c r="AH1468" s="149" t="b">
        <v>0</v>
      </c>
      <c r="AI1468" s="162"/>
      <c r="AJ1468" s="143"/>
      <c r="AK1468" s="143"/>
      <c r="AL1468" s="1112"/>
      <c r="AM1468" s="1112"/>
      <c r="AN1468" s="1112"/>
      <c r="AO1468" s="1112"/>
      <c r="AP1468" s="1112"/>
      <c r="AQ1468" s="1112"/>
    </row>
    <row r="1469" ht="22.5" customHeight="1">
      <c r="A1469" s="166"/>
      <c r="B1469" s="1111"/>
      <c r="C1469" s="524"/>
      <c r="D1469" s="1110"/>
      <c r="E1469" s="669"/>
      <c r="F1469" s="524"/>
      <c r="G1469" s="165"/>
      <c r="H1469" s="669"/>
      <c r="I1469" s="669"/>
      <c r="J1469" s="352"/>
      <c r="K1469" s="271" t="str">
        <f t="shared" si="74"/>
        <v/>
      </c>
      <c r="L1469" s="297"/>
      <c r="M1469" s="334"/>
      <c r="N1469" s="277"/>
      <c r="O1469" s="315"/>
      <c r="P1469" s="344">
        <f t="shared" si="69"/>
        <v>0</v>
      </c>
      <c r="Q1469" s="321"/>
      <c r="R1469" s="672" t="b">
        <v>0</v>
      </c>
      <c r="S1469" s="318"/>
      <c r="T1469" s="319"/>
      <c r="U1469" s="315"/>
      <c r="V1469" s="162"/>
      <c r="W1469" s="149"/>
      <c r="X1469" s="163"/>
      <c r="Y1469" s="162"/>
      <c r="Z1469" s="164"/>
      <c r="AA1469" s="116"/>
      <c r="AB1469" s="116"/>
      <c r="AC1469" s="165"/>
      <c r="AD1469" s="675" t="str">
        <f t="shared" si="76"/>
        <v/>
      </c>
      <c r="AE1469" s="166"/>
      <c r="AF1469" s="149" t="b">
        <v>0</v>
      </c>
      <c r="AG1469" s="166"/>
      <c r="AH1469" s="149" t="b">
        <v>0</v>
      </c>
      <c r="AI1469" s="162"/>
      <c r="AJ1469" s="143"/>
      <c r="AK1469" s="143"/>
      <c r="AL1469" s="1112"/>
      <c r="AM1469" s="1112"/>
      <c r="AN1469" s="1112"/>
      <c r="AO1469" s="1112"/>
      <c r="AP1469" s="1112"/>
      <c r="AQ1469" s="1112"/>
    </row>
    <row r="1470" ht="22.5" customHeight="1">
      <c r="A1470" s="166"/>
      <c r="B1470" s="1111"/>
      <c r="C1470" s="524"/>
      <c r="D1470" s="1110"/>
      <c r="E1470" s="669"/>
      <c r="F1470" s="524"/>
      <c r="G1470" s="165"/>
      <c r="H1470" s="669"/>
      <c r="I1470" s="669"/>
      <c r="J1470" s="352"/>
      <c r="K1470" s="271" t="str">
        <f t="shared" si="74"/>
        <v/>
      </c>
      <c r="L1470" s="297"/>
      <c r="M1470" s="334"/>
      <c r="N1470" s="277"/>
      <c r="O1470" s="315"/>
      <c r="P1470" s="344">
        <f t="shared" si="69"/>
        <v>0</v>
      </c>
      <c r="Q1470" s="321"/>
      <c r="R1470" s="672" t="b">
        <v>0</v>
      </c>
      <c r="S1470" s="318"/>
      <c r="T1470" s="319"/>
      <c r="U1470" s="315"/>
      <c r="V1470" s="162"/>
      <c r="W1470" s="149"/>
      <c r="X1470" s="163"/>
      <c r="Y1470" s="162"/>
      <c r="Z1470" s="164"/>
      <c r="AA1470" s="116"/>
      <c r="AB1470" s="116"/>
      <c r="AC1470" s="165"/>
      <c r="AD1470" s="675" t="str">
        <f t="shared" si="76"/>
        <v/>
      </c>
      <c r="AE1470" s="166"/>
      <c r="AF1470" s="149" t="b">
        <v>0</v>
      </c>
      <c r="AG1470" s="166"/>
      <c r="AH1470" s="149" t="b">
        <v>0</v>
      </c>
      <c r="AI1470" s="162"/>
      <c r="AJ1470" s="143"/>
      <c r="AK1470" s="143"/>
      <c r="AL1470" s="1112"/>
      <c r="AM1470" s="1112"/>
      <c r="AN1470" s="1112"/>
      <c r="AO1470" s="1112"/>
      <c r="AP1470" s="1112"/>
      <c r="AQ1470" s="1112"/>
    </row>
    <row r="1471" ht="22.5" customHeight="1">
      <c r="A1471" s="166"/>
      <c r="B1471" s="1111"/>
      <c r="C1471" s="524"/>
      <c r="D1471" s="1110"/>
      <c r="E1471" s="669"/>
      <c r="F1471" s="524"/>
      <c r="G1471" s="165"/>
      <c r="H1471" s="669"/>
      <c r="I1471" s="669"/>
      <c r="J1471" s="352"/>
      <c r="K1471" s="271" t="str">
        <f t="shared" si="74"/>
        <v/>
      </c>
      <c r="L1471" s="297"/>
      <c r="M1471" s="334"/>
      <c r="N1471" s="277"/>
      <c r="O1471" s="315"/>
      <c r="P1471" s="344">
        <f t="shared" si="69"/>
        <v>0</v>
      </c>
      <c r="Q1471" s="321"/>
      <c r="R1471" s="672" t="b">
        <v>0</v>
      </c>
      <c r="S1471" s="318"/>
      <c r="T1471" s="319"/>
      <c r="U1471" s="315"/>
      <c r="V1471" s="162"/>
      <c r="W1471" s="149"/>
      <c r="X1471" s="163"/>
      <c r="Y1471" s="162"/>
      <c r="Z1471" s="164"/>
      <c r="AA1471" s="116"/>
      <c r="AB1471" s="116"/>
      <c r="AC1471" s="165"/>
      <c r="AD1471" s="675" t="str">
        <f t="shared" si="76"/>
        <v/>
      </c>
      <c r="AE1471" s="166"/>
      <c r="AF1471" s="149" t="b">
        <v>0</v>
      </c>
      <c r="AG1471" s="166"/>
      <c r="AH1471" s="149" t="b">
        <v>0</v>
      </c>
      <c r="AI1471" s="162"/>
      <c r="AJ1471" s="143"/>
      <c r="AK1471" s="143"/>
      <c r="AL1471" s="1112"/>
      <c r="AM1471" s="1112"/>
      <c r="AN1471" s="1112"/>
      <c r="AO1471" s="1112"/>
      <c r="AP1471" s="1112"/>
      <c r="AQ1471" s="1112"/>
    </row>
    <row r="1472" ht="22.5" customHeight="1">
      <c r="A1472" s="166"/>
      <c r="B1472" s="1111"/>
      <c r="C1472" s="524"/>
      <c r="D1472" s="1110"/>
      <c r="E1472" s="669"/>
      <c r="F1472" s="524"/>
      <c r="G1472" s="165"/>
      <c r="H1472" s="669"/>
      <c r="I1472" s="669"/>
      <c r="J1472" s="352"/>
      <c r="K1472" s="271" t="str">
        <f t="shared" si="74"/>
        <v/>
      </c>
      <c r="L1472" s="297"/>
      <c r="M1472" s="334"/>
      <c r="N1472" s="277"/>
      <c r="O1472" s="315"/>
      <c r="P1472" s="344">
        <f t="shared" si="69"/>
        <v>0</v>
      </c>
      <c r="Q1472" s="321"/>
      <c r="R1472" s="672" t="b">
        <v>0</v>
      </c>
      <c r="S1472" s="318"/>
      <c r="T1472" s="319"/>
      <c r="U1472" s="315"/>
      <c r="V1472" s="162"/>
      <c r="W1472" s="149"/>
      <c r="X1472" s="163"/>
      <c r="Y1472" s="162"/>
      <c r="Z1472" s="164"/>
      <c r="AA1472" s="116"/>
      <c r="AB1472" s="116"/>
      <c r="AC1472" s="165"/>
      <c r="AD1472" s="675" t="str">
        <f t="shared" si="76"/>
        <v/>
      </c>
      <c r="AE1472" s="166"/>
      <c r="AF1472" s="149" t="b">
        <v>0</v>
      </c>
      <c r="AG1472" s="166"/>
      <c r="AH1472" s="149" t="b">
        <v>0</v>
      </c>
      <c r="AI1472" s="162"/>
      <c r="AJ1472" s="143"/>
      <c r="AK1472" s="143"/>
      <c r="AL1472" s="1112"/>
      <c r="AM1472" s="1112"/>
      <c r="AN1472" s="1112"/>
      <c r="AO1472" s="1112"/>
      <c r="AP1472" s="1112"/>
      <c r="AQ1472" s="1112"/>
    </row>
    <row r="1473" ht="22.5" customHeight="1">
      <c r="A1473" s="166"/>
      <c r="B1473" s="1111"/>
      <c r="C1473" s="524"/>
      <c r="D1473" s="1110"/>
      <c r="E1473" s="669"/>
      <c r="F1473" s="524"/>
      <c r="G1473" s="165"/>
      <c r="H1473" s="669"/>
      <c r="I1473" s="669"/>
      <c r="J1473" s="352"/>
      <c r="K1473" s="271" t="str">
        <f t="shared" si="74"/>
        <v/>
      </c>
      <c r="L1473" s="297"/>
      <c r="M1473" s="334"/>
      <c r="N1473" s="277"/>
      <c r="O1473" s="315"/>
      <c r="P1473" s="344">
        <f t="shared" si="69"/>
        <v>0</v>
      </c>
      <c r="Q1473" s="321"/>
      <c r="R1473" s="672" t="b">
        <v>0</v>
      </c>
      <c r="S1473" s="318"/>
      <c r="T1473" s="319"/>
      <c r="U1473" s="315"/>
      <c r="V1473" s="162"/>
      <c r="W1473" s="149"/>
      <c r="X1473" s="163"/>
      <c r="Y1473" s="162"/>
      <c r="Z1473" s="164"/>
      <c r="AA1473" s="116"/>
      <c r="AB1473" s="116"/>
      <c r="AC1473" s="165"/>
      <c r="AD1473" s="675" t="str">
        <f t="shared" si="76"/>
        <v/>
      </c>
      <c r="AE1473" s="166"/>
      <c r="AF1473" s="149" t="b">
        <v>0</v>
      </c>
      <c r="AG1473" s="166"/>
      <c r="AH1473" s="149" t="b">
        <v>0</v>
      </c>
      <c r="AI1473" s="162"/>
      <c r="AJ1473" s="143"/>
      <c r="AK1473" s="143"/>
      <c r="AL1473" s="1112"/>
      <c r="AM1473" s="1112"/>
      <c r="AN1473" s="1112"/>
      <c r="AO1473" s="1112"/>
      <c r="AP1473" s="1112"/>
      <c r="AQ1473" s="1112"/>
    </row>
    <row r="1474" ht="22.5" customHeight="1">
      <c r="A1474" s="166"/>
      <c r="B1474" s="1111"/>
      <c r="C1474" s="524"/>
      <c r="D1474" s="1110"/>
      <c r="E1474" s="669"/>
      <c r="F1474" s="524"/>
      <c r="G1474" s="165"/>
      <c r="H1474" s="669"/>
      <c r="I1474" s="669"/>
      <c r="J1474" s="352"/>
      <c r="K1474" s="271" t="str">
        <f t="shared" si="74"/>
        <v/>
      </c>
      <c r="L1474" s="297"/>
      <c r="M1474" s="334"/>
      <c r="N1474" s="277"/>
      <c r="O1474" s="315"/>
      <c r="P1474" s="344">
        <f t="shared" si="69"/>
        <v>0</v>
      </c>
      <c r="Q1474" s="321"/>
      <c r="R1474" s="672" t="b">
        <v>0</v>
      </c>
      <c r="S1474" s="318"/>
      <c r="T1474" s="319"/>
      <c r="U1474" s="315"/>
      <c r="V1474" s="162"/>
      <c r="W1474" s="149"/>
      <c r="X1474" s="163"/>
      <c r="Y1474" s="162"/>
      <c r="Z1474" s="164"/>
      <c r="AA1474" s="116"/>
      <c r="AB1474" s="116"/>
      <c r="AC1474" s="165"/>
      <c r="AD1474" s="675" t="str">
        <f t="shared" si="76"/>
        <v/>
      </c>
      <c r="AE1474" s="166"/>
      <c r="AF1474" s="149" t="b">
        <v>0</v>
      </c>
      <c r="AG1474" s="166"/>
      <c r="AH1474" s="149" t="b">
        <v>0</v>
      </c>
      <c r="AI1474" s="162"/>
      <c r="AJ1474" s="143"/>
      <c r="AK1474" s="143"/>
      <c r="AL1474" s="1112"/>
      <c r="AM1474" s="1112"/>
      <c r="AN1474" s="1112"/>
      <c r="AO1474" s="1112"/>
      <c r="AP1474" s="1112"/>
      <c r="AQ1474" s="1112"/>
    </row>
    <row r="1475" ht="22.5" customHeight="1">
      <c r="A1475" s="166"/>
      <c r="B1475" s="1111"/>
      <c r="C1475" s="524"/>
      <c r="D1475" s="1110"/>
      <c r="E1475" s="669"/>
      <c r="F1475" s="524"/>
      <c r="G1475" s="165"/>
      <c r="H1475" s="669"/>
      <c r="I1475" s="669"/>
      <c r="J1475" s="352"/>
      <c r="K1475" s="271" t="str">
        <f t="shared" si="74"/>
        <v/>
      </c>
      <c r="L1475" s="297"/>
      <c r="M1475" s="334"/>
      <c r="N1475" s="277"/>
      <c r="O1475" s="315"/>
      <c r="P1475" s="344">
        <f t="shared" si="69"/>
        <v>0</v>
      </c>
      <c r="Q1475" s="321"/>
      <c r="R1475" s="672" t="b">
        <v>0</v>
      </c>
      <c r="S1475" s="318"/>
      <c r="T1475" s="319"/>
      <c r="U1475" s="315"/>
      <c r="V1475" s="162"/>
      <c r="W1475" s="149"/>
      <c r="X1475" s="163"/>
      <c r="Y1475" s="162"/>
      <c r="Z1475" s="164"/>
      <c r="AA1475" s="116"/>
      <c r="AB1475" s="116"/>
      <c r="AC1475" s="165"/>
      <c r="AD1475" s="675" t="str">
        <f t="shared" si="76"/>
        <v/>
      </c>
      <c r="AE1475" s="166"/>
      <c r="AF1475" s="149" t="b">
        <v>0</v>
      </c>
      <c r="AG1475" s="166"/>
      <c r="AH1475" s="149" t="b">
        <v>0</v>
      </c>
      <c r="AI1475" s="162"/>
      <c r="AJ1475" s="143"/>
      <c r="AK1475" s="143"/>
      <c r="AL1475" s="1112"/>
      <c r="AM1475" s="1112"/>
      <c r="AN1475" s="1112"/>
      <c r="AO1475" s="1112"/>
      <c r="AP1475" s="1112"/>
      <c r="AQ1475" s="1112"/>
    </row>
    <row r="1476" ht="22.5" customHeight="1">
      <c r="A1476" s="166"/>
      <c r="B1476" s="1111"/>
      <c r="C1476" s="524"/>
      <c r="D1476" s="1110"/>
      <c r="E1476" s="669"/>
      <c r="F1476" s="524"/>
      <c r="G1476" s="165"/>
      <c r="H1476" s="669"/>
      <c r="I1476" s="669"/>
      <c r="J1476" s="352"/>
      <c r="K1476" s="271" t="str">
        <f t="shared" si="74"/>
        <v/>
      </c>
      <c r="L1476" s="297"/>
      <c r="M1476" s="334"/>
      <c r="N1476" s="277"/>
      <c r="O1476" s="315"/>
      <c r="P1476" s="344">
        <f t="shared" si="69"/>
        <v>0</v>
      </c>
      <c r="Q1476" s="321"/>
      <c r="R1476" s="672" t="b">
        <v>0</v>
      </c>
      <c r="S1476" s="318"/>
      <c r="T1476" s="319"/>
      <c r="U1476" s="315"/>
      <c r="V1476" s="162"/>
      <c r="W1476" s="149"/>
      <c r="X1476" s="163"/>
      <c r="Y1476" s="162"/>
      <c r="Z1476" s="164"/>
      <c r="AA1476" s="116"/>
      <c r="AB1476" s="116"/>
      <c r="AC1476" s="165"/>
      <c r="AD1476" s="675" t="str">
        <f t="shared" si="76"/>
        <v/>
      </c>
      <c r="AE1476" s="166"/>
      <c r="AF1476" s="149" t="b">
        <v>0</v>
      </c>
      <c r="AG1476" s="166"/>
      <c r="AH1476" s="149" t="b">
        <v>0</v>
      </c>
      <c r="AI1476" s="162"/>
      <c r="AJ1476" s="143"/>
      <c r="AK1476" s="143"/>
      <c r="AL1476" s="1112"/>
      <c r="AM1476" s="1112"/>
      <c r="AN1476" s="1112"/>
      <c r="AO1476" s="1112"/>
      <c r="AP1476" s="1112"/>
      <c r="AQ1476" s="1112"/>
    </row>
    <row r="1477" ht="22.5" customHeight="1">
      <c r="A1477" s="166"/>
      <c r="B1477" s="1111"/>
      <c r="C1477" s="524"/>
      <c r="D1477" s="1110"/>
      <c r="E1477" s="669"/>
      <c r="F1477" s="524"/>
      <c r="G1477" s="165"/>
      <c r="H1477" s="669"/>
      <c r="I1477" s="669"/>
      <c r="J1477" s="352"/>
      <c r="K1477" s="271" t="str">
        <f t="shared" si="74"/>
        <v/>
      </c>
      <c r="L1477" s="297"/>
      <c r="M1477" s="334"/>
      <c r="N1477" s="277"/>
      <c r="O1477" s="315"/>
      <c r="P1477" s="344">
        <f t="shared" si="69"/>
        <v>0</v>
      </c>
      <c r="Q1477" s="321"/>
      <c r="R1477" s="672" t="b">
        <v>0</v>
      </c>
      <c r="S1477" s="318"/>
      <c r="T1477" s="319"/>
      <c r="U1477" s="315"/>
      <c r="V1477" s="162"/>
      <c r="W1477" s="149"/>
      <c r="X1477" s="163"/>
      <c r="Y1477" s="162"/>
      <c r="Z1477" s="164"/>
      <c r="AA1477" s="116"/>
      <c r="AB1477" s="116"/>
      <c r="AC1477" s="165"/>
      <c r="AD1477" s="675" t="str">
        <f t="shared" si="76"/>
        <v/>
      </c>
      <c r="AE1477" s="166"/>
      <c r="AF1477" s="149" t="b">
        <v>0</v>
      </c>
      <c r="AG1477" s="166"/>
      <c r="AH1477" s="149" t="b">
        <v>0</v>
      </c>
      <c r="AI1477" s="162"/>
      <c r="AJ1477" s="143"/>
      <c r="AK1477" s="143"/>
      <c r="AL1477" s="1112"/>
      <c r="AM1477" s="1112"/>
      <c r="AN1477" s="1112"/>
      <c r="AO1477" s="1112"/>
      <c r="AP1477" s="1112"/>
      <c r="AQ1477" s="1112"/>
    </row>
    <row r="1478" ht="22.5" customHeight="1">
      <c r="A1478" s="166"/>
      <c r="B1478" s="1111"/>
      <c r="C1478" s="524"/>
      <c r="D1478" s="1110"/>
      <c r="E1478" s="669"/>
      <c r="F1478" s="524"/>
      <c r="G1478" s="165"/>
      <c r="H1478" s="669"/>
      <c r="I1478" s="669"/>
      <c r="J1478" s="352"/>
      <c r="K1478" s="271" t="str">
        <f t="shared" si="74"/>
        <v/>
      </c>
      <c r="L1478" s="297"/>
      <c r="M1478" s="334"/>
      <c r="N1478" s="277"/>
      <c r="O1478" s="315"/>
      <c r="P1478" s="344">
        <f t="shared" si="69"/>
        <v>0</v>
      </c>
      <c r="Q1478" s="321"/>
      <c r="R1478" s="672" t="b">
        <v>0</v>
      </c>
      <c r="S1478" s="318"/>
      <c r="T1478" s="319"/>
      <c r="U1478" s="315"/>
      <c r="V1478" s="162"/>
      <c r="W1478" s="149"/>
      <c r="X1478" s="163"/>
      <c r="Y1478" s="162"/>
      <c r="Z1478" s="164"/>
      <c r="AA1478" s="116"/>
      <c r="AB1478" s="116"/>
      <c r="AC1478" s="165"/>
      <c r="AD1478" s="675" t="str">
        <f t="shared" si="76"/>
        <v/>
      </c>
      <c r="AE1478" s="166"/>
      <c r="AF1478" s="149" t="b">
        <v>0</v>
      </c>
      <c r="AG1478" s="166"/>
      <c r="AH1478" s="149" t="b">
        <v>0</v>
      </c>
      <c r="AI1478" s="162"/>
      <c r="AJ1478" s="143"/>
      <c r="AK1478" s="143"/>
      <c r="AL1478" s="1112"/>
      <c r="AM1478" s="1112"/>
      <c r="AN1478" s="1112"/>
      <c r="AO1478" s="1112"/>
      <c r="AP1478" s="1112"/>
      <c r="AQ1478" s="1112"/>
    </row>
    <row r="1479" ht="22.5" customHeight="1">
      <c r="A1479" s="166"/>
      <c r="B1479" s="1111"/>
      <c r="C1479" s="524"/>
      <c r="D1479" s="1110"/>
      <c r="E1479" s="669"/>
      <c r="F1479" s="524"/>
      <c r="G1479" s="165"/>
      <c r="H1479" s="669"/>
      <c r="I1479" s="669"/>
      <c r="J1479" s="352"/>
      <c r="K1479" s="271" t="str">
        <f t="shared" si="74"/>
        <v/>
      </c>
      <c r="L1479" s="297"/>
      <c r="M1479" s="334"/>
      <c r="N1479" s="277"/>
      <c r="O1479" s="315"/>
      <c r="P1479" s="344">
        <f t="shared" si="69"/>
        <v>0</v>
      </c>
      <c r="Q1479" s="321"/>
      <c r="R1479" s="672" t="b">
        <v>0</v>
      </c>
      <c r="S1479" s="318"/>
      <c r="T1479" s="319"/>
      <c r="U1479" s="315"/>
      <c r="V1479" s="162"/>
      <c r="W1479" s="149"/>
      <c r="X1479" s="163"/>
      <c r="Y1479" s="162"/>
      <c r="Z1479" s="164"/>
      <c r="AA1479" s="116"/>
      <c r="AB1479" s="116"/>
      <c r="AC1479" s="165"/>
      <c r="AD1479" s="675" t="str">
        <f t="shared" si="76"/>
        <v/>
      </c>
      <c r="AE1479" s="166"/>
      <c r="AF1479" s="149" t="b">
        <v>0</v>
      </c>
      <c r="AG1479" s="166"/>
      <c r="AH1479" s="149" t="b">
        <v>0</v>
      </c>
      <c r="AI1479" s="162"/>
      <c r="AJ1479" s="143"/>
      <c r="AK1479" s="143"/>
      <c r="AL1479" s="1112"/>
      <c r="AM1479" s="1112"/>
      <c r="AN1479" s="1112"/>
      <c r="AO1479" s="1112"/>
      <c r="AP1479" s="1112"/>
      <c r="AQ1479" s="1112"/>
    </row>
    <row r="1480" ht="22.5" customHeight="1">
      <c r="A1480" s="166"/>
      <c r="B1480" s="1111"/>
      <c r="C1480" s="524"/>
      <c r="D1480" s="1110"/>
      <c r="E1480" s="669"/>
      <c r="F1480" s="524"/>
      <c r="G1480" s="165"/>
      <c r="H1480" s="669"/>
      <c r="I1480" s="669"/>
      <c r="J1480" s="352"/>
      <c r="K1480" s="271" t="str">
        <f t="shared" si="74"/>
        <v/>
      </c>
      <c r="L1480" s="297"/>
      <c r="M1480" s="334"/>
      <c r="N1480" s="277"/>
      <c r="O1480" s="315"/>
      <c r="P1480" s="344">
        <f t="shared" si="69"/>
        <v>0</v>
      </c>
      <c r="Q1480" s="321"/>
      <c r="R1480" s="672" t="b">
        <v>0</v>
      </c>
      <c r="S1480" s="318"/>
      <c r="T1480" s="319"/>
      <c r="U1480" s="315"/>
      <c r="V1480" s="162"/>
      <c r="W1480" s="149"/>
      <c r="X1480" s="163"/>
      <c r="Y1480" s="162"/>
      <c r="Z1480" s="164"/>
      <c r="AA1480" s="116"/>
      <c r="AB1480" s="116"/>
      <c r="AC1480" s="165"/>
      <c r="AD1480" s="675" t="str">
        <f t="shared" si="76"/>
        <v/>
      </c>
      <c r="AE1480" s="166"/>
      <c r="AF1480" s="149" t="b">
        <v>0</v>
      </c>
      <c r="AG1480" s="166"/>
      <c r="AH1480" s="149" t="b">
        <v>0</v>
      </c>
      <c r="AI1480" s="162"/>
      <c r="AJ1480" s="143"/>
      <c r="AK1480" s="143"/>
      <c r="AL1480" s="1112"/>
      <c r="AM1480" s="1112"/>
      <c r="AN1480" s="1112"/>
      <c r="AO1480" s="1112"/>
      <c r="AP1480" s="1112"/>
      <c r="AQ1480" s="1112"/>
    </row>
    <row r="1481" ht="22.5" customHeight="1">
      <c r="A1481" s="166"/>
      <c r="B1481" s="1111"/>
      <c r="C1481" s="524"/>
      <c r="D1481" s="1110"/>
      <c r="E1481" s="669"/>
      <c r="F1481" s="524"/>
      <c r="G1481" s="165"/>
      <c r="H1481" s="669"/>
      <c r="I1481" s="669"/>
      <c r="J1481" s="352"/>
      <c r="K1481" s="271" t="str">
        <f t="shared" si="74"/>
        <v/>
      </c>
      <c r="L1481" s="297"/>
      <c r="M1481" s="334"/>
      <c r="N1481" s="277"/>
      <c r="O1481" s="315"/>
      <c r="P1481" s="344">
        <f t="shared" si="69"/>
        <v>0</v>
      </c>
      <c r="Q1481" s="321"/>
      <c r="R1481" s="672" t="b">
        <v>0</v>
      </c>
      <c r="S1481" s="318"/>
      <c r="T1481" s="319"/>
      <c r="U1481" s="315"/>
      <c r="V1481" s="162"/>
      <c r="W1481" s="149"/>
      <c r="X1481" s="163"/>
      <c r="Y1481" s="162"/>
      <c r="Z1481" s="164"/>
      <c r="AA1481" s="116"/>
      <c r="AB1481" s="116"/>
      <c r="AC1481" s="165"/>
      <c r="AD1481" s="675" t="str">
        <f t="shared" si="76"/>
        <v/>
      </c>
      <c r="AE1481" s="166"/>
      <c r="AF1481" s="149" t="b">
        <v>0</v>
      </c>
      <c r="AG1481" s="166"/>
      <c r="AH1481" s="149" t="b">
        <v>0</v>
      </c>
      <c r="AI1481" s="162"/>
      <c r="AJ1481" s="143"/>
      <c r="AK1481" s="143"/>
      <c r="AL1481" s="1112"/>
      <c r="AM1481" s="1112"/>
      <c r="AN1481" s="1112"/>
      <c r="AO1481" s="1112"/>
      <c r="AP1481" s="1112"/>
      <c r="AQ1481" s="1112"/>
    </row>
    <row r="1482" ht="22.5" customHeight="1">
      <c r="A1482" s="166"/>
      <c r="B1482" s="1111"/>
      <c r="C1482" s="524"/>
      <c r="D1482" s="1110"/>
      <c r="E1482" s="669"/>
      <c r="F1482" s="524"/>
      <c r="G1482" s="165"/>
      <c r="H1482" s="669"/>
      <c r="I1482" s="669"/>
      <c r="J1482" s="352"/>
      <c r="K1482" s="271" t="str">
        <f t="shared" si="74"/>
        <v/>
      </c>
      <c r="L1482" s="297"/>
      <c r="M1482" s="334"/>
      <c r="N1482" s="277"/>
      <c r="O1482" s="315"/>
      <c r="P1482" s="344">
        <f t="shared" si="69"/>
        <v>0</v>
      </c>
      <c r="Q1482" s="321"/>
      <c r="R1482" s="672" t="b">
        <v>0</v>
      </c>
      <c r="S1482" s="318"/>
      <c r="T1482" s="319"/>
      <c r="U1482" s="315"/>
      <c r="V1482" s="162"/>
      <c r="W1482" s="149"/>
      <c r="X1482" s="163"/>
      <c r="Y1482" s="162"/>
      <c r="Z1482" s="164"/>
      <c r="AA1482" s="116"/>
      <c r="AB1482" s="116"/>
      <c r="AC1482" s="165"/>
      <c r="AD1482" s="675" t="str">
        <f t="shared" si="76"/>
        <v/>
      </c>
      <c r="AE1482" s="166"/>
      <c r="AF1482" s="149" t="b">
        <v>0</v>
      </c>
      <c r="AG1482" s="166"/>
      <c r="AH1482" s="149" t="b">
        <v>0</v>
      </c>
      <c r="AI1482" s="162"/>
      <c r="AJ1482" s="143"/>
      <c r="AK1482" s="143"/>
      <c r="AL1482" s="1112"/>
      <c r="AM1482" s="1112"/>
      <c r="AN1482" s="1112"/>
      <c r="AO1482" s="1112"/>
      <c r="AP1482" s="1112"/>
      <c r="AQ1482" s="1112"/>
    </row>
    <row r="1483" ht="22.5" customHeight="1">
      <c r="A1483" s="166"/>
      <c r="B1483" s="1111"/>
      <c r="C1483" s="524"/>
      <c r="D1483" s="1110"/>
      <c r="E1483" s="669"/>
      <c r="F1483" s="524"/>
      <c r="G1483" s="165"/>
      <c r="H1483" s="669"/>
      <c r="I1483" s="669"/>
      <c r="J1483" s="352"/>
      <c r="K1483" s="271" t="str">
        <f t="shared" si="74"/>
        <v/>
      </c>
      <c r="L1483" s="297"/>
      <c r="M1483" s="334"/>
      <c r="N1483" s="277"/>
      <c r="O1483" s="315"/>
      <c r="P1483" s="344">
        <f t="shared" si="69"/>
        <v>0</v>
      </c>
      <c r="Q1483" s="321"/>
      <c r="R1483" s="672" t="b">
        <v>0</v>
      </c>
      <c r="S1483" s="318"/>
      <c r="T1483" s="319"/>
      <c r="U1483" s="315"/>
      <c r="V1483" s="162"/>
      <c r="W1483" s="149"/>
      <c r="X1483" s="163"/>
      <c r="Y1483" s="162"/>
      <c r="Z1483" s="164"/>
      <c r="AA1483" s="116"/>
      <c r="AB1483" s="116"/>
      <c r="AC1483" s="165"/>
      <c r="AD1483" s="675" t="str">
        <f t="shared" si="76"/>
        <v/>
      </c>
      <c r="AE1483" s="166"/>
      <c r="AF1483" s="149" t="b">
        <v>0</v>
      </c>
      <c r="AG1483" s="166"/>
      <c r="AH1483" s="149" t="b">
        <v>0</v>
      </c>
      <c r="AI1483" s="162"/>
      <c r="AJ1483" s="143"/>
      <c r="AK1483" s="143"/>
      <c r="AL1483" s="1112"/>
      <c r="AM1483" s="1112"/>
      <c r="AN1483" s="1112"/>
      <c r="AO1483" s="1112"/>
      <c r="AP1483" s="1112"/>
      <c r="AQ1483" s="1112"/>
    </row>
    <row r="1484" ht="22.5" customHeight="1">
      <c r="A1484" s="166"/>
      <c r="B1484" s="1111"/>
      <c r="C1484" s="524"/>
      <c r="D1484" s="1110"/>
      <c r="E1484" s="669"/>
      <c r="F1484" s="524"/>
      <c r="G1484" s="165"/>
      <c r="H1484" s="669"/>
      <c r="I1484" s="669"/>
      <c r="J1484" s="352"/>
      <c r="K1484" s="271" t="str">
        <f t="shared" si="74"/>
        <v/>
      </c>
      <c r="L1484" s="297"/>
      <c r="M1484" s="334"/>
      <c r="N1484" s="277"/>
      <c r="O1484" s="315"/>
      <c r="P1484" s="344">
        <f t="shared" si="69"/>
        <v>0</v>
      </c>
      <c r="Q1484" s="321"/>
      <c r="R1484" s="672" t="b">
        <v>0</v>
      </c>
      <c r="S1484" s="318"/>
      <c r="T1484" s="319"/>
      <c r="U1484" s="315"/>
      <c r="V1484" s="162"/>
      <c r="W1484" s="149"/>
      <c r="X1484" s="163"/>
      <c r="Y1484" s="162"/>
      <c r="Z1484" s="164"/>
      <c r="AA1484" s="116"/>
      <c r="AB1484" s="116"/>
      <c r="AC1484" s="165"/>
      <c r="AD1484" s="675" t="str">
        <f t="shared" si="76"/>
        <v/>
      </c>
      <c r="AE1484" s="166"/>
      <c r="AF1484" s="149" t="b">
        <v>0</v>
      </c>
      <c r="AG1484" s="166"/>
      <c r="AH1484" s="149" t="b">
        <v>0</v>
      </c>
      <c r="AI1484" s="162"/>
      <c r="AJ1484" s="143"/>
      <c r="AK1484" s="143"/>
      <c r="AL1484" s="1112"/>
      <c r="AM1484" s="1112"/>
      <c r="AN1484" s="1112"/>
      <c r="AO1484" s="1112"/>
      <c r="AP1484" s="1112"/>
      <c r="AQ1484" s="1112"/>
    </row>
    <row r="1485" ht="22.5" customHeight="1">
      <c r="A1485" s="166"/>
      <c r="B1485" s="1111"/>
      <c r="C1485" s="524"/>
      <c r="D1485" s="1110"/>
      <c r="E1485" s="669"/>
      <c r="F1485" s="524"/>
      <c r="G1485" s="165"/>
      <c r="H1485" s="669"/>
      <c r="I1485" s="669"/>
      <c r="J1485" s="352"/>
      <c r="K1485" s="271" t="str">
        <f t="shared" si="74"/>
        <v/>
      </c>
      <c r="L1485" s="297"/>
      <c r="M1485" s="334"/>
      <c r="N1485" s="277"/>
      <c r="O1485" s="315"/>
      <c r="P1485" s="344">
        <f t="shared" si="69"/>
        <v>0</v>
      </c>
      <c r="Q1485" s="321"/>
      <c r="R1485" s="672" t="b">
        <v>0</v>
      </c>
      <c r="S1485" s="318"/>
      <c r="T1485" s="319"/>
      <c r="U1485" s="315"/>
      <c r="V1485" s="162"/>
      <c r="W1485" s="149"/>
      <c r="X1485" s="163"/>
      <c r="Y1485" s="162"/>
      <c r="Z1485" s="164"/>
      <c r="AA1485" s="116"/>
      <c r="AB1485" s="116"/>
      <c r="AC1485" s="165"/>
      <c r="AD1485" s="675" t="str">
        <f t="shared" si="76"/>
        <v/>
      </c>
      <c r="AE1485" s="166"/>
      <c r="AF1485" s="149" t="b">
        <v>0</v>
      </c>
      <c r="AG1485" s="166"/>
      <c r="AH1485" s="149" t="b">
        <v>0</v>
      </c>
      <c r="AI1485" s="162"/>
      <c r="AJ1485" s="143"/>
      <c r="AK1485" s="143"/>
      <c r="AL1485" s="1112"/>
      <c r="AM1485" s="1112"/>
      <c r="AN1485" s="1112"/>
      <c r="AO1485" s="1112"/>
      <c r="AP1485" s="1112"/>
      <c r="AQ1485" s="1112"/>
    </row>
    <row r="1486" ht="22.5" customHeight="1">
      <c r="A1486" s="166"/>
      <c r="B1486" s="1111"/>
      <c r="C1486" s="524"/>
      <c r="D1486" s="1110"/>
      <c r="E1486" s="669"/>
      <c r="F1486" s="524"/>
      <c r="G1486" s="165"/>
      <c r="H1486" s="669"/>
      <c r="I1486" s="669"/>
      <c r="J1486" s="352"/>
      <c r="K1486" s="271" t="str">
        <f t="shared" si="74"/>
        <v/>
      </c>
      <c r="L1486" s="297"/>
      <c r="M1486" s="334"/>
      <c r="N1486" s="277"/>
      <c r="O1486" s="315"/>
      <c r="P1486" s="344">
        <f t="shared" si="69"/>
        <v>0</v>
      </c>
      <c r="Q1486" s="321"/>
      <c r="R1486" s="672" t="b">
        <v>0</v>
      </c>
      <c r="S1486" s="318"/>
      <c r="T1486" s="319"/>
      <c r="U1486" s="315"/>
      <c r="V1486" s="162"/>
      <c r="W1486" s="149"/>
      <c r="X1486" s="163"/>
      <c r="Y1486" s="162"/>
      <c r="Z1486" s="164"/>
      <c r="AA1486" s="116"/>
      <c r="AB1486" s="116"/>
      <c r="AC1486" s="165"/>
      <c r="AD1486" s="675" t="str">
        <f t="shared" si="76"/>
        <v/>
      </c>
      <c r="AE1486" s="166"/>
      <c r="AF1486" s="149" t="b">
        <v>0</v>
      </c>
      <c r="AG1486" s="166"/>
      <c r="AH1486" s="149" t="b">
        <v>0</v>
      </c>
      <c r="AI1486" s="162"/>
      <c r="AJ1486" s="143"/>
      <c r="AK1486" s="143"/>
      <c r="AL1486" s="1112"/>
      <c r="AM1486" s="1112"/>
      <c r="AN1486" s="1112"/>
      <c r="AO1486" s="1112"/>
      <c r="AP1486" s="1112"/>
      <c r="AQ1486" s="1112"/>
    </row>
    <row r="1487" ht="22.5" customHeight="1">
      <c r="A1487" s="166"/>
      <c r="B1487" s="1111"/>
      <c r="C1487" s="524"/>
      <c r="D1487" s="1110"/>
      <c r="E1487" s="669"/>
      <c r="F1487" s="524"/>
      <c r="G1487" s="165"/>
      <c r="H1487" s="669"/>
      <c r="I1487" s="669"/>
      <c r="J1487" s="352"/>
      <c r="K1487" s="271" t="str">
        <f t="shared" si="74"/>
        <v/>
      </c>
      <c r="L1487" s="297"/>
      <c r="M1487" s="334"/>
      <c r="N1487" s="277"/>
      <c r="O1487" s="315"/>
      <c r="P1487" s="344">
        <f t="shared" si="69"/>
        <v>0</v>
      </c>
      <c r="Q1487" s="321"/>
      <c r="R1487" s="672" t="b">
        <v>0</v>
      </c>
      <c r="S1487" s="318"/>
      <c r="T1487" s="319"/>
      <c r="U1487" s="315"/>
      <c r="V1487" s="162"/>
      <c r="W1487" s="149"/>
      <c r="X1487" s="163"/>
      <c r="Y1487" s="162"/>
      <c r="Z1487" s="164"/>
      <c r="AA1487" s="116"/>
      <c r="AB1487" s="116"/>
      <c r="AC1487" s="165"/>
      <c r="AD1487" s="675" t="str">
        <f t="shared" si="76"/>
        <v/>
      </c>
      <c r="AE1487" s="166"/>
      <c r="AF1487" s="149" t="b">
        <v>0</v>
      </c>
      <c r="AG1487" s="166"/>
      <c r="AH1487" s="149" t="b">
        <v>0</v>
      </c>
      <c r="AI1487" s="162"/>
      <c r="AJ1487" s="143"/>
      <c r="AK1487" s="143"/>
      <c r="AL1487" s="1112"/>
      <c r="AM1487" s="1112"/>
      <c r="AN1487" s="1112"/>
      <c r="AO1487" s="1112"/>
      <c r="AP1487" s="1112"/>
      <c r="AQ1487" s="1112"/>
    </row>
    <row r="1488" ht="22.5" customHeight="1">
      <c r="A1488" s="166"/>
      <c r="B1488" s="1111"/>
      <c r="C1488" s="524"/>
      <c r="D1488" s="1110"/>
      <c r="E1488" s="669"/>
      <c r="F1488" s="524"/>
      <c r="G1488" s="165"/>
      <c r="H1488" s="669"/>
      <c r="I1488" s="669"/>
      <c r="J1488" s="352"/>
      <c r="K1488" s="271" t="str">
        <f t="shared" si="74"/>
        <v/>
      </c>
      <c r="L1488" s="297"/>
      <c r="M1488" s="334"/>
      <c r="N1488" s="277"/>
      <c r="O1488" s="315"/>
      <c r="P1488" s="344">
        <f t="shared" si="69"/>
        <v>0</v>
      </c>
      <c r="Q1488" s="321"/>
      <c r="R1488" s="672" t="b">
        <v>0</v>
      </c>
      <c r="S1488" s="318"/>
      <c r="T1488" s="319"/>
      <c r="U1488" s="315"/>
      <c r="V1488" s="162"/>
      <c r="W1488" s="149"/>
      <c r="X1488" s="163"/>
      <c r="Y1488" s="162"/>
      <c r="Z1488" s="164"/>
      <c r="AA1488" s="116"/>
      <c r="AB1488" s="116"/>
      <c r="AC1488" s="165"/>
      <c r="AD1488" s="675" t="str">
        <f t="shared" si="76"/>
        <v/>
      </c>
      <c r="AE1488" s="166"/>
      <c r="AF1488" s="149" t="b">
        <v>0</v>
      </c>
      <c r="AG1488" s="166"/>
      <c r="AH1488" s="149" t="b">
        <v>0</v>
      </c>
      <c r="AI1488" s="162"/>
      <c r="AJ1488" s="143"/>
      <c r="AK1488" s="143"/>
      <c r="AL1488" s="1112"/>
      <c r="AM1488" s="1112"/>
      <c r="AN1488" s="1112"/>
      <c r="AO1488" s="1112"/>
      <c r="AP1488" s="1112"/>
      <c r="AQ1488" s="1112"/>
    </row>
    <row r="1489" ht="22.5" customHeight="1">
      <c r="A1489" s="166"/>
      <c r="B1489" s="1111"/>
      <c r="C1489" s="524"/>
      <c r="D1489" s="1110"/>
      <c r="E1489" s="669"/>
      <c r="F1489" s="524"/>
      <c r="G1489" s="165"/>
      <c r="H1489" s="669"/>
      <c r="I1489" s="669"/>
      <c r="J1489" s="352"/>
      <c r="K1489" s="271" t="str">
        <f t="shared" si="74"/>
        <v/>
      </c>
      <c r="L1489" s="297"/>
      <c r="M1489" s="334"/>
      <c r="N1489" s="277"/>
      <c r="O1489" s="315"/>
      <c r="P1489" s="344">
        <f t="shared" si="69"/>
        <v>0</v>
      </c>
      <c r="Q1489" s="321"/>
      <c r="R1489" s="672" t="b">
        <v>0</v>
      </c>
      <c r="S1489" s="318"/>
      <c r="T1489" s="319"/>
      <c r="U1489" s="315"/>
      <c r="V1489" s="162"/>
      <c r="W1489" s="149"/>
      <c r="X1489" s="163"/>
      <c r="Y1489" s="162"/>
      <c r="Z1489" s="164"/>
      <c r="AA1489" s="116"/>
      <c r="AB1489" s="116"/>
      <c r="AC1489" s="165"/>
      <c r="AD1489" s="675" t="str">
        <f t="shared" si="76"/>
        <v/>
      </c>
      <c r="AE1489" s="166"/>
      <c r="AF1489" s="149" t="b">
        <v>0</v>
      </c>
      <c r="AG1489" s="166"/>
      <c r="AH1489" s="149" t="b">
        <v>0</v>
      </c>
      <c r="AI1489" s="162"/>
      <c r="AJ1489" s="143"/>
      <c r="AK1489" s="143"/>
      <c r="AL1489" s="1112"/>
      <c r="AM1489" s="1112"/>
      <c r="AN1489" s="1112"/>
      <c r="AO1489" s="1112"/>
      <c r="AP1489" s="1112"/>
      <c r="AQ1489" s="1112"/>
    </row>
    <row r="1490" ht="22.5" customHeight="1">
      <c r="A1490" s="166"/>
      <c r="B1490" s="1111"/>
      <c r="C1490" s="524"/>
      <c r="D1490" s="1110"/>
      <c r="E1490" s="669"/>
      <c r="F1490" s="524"/>
      <c r="G1490" s="165"/>
      <c r="H1490" s="669"/>
      <c r="I1490" s="669"/>
      <c r="J1490" s="352"/>
      <c r="K1490" s="271" t="str">
        <f t="shared" si="74"/>
        <v/>
      </c>
      <c r="L1490" s="297"/>
      <c r="M1490" s="334"/>
      <c r="N1490" s="277"/>
      <c r="O1490" s="315"/>
      <c r="P1490" s="344">
        <f t="shared" si="69"/>
        <v>0</v>
      </c>
      <c r="Q1490" s="321"/>
      <c r="R1490" s="672" t="b">
        <v>0</v>
      </c>
      <c r="S1490" s="318"/>
      <c r="T1490" s="319"/>
      <c r="U1490" s="315"/>
      <c r="V1490" s="162"/>
      <c r="W1490" s="149"/>
      <c r="X1490" s="163"/>
      <c r="Y1490" s="162"/>
      <c r="Z1490" s="164"/>
      <c r="AA1490" s="116"/>
      <c r="AB1490" s="116"/>
      <c r="AC1490" s="165"/>
      <c r="AD1490" s="675" t="str">
        <f t="shared" si="76"/>
        <v/>
      </c>
      <c r="AE1490" s="166"/>
      <c r="AF1490" s="149" t="b">
        <v>0</v>
      </c>
      <c r="AG1490" s="166"/>
      <c r="AH1490" s="149" t="b">
        <v>0</v>
      </c>
      <c r="AI1490" s="162"/>
      <c r="AJ1490" s="143"/>
      <c r="AK1490" s="143"/>
      <c r="AL1490" s="1112"/>
      <c r="AM1490" s="1112"/>
      <c r="AN1490" s="1112"/>
      <c r="AO1490" s="1112"/>
      <c r="AP1490" s="1112"/>
      <c r="AQ1490" s="1112"/>
    </row>
    <row r="1491" ht="22.5" customHeight="1">
      <c r="A1491" s="166"/>
      <c r="B1491" s="1111"/>
      <c r="C1491" s="524"/>
      <c r="D1491" s="1110"/>
      <c r="E1491" s="669"/>
      <c r="F1491" s="524"/>
      <c r="G1491" s="165"/>
      <c r="H1491" s="669"/>
      <c r="I1491" s="669"/>
      <c r="J1491" s="352"/>
      <c r="K1491" s="271" t="str">
        <f t="shared" si="74"/>
        <v/>
      </c>
      <c r="L1491" s="297"/>
      <c r="M1491" s="334"/>
      <c r="N1491" s="277"/>
      <c r="O1491" s="315"/>
      <c r="P1491" s="344">
        <f t="shared" si="69"/>
        <v>0</v>
      </c>
      <c r="Q1491" s="321"/>
      <c r="R1491" s="672" t="b">
        <v>0</v>
      </c>
      <c r="S1491" s="318"/>
      <c r="T1491" s="319"/>
      <c r="U1491" s="315"/>
      <c r="V1491" s="162"/>
      <c r="W1491" s="149"/>
      <c r="X1491" s="163"/>
      <c r="Y1491" s="162"/>
      <c r="Z1491" s="164"/>
      <c r="AA1491" s="116"/>
      <c r="AB1491" s="116"/>
      <c r="AC1491" s="165"/>
      <c r="AD1491" s="675" t="str">
        <f t="shared" si="76"/>
        <v/>
      </c>
      <c r="AE1491" s="166"/>
      <c r="AF1491" s="149" t="b">
        <v>0</v>
      </c>
      <c r="AG1491" s="166"/>
      <c r="AH1491" s="149" t="b">
        <v>0</v>
      </c>
      <c r="AI1491" s="162"/>
      <c r="AJ1491" s="143"/>
      <c r="AK1491" s="143"/>
      <c r="AL1491" s="1112"/>
      <c r="AM1491" s="1112"/>
      <c r="AN1491" s="1112"/>
      <c r="AO1491" s="1112"/>
      <c r="AP1491" s="1112"/>
      <c r="AQ1491" s="1112"/>
    </row>
    <row r="1492" ht="22.5" customHeight="1">
      <c r="A1492" s="166"/>
      <c r="B1492" s="1111"/>
      <c r="C1492" s="524"/>
      <c r="D1492" s="1110"/>
      <c r="E1492" s="669"/>
      <c r="F1492" s="524"/>
      <c r="G1492" s="165"/>
      <c r="H1492" s="669"/>
      <c r="I1492" s="669"/>
      <c r="J1492" s="352"/>
      <c r="K1492" s="271" t="str">
        <f t="shared" si="74"/>
        <v/>
      </c>
      <c r="L1492" s="297"/>
      <c r="M1492" s="334"/>
      <c r="N1492" s="277"/>
      <c r="O1492" s="315"/>
      <c r="P1492" s="344">
        <f t="shared" si="69"/>
        <v>0</v>
      </c>
      <c r="Q1492" s="321"/>
      <c r="R1492" s="672" t="b">
        <v>0</v>
      </c>
      <c r="S1492" s="318"/>
      <c r="T1492" s="319"/>
      <c r="U1492" s="315"/>
      <c r="V1492" s="162"/>
      <c r="W1492" s="149"/>
      <c r="X1492" s="163"/>
      <c r="Y1492" s="162"/>
      <c r="Z1492" s="164"/>
      <c r="AA1492" s="116"/>
      <c r="AB1492" s="116"/>
      <c r="AC1492" s="165"/>
      <c r="AD1492" s="675" t="str">
        <f t="shared" si="76"/>
        <v/>
      </c>
      <c r="AE1492" s="166"/>
      <c r="AF1492" s="149" t="b">
        <v>0</v>
      </c>
      <c r="AG1492" s="166"/>
      <c r="AH1492" s="149" t="b">
        <v>0</v>
      </c>
      <c r="AI1492" s="162"/>
      <c r="AJ1492" s="143"/>
      <c r="AK1492" s="143"/>
      <c r="AL1492" s="1112"/>
      <c r="AM1492" s="1112"/>
      <c r="AN1492" s="1112"/>
      <c r="AO1492" s="1112"/>
      <c r="AP1492" s="1112"/>
      <c r="AQ1492" s="1112"/>
    </row>
    <row r="1493" ht="22.5" customHeight="1">
      <c r="A1493" s="166"/>
      <c r="B1493" s="1111"/>
      <c r="C1493" s="524"/>
      <c r="D1493" s="1110"/>
      <c r="E1493" s="669"/>
      <c r="F1493" s="524"/>
      <c r="G1493" s="165"/>
      <c r="H1493" s="669"/>
      <c r="I1493" s="669"/>
      <c r="J1493" s="352"/>
      <c r="K1493" s="271" t="str">
        <f t="shared" si="74"/>
        <v/>
      </c>
      <c r="L1493" s="297"/>
      <c r="M1493" s="334"/>
      <c r="N1493" s="277"/>
      <c r="O1493" s="315"/>
      <c r="P1493" s="344">
        <f t="shared" si="69"/>
        <v>0</v>
      </c>
      <c r="Q1493" s="321"/>
      <c r="R1493" s="672" t="b">
        <v>0</v>
      </c>
      <c r="S1493" s="318"/>
      <c r="T1493" s="319"/>
      <c r="U1493" s="315"/>
      <c r="V1493" s="162"/>
      <c r="W1493" s="149"/>
      <c r="X1493" s="163"/>
      <c r="Y1493" s="162"/>
      <c r="Z1493" s="164"/>
      <c r="AA1493" s="116"/>
      <c r="AB1493" s="116"/>
      <c r="AC1493" s="165"/>
      <c r="AD1493" s="675" t="str">
        <f t="shared" si="76"/>
        <v/>
      </c>
      <c r="AE1493" s="166"/>
      <c r="AF1493" s="149" t="b">
        <v>0</v>
      </c>
      <c r="AG1493" s="166"/>
      <c r="AH1493" s="149" t="b">
        <v>0</v>
      </c>
      <c r="AI1493" s="162"/>
      <c r="AJ1493" s="143"/>
      <c r="AK1493" s="143"/>
      <c r="AL1493" s="1112"/>
      <c r="AM1493" s="1112"/>
      <c r="AN1493" s="1112"/>
      <c r="AO1493" s="1112"/>
      <c r="AP1493" s="1112"/>
      <c r="AQ1493" s="1112"/>
    </row>
    <row r="1494" ht="22.5" customHeight="1">
      <c r="A1494" s="166"/>
      <c r="B1494" s="1111"/>
      <c r="C1494" s="524"/>
      <c r="D1494" s="1110"/>
      <c r="E1494" s="669"/>
      <c r="F1494" s="524"/>
      <c r="G1494" s="165"/>
      <c r="H1494" s="669"/>
      <c r="I1494" s="669"/>
      <c r="J1494" s="352"/>
      <c r="K1494" s="271" t="str">
        <f t="shared" si="74"/>
        <v/>
      </c>
      <c r="L1494" s="297"/>
      <c r="M1494" s="334"/>
      <c r="N1494" s="277"/>
      <c r="O1494" s="315"/>
      <c r="P1494" s="344">
        <f t="shared" si="69"/>
        <v>0</v>
      </c>
      <c r="Q1494" s="321"/>
      <c r="R1494" s="672" t="b">
        <v>0</v>
      </c>
      <c r="S1494" s="318"/>
      <c r="T1494" s="319"/>
      <c r="U1494" s="315"/>
      <c r="V1494" s="162"/>
      <c r="W1494" s="149"/>
      <c r="X1494" s="163"/>
      <c r="Y1494" s="162"/>
      <c r="Z1494" s="164"/>
      <c r="AA1494" s="116"/>
      <c r="AB1494" s="116"/>
      <c r="AC1494" s="165"/>
      <c r="AD1494" s="675" t="str">
        <f t="shared" si="76"/>
        <v/>
      </c>
      <c r="AE1494" s="166"/>
      <c r="AF1494" s="149" t="b">
        <v>0</v>
      </c>
      <c r="AG1494" s="166"/>
      <c r="AH1494" s="149" t="b">
        <v>0</v>
      </c>
      <c r="AI1494" s="162"/>
      <c r="AJ1494" s="143"/>
      <c r="AK1494" s="143"/>
      <c r="AL1494" s="1112"/>
      <c r="AM1494" s="1112"/>
      <c r="AN1494" s="1112"/>
      <c r="AO1494" s="1112"/>
      <c r="AP1494" s="1112"/>
      <c r="AQ1494" s="1112"/>
    </row>
    <row r="1495" ht="22.5" customHeight="1">
      <c r="A1495" s="166"/>
      <c r="B1495" s="1111"/>
      <c r="C1495" s="524"/>
      <c r="D1495" s="1110"/>
      <c r="E1495" s="669"/>
      <c r="F1495" s="524"/>
      <c r="G1495" s="165"/>
      <c r="H1495" s="669"/>
      <c r="I1495" s="669"/>
      <c r="J1495" s="352"/>
      <c r="K1495" s="271" t="str">
        <f t="shared" si="74"/>
        <v/>
      </c>
      <c r="L1495" s="297"/>
      <c r="M1495" s="334"/>
      <c r="N1495" s="277"/>
      <c r="O1495" s="315"/>
      <c r="P1495" s="344">
        <f t="shared" si="69"/>
        <v>0</v>
      </c>
      <c r="Q1495" s="321"/>
      <c r="R1495" s="672" t="b">
        <v>0</v>
      </c>
      <c r="S1495" s="318"/>
      <c r="T1495" s="319"/>
      <c r="U1495" s="315"/>
      <c r="V1495" s="162"/>
      <c r="W1495" s="149"/>
      <c r="X1495" s="163"/>
      <c r="Y1495" s="162"/>
      <c r="Z1495" s="164"/>
      <c r="AA1495" s="116"/>
      <c r="AB1495" s="116"/>
      <c r="AC1495" s="165"/>
      <c r="AD1495" s="675" t="str">
        <f t="shared" si="76"/>
        <v/>
      </c>
      <c r="AE1495" s="166"/>
      <c r="AF1495" s="149" t="b">
        <v>0</v>
      </c>
      <c r="AG1495" s="166"/>
      <c r="AH1495" s="149" t="b">
        <v>0</v>
      </c>
      <c r="AI1495" s="162"/>
      <c r="AJ1495" s="143"/>
      <c r="AK1495" s="143"/>
      <c r="AL1495" s="1112"/>
      <c r="AM1495" s="1112"/>
      <c r="AN1495" s="1112"/>
      <c r="AO1495" s="1112"/>
      <c r="AP1495" s="1112"/>
      <c r="AQ1495" s="1112"/>
    </row>
    <row r="1496" ht="22.5" customHeight="1">
      <c r="A1496" s="166"/>
      <c r="B1496" s="1111"/>
      <c r="C1496" s="524"/>
      <c r="D1496" s="1110"/>
      <c r="E1496" s="669"/>
      <c r="F1496" s="524"/>
      <c r="G1496" s="165"/>
      <c r="H1496" s="669"/>
      <c r="I1496" s="669"/>
      <c r="J1496" s="352"/>
      <c r="K1496" s="271" t="str">
        <f t="shared" si="74"/>
        <v/>
      </c>
      <c r="L1496" s="297"/>
      <c r="M1496" s="334"/>
      <c r="N1496" s="277"/>
      <c r="O1496" s="315"/>
      <c r="P1496" s="344">
        <f t="shared" si="69"/>
        <v>0</v>
      </c>
      <c r="Q1496" s="321"/>
      <c r="R1496" s="672" t="b">
        <v>0</v>
      </c>
      <c r="S1496" s="318"/>
      <c r="T1496" s="319"/>
      <c r="U1496" s="315"/>
      <c r="V1496" s="162"/>
      <c r="W1496" s="149"/>
      <c r="X1496" s="163"/>
      <c r="Y1496" s="162"/>
      <c r="Z1496" s="164"/>
      <c r="AA1496" s="116"/>
      <c r="AB1496" s="116"/>
      <c r="AC1496" s="165"/>
      <c r="AD1496" s="675" t="str">
        <f t="shared" si="76"/>
        <v/>
      </c>
      <c r="AE1496" s="166"/>
      <c r="AF1496" s="149" t="b">
        <v>0</v>
      </c>
      <c r="AG1496" s="166"/>
      <c r="AH1496" s="149" t="b">
        <v>0</v>
      </c>
      <c r="AI1496" s="162"/>
      <c r="AJ1496" s="143"/>
      <c r="AK1496" s="143"/>
      <c r="AL1496" s="1112"/>
      <c r="AM1496" s="1112"/>
      <c r="AN1496" s="1112"/>
      <c r="AO1496" s="1112"/>
      <c r="AP1496" s="1112"/>
      <c r="AQ1496" s="1112"/>
    </row>
    <row r="1497" ht="22.5" customHeight="1">
      <c r="A1497" s="166"/>
      <c r="B1497" s="1111"/>
      <c r="C1497" s="524"/>
      <c r="D1497" s="1110"/>
      <c r="E1497" s="669"/>
      <c r="F1497" s="524"/>
      <c r="G1497" s="165"/>
      <c r="H1497" s="669"/>
      <c r="I1497" s="669"/>
      <c r="J1497" s="352"/>
      <c r="K1497" s="271" t="str">
        <f t="shared" si="74"/>
        <v/>
      </c>
      <c r="L1497" s="297"/>
      <c r="M1497" s="334"/>
      <c r="N1497" s="277"/>
      <c r="O1497" s="315"/>
      <c r="P1497" s="344">
        <f t="shared" si="69"/>
        <v>0</v>
      </c>
      <c r="Q1497" s="321"/>
      <c r="R1497" s="672" t="b">
        <v>0</v>
      </c>
      <c r="S1497" s="318"/>
      <c r="T1497" s="319"/>
      <c r="U1497" s="315"/>
      <c r="V1497" s="162"/>
      <c r="W1497" s="149"/>
      <c r="X1497" s="163"/>
      <c r="Y1497" s="162"/>
      <c r="Z1497" s="164"/>
      <c r="AA1497" s="116"/>
      <c r="AB1497" s="116"/>
      <c r="AC1497" s="165"/>
      <c r="AD1497" s="675" t="str">
        <f t="shared" si="76"/>
        <v/>
      </c>
      <c r="AE1497" s="166"/>
      <c r="AF1497" s="149" t="b">
        <v>0</v>
      </c>
      <c r="AG1497" s="166"/>
      <c r="AH1497" s="149" t="b">
        <v>0</v>
      </c>
      <c r="AI1497" s="162"/>
      <c r="AJ1497" s="143"/>
      <c r="AK1497" s="143"/>
      <c r="AL1497" s="1112"/>
      <c r="AM1497" s="1112"/>
      <c r="AN1497" s="1112"/>
      <c r="AO1497" s="1112"/>
      <c r="AP1497" s="1112"/>
      <c r="AQ1497" s="1112"/>
    </row>
    <row r="1498" ht="22.5" customHeight="1">
      <c r="A1498" s="166"/>
      <c r="B1498" s="1111"/>
      <c r="C1498" s="524"/>
      <c r="D1498" s="1110"/>
      <c r="E1498" s="669"/>
      <c r="F1498" s="524"/>
      <c r="G1498" s="165"/>
      <c r="H1498" s="669"/>
      <c r="I1498" s="669"/>
      <c r="J1498" s="352"/>
      <c r="K1498" s="271" t="str">
        <f t="shared" si="74"/>
        <v/>
      </c>
      <c r="L1498" s="297"/>
      <c r="M1498" s="334"/>
      <c r="N1498" s="277"/>
      <c r="O1498" s="315"/>
      <c r="P1498" s="344">
        <f t="shared" si="69"/>
        <v>0</v>
      </c>
      <c r="Q1498" s="321"/>
      <c r="R1498" s="672" t="b">
        <v>0</v>
      </c>
      <c r="S1498" s="318"/>
      <c r="T1498" s="319"/>
      <c r="U1498" s="315"/>
      <c r="V1498" s="162"/>
      <c r="W1498" s="149"/>
      <c r="X1498" s="163"/>
      <c r="Y1498" s="162"/>
      <c r="Z1498" s="164"/>
      <c r="AA1498" s="116"/>
      <c r="AB1498" s="116"/>
      <c r="AC1498" s="165"/>
      <c r="AD1498" s="675" t="str">
        <f t="shared" si="76"/>
        <v/>
      </c>
      <c r="AE1498" s="166"/>
      <c r="AF1498" s="149" t="b">
        <v>0</v>
      </c>
      <c r="AG1498" s="166"/>
      <c r="AH1498" s="149" t="b">
        <v>0</v>
      </c>
      <c r="AI1498" s="162"/>
      <c r="AJ1498" s="143"/>
      <c r="AK1498" s="143"/>
      <c r="AL1498" s="1112"/>
      <c r="AM1498" s="1112"/>
      <c r="AN1498" s="1112"/>
      <c r="AO1498" s="1112"/>
      <c r="AP1498" s="1112"/>
      <c r="AQ1498" s="1112"/>
    </row>
    <row r="1499" ht="22.5" customHeight="1">
      <c r="A1499" s="166"/>
      <c r="B1499" s="1111"/>
      <c r="C1499" s="524"/>
      <c r="D1499" s="1110"/>
      <c r="E1499" s="669"/>
      <c r="F1499" s="524"/>
      <c r="G1499" s="165"/>
      <c r="H1499" s="669"/>
      <c r="I1499" s="669"/>
      <c r="J1499" s="352"/>
      <c r="K1499" s="271" t="str">
        <f t="shared" si="74"/>
        <v/>
      </c>
      <c r="L1499" s="297"/>
      <c r="M1499" s="334"/>
      <c r="N1499" s="277"/>
      <c r="O1499" s="315"/>
      <c r="P1499" s="344">
        <f t="shared" si="69"/>
        <v>0</v>
      </c>
      <c r="Q1499" s="321"/>
      <c r="R1499" s="672" t="b">
        <v>0</v>
      </c>
      <c r="S1499" s="318"/>
      <c r="T1499" s="319"/>
      <c r="U1499" s="315"/>
      <c r="V1499" s="162"/>
      <c r="W1499" s="149"/>
      <c r="X1499" s="163"/>
      <c r="Y1499" s="162"/>
      <c r="Z1499" s="164"/>
      <c r="AA1499" s="116"/>
      <c r="AB1499" s="116"/>
      <c r="AC1499" s="165"/>
      <c r="AD1499" s="675" t="str">
        <f t="shared" si="76"/>
        <v/>
      </c>
      <c r="AE1499" s="166"/>
      <c r="AF1499" s="149" t="b">
        <v>0</v>
      </c>
      <c r="AG1499" s="166"/>
      <c r="AH1499" s="149" t="b">
        <v>0</v>
      </c>
      <c r="AI1499" s="162"/>
      <c r="AJ1499" s="143"/>
      <c r="AK1499" s="143"/>
      <c r="AL1499" s="1112"/>
      <c r="AM1499" s="1112"/>
      <c r="AN1499" s="1112"/>
      <c r="AO1499" s="1112"/>
      <c r="AP1499" s="1112"/>
      <c r="AQ1499" s="1112"/>
    </row>
    <row r="1500" ht="22.5" customHeight="1">
      <c r="A1500" s="166"/>
      <c r="B1500" s="1111"/>
      <c r="C1500" s="524"/>
      <c r="D1500" s="1110"/>
      <c r="E1500" s="669"/>
      <c r="F1500" s="524"/>
      <c r="G1500" s="165"/>
      <c r="H1500" s="669"/>
      <c r="I1500" s="669"/>
      <c r="J1500" s="352"/>
      <c r="K1500" s="271" t="str">
        <f t="shared" si="74"/>
        <v/>
      </c>
      <c r="L1500" s="297"/>
      <c r="M1500" s="334"/>
      <c r="N1500" s="277"/>
      <c r="O1500" s="315"/>
      <c r="P1500" s="344">
        <f t="shared" si="69"/>
        <v>0</v>
      </c>
      <c r="Q1500" s="321"/>
      <c r="R1500" s="672" t="b">
        <v>0</v>
      </c>
      <c r="S1500" s="318"/>
      <c r="T1500" s="319"/>
      <c r="U1500" s="315"/>
      <c r="V1500" s="162"/>
      <c r="W1500" s="149"/>
      <c r="X1500" s="163"/>
      <c r="Y1500" s="162"/>
      <c r="Z1500" s="164"/>
      <c r="AA1500" s="116"/>
      <c r="AB1500" s="116"/>
      <c r="AC1500" s="165"/>
      <c r="AD1500" s="675" t="str">
        <f t="shared" si="76"/>
        <v/>
      </c>
      <c r="AE1500" s="166"/>
      <c r="AF1500" s="149" t="b">
        <v>0</v>
      </c>
      <c r="AG1500" s="166"/>
      <c r="AH1500" s="149" t="b">
        <v>0</v>
      </c>
      <c r="AI1500" s="162"/>
      <c r="AJ1500" s="143"/>
      <c r="AK1500" s="143"/>
      <c r="AL1500" s="1112"/>
      <c r="AM1500" s="1112"/>
      <c r="AN1500" s="1112"/>
      <c r="AO1500" s="1112"/>
      <c r="AP1500" s="1112"/>
      <c r="AQ1500" s="1112"/>
    </row>
    <row r="1501" ht="22.5" customHeight="1">
      <c r="A1501" s="166"/>
      <c r="B1501" s="1111"/>
      <c r="C1501" s="524"/>
      <c r="D1501" s="1110"/>
      <c r="E1501" s="669"/>
      <c r="F1501" s="524"/>
      <c r="G1501" s="165"/>
      <c r="H1501" s="669"/>
      <c r="I1501" s="669"/>
      <c r="J1501" s="352"/>
      <c r="K1501" s="271" t="str">
        <f t="shared" si="74"/>
        <v/>
      </c>
      <c r="L1501" s="297"/>
      <c r="M1501" s="334"/>
      <c r="N1501" s="277"/>
      <c r="O1501" s="315"/>
      <c r="P1501" s="344">
        <f t="shared" si="69"/>
        <v>0</v>
      </c>
      <c r="Q1501" s="321"/>
      <c r="R1501" s="672" t="b">
        <v>0</v>
      </c>
      <c r="S1501" s="318"/>
      <c r="T1501" s="319"/>
      <c r="U1501" s="315"/>
      <c r="V1501" s="162"/>
      <c r="W1501" s="149"/>
      <c r="X1501" s="163"/>
      <c r="Y1501" s="162"/>
      <c r="Z1501" s="164"/>
      <c r="AA1501" s="116"/>
      <c r="AB1501" s="116"/>
      <c r="AC1501" s="165"/>
      <c r="AD1501" s="675" t="str">
        <f t="shared" si="76"/>
        <v/>
      </c>
      <c r="AE1501" s="166"/>
      <c r="AF1501" s="149" t="b">
        <v>0</v>
      </c>
      <c r="AG1501" s="166"/>
      <c r="AH1501" s="149" t="b">
        <v>0</v>
      </c>
      <c r="AI1501" s="162"/>
      <c r="AJ1501" s="143"/>
      <c r="AK1501" s="143"/>
      <c r="AL1501" s="1112"/>
      <c r="AM1501" s="1112"/>
      <c r="AN1501" s="1112"/>
      <c r="AO1501" s="1112"/>
      <c r="AP1501" s="1112"/>
      <c r="AQ1501" s="1112"/>
    </row>
    <row r="1502" ht="22.5" customHeight="1">
      <c r="A1502" s="166"/>
      <c r="B1502" s="1111"/>
      <c r="C1502" s="524"/>
      <c r="D1502" s="1110"/>
      <c r="E1502" s="669"/>
      <c r="F1502" s="524"/>
      <c r="G1502" s="165"/>
      <c r="H1502" s="669"/>
      <c r="I1502" s="669"/>
      <c r="J1502" s="352"/>
      <c r="K1502" s="271" t="str">
        <f t="shared" si="74"/>
        <v/>
      </c>
      <c r="L1502" s="297"/>
      <c r="M1502" s="334"/>
      <c r="N1502" s="277"/>
      <c r="O1502" s="315"/>
      <c r="P1502" s="344">
        <f t="shared" si="69"/>
        <v>0</v>
      </c>
      <c r="Q1502" s="321"/>
      <c r="R1502" s="672" t="b">
        <v>0</v>
      </c>
      <c r="S1502" s="318"/>
      <c r="T1502" s="319"/>
      <c r="U1502" s="315"/>
      <c r="V1502" s="162"/>
      <c r="W1502" s="149"/>
      <c r="X1502" s="163"/>
      <c r="Y1502" s="162"/>
      <c r="Z1502" s="164"/>
      <c r="AA1502" s="116"/>
      <c r="AB1502" s="116"/>
      <c r="AC1502" s="165"/>
      <c r="AD1502" s="675" t="str">
        <f t="shared" si="76"/>
        <v/>
      </c>
      <c r="AE1502" s="166"/>
      <c r="AF1502" s="149" t="b">
        <v>0</v>
      </c>
      <c r="AG1502" s="166"/>
      <c r="AH1502" s="149" t="b">
        <v>0</v>
      </c>
      <c r="AI1502" s="162"/>
      <c r="AJ1502" s="143"/>
      <c r="AK1502" s="143"/>
      <c r="AL1502" s="1112"/>
      <c r="AM1502" s="1112"/>
      <c r="AN1502" s="1112"/>
      <c r="AO1502" s="1112"/>
      <c r="AP1502" s="1112"/>
      <c r="AQ1502" s="1112"/>
    </row>
    <row r="1503" ht="22.5" customHeight="1">
      <c r="A1503" s="166"/>
      <c r="B1503" s="1111"/>
      <c r="C1503" s="524"/>
      <c r="D1503" s="1110"/>
      <c r="E1503" s="669"/>
      <c r="F1503" s="524"/>
      <c r="G1503" s="165"/>
      <c r="H1503" s="669"/>
      <c r="I1503" s="669"/>
      <c r="J1503" s="352"/>
      <c r="K1503" s="271" t="str">
        <f t="shared" si="74"/>
        <v/>
      </c>
      <c r="L1503" s="297"/>
      <c r="M1503" s="334"/>
      <c r="N1503" s="277"/>
      <c r="O1503" s="315"/>
      <c r="P1503" s="344">
        <f t="shared" si="69"/>
        <v>0</v>
      </c>
      <c r="Q1503" s="321"/>
      <c r="R1503" s="672" t="b">
        <v>0</v>
      </c>
      <c r="S1503" s="318"/>
      <c r="T1503" s="319"/>
      <c r="U1503" s="315"/>
      <c r="V1503" s="162"/>
      <c r="W1503" s="149"/>
      <c r="X1503" s="163"/>
      <c r="Y1503" s="162"/>
      <c r="Z1503" s="164"/>
      <c r="AA1503" s="116"/>
      <c r="AB1503" s="116"/>
      <c r="AC1503" s="165"/>
      <c r="AD1503" s="675" t="str">
        <f t="shared" si="76"/>
        <v/>
      </c>
      <c r="AE1503" s="166"/>
      <c r="AF1503" s="149" t="b">
        <v>0</v>
      </c>
      <c r="AG1503" s="166"/>
      <c r="AH1503" s="149" t="b">
        <v>0</v>
      </c>
      <c r="AI1503" s="162"/>
      <c r="AJ1503" s="143"/>
      <c r="AK1503" s="143"/>
      <c r="AL1503" s="1112"/>
      <c r="AM1503" s="1112"/>
      <c r="AN1503" s="1112"/>
      <c r="AO1503" s="1112"/>
      <c r="AP1503" s="1112"/>
      <c r="AQ1503" s="1112"/>
    </row>
    <row r="1504" ht="22.5" customHeight="1">
      <c r="A1504" s="166"/>
      <c r="B1504" s="1111"/>
      <c r="C1504" s="524"/>
      <c r="D1504" s="1110"/>
      <c r="E1504" s="669"/>
      <c r="F1504" s="524"/>
      <c r="G1504" s="165"/>
      <c r="H1504" s="669"/>
      <c r="I1504" s="669"/>
      <c r="J1504" s="352"/>
      <c r="K1504" s="271" t="str">
        <f t="shared" si="74"/>
        <v/>
      </c>
      <c r="L1504" s="297"/>
      <c r="M1504" s="334"/>
      <c r="N1504" s="277"/>
      <c r="O1504" s="315"/>
      <c r="P1504" s="344">
        <f t="shared" si="69"/>
        <v>0</v>
      </c>
      <c r="Q1504" s="321"/>
      <c r="R1504" s="672" t="b">
        <v>0</v>
      </c>
      <c r="S1504" s="318"/>
      <c r="T1504" s="319"/>
      <c r="U1504" s="315"/>
      <c r="V1504" s="162"/>
      <c r="W1504" s="149"/>
      <c r="X1504" s="163"/>
      <c r="Y1504" s="162"/>
      <c r="Z1504" s="164"/>
      <c r="AA1504" s="116"/>
      <c r="AB1504" s="116"/>
      <c r="AC1504" s="165"/>
      <c r="AD1504" s="675" t="str">
        <f t="shared" si="76"/>
        <v/>
      </c>
      <c r="AE1504" s="166"/>
      <c r="AF1504" s="149" t="b">
        <v>0</v>
      </c>
      <c r="AG1504" s="166"/>
      <c r="AH1504" s="149" t="b">
        <v>0</v>
      </c>
      <c r="AI1504" s="162"/>
      <c r="AJ1504" s="143"/>
      <c r="AK1504" s="143"/>
      <c r="AL1504" s="1112"/>
      <c r="AM1504" s="1112"/>
      <c r="AN1504" s="1112"/>
      <c r="AO1504" s="1112"/>
      <c r="AP1504" s="1112"/>
      <c r="AQ1504" s="1112"/>
    </row>
    <row r="1505" ht="22.5" customHeight="1">
      <c r="A1505" s="166"/>
      <c r="B1505" s="1111"/>
      <c r="C1505" s="524"/>
      <c r="D1505" s="1110"/>
      <c r="E1505" s="669"/>
      <c r="F1505" s="524"/>
      <c r="G1505" s="165"/>
      <c r="H1505" s="669"/>
      <c r="I1505" s="669"/>
      <c r="J1505" s="352"/>
      <c r="K1505" s="271" t="str">
        <f t="shared" si="74"/>
        <v/>
      </c>
      <c r="L1505" s="297"/>
      <c r="M1505" s="334"/>
      <c r="N1505" s="277"/>
      <c r="O1505" s="315"/>
      <c r="P1505" s="344">
        <f t="shared" si="69"/>
        <v>0</v>
      </c>
      <c r="Q1505" s="321"/>
      <c r="R1505" s="672" t="b">
        <v>0</v>
      </c>
      <c r="S1505" s="318"/>
      <c r="T1505" s="319"/>
      <c r="U1505" s="315"/>
      <c r="V1505" s="162"/>
      <c r="W1505" s="149"/>
      <c r="X1505" s="163"/>
      <c r="Y1505" s="162"/>
      <c r="Z1505" s="164"/>
      <c r="AA1505" s="116"/>
      <c r="AB1505" s="116"/>
      <c r="AC1505" s="165"/>
      <c r="AD1505" s="675" t="str">
        <f t="shared" si="76"/>
        <v/>
      </c>
      <c r="AE1505" s="166"/>
      <c r="AF1505" s="149" t="b">
        <v>0</v>
      </c>
      <c r="AG1505" s="166"/>
      <c r="AH1505" s="149" t="b">
        <v>0</v>
      </c>
      <c r="AI1505" s="162"/>
      <c r="AJ1505" s="143"/>
      <c r="AK1505" s="143"/>
      <c r="AL1505" s="1112"/>
      <c r="AM1505" s="1112"/>
      <c r="AN1505" s="1112"/>
      <c r="AO1505" s="1112"/>
      <c r="AP1505" s="1112"/>
      <c r="AQ1505" s="1112"/>
    </row>
    <row r="1506" ht="22.5" customHeight="1">
      <c r="A1506" s="166"/>
      <c r="B1506" s="1111"/>
      <c r="C1506" s="524"/>
      <c r="D1506" s="1110"/>
      <c r="E1506" s="669"/>
      <c r="F1506" s="524"/>
      <c r="G1506" s="165"/>
      <c r="H1506" s="669"/>
      <c r="I1506" s="669"/>
      <c r="J1506" s="352"/>
      <c r="K1506" s="271" t="str">
        <f t="shared" si="74"/>
        <v/>
      </c>
      <c r="L1506" s="297"/>
      <c r="M1506" s="334"/>
      <c r="N1506" s="277"/>
      <c r="O1506" s="315"/>
      <c r="P1506" s="344">
        <f t="shared" si="69"/>
        <v>0</v>
      </c>
      <c r="Q1506" s="321"/>
      <c r="R1506" s="672" t="b">
        <v>0</v>
      </c>
      <c r="S1506" s="318"/>
      <c r="T1506" s="319"/>
      <c r="U1506" s="315"/>
      <c r="V1506" s="162"/>
      <c r="W1506" s="149"/>
      <c r="X1506" s="163"/>
      <c r="Y1506" s="162"/>
      <c r="Z1506" s="164"/>
      <c r="AA1506" s="116"/>
      <c r="AB1506" s="116"/>
      <c r="AC1506" s="165"/>
      <c r="AD1506" s="675" t="str">
        <f t="shared" si="76"/>
        <v/>
      </c>
      <c r="AE1506" s="166"/>
      <c r="AF1506" s="149" t="b">
        <v>0</v>
      </c>
      <c r="AG1506" s="166"/>
      <c r="AH1506" s="149" t="b">
        <v>0</v>
      </c>
      <c r="AI1506" s="162"/>
      <c r="AJ1506" s="143"/>
      <c r="AK1506" s="143"/>
      <c r="AL1506" s="1112"/>
      <c r="AM1506" s="1112"/>
      <c r="AN1506" s="1112"/>
      <c r="AO1506" s="1112"/>
      <c r="AP1506" s="1112"/>
      <c r="AQ1506" s="1112"/>
    </row>
    <row r="1507" ht="22.5" customHeight="1">
      <c r="A1507" s="166"/>
      <c r="B1507" s="1111"/>
      <c r="C1507" s="524"/>
      <c r="D1507" s="1110"/>
      <c r="E1507" s="669"/>
      <c r="F1507" s="524"/>
      <c r="G1507" s="165"/>
      <c r="H1507" s="669"/>
      <c r="I1507" s="669"/>
      <c r="J1507" s="352"/>
      <c r="K1507" s="271" t="str">
        <f t="shared" si="74"/>
        <v/>
      </c>
      <c r="L1507" s="297"/>
      <c r="M1507" s="334"/>
      <c r="N1507" s="277"/>
      <c r="O1507" s="315"/>
      <c r="P1507" s="344">
        <f t="shared" si="69"/>
        <v>0</v>
      </c>
      <c r="Q1507" s="321"/>
      <c r="R1507" s="672" t="b">
        <v>0</v>
      </c>
      <c r="S1507" s="318"/>
      <c r="T1507" s="319"/>
      <c r="U1507" s="315"/>
      <c r="V1507" s="162"/>
      <c r="W1507" s="149"/>
      <c r="X1507" s="163"/>
      <c r="Y1507" s="162"/>
      <c r="Z1507" s="164"/>
      <c r="AA1507" s="116"/>
      <c r="AB1507" s="116"/>
      <c r="AC1507" s="165"/>
      <c r="AD1507" s="675" t="str">
        <f t="shared" si="76"/>
        <v/>
      </c>
      <c r="AE1507" s="166"/>
      <c r="AF1507" s="149" t="b">
        <v>0</v>
      </c>
      <c r="AG1507" s="166"/>
      <c r="AH1507" s="149" t="b">
        <v>0</v>
      </c>
      <c r="AI1507" s="162"/>
      <c r="AJ1507" s="143"/>
      <c r="AK1507" s="143"/>
      <c r="AL1507" s="1112"/>
      <c r="AM1507" s="1112"/>
      <c r="AN1507" s="1112"/>
      <c r="AO1507" s="1112"/>
      <c r="AP1507" s="1112"/>
      <c r="AQ1507" s="1112"/>
    </row>
    <row r="1508" ht="22.5" customHeight="1">
      <c r="A1508" s="166"/>
      <c r="B1508" s="1111"/>
      <c r="C1508" s="524"/>
      <c r="D1508" s="1110"/>
      <c r="E1508" s="669"/>
      <c r="F1508" s="524"/>
      <c r="G1508" s="165"/>
      <c r="H1508" s="669"/>
      <c r="I1508" s="669"/>
      <c r="J1508" s="352"/>
      <c r="K1508" s="271" t="str">
        <f t="shared" si="74"/>
        <v/>
      </c>
      <c r="L1508" s="297"/>
      <c r="M1508" s="334"/>
      <c r="N1508" s="277"/>
      <c r="O1508" s="315"/>
      <c r="P1508" s="344">
        <f t="shared" si="69"/>
        <v>0</v>
      </c>
      <c r="Q1508" s="321"/>
      <c r="R1508" s="672" t="b">
        <v>0</v>
      </c>
      <c r="S1508" s="318"/>
      <c r="T1508" s="319"/>
      <c r="U1508" s="315"/>
      <c r="V1508" s="162"/>
      <c r="W1508" s="149"/>
      <c r="X1508" s="163"/>
      <c r="Y1508" s="162"/>
      <c r="Z1508" s="164"/>
      <c r="AA1508" s="116"/>
      <c r="AB1508" s="116"/>
      <c r="AC1508" s="165"/>
      <c r="AD1508" s="675" t="str">
        <f t="shared" si="76"/>
        <v/>
      </c>
      <c r="AE1508" s="166"/>
      <c r="AF1508" s="149" t="b">
        <v>0</v>
      </c>
      <c r="AG1508" s="166"/>
      <c r="AH1508" s="149" t="b">
        <v>0</v>
      </c>
      <c r="AI1508" s="162"/>
      <c r="AJ1508" s="143"/>
      <c r="AK1508" s="143"/>
      <c r="AL1508" s="1112"/>
      <c r="AM1508" s="1112"/>
      <c r="AN1508" s="1112"/>
      <c r="AO1508" s="1112"/>
      <c r="AP1508" s="1112"/>
      <c r="AQ1508" s="1112"/>
    </row>
    <row r="1509" ht="22.5" customHeight="1">
      <c r="A1509" s="166"/>
      <c r="B1509" s="1111"/>
      <c r="C1509" s="524"/>
      <c r="D1509" s="1110"/>
      <c r="E1509" s="669"/>
      <c r="F1509" s="524"/>
      <c r="G1509" s="165"/>
      <c r="H1509" s="669"/>
      <c r="I1509" s="669"/>
      <c r="J1509" s="352"/>
      <c r="K1509" s="271" t="str">
        <f t="shared" si="74"/>
        <v/>
      </c>
      <c r="L1509" s="297"/>
      <c r="M1509" s="334"/>
      <c r="N1509" s="277"/>
      <c r="O1509" s="315"/>
      <c r="P1509" s="344">
        <f t="shared" si="69"/>
        <v>0</v>
      </c>
      <c r="Q1509" s="321"/>
      <c r="R1509" s="672" t="b">
        <v>0</v>
      </c>
      <c r="S1509" s="318"/>
      <c r="T1509" s="319"/>
      <c r="U1509" s="315"/>
      <c r="V1509" s="162"/>
      <c r="W1509" s="149"/>
      <c r="X1509" s="163"/>
      <c r="Y1509" s="162"/>
      <c r="Z1509" s="164"/>
      <c r="AA1509" s="116"/>
      <c r="AB1509" s="116"/>
      <c r="AC1509" s="165"/>
      <c r="AD1509" s="675" t="str">
        <f t="shared" si="76"/>
        <v/>
      </c>
      <c r="AE1509" s="166"/>
      <c r="AF1509" s="149" t="b">
        <v>0</v>
      </c>
      <c r="AG1509" s="166"/>
      <c r="AH1509" s="149" t="b">
        <v>0</v>
      </c>
      <c r="AI1509" s="162"/>
      <c r="AJ1509" s="143"/>
      <c r="AK1509" s="143"/>
      <c r="AL1509" s="1112"/>
      <c r="AM1509" s="1112"/>
      <c r="AN1509" s="1112"/>
      <c r="AO1509" s="1112"/>
      <c r="AP1509" s="1112"/>
      <c r="AQ1509" s="1112"/>
    </row>
    <row r="1510" ht="22.5" customHeight="1">
      <c r="A1510" s="166"/>
      <c r="B1510" s="1111"/>
      <c r="C1510" s="524"/>
      <c r="D1510" s="1110"/>
      <c r="E1510" s="669"/>
      <c r="F1510" s="524"/>
      <c r="G1510" s="165"/>
      <c r="H1510" s="669"/>
      <c r="I1510" s="669"/>
      <c r="J1510" s="352"/>
      <c r="K1510" s="271" t="str">
        <f t="shared" si="74"/>
        <v/>
      </c>
      <c r="L1510" s="297"/>
      <c r="M1510" s="334"/>
      <c r="N1510" s="277"/>
      <c r="O1510" s="315"/>
      <c r="P1510" s="344">
        <f t="shared" si="69"/>
        <v>0</v>
      </c>
      <c r="Q1510" s="321"/>
      <c r="R1510" s="672" t="b">
        <v>0</v>
      </c>
      <c r="S1510" s="318"/>
      <c r="T1510" s="319"/>
      <c r="U1510" s="315"/>
      <c r="V1510" s="162"/>
      <c r="W1510" s="149"/>
      <c r="X1510" s="163"/>
      <c r="Y1510" s="162"/>
      <c r="Z1510" s="164"/>
      <c r="AA1510" s="116"/>
      <c r="AB1510" s="116"/>
      <c r="AC1510" s="165"/>
      <c r="AD1510" s="675" t="str">
        <f t="shared" si="76"/>
        <v/>
      </c>
      <c r="AE1510" s="166"/>
      <c r="AF1510" s="149" t="b">
        <v>0</v>
      </c>
      <c r="AG1510" s="166"/>
      <c r="AH1510" s="149" t="b">
        <v>0</v>
      </c>
      <c r="AI1510" s="162"/>
      <c r="AJ1510" s="143"/>
      <c r="AK1510" s="143"/>
      <c r="AL1510" s="1112"/>
      <c r="AM1510" s="1112"/>
      <c r="AN1510" s="1112"/>
      <c r="AO1510" s="1112"/>
      <c r="AP1510" s="1112"/>
      <c r="AQ1510" s="1112"/>
    </row>
    <row r="1511" ht="22.5" customHeight="1">
      <c r="A1511" s="166"/>
      <c r="B1511" s="1111"/>
      <c r="C1511" s="524"/>
      <c r="D1511" s="1110"/>
      <c r="E1511" s="669"/>
      <c r="F1511" s="524"/>
      <c r="G1511" s="165"/>
      <c r="H1511" s="669"/>
      <c r="I1511" s="669"/>
      <c r="J1511" s="352"/>
      <c r="K1511" s="271" t="str">
        <f t="shared" si="74"/>
        <v/>
      </c>
      <c r="L1511" s="297"/>
      <c r="M1511" s="334"/>
      <c r="N1511" s="277"/>
      <c r="O1511" s="315"/>
      <c r="P1511" s="344">
        <f t="shared" si="69"/>
        <v>0</v>
      </c>
      <c r="Q1511" s="321"/>
      <c r="R1511" s="672" t="b">
        <v>0</v>
      </c>
      <c r="S1511" s="318"/>
      <c r="T1511" s="319"/>
      <c r="U1511" s="315"/>
      <c r="V1511" s="162"/>
      <c r="W1511" s="149"/>
      <c r="X1511" s="163"/>
      <c r="Y1511" s="162"/>
      <c r="Z1511" s="164"/>
      <c r="AA1511" s="116"/>
      <c r="AB1511" s="116"/>
      <c r="AC1511" s="165"/>
      <c r="AD1511" s="675" t="str">
        <f t="shared" si="76"/>
        <v/>
      </c>
      <c r="AE1511" s="166"/>
      <c r="AF1511" s="149" t="b">
        <v>0</v>
      </c>
      <c r="AG1511" s="166"/>
      <c r="AH1511" s="149" t="b">
        <v>0</v>
      </c>
      <c r="AI1511" s="162"/>
      <c r="AJ1511" s="143"/>
      <c r="AK1511" s="143"/>
      <c r="AL1511" s="1112"/>
      <c r="AM1511" s="1112"/>
      <c r="AN1511" s="1112"/>
      <c r="AO1511" s="1112"/>
      <c r="AP1511" s="1112"/>
      <c r="AQ1511" s="1112"/>
    </row>
    <row r="1512" ht="22.5" customHeight="1">
      <c r="A1512" s="166"/>
      <c r="B1512" s="1111"/>
      <c r="C1512" s="524"/>
      <c r="D1512" s="1110"/>
      <c r="E1512" s="669"/>
      <c r="F1512" s="524"/>
      <c r="G1512" s="165"/>
      <c r="H1512" s="669"/>
      <c r="I1512" s="669"/>
      <c r="J1512" s="352"/>
      <c r="K1512" s="271" t="str">
        <f t="shared" si="74"/>
        <v/>
      </c>
      <c r="L1512" s="297"/>
      <c r="M1512" s="334"/>
      <c r="N1512" s="277"/>
      <c r="O1512" s="315"/>
      <c r="P1512" s="344">
        <f t="shared" si="69"/>
        <v>0</v>
      </c>
      <c r="Q1512" s="321"/>
      <c r="R1512" s="672" t="b">
        <v>0</v>
      </c>
      <c r="S1512" s="318"/>
      <c r="T1512" s="319"/>
      <c r="U1512" s="315"/>
      <c r="V1512" s="162"/>
      <c r="W1512" s="149"/>
      <c r="X1512" s="163"/>
      <c r="Y1512" s="162"/>
      <c r="Z1512" s="164"/>
      <c r="AA1512" s="116"/>
      <c r="AB1512" s="116"/>
      <c r="AC1512" s="165"/>
      <c r="AD1512" s="675" t="str">
        <f t="shared" si="76"/>
        <v/>
      </c>
      <c r="AE1512" s="166"/>
      <c r="AF1512" s="149" t="b">
        <v>0</v>
      </c>
      <c r="AG1512" s="166"/>
      <c r="AH1512" s="149" t="b">
        <v>0</v>
      </c>
      <c r="AI1512" s="162"/>
      <c r="AJ1512" s="143"/>
      <c r="AK1512" s="143"/>
      <c r="AL1512" s="1112"/>
      <c r="AM1512" s="1112"/>
      <c r="AN1512" s="1112"/>
      <c r="AO1512" s="1112"/>
      <c r="AP1512" s="1112"/>
      <c r="AQ1512" s="1112"/>
    </row>
    <row r="1513" ht="22.5" customHeight="1">
      <c r="A1513" s="166"/>
      <c r="B1513" s="1111"/>
      <c r="C1513" s="524"/>
      <c r="D1513" s="1110"/>
      <c r="E1513" s="669"/>
      <c r="F1513" s="524"/>
      <c r="G1513" s="165"/>
      <c r="H1513" s="669"/>
      <c r="I1513" s="669"/>
      <c r="J1513" s="352"/>
      <c r="K1513" s="271" t="str">
        <f t="shared" si="74"/>
        <v/>
      </c>
      <c r="L1513" s="297"/>
      <c r="M1513" s="334"/>
      <c r="N1513" s="277"/>
      <c r="O1513" s="315"/>
      <c r="P1513" s="344">
        <f t="shared" si="69"/>
        <v>0</v>
      </c>
      <c r="Q1513" s="321"/>
      <c r="R1513" s="672" t="b">
        <v>0</v>
      </c>
      <c r="S1513" s="318"/>
      <c r="T1513" s="319"/>
      <c r="U1513" s="315"/>
      <c r="V1513" s="162"/>
      <c r="W1513" s="149"/>
      <c r="X1513" s="163"/>
      <c r="Y1513" s="162"/>
      <c r="Z1513" s="164"/>
      <c r="AA1513" s="116"/>
      <c r="AB1513" s="116"/>
      <c r="AC1513" s="165"/>
      <c r="AD1513" s="675" t="str">
        <f t="shared" si="76"/>
        <v/>
      </c>
      <c r="AE1513" s="166"/>
      <c r="AF1513" s="149" t="b">
        <v>0</v>
      </c>
      <c r="AG1513" s="166"/>
      <c r="AH1513" s="149" t="b">
        <v>0</v>
      </c>
      <c r="AI1513" s="162"/>
      <c r="AJ1513" s="143"/>
      <c r="AK1513" s="143"/>
      <c r="AL1513" s="1112"/>
      <c r="AM1513" s="1112"/>
      <c r="AN1513" s="1112"/>
      <c r="AO1513" s="1112"/>
      <c r="AP1513" s="1112"/>
      <c r="AQ1513" s="1112"/>
    </row>
    <row r="1514" ht="22.5" customHeight="1">
      <c r="A1514" s="166"/>
      <c r="B1514" s="1111"/>
      <c r="C1514" s="524"/>
      <c r="D1514" s="1110"/>
      <c r="E1514" s="669"/>
      <c r="F1514" s="524"/>
      <c r="G1514" s="165"/>
      <c r="H1514" s="669"/>
      <c r="I1514" s="669"/>
      <c r="J1514" s="352"/>
      <c r="K1514" s="271" t="str">
        <f t="shared" si="74"/>
        <v/>
      </c>
      <c r="L1514" s="297"/>
      <c r="M1514" s="334"/>
      <c r="N1514" s="277"/>
      <c r="O1514" s="315"/>
      <c r="P1514" s="344">
        <f t="shared" si="69"/>
        <v>0</v>
      </c>
      <c r="Q1514" s="321"/>
      <c r="R1514" s="672" t="b">
        <v>0</v>
      </c>
      <c r="S1514" s="318"/>
      <c r="T1514" s="319"/>
      <c r="U1514" s="315"/>
      <c r="V1514" s="162"/>
      <c r="W1514" s="149"/>
      <c r="X1514" s="163"/>
      <c r="Y1514" s="162"/>
      <c r="Z1514" s="164"/>
      <c r="AA1514" s="116"/>
      <c r="AB1514" s="116"/>
      <c r="AC1514" s="165"/>
      <c r="AD1514" s="675" t="str">
        <f t="shared" si="76"/>
        <v/>
      </c>
      <c r="AE1514" s="166"/>
      <c r="AF1514" s="149" t="b">
        <v>0</v>
      </c>
      <c r="AG1514" s="166"/>
      <c r="AH1514" s="149" t="b">
        <v>0</v>
      </c>
      <c r="AI1514" s="162"/>
      <c r="AJ1514" s="143"/>
      <c r="AK1514" s="143"/>
      <c r="AL1514" s="1112"/>
      <c r="AM1514" s="1112"/>
      <c r="AN1514" s="1112"/>
      <c r="AO1514" s="1112"/>
      <c r="AP1514" s="1112"/>
      <c r="AQ1514" s="1112"/>
    </row>
    <row r="1515" ht="22.5" customHeight="1">
      <c r="A1515" s="166"/>
      <c r="B1515" s="1111"/>
      <c r="C1515" s="524"/>
      <c r="D1515" s="1110"/>
      <c r="E1515" s="669"/>
      <c r="F1515" s="524"/>
      <c r="G1515" s="165"/>
      <c r="H1515" s="669"/>
      <c r="I1515" s="669"/>
      <c r="J1515" s="352"/>
      <c r="K1515" s="271" t="str">
        <f t="shared" si="74"/>
        <v/>
      </c>
      <c r="L1515" s="297"/>
      <c r="M1515" s="334"/>
      <c r="N1515" s="277"/>
      <c r="O1515" s="315"/>
      <c r="P1515" s="344">
        <f t="shared" si="69"/>
        <v>0</v>
      </c>
      <c r="Q1515" s="321"/>
      <c r="R1515" s="672" t="b">
        <v>0</v>
      </c>
      <c r="S1515" s="318"/>
      <c r="T1515" s="319"/>
      <c r="U1515" s="315"/>
      <c r="V1515" s="162"/>
      <c r="W1515" s="149"/>
      <c r="X1515" s="163"/>
      <c r="Y1515" s="162"/>
      <c r="Z1515" s="164"/>
      <c r="AA1515" s="116"/>
      <c r="AB1515" s="116"/>
      <c r="AC1515" s="165"/>
      <c r="AD1515" s="675" t="str">
        <f t="shared" si="76"/>
        <v/>
      </c>
      <c r="AE1515" s="166"/>
      <c r="AF1515" s="149" t="b">
        <v>0</v>
      </c>
      <c r="AG1515" s="166"/>
      <c r="AH1515" s="149" t="b">
        <v>0</v>
      </c>
      <c r="AI1515" s="162"/>
      <c r="AJ1515" s="143"/>
      <c r="AK1515" s="143"/>
      <c r="AL1515" s="1112"/>
      <c r="AM1515" s="1112"/>
      <c r="AN1515" s="1112"/>
      <c r="AO1515" s="1112"/>
      <c r="AP1515" s="1112"/>
      <c r="AQ1515" s="1112"/>
    </row>
    <row r="1516" ht="22.5" customHeight="1">
      <c r="A1516" s="166"/>
      <c r="B1516" s="1111"/>
      <c r="C1516" s="524"/>
      <c r="D1516" s="1110"/>
      <c r="E1516" s="669"/>
      <c r="F1516" s="524"/>
      <c r="G1516" s="165"/>
      <c r="H1516" s="669"/>
      <c r="I1516" s="669"/>
      <c r="J1516" s="352"/>
      <c r="K1516" s="271" t="str">
        <f t="shared" si="74"/>
        <v/>
      </c>
      <c r="L1516" s="297"/>
      <c r="M1516" s="334"/>
      <c r="N1516" s="277"/>
      <c r="O1516" s="315"/>
      <c r="P1516" s="344">
        <f t="shared" si="69"/>
        <v>0</v>
      </c>
      <c r="Q1516" s="321"/>
      <c r="R1516" s="672" t="b">
        <v>0</v>
      </c>
      <c r="S1516" s="318"/>
      <c r="T1516" s="319"/>
      <c r="U1516" s="315"/>
      <c r="V1516" s="162"/>
      <c r="W1516" s="149"/>
      <c r="X1516" s="163"/>
      <c r="Y1516" s="162"/>
      <c r="Z1516" s="164"/>
      <c r="AA1516" s="116"/>
      <c r="AB1516" s="116"/>
      <c r="AC1516" s="165"/>
      <c r="AD1516" s="675" t="str">
        <f t="shared" si="76"/>
        <v/>
      </c>
      <c r="AE1516" s="166"/>
      <c r="AF1516" s="149" t="b">
        <v>0</v>
      </c>
      <c r="AG1516" s="166"/>
      <c r="AH1516" s="149" t="b">
        <v>0</v>
      </c>
      <c r="AI1516" s="162"/>
      <c r="AJ1516" s="143"/>
      <c r="AK1516" s="143"/>
      <c r="AL1516" s="1112"/>
      <c r="AM1516" s="1112"/>
      <c r="AN1516" s="1112"/>
      <c r="AO1516" s="1112"/>
      <c r="AP1516" s="1112"/>
      <c r="AQ1516" s="1112"/>
    </row>
    <row r="1517" ht="22.5" customHeight="1">
      <c r="A1517" s="166"/>
      <c r="B1517" s="1111"/>
      <c r="C1517" s="524"/>
      <c r="D1517" s="1110"/>
      <c r="E1517" s="669"/>
      <c r="F1517" s="524"/>
      <c r="G1517" s="165"/>
      <c r="H1517" s="669"/>
      <c r="I1517" s="669"/>
      <c r="J1517" s="352"/>
      <c r="K1517" s="271" t="str">
        <f t="shared" si="74"/>
        <v/>
      </c>
      <c r="L1517" s="297"/>
      <c r="M1517" s="334"/>
      <c r="N1517" s="277"/>
      <c r="O1517" s="315"/>
      <c r="P1517" s="344">
        <f t="shared" si="69"/>
        <v>0</v>
      </c>
      <c r="Q1517" s="321"/>
      <c r="R1517" s="672" t="b">
        <v>0</v>
      </c>
      <c r="S1517" s="318"/>
      <c r="T1517" s="319"/>
      <c r="U1517" s="315"/>
      <c r="V1517" s="162"/>
      <c r="W1517" s="149"/>
      <c r="X1517" s="163"/>
      <c r="Y1517" s="162"/>
      <c r="Z1517" s="164"/>
      <c r="AA1517" s="116"/>
      <c r="AB1517" s="116"/>
      <c r="AC1517" s="165"/>
      <c r="AD1517" s="675" t="str">
        <f t="shared" si="76"/>
        <v/>
      </c>
      <c r="AE1517" s="166"/>
      <c r="AF1517" s="149" t="b">
        <v>0</v>
      </c>
      <c r="AG1517" s="166"/>
      <c r="AH1517" s="149" t="b">
        <v>0</v>
      </c>
      <c r="AI1517" s="162"/>
      <c r="AJ1517" s="143"/>
      <c r="AK1517" s="143"/>
      <c r="AL1517" s="1112"/>
      <c r="AM1517" s="1112"/>
      <c r="AN1517" s="1112"/>
      <c r="AO1517" s="1112"/>
      <c r="AP1517" s="1112"/>
      <c r="AQ1517" s="1112"/>
    </row>
    <row r="1518" ht="22.5" customHeight="1">
      <c r="A1518" s="166"/>
      <c r="B1518" s="1111"/>
      <c r="C1518" s="524"/>
      <c r="D1518" s="1110"/>
      <c r="E1518" s="669"/>
      <c r="F1518" s="524"/>
      <c r="G1518" s="165"/>
      <c r="H1518" s="669"/>
      <c r="I1518" s="669"/>
      <c r="J1518" s="352"/>
      <c r="K1518" s="271" t="str">
        <f t="shared" si="74"/>
        <v/>
      </c>
      <c r="L1518" s="297"/>
      <c r="M1518" s="334"/>
      <c r="N1518" s="277"/>
      <c r="O1518" s="315"/>
      <c r="P1518" s="344">
        <f t="shared" si="69"/>
        <v>0</v>
      </c>
      <c r="Q1518" s="321"/>
      <c r="R1518" s="672" t="b">
        <v>0</v>
      </c>
      <c r="S1518" s="318"/>
      <c r="T1518" s="319"/>
      <c r="U1518" s="315"/>
      <c r="V1518" s="162"/>
      <c r="W1518" s="149"/>
      <c r="X1518" s="163"/>
      <c r="Y1518" s="162"/>
      <c r="Z1518" s="164"/>
      <c r="AA1518" s="116"/>
      <c r="AB1518" s="116"/>
      <c r="AC1518" s="165"/>
      <c r="AD1518" s="675" t="str">
        <f t="shared" si="76"/>
        <v/>
      </c>
      <c r="AE1518" s="166"/>
      <c r="AF1518" s="149" t="b">
        <v>0</v>
      </c>
      <c r="AG1518" s="166"/>
      <c r="AH1518" s="149" t="b">
        <v>0</v>
      </c>
      <c r="AI1518" s="162"/>
      <c r="AJ1518" s="143"/>
      <c r="AK1518" s="143"/>
      <c r="AL1518" s="1112"/>
      <c r="AM1518" s="1112"/>
      <c r="AN1518" s="1112"/>
      <c r="AO1518" s="1112"/>
      <c r="AP1518" s="1112"/>
      <c r="AQ1518" s="1112"/>
    </row>
    <row r="1519" ht="22.5" customHeight="1">
      <c r="A1519" s="166"/>
      <c r="B1519" s="1111"/>
      <c r="C1519" s="524"/>
      <c r="D1519" s="1110"/>
      <c r="E1519" s="669"/>
      <c r="F1519" s="524"/>
      <c r="G1519" s="165"/>
      <c r="H1519" s="669"/>
      <c r="I1519" s="669"/>
      <c r="J1519" s="352"/>
      <c r="K1519" s="271" t="str">
        <f t="shared" si="74"/>
        <v/>
      </c>
      <c r="L1519" s="297"/>
      <c r="M1519" s="334"/>
      <c r="N1519" s="277"/>
      <c r="O1519" s="315"/>
      <c r="P1519" s="344">
        <f t="shared" si="69"/>
        <v>0</v>
      </c>
      <c r="Q1519" s="321"/>
      <c r="R1519" s="672" t="b">
        <v>0</v>
      </c>
      <c r="S1519" s="318"/>
      <c r="T1519" s="319"/>
      <c r="U1519" s="315"/>
      <c r="V1519" s="162"/>
      <c r="W1519" s="149"/>
      <c r="X1519" s="163"/>
      <c r="Y1519" s="162"/>
      <c r="Z1519" s="164"/>
      <c r="AA1519" s="116"/>
      <c r="AB1519" s="116"/>
      <c r="AC1519" s="165"/>
      <c r="AD1519" s="675" t="str">
        <f t="shared" si="76"/>
        <v/>
      </c>
      <c r="AE1519" s="166"/>
      <c r="AF1519" s="149" t="b">
        <v>0</v>
      </c>
      <c r="AG1519" s="166"/>
      <c r="AH1519" s="149" t="b">
        <v>0</v>
      </c>
      <c r="AI1519" s="162"/>
      <c r="AJ1519" s="143"/>
      <c r="AK1519" s="143"/>
      <c r="AL1519" s="1112"/>
      <c r="AM1519" s="1112"/>
      <c r="AN1519" s="1112"/>
      <c r="AO1519" s="1112"/>
      <c r="AP1519" s="1112"/>
      <c r="AQ1519" s="1112"/>
    </row>
    <row r="1520" ht="22.5" customHeight="1">
      <c r="A1520" s="166"/>
      <c r="B1520" s="1111"/>
      <c r="C1520" s="524"/>
      <c r="D1520" s="1110"/>
      <c r="E1520" s="669"/>
      <c r="F1520" s="524"/>
      <c r="G1520" s="165"/>
      <c r="H1520" s="669"/>
      <c r="I1520" s="669"/>
      <c r="J1520" s="352"/>
      <c r="K1520" s="271" t="str">
        <f t="shared" si="74"/>
        <v/>
      </c>
      <c r="L1520" s="297"/>
      <c r="M1520" s="334"/>
      <c r="N1520" s="277"/>
      <c r="O1520" s="315"/>
      <c r="P1520" s="344">
        <f t="shared" si="69"/>
        <v>0</v>
      </c>
      <c r="Q1520" s="321"/>
      <c r="R1520" s="672" t="b">
        <v>0</v>
      </c>
      <c r="S1520" s="318"/>
      <c r="T1520" s="319"/>
      <c r="U1520" s="315"/>
      <c r="V1520" s="162"/>
      <c r="W1520" s="149"/>
      <c r="X1520" s="163"/>
      <c r="Y1520" s="162"/>
      <c r="Z1520" s="164"/>
      <c r="AA1520" s="116"/>
      <c r="AB1520" s="116"/>
      <c r="AC1520" s="165"/>
      <c r="AD1520" s="675" t="str">
        <f t="shared" si="76"/>
        <v/>
      </c>
      <c r="AE1520" s="166"/>
      <c r="AF1520" s="149" t="b">
        <v>0</v>
      </c>
      <c r="AG1520" s="166"/>
      <c r="AH1520" s="149" t="b">
        <v>0</v>
      </c>
      <c r="AI1520" s="162"/>
      <c r="AJ1520" s="143"/>
      <c r="AK1520" s="143"/>
      <c r="AL1520" s="1112"/>
      <c r="AM1520" s="1112"/>
      <c r="AN1520" s="1112"/>
      <c r="AO1520" s="1112"/>
      <c r="AP1520" s="1112"/>
      <c r="AQ1520" s="1112"/>
    </row>
    <row r="1521" ht="22.5" customHeight="1">
      <c r="A1521" s="166"/>
      <c r="B1521" s="1111"/>
      <c r="C1521" s="524"/>
      <c r="D1521" s="1110"/>
      <c r="E1521" s="669"/>
      <c r="F1521" s="524"/>
      <c r="G1521" s="165"/>
      <c r="H1521" s="669"/>
      <c r="I1521" s="669"/>
      <c r="J1521" s="352"/>
      <c r="K1521" s="271" t="str">
        <f t="shared" si="74"/>
        <v/>
      </c>
      <c r="L1521" s="297"/>
      <c r="M1521" s="334"/>
      <c r="N1521" s="277"/>
      <c r="O1521" s="315"/>
      <c r="P1521" s="344">
        <f t="shared" si="69"/>
        <v>0</v>
      </c>
      <c r="Q1521" s="321"/>
      <c r="R1521" s="672" t="b">
        <v>0</v>
      </c>
      <c r="S1521" s="318"/>
      <c r="T1521" s="319"/>
      <c r="U1521" s="315"/>
      <c r="V1521" s="162"/>
      <c r="W1521" s="149"/>
      <c r="X1521" s="163"/>
      <c r="Y1521" s="162"/>
      <c r="Z1521" s="164"/>
      <c r="AA1521" s="116"/>
      <c r="AB1521" s="116"/>
      <c r="AC1521" s="165"/>
      <c r="AD1521" s="675" t="str">
        <f t="shared" si="76"/>
        <v/>
      </c>
      <c r="AE1521" s="166"/>
      <c r="AF1521" s="149" t="b">
        <v>0</v>
      </c>
      <c r="AG1521" s="166"/>
      <c r="AH1521" s="149" t="b">
        <v>0</v>
      </c>
      <c r="AI1521" s="162"/>
      <c r="AJ1521" s="143"/>
      <c r="AK1521" s="143"/>
      <c r="AL1521" s="1112"/>
      <c r="AM1521" s="1112"/>
      <c r="AN1521" s="1112"/>
      <c r="AO1521" s="1112"/>
      <c r="AP1521" s="1112"/>
      <c r="AQ1521" s="1112"/>
    </row>
    <row r="1522" ht="22.5" customHeight="1">
      <c r="A1522" s="166"/>
      <c r="B1522" s="1111"/>
      <c r="C1522" s="524"/>
      <c r="D1522" s="1110"/>
      <c r="E1522" s="669"/>
      <c r="F1522" s="524"/>
      <c r="G1522" s="165"/>
      <c r="H1522" s="669"/>
      <c r="I1522" s="669"/>
      <c r="J1522" s="352"/>
      <c r="K1522" s="271" t="str">
        <f t="shared" si="74"/>
        <v/>
      </c>
      <c r="L1522" s="297"/>
      <c r="M1522" s="334"/>
      <c r="N1522" s="277"/>
      <c r="O1522" s="315"/>
      <c r="P1522" s="344">
        <f t="shared" si="69"/>
        <v>0</v>
      </c>
      <c r="Q1522" s="321"/>
      <c r="R1522" s="672" t="b">
        <v>0</v>
      </c>
      <c r="S1522" s="318"/>
      <c r="T1522" s="319"/>
      <c r="U1522" s="315"/>
      <c r="V1522" s="162"/>
      <c r="W1522" s="149"/>
      <c r="X1522" s="163"/>
      <c r="Y1522" s="162"/>
      <c r="Z1522" s="164"/>
      <c r="AA1522" s="116"/>
      <c r="AB1522" s="116"/>
      <c r="AC1522" s="165"/>
      <c r="AD1522" s="675" t="str">
        <f t="shared" si="76"/>
        <v/>
      </c>
      <c r="AE1522" s="166"/>
      <c r="AF1522" s="149" t="b">
        <v>0</v>
      </c>
      <c r="AG1522" s="166"/>
      <c r="AH1522" s="149" t="b">
        <v>0</v>
      </c>
      <c r="AI1522" s="162"/>
      <c r="AJ1522" s="143"/>
      <c r="AK1522" s="143"/>
      <c r="AL1522" s="1112"/>
      <c r="AM1522" s="1112"/>
      <c r="AN1522" s="1112"/>
      <c r="AO1522" s="1112"/>
      <c r="AP1522" s="1112"/>
      <c r="AQ1522" s="1112"/>
    </row>
    <row r="1523" ht="22.5" customHeight="1">
      <c r="A1523" s="166"/>
      <c r="B1523" s="1111"/>
      <c r="C1523" s="524"/>
      <c r="D1523" s="1110"/>
      <c r="E1523" s="669"/>
      <c r="F1523" s="524"/>
      <c r="G1523" s="165"/>
      <c r="H1523" s="669"/>
      <c r="I1523" s="669"/>
      <c r="J1523" s="352"/>
      <c r="K1523" s="271" t="str">
        <f t="shared" si="74"/>
        <v/>
      </c>
      <c r="L1523" s="297"/>
      <c r="M1523" s="334"/>
      <c r="N1523" s="277"/>
      <c r="O1523" s="315"/>
      <c r="P1523" s="344">
        <f t="shared" si="69"/>
        <v>0</v>
      </c>
      <c r="Q1523" s="321"/>
      <c r="R1523" s="672" t="b">
        <v>0</v>
      </c>
      <c r="S1523" s="318"/>
      <c r="T1523" s="319"/>
      <c r="U1523" s="315"/>
      <c r="V1523" s="162"/>
      <c r="W1523" s="149"/>
      <c r="X1523" s="163"/>
      <c r="Y1523" s="162"/>
      <c r="Z1523" s="164"/>
      <c r="AA1523" s="116"/>
      <c r="AB1523" s="116"/>
      <c r="AC1523" s="165"/>
      <c r="AD1523" s="675" t="str">
        <f t="shared" si="76"/>
        <v/>
      </c>
      <c r="AE1523" s="166"/>
      <c r="AF1523" s="149" t="b">
        <v>0</v>
      </c>
      <c r="AG1523" s="166"/>
      <c r="AH1523" s="149" t="b">
        <v>0</v>
      </c>
      <c r="AI1523" s="162"/>
      <c r="AJ1523" s="143"/>
      <c r="AK1523" s="143"/>
      <c r="AL1523" s="1112"/>
      <c r="AM1523" s="1112"/>
      <c r="AN1523" s="1112"/>
      <c r="AO1523" s="1112"/>
      <c r="AP1523" s="1112"/>
      <c r="AQ1523" s="1112"/>
    </row>
    <row r="1524" ht="22.5" customHeight="1">
      <c r="A1524" s="166"/>
      <c r="B1524" s="1111"/>
      <c r="C1524" s="524"/>
      <c r="D1524" s="1110"/>
      <c r="E1524" s="669"/>
      <c r="F1524" s="524"/>
      <c r="G1524" s="165"/>
      <c r="H1524" s="669"/>
      <c r="I1524" s="669"/>
      <c r="J1524" s="352"/>
      <c r="K1524" s="271" t="str">
        <f t="shared" si="74"/>
        <v/>
      </c>
      <c r="L1524" s="297"/>
      <c r="M1524" s="334"/>
      <c r="N1524" s="277"/>
      <c r="O1524" s="315"/>
      <c r="P1524" s="344">
        <f t="shared" si="69"/>
        <v>0</v>
      </c>
      <c r="Q1524" s="321"/>
      <c r="R1524" s="672" t="b">
        <v>0</v>
      </c>
      <c r="S1524" s="318"/>
      <c r="T1524" s="319"/>
      <c r="U1524" s="315"/>
      <c r="V1524" s="162"/>
      <c r="W1524" s="149"/>
      <c r="X1524" s="163"/>
      <c r="Y1524" s="162"/>
      <c r="Z1524" s="164"/>
      <c r="AA1524" s="116"/>
      <c r="AB1524" s="116"/>
      <c r="AC1524" s="165"/>
      <c r="AD1524" s="675" t="str">
        <f t="shared" si="76"/>
        <v/>
      </c>
      <c r="AE1524" s="166"/>
      <c r="AF1524" s="149" t="b">
        <v>0</v>
      </c>
      <c r="AG1524" s="166"/>
      <c r="AH1524" s="149" t="b">
        <v>0</v>
      </c>
      <c r="AI1524" s="162"/>
      <c r="AJ1524" s="143"/>
      <c r="AK1524" s="143"/>
      <c r="AL1524" s="1112"/>
      <c r="AM1524" s="1112"/>
      <c r="AN1524" s="1112"/>
      <c r="AO1524" s="1112"/>
      <c r="AP1524" s="1112"/>
      <c r="AQ1524" s="1112"/>
    </row>
    <row r="1525" ht="22.5" customHeight="1">
      <c r="A1525" s="166"/>
      <c r="B1525" s="1111"/>
      <c r="C1525" s="524"/>
      <c r="D1525" s="1110"/>
      <c r="E1525" s="669"/>
      <c r="F1525" s="524"/>
      <c r="G1525" s="165"/>
      <c r="H1525" s="669"/>
      <c r="I1525" s="669"/>
      <c r="J1525" s="352"/>
      <c r="K1525" s="271" t="str">
        <f t="shared" si="74"/>
        <v/>
      </c>
      <c r="L1525" s="297"/>
      <c r="M1525" s="334"/>
      <c r="N1525" s="277"/>
      <c r="O1525" s="315"/>
      <c r="P1525" s="344">
        <f t="shared" si="69"/>
        <v>0</v>
      </c>
      <c r="Q1525" s="321"/>
      <c r="R1525" s="672" t="b">
        <v>0</v>
      </c>
      <c r="S1525" s="318"/>
      <c r="T1525" s="319"/>
      <c r="U1525" s="315"/>
      <c r="V1525" s="162"/>
      <c r="W1525" s="149"/>
      <c r="X1525" s="163"/>
      <c r="Y1525" s="162"/>
      <c r="Z1525" s="164"/>
      <c r="AA1525" s="116"/>
      <c r="AB1525" s="116"/>
      <c r="AC1525" s="165"/>
      <c r="AD1525" s="675" t="str">
        <f t="shared" si="76"/>
        <v/>
      </c>
      <c r="AE1525" s="166"/>
      <c r="AF1525" s="149" t="b">
        <v>0</v>
      </c>
      <c r="AG1525" s="166"/>
      <c r="AH1525" s="149" t="b">
        <v>0</v>
      </c>
      <c r="AI1525" s="162"/>
      <c r="AJ1525" s="143"/>
      <c r="AK1525" s="143"/>
      <c r="AL1525" s="1112"/>
      <c r="AM1525" s="1112"/>
      <c r="AN1525" s="1112"/>
      <c r="AO1525" s="1112"/>
      <c r="AP1525" s="1112"/>
      <c r="AQ1525" s="1112"/>
    </row>
    <row r="1526" ht="22.5" customHeight="1">
      <c r="A1526" s="166"/>
      <c r="B1526" s="1111"/>
      <c r="C1526" s="524"/>
      <c r="D1526" s="1110"/>
      <c r="E1526" s="669"/>
      <c r="F1526" s="524"/>
      <c r="G1526" s="165"/>
      <c r="H1526" s="669"/>
      <c r="I1526" s="669"/>
      <c r="J1526" s="352"/>
      <c r="K1526" s="271" t="str">
        <f t="shared" si="74"/>
        <v/>
      </c>
      <c r="L1526" s="297"/>
      <c r="M1526" s="334"/>
      <c r="N1526" s="277"/>
      <c r="O1526" s="315"/>
      <c r="P1526" s="344">
        <f t="shared" si="69"/>
        <v>0</v>
      </c>
      <c r="Q1526" s="321"/>
      <c r="R1526" s="672" t="b">
        <v>0</v>
      </c>
      <c r="S1526" s="318"/>
      <c r="T1526" s="319"/>
      <c r="U1526" s="315"/>
      <c r="V1526" s="162"/>
      <c r="W1526" s="149"/>
      <c r="X1526" s="163"/>
      <c r="Y1526" s="162"/>
      <c r="Z1526" s="164"/>
      <c r="AA1526" s="116"/>
      <c r="AB1526" s="116"/>
      <c r="AC1526" s="165"/>
      <c r="AD1526" s="675" t="str">
        <f t="shared" si="76"/>
        <v/>
      </c>
      <c r="AE1526" s="166"/>
      <c r="AF1526" s="149" t="b">
        <v>0</v>
      </c>
      <c r="AG1526" s="166"/>
      <c r="AH1526" s="149" t="b">
        <v>0</v>
      </c>
      <c r="AI1526" s="162"/>
      <c r="AJ1526" s="143"/>
      <c r="AK1526" s="143"/>
      <c r="AL1526" s="1112"/>
      <c r="AM1526" s="1112"/>
      <c r="AN1526" s="1112"/>
      <c r="AO1526" s="1112"/>
      <c r="AP1526" s="1112"/>
      <c r="AQ1526" s="1112"/>
    </row>
    <row r="1527" ht="22.5" customHeight="1">
      <c r="A1527" s="166"/>
      <c r="B1527" s="1111"/>
      <c r="C1527" s="524"/>
      <c r="D1527" s="1110"/>
      <c r="E1527" s="669"/>
      <c r="F1527" s="524"/>
      <c r="G1527" s="165"/>
      <c r="H1527" s="669"/>
      <c r="I1527" s="669"/>
      <c r="J1527" s="352"/>
      <c r="K1527" s="271" t="str">
        <f t="shared" si="74"/>
        <v/>
      </c>
      <c r="L1527" s="297"/>
      <c r="M1527" s="334"/>
      <c r="N1527" s="277"/>
      <c r="O1527" s="315"/>
      <c r="P1527" s="344">
        <f t="shared" si="69"/>
        <v>0</v>
      </c>
      <c r="Q1527" s="321"/>
      <c r="R1527" s="672" t="b">
        <v>0</v>
      </c>
      <c r="S1527" s="318"/>
      <c r="T1527" s="319"/>
      <c r="U1527" s="315"/>
      <c r="V1527" s="162"/>
      <c r="W1527" s="149"/>
      <c r="X1527" s="163"/>
      <c r="Y1527" s="162"/>
      <c r="Z1527" s="164"/>
      <c r="AA1527" s="116"/>
      <c r="AB1527" s="116"/>
      <c r="AC1527" s="165"/>
      <c r="AD1527" s="675" t="str">
        <f t="shared" si="76"/>
        <v/>
      </c>
      <c r="AE1527" s="166"/>
      <c r="AF1527" s="149" t="b">
        <v>0</v>
      </c>
      <c r="AG1527" s="166"/>
      <c r="AH1527" s="149" t="b">
        <v>0</v>
      </c>
      <c r="AI1527" s="162"/>
      <c r="AJ1527" s="143"/>
      <c r="AK1527" s="143"/>
      <c r="AL1527" s="1112"/>
      <c r="AM1527" s="1112"/>
      <c r="AN1527" s="1112"/>
      <c r="AO1527" s="1112"/>
      <c r="AP1527" s="1112"/>
      <c r="AQ1527" s="1112"/>
    </row>
    <row r="1528" ht="22.5" customHeight="1">
      <c r="A1528" s="166"/>
      <c r="B1528" s="1111"/>
      <c r="C1528" s="524"/>
      <c r="D1528" s="1110"/>
      <c r="E1528" s="669"/>
      <c r="F1528" s="524"/>
      <c r="G1528" s="165"/>
      <c r="H1528" s="669"/>
      <c r="I1528" s="669"/>
      <c r="J1528" s="352"/>
      <c r="K1528" s="271" t="str">
        <f t="shared" si="74"/>
        <v/>
      </c>
      <c r="L1528" s="297"/>
      <c r="M1528" s="334"/>
      <c r="N1528" s="277"/>
      <c r="O1528" s="315"/>
      <c r="P1528" s="344">
        <f t="shared" si="69"/>
        <v>0</v>
      </c>
      <c r="Q1528" s="321"/>
      <c r="R1528" s="672" t="b">
        <v>0</v>
      </c>
      <c r="S1528" s="318"/>
      <c r="T1528" s="319"/>
      <c r="U1528" s="315"/>
      <c r="V1528" s="162"/>
      <c r="W1528" s="149"/>
      <c r="X1528" s="163"/>
      <c r="Y1528" s="162"/>
      <c r="Z1528" s="164"/>
      <c r="AA1528" s="116"/>
      <c r="AB1528" s="116"/>
      <c r="AC1528" s="165"/>
      <c r="AD1528" s="675" t="str">
        <f t="shared" si="76"/>
        <v/>
      </c>
      <c r="AE1528" s="166"/>
      <c r="AF1528" s="149" t="b">
        <v>0</v>
      </c>
      <c r="AG1528" s="166"/>
      <c r="AH1528" s="149" t="b">
        <v>0</v>
      </c>
      <c r="AI1528" s="162"/>
      <c r="AJ1528" s="143"/>
      <c r="AK1528" s="143"/>
      <c r="AL1528" s="1112"/>
      <c r="AM1528" s="1112"/>
      <c r="AN1528" s="1112"/>
      <c r="AO1528" s="1112"/>
      <c r="AP1528" s="1112"/>
      <c r="AQ1528" s="1112"/>
    </row>
    <row r="1529" ht="22.5" customHeight="1">
      <c r="A1529" s="166"/>
      <c r="B1529" s="1111"/>
      <c r="C1529" s="524"/>
      <c r="D1529" s="1110"/>
      <c r="E1529" s="669"/>
      <c r="F1529" s="524"/>
      <c r="G1529" s="165"/>
      <c r="H1529" s="669"/>
      <c r="I1529" s="669"/>
      <c r="J1529" s="352"/>
      <c r="K1529" s="271" t="str">
        <f t="shared" si="74"/>
        <v/>
      </c>
      <c r="L1529" s="297"/>
      <c r="M1529" s="334"/>
      <c r="N1529" s="277"/>
      <c r="O1529" s="315"/>
      <c r="P1529" s="344">
        <f t="shared" si="69"/>
        <v>0</v>
      </c>
      <c r="Q1529" s="321"/>
      <c r="R1529" s="672" t="b">
        <v>0</v>
      </c>
      <c r="S1529" s="318"/>
      <c r="T1529" s="319"/>
      <c r="U1529" s="315"/>
      <c r="V1529" s="162"/>
      <c r="W1529" s="149"/>
      <c r="X1529" s="163"/>
      <c r="Y1529" s="162"/>
      <c r="Z1529" s="164"/>
      <c r="AA1529" s="116"/>
      <c r="AB1529" s="116"/>
      <c r="AC1529" s="165"/>
      <c r="AD1529" s="675" t="str">
        <f t="shared" si="76"/>
        <v/>
      </c>
      <c r="AE1529" s="166"/>
      <c r="AF1529" s="149" t="b">
        <v>0</v>
      </c>
      <c r="AG1529" s="166"/>
      <c r="AH1529" s="149" t="b">
        <v>0</v>
      </c>
      <c r="AI1529" s="162"/>
      <c r="AJ1529" s="143"/>
      <c r="AK1529" s="143"/>
      <c r="AL1529" s="1112"/>
      <c r="AM1529" s="1112"/>
      <c r="AN1529" s="1112"/>
      <c r="AO1529" s="1112"/>
      <c r="AP1529" s="1112"/>
      <c r="AQ1529" s="1112"/>
    </row>
    <row r="1530" ht="22.5" customHeight="1">
      <c r="A1530" s="166"/>
      <c r="B1530" s="1111"/>
      <c r="C1530" s="524"/>
      <c r="D1530" s="1110"/>
      <c r="E1530" s="669"/>
      <c r="F1530" s="524"/>
      <c r="G1530" s="165"/>
      <c r="H1530" s="669"/>
      <c r="I1530" s="669"/>
      <c r="J1530" s="352"/>
      <c r="K1530" s="271" t="str">
        <f t="shared" si="74"/>
        <v/>
      </c>
      <c r="L1530" s="297"/>
      <c r="M1530" s="334"/>
      <c r="N1530" s="277"/>
      <c r="O1530" s="315"/>
      <c r="P1530" s="344">
        <f t="shared" si="69"/>
        <v>0</v>
      </c>
      <c r="Q1530" s="321"/>
      <c r="R1530" s="672" t="b">
        <v>0</v>
      </c>
      <c r="S1530" s="318"/>
      <c r="T1530" s="319"/>
      <c r="U1530" s="315"/>
      <c r="V1530" s="162"/>
      <c r="W1530" s="149"/>
      <c r="X1530" s="163"/>
      <c r="Y1530" s="162"/>
      <c r="Z1530" s="164"/>
      <c r="AA1530" s="116"/>
      <c r="AB1530" s="116"/>
      <c r="AC1530" s="165"/>
      <c r="AD1530" s="675" t="str">
        <f t="shared" si="76"/>
        <v/>
      </c>
      <c r="AE1530" s="166"/>
      <c r="AF1530" s="149" t="b">
        <v>0</v>
      </c>
      <c r="AG1530" s="166"/>
      <c r="AH1530" s="149" t="b">
        <v>0</v>
      </c>
      <c r="AI1530" s="162"/>
      <c r="AJ1530" s="143"/>
      <c r="AK1530" s="143"/>
      <c r="AL1530" s="1112"/>
      <c r="AM1530" s="1112"/>
      <c r="AN1530" s="1112"/>
      <c r="AO1530" s="1112"/>
      <c r="AP1530" s="1112"/>
      <c r="AQ1530" s="1112"/>
    </row>
    <row r="1531" ht="22.5" customHeight="1">
      <c r="A1531" s="166"/>
      <c r="B1531" s="1111"/>
      <c r="C1531" s="524"/>
      <c r="D1531" s="1110"/>
      <c r="E1531" s="669"/>
      <c r="F1531" s="524"/>
      <c r="G1531" s="165"/>
      <c r="H1531" s="669"/>
      <c r="I1531" s="669"/>
      <c r="J1531" s="352"/>
      <c r="K1531" s="271" t="str">
        <f t="shared" si="74"/>
        <v/>
      </c>
      <c r="L1531" s="297"/>
      <c r="M1531" s="334"/>
      <c r="N1531" s="277"/>
      <c r="O1531" s="315"/>
      <c r="P1531" s="344">
        <f t="shared" si="69"/>
        <v>0</v>
      </c>
      <c r="Q1531" s="321"/>
      <c r="R1531" s="672" t="b">
        <v>0</v>
      </c>
      <c r="S1531" s="318"/>
      <c r="T1531" s="319"/>
      <c r="U1531" s="315"/>
      <c r="V1531" s="162"/>
      <c r="W1531" s="149"/>
      <c r="X1531" s="163"/>
      <c r="Y1531" s="162"/>
      <c r="Z1531" s="164"/>
      <c r="AA1531" s="116"/>
      <c r="AB1531" s="116"/>
      <c r="AC1531" s="165"/>
      <c r="AD1531" s="675" t="str">
        <f t="shared" si="76"/>
        <v/>
      </c>
      <c r="AE1531" s="166"/>
      <c r="AF1531" s="149" t="b">
        <v>0</v>
      </c>
      <c r="AG1531" s="166"/>
      <c r="AH1531" s="149" t="b">
        <v>0</v>
      </c>
      <c r="AI1531" s="162"/>
      <c r="AJ1531" s="143"/>
      <c r="AK1531" s="143"/>
      <c r="AL1531" s="1112"/>
      <c r="AM1531" s="1112"/>
      <c r="AN1531" s="1112"/>
      <c r="AO1531" s="1112"/>
      <c r="AP1531" s="1112"/>
      <c r="AQ1531" s="1112"/>
    </row>
    <row r="1532" ht="22.5" customHeight="1">
      <c r="A1532" s="166"/>
      <c r="B1532" s="1111"/>
      <c r="C1532" s="524"/>
      <c r="D1532" s="1110"/>
      <c r="E1532" s="669"/>
      <c r="F1532" s="524"/>
      <c r="G1532" s="165"/>
      <c r="H1532" s="669"/>
      <c r="I1532" s="669"/>
      <c r="J1532" s="352"/>
      <c r="K1532" s="271" t="str">
        <f t="shared" si="74"/>
        <v/>
      </c>
      <c r="L1532" s="297"/>
      <c r="M1532" s="334"/>
      <c r="N1532" s="277"/>
      <c r="O1532" s="315"/>
      <c r="P1532" s="344">
        <f t="shared" si="69"/>
        <v>0</v>
      </c>
      <c r="Q1532" s="321"/>
      <c r="R1532" s="672" t="b">
        <v>0</v>
      </c>
      <c r="S1532" s="318"/>
      <c r="T1532" s="319"/>
      <c r="U1532" s="315"/>
      <c r="V1532" s="162"/>
      <c r="W1532" s="149"/>
      <c r="X1532" s="163"/>
      <c r="Y1532" s="162"/>
      <c r="Z1532" s="164"/>
      <c r="AA1532" s="116"/>
      <c r="AB1532" s="116"/>
      <c r="AC1532" s="165"/>
      <c r="AD1532" s="675" t="str">
        <f t="shared" si="76"/>
        <v/>
      </c>
      <c r="AE1532" s="166"/>
      <c r="AF1532" s="149" t="b">
        <v>0</v>
      </c>
      <c r="AG1532" s="166"/>
      <c r="AH1532" s="149" t="b">
        <v>0</v>
      </c>
      <c r="AI1532" s="162"/>
      <c r="AJ1532" s="143"/>
      <c r="AK1532" s="143"/>
      <c r="AL1532" s="1112"/>
      <c r="AM1532" s="1112"/>
      <c r="AN1532" s="1112"/>
      <c r="AO1532" s="1112"/>
      <c r="AP1532" s="1112"/>
      <c r="AQ1532" s="1112"/>
    </row>
    <row r="1533" ht="22.5" customHeight="1">
      <c r="A1533" s="166"/>
      <c r="B1533" s="1111"/>
      <c r="C1533" s="524"/>
      <c r="D1533" s="1110"/>
      <c r="E1533" s="669"/>
      <c r="F1533" s="524"/>
      <c r="G1533" s="165"/>
      <c r="H1533" s="669"/>
      <c r="I1533" s="669"/>
      <c r="J1533" s="352"/>
      <c r="K1533" s="271" t="str">
        <f t="shared" si="74"/>
        <v/>
      </c>
      <c r="L1533" s="297"/>
      <c r="M1533" s="334"/>
      <c r="N1533" s="277"/>
      <c r="O1533" s="315"/>
      <c r="P1533" s="344">
        <f t="shared" si="69"/>
        <v>0</v>
      </c>
      <c r="Q1533" s="321"/>
      <c r="R1533" s="672" t="b">
        <v>0</v>
      </c>
      <c r="S1533" s="318"/>
      <c r="T1533" s="319"/>
      <c r="U1533" s="315"/>
      <c r="V1533" s="162"/>
      <c r="W1533" s="149"/>
      <c r="X1533" s="163"/>
      <c r="Y1533" s="162"/>
      <c r="Z1533" s="164"/>
      <c r="AA1533" s="116"/>
      <c r="AB1533" s="116"/>
      <c r="AC1533" s="165"/>
      <c r="AD1533" s="675" t="str">
        <f t="shared" si="76"/>
        <v/>
      </c>
      <c r="AE1533" s="166"/>
      <c r="AF1533" s="149" t="b">
        <v>0</v>
      </c>
      <c r="AG1533" s="166"/>
      <c r="AH1533" s="149" t="b">
        <v>0</v>
      </c>
      <c r="AI1533" s="162"/>
      <c r="AJ1533" s="143"/>
      <c r="AK1533" s="143"/>
      <c r="AL1533" s="1112"/>
      <c r="AM1533" s="1112"/>
      <c r="AN1533" s="1112"/>
      <c r="AO1533" s="1112"/>
      <c r="AP1533" s="1112"/>
      <c r="AQ1533" s="1112"/>
    </row>
    <row r="1534" ht="22.5" customHeight="1">
      <c r="A1534" s="166"/>
      <c r="B1534" s="1111"/>
      <c r="C1534" s="524"/>
      <c r="D1534" s="1110"/>
      <c r="E1534" s="669"/>
      <c r="F1534" s="524"/>
      <c r="G1534" s="165"/>
      <c r="H1534" s="669"/>
      <c r="I1534" s="669"/>
      <c r="J1534" s="352"/>
      <c r="K1534" s="271" t="str">
        <f t="shared" si="74"/>
        <v/>
      </c>
      <c r="L1534" s="297"/>
      <c r="M1534" s="334"/>
      <c r="N1534" s="277"/>
      <c r="O1534" s="315"/>
      <c r="P1534" s="344">
        <f t="shared" si="69"/>
        <v>0</v>
      </c>
      <c r="Q1534" s="321"/>
      <c r="R1534" s="672" t="b">
        <v>0</v>
      </c>
      <c r="S1534" s="318"/>
      <c r="T1534" s="319"/>
      <c r="U1534" s="315"/>
      <c r="V1534" s="162"/>
      <c r="W1534" s="149"/>
      <c r="X1534" s="163"/>
      <c r="Y1534" s="162"/>
      <c r="Z1534" s="164"/>
      <c r="AA1534" s="116"/>
      <c r="AB1534" s="116"/>
      <c r="AC1534" s="165"/>
      <c r="AD1534" s="675" t="str">
        <f t="shared" si="76"/>
        <v/>
      </c>
      <c r="AE1534" s="166"/>
      <c r="AF1534" s="149" t="b">
        <v>0</v>
      </c>
      <c r="AG1534" s="166"/>
      <c r="AH1534" s="149" t="b">
        <v>0</v>
      </c>
      <c r="AI1534" s="162"/>
      <c r="AJ1534" s="143"/>
      <c r="AK1534" s="143"/>
      <c r="AL1534" s="1112"/>
      <c r="AM1534" s="1112"/>
      <c r="AN1534" s="1112"/>
      <c r="AO1534" s="1112"/>
      <c r="AP1534" s="1112"/>
      <c r="AQ1534" s="1112"/>
    </row>
    <row r="1535" ht="22.5" customHeight="1">
      <c r="A1535" s="166"/>
      <c r="B1535" s="1111"/>
      <c r="C1535" s="524"/>
      <c r="D1535" s="1110"/>
      <c r="E1535" s="669"/>
      <c r="F1535" s="524"/>
      <c r="G1535" s="165"/>
      <c r="H1535" s="669"/>
      <c r="I1535" s="669"/>
      <c r="J1535" s="352"/>
      <c r="K1535" s="271" t="str">
        <f t="shared" si="74"/>
        <v/>
      </c>
      <c r="L1535" s="297"/>
      <c r="M1535" s="334"/>
      <c r="N1535" s="277"/>
      <c r="O1535" s="315"/>
      <c r="P1535" s="344">
        <f t="shared" si="69"/>
        <v>0</v>
      </c>
      <c r="Q1535" s="321"/>
      <c r="R1535" s="672" t="b">
        <v>0</v>
      </c>
      <c r="S1535" s="318"/>
      <c r="T1535" s="319"/>
      <c r="U1535" s="315"/>
      <c r="V1535" s="162"/>
      <c r="W1535" s="149"/>
      <c r="X1535" s="163"/>
      <c r="Y1535" s="162"/>
      <c r="Z1535" s="164"/>
      <c r="AA1535" s="116"/>
      <c r="AB1535" s="116"/>
      <c r="AC1535" s="165"/>
      <c r="AD1535" s="675" t="str">
        <f t="shared" si="76"/>
        <v/>
      </c>
      <c r="AE1535" s="166"/>
      <c r="AF1535" s="149" t="b">
        <v>0</v>
      </c>
      <c r="AG1535" s="166"/>
      <c r="AH1535" s="149" t="b">
        <v>0</v>
      </c>
      <c r="AI1535" s="162"/>
      <c r="AJ1535" s="143"/>
      <c r="AK1535" s="143"/>
      <c r="AL1535" s="1112"/>
      <c r="AM1535" s="1112"/>
      <c r="AN1535" s="1112"/>
      <c r="AO1535" s="1112"/>
      <c r="AP1535" s="1112"/>
      <c r="AQ1535" s="1112"/>
    </row>
    <row r="1536" ht="22.5" customHeight="1">
      <c r="A1536" s="166"/>
      <c r="B1536" s="1111"/>
      <c r="C1536" s="524"/>
      <c r="D1536" s="1110"/>
      <c r="E1536" s="669"/>
      <c r="F1536" s="524"/>
      <c r="G1536" s="165"/>
      <c r="H1536" s="669"/>
      <c r="I1536" s="669"/>
      <c r="J1536" s="352"/>
      <c r="K1536" s="271" t="str">
        <f t="shared" si="74"/>
        <v/>
      </c>
      <c r="L1536" s="297"/>
      <c r="M1536" s="334"/>
      <c r="N1536" s="277"/>
      <c r="O1536" s="315"/>
      <c r="P1536" s="344">
        <f t="shared" si="69"/>
        <v>0</v>
      </c>
      <c r="Q1536" s="321"/>
      <c r="R1536" s="672" t="b">
        <v>0</v>
      </c>
      <c r="S1536" s="318"/>
      <c r="T1536" s="319"/>
      <c r="U1536" s="315"/>
      <c r="V1536" s="162"/>
      <c r="W1536" s="149"/>
      <c r="X1536" s="163"/>
      <c r="Y1536" s="162"/>
      <c r="Z1536" s="164"/>
      <c r="AA1536" s="116"/>
      <c r="AB1536" s="116"/>
      <c r="AC1536" s="165"/>
      <c r="AD1536" s="675" t="str">
        <f t="shared" si="76"/>
        <v/>
      </c>
      <c r="AE1536" s="166"/>
      <c r="AF1536" s="149" t="b">
        <v>0</v>
      </c>
      <c r="AG1536" s="166"/>
      <c r="AH1536" s="149" t="b">
        <v>0</v>
      </c>
      <c r="AI1536" s="162"/>
      <c r="AJ1536" s="143"/>
      <c r="AK1536" s="143"/>
      <c r="AL1536" s="1112"/>
      <c r="AM1536" s="1112"/>
      <c r="AN1536" s="1112"/>
      <c r="AO1536" s="1112"/>
      <c r="AP1536" s="1112"/>
      <c r="AQ1536" s="1112"/>
    </row>
    <row r="1537" ht="22.5" customHeight="1">
      <c r="A1537" s="166"/>
      <c r="B1537" s="1111"/>
      <c r="C1537" s="524"/>
      <c r="D1537" s="1110"/>
      <c r="E1537" s="669"/>
      <c r="F1537" s="524"/>
      <c r="G1537" s="165"/>
      <c r="H1537" s="669"/>
      <c r="I1537" s="669"/>
      <c r="J1537" s="352"/>
      <c r="K1537" s="271" t="str">
        <f t="shared" si="74"/>
        <v/>
      </c>
      <c r="L1537" s="297"/>
      <c r="M1537" s="334"/>
      <c r="N1537" s="277"/>
      <c r="O1537" s="315"/>
      <c r="P1537" s="344">
        <f t="shared" si="69"/>
        <v>0</v>
      </c>
      <c r="Q1537" s="321"/>
      <c r="R1537" s="672" t="b">
        <v>0</v>
      </c>
      <c r="S1537" s="318"/>
      <c r="T1537" s="319"/>
      <c r="U1537" s="315"/>
      <c r="V1537" s="162"/>
      <c r="W1537" s="149"/>
      <c r="X1537" s="163"/>
      <c r="Y1537" s="162"/>
      <c r="Z1537" s="164"/>
      <c r="AA1537" s="116"/>
      <c r="AB1537" s="116"/>
      <c r="AC1537" s="165"/>
      <c r="AD1537" s="675" t="str">
        <f t="shared" si="76"/>
        <v/>
      </c>
      <c r="AE1537" s="166"/>
      <c r="AF1537" s="149" t="b">
        <v>0</v>
      </c>
      <c r="AG1537" s="166"/>
      <c r="AH1537" s="149" t="b">
        <v>0</v>
      </c>
      <c r="AI1537" s="162"/>
      <c r="AJ1537" s="143"/>
      <c r="AK1537" s="143"/>
      <c r="AL1537" s="1112"/>
      <c r="AM1537" s="1112"/>
      <c r="AN1537" s="1112"/>
      <c r="AO1537" s="1112"/>
      <c r="AP1537" s="1112"/>
      <c r="AQ1537" s="1112"/>
    </row>
    <row r="1538" ht="22.5" customHeight="1">
      <c r="A1538" s="166"/>
      <c r="B1538" s="1111"/>
      <c r="C1538" s="524"/>
      <c r="D1538" s="1110"/>
      <c r="E1538" s="669"/>
      <c r="F1538" s="524"/>
      <c r="G1538" s="165"/>
      <c r="H1538" s="669"/>
      <c r="I1538" s="669"/>
      <c r="J1538" s="352"/>
      <c r="K1538" s="271" t="str">
        <f t="shared" si="74"/>
        <v/>
      </c>
      <c r="L1538" s="297"/>
      <c r="M1538" s="334"/>
      <c r="N1538" s="277"/>
      <c r="O1538" s="315"/>
      <c r="P1538" s="344">
        <f t="shared" si="69"/>
        <v>0</v>
      </c>
      <c r="Q1538" s="321"/>
      <c r="R1538" s="672" t="b">
        <v>0</v>
      </c>
      <c r="S1538" s="318"/>
      <c r="T1538" s="319"/>
      <c r="U1538" s="315"/>
      <c r="V1538" s="162"/>
      <c r="W1538" s="149"/>
      <c r="X1538" s="163"/>
      <c r="Y1538" s="162"/>
      <c r="Z1538" s="164"/>
      <c r="AA1538" s="116"/>
      <c r="AB1538" s="116"/>
      <c r="AC1538" s="165"/>
      <c r="AD1538" s="675" t="str">
        <f t="shared" si="76"/>
        <v/>
      </c>
      <c r="AE1538" s="166"/>
      <c r="AF1538" s="149" t="b">
        <v>0</v>
      </c>
      <c r="AG1538" s="166"/>
      <c r="AH1538" s="149" t="b">
        <v>0</v>
      </c>
      <c r="AI1538" s="162"/>
      <c r="AJ1538" s="143"/>
      <c r="AK1538" s="143"/>
      <c r="AL1538" s="1112"/>
      <c r="AM1538" s="1112"/>
      <c r="AN1538" s="1112"/>
      <c r="AO1538" s="1112"/>
      <c r="AP1538" s="1112"/>
      <c r="AQ1538" s="1112"/>
    </row>
    <row r="1539" ht="22.5" customHeight="1">
      <c r="A1539" s="166"/>
      <c r="B1539" s="1111"/>
      <c r="C1539" s="524"/>
      <c r="D1539" s="1110"/>
      <c r="E1539" s="669"/>
      <c r="F1539" s="524"/>
      <c r="G1539" s="165"/>
      <c r="H1539" s="669"/>
      <c r="I1539" s="669"/>
      <c r="J1539" s="352"/>
      <c r="K1539" s="271" t="str">
        <f t="shared" si="74"/>
        <v/>
      </c>
      <c r="L1539" s="297"/>
      <c r="M1539" s="334"/>
      <c r="N1539" s="277"/>
      <c r="O1539" s="315"/>
      <c r="P1539" s="344">
        <f t="shared" si="69"/>
        <v>0</v>
      </c>
      <c r="Q1539" s="321"/>
      <c r="R1539" s="672" t="b">
        <v>0</v>
      </c>
      <c r="S1539" s="318"/>
      <c r="T1539" s="319"/>
      <c r="U1539" s="315"/>
      <c r="V1539" s="162"/>
      <c r="W1539" s="149"/>
      <c r="X1539" s="163"/>
      <c r="Y1539" s="162"/>
      <c r="Z1539" s="164"/>
      <c r="AA1539" s="116"/>
      <c r="AB1539" s="116"/>
      <c r="AC1539" s="165"/>
      <c r="AD1539" s="675" t="str">
        <f t="shared" si="76"/>
        <v/>
      </c>
      <c r="AE1539" s="166"/>
      <c r="AF1539" s="149" t="b">
        <v>0</v>
      </c>
      <c r="AG1539" s="166"/>
      <c r="AH1539" s="149" t="b">
        <v>0</v>
      </c>
      <c r="AI1539" s="162"/>
      <c r="AJ1539" s="143"/>
      <c r="AK1539" s="143"/>
      <c r="AL1539" s="1112"/>
      <c r="AM1539" s="1112"/>
      <c r="AN1539" s="1112"/>
      <c r="AO1539" s="1112"/>
      <c r="AP1539" s="1112"/>
      <c r="AQ1539" s="1112"/>
    </row>
    <row r="1540" ht="22.5" customHeight="1">
      <c r="A1540" s="166"/>
      <c r="B1540" s="1111"/>
      <c r="C1540" s="524"/>
      <c r="D1540" s="1110"/>
      <c r="E1540" s="669"/>
      <c r="F1540" s="524"/>
      <c r="G1540" s="165"/>
      <c r="H1540" s="669"/>
      <c r="I1540" s="669"/>
      <c r="J1540" s="352"/>
      <c r="K1540" s="271" t="str">
        <f t="shared" si="74"/>
        <v/>
      </c>
      <c r="L1540" s="297"/>
      <c r="M1540" s="334"/>
      <c r="N1540" s="277"/>
      <c r="O1540" s="315"/>
      <c r="P1540" s="344">
        <f t="shared" si="69"/>
        <v>0</v>
      </c>
      <c r="Q1540" s="321"/>
      <c r="R1540" s="672" t="b">
        <v>0</v>
      </c>
      <c r="S1540" s="318"/>
      <c r="T1540" s="319"/>
      <c r="U1540" s="315"/>
      <c r="V1540" s="162"/>
      <c r="W1540" s="149"/>
      <c r="X1540" s="163"/>
      <c r="Y1540" s="162"/>
      <c r="Z1540" s="164"/>
      <c r="AA1540" s="116"/>
      <c r="AB1540" s="116"/>
      <c r="AC1540" s="165"/>
      <c r="AD1540" s="675" t="str">
        <f t="shared" si="76"/>
        <v/>
      </c>
      <c r="AE1540" s="166"/>
      <c r="AF1540" s="149" t="b">
        <v>0</v>
      </c>
      <c r="AG1540" s="166"/>
      <c r="AH1540" s="149" t="b">
        <v>0</v>
      </c>
      <c r="AI1540" s="162"/>
      <c r="AJ1540" s="143"/>
      <c r="AK1540" s="143"/>
      <c r="AL1540" s="1112"/>
      <c r="AM1540" s="1112"/>
      <c r="AN1540" s="1112"/>
      <c r="AO1540" s="1112"/>
      <c r="AP1540" s="1112"/>
      <c r="AQ1540" s="1112"/>
    </row>
    <row r="1541" ht="22.5" customHeight="1">
      <c r="A1541" s="166"/>
      <c r="B1541" s="1111"/>
      <c r="C1541" s="524"/>
      <c r="D1541" s="1110"/>
      <c r="E1541" s="669"/>
      <c r="F1541" s="524"/>
      <c r="G1541" s="165"/>
      <c r="H1541" s="669"/>
      <c r="I1541" s="669"/>
      <c r="J1541" s="352"/>
      <c r="K1541" s="271" t="str">
        <f t="shared" si="74"/>
        <v/>
      </c>
      <c r="L1541" s="297"/>
      <c r="M1541" s="334"/>
      <c r="N1541" s="277"/>
      <c r="O1541" s="315"/>
      <c r="P1541" s="344">
        <f t="shared" si="69"/>
        <v>0</v>
      </c>
      <c r="Q1541" s="321"/>
      <c r="R1541" s="672" t="b">
        <v>0</v>
      </c>
      <c r="S1541" s="318"/>
      <c r="T1541" s="319"/>
      <c r="U1541" s="315"/>
      <c r="V1541" s="162"/>
      <c r="W1541" s="149"/>
      <c r="X1541" s="163"/>
      <c r="Y1541" s="162"/>
      <c r="Z1541" s="164"/>
      <c r="AA1541" s="116"/>
      <c r="AB1541" s="116"/>
      <c r="AC1541" s="165"/>
      <c r="AD1541" s="675" t="str">
        <f t="shared" si="76"/>
        <v/>
      </c>
      <c r="AE1541" s="166"/>
      <c r="AF1541" s="149" t="b">
        <v>0</v>
      </c>
      <c r="AG1541" s="166"/>
      <c r="AH1541" s="149" t="b">
        <v>0</v>
      </c>
      <c r="AI1541" s="162"/>
      <c r="AJ1541" s="143"/>
      <c r="AK1541" s="143"/>
      <c r="AL1541" s="1112"/>
      <c r="AM1541" s="1112"/>
      <c r="AN1541" s="1112"/>
      <c r="AO1541" s="1112"/>
      <c r="AP1541" s="1112"/>
      <c r="AQ1541" s="1112"/>
    </row>
    <row r="1542" ht="22.5" customHeight="1">
      <c r="A1542" s="166"/>
      <c r="B1542" s="1111"/>
      <c r="C1542" s="524"/>
      <c r="D1542" s="1110"/>
      <c r="E1542" s="669"/>
      <c r="F1542" s="524"/>
      <c r="G1542" s="165"/>
      <c r="H1542" s="669"/>
      <c r="I1542" s="669"/>
      <c r="J1542" s="352"/>
      <c r="K1542" s="271" t="str">
        <f t="shared" si="74"/>
        <v/>
      </c>
      <c r="L1542" s="297"/>
      <c r="M1542" s="334"/>
      <c r="N1542" s="277"/>
      <c r="O1542" s="315"/>
      <c r="P1542" s="344">
        <f t="shared" si="69"/>
        <v>0</v>
      </c>
      <c r="Q1542" s="321"/>
      <c r="R1542" s="672" t="b">
        <v>0</v>
      </c>
      <c r="S1542" s="318"/>
      <c r="T1542" s="319"/>
      <c r="U1542" s="315"/>
      <c r="V1542" s="162"/>
      <c r="W1542" s="149"/>
      <c r="X1542" s="163"/>
      <c r="Y1542" s="162"/>
      <c r="Z1542" s="164"/>
      <c r="AA1542" s="116"/>
      <c r="AB1542" s="116"/>
      <c r="AC1542" s="165"/>
      <c r="AD1542" s="675" t="str">
        <f t="shared" si="76"/>
        <v/>
      </c>
      <c r="AE1542" s="166"/>
      <c r="AF1542" s="149" t="b">
        <v>0</v>
      </c>
      <c r="AG1542" s="166"/>
      <c r="AH1542" s="149" t="b">
        <v>0</v>
      </c>
      <c r="AI1542" s="162"/>
      <c r="AJ1542" s="143"/>
      <c r="AK1542" s="143"/>
      <c r="AL1542" s="1112"/>
      <c r="AM1542" s="1112"/>
      <c r="AN1542" s="1112"/>
      <c r="AO1542" s="1112"/>
      <c r="AP1542" s="1112"/>
      <c r="AQ1542" s="1112"/>
    </row>
    <row r="1543" ht="22.5" customHeight="1">
      <c r="A1543" s="166"/>
      <c r="B1543" s="1111"/>
      <c r="C1543" s="524"/>
      <c r="D1543" s="1110"/>
      <c r="E1543" s="669"/>
      <c r="F1543" s="524"/>
      <c r="G1543" s="165"/>
      <c r="H1543" s="669"/>
      <c r="I1543" s="669"/>
      <c r="J1543" s="352"/>
      <c r="K1543" s="271" t="str">
        <f t="shared" si="74"/>
        <v/>
      </c>
      <c r="L1543" s="297"/>
      <c r="M1543" s="334"/>
      <c r="N1543" s="277"/>
      <c r="O1543" s="315"/>
      <c r="P1543" s="344">
        <f t="shared" si="69"/>
        <v>0</v>
      </c>
      <c r="Q1543" s="321"/>
      <c r="R1543" s="672" t="b">
        <v>0</v>
      </c>
      <c r="S1543" s="318"/>
      <c r="T1543" s="319"/>
      <c r="U1543" s="315"/>
      <c r="V1543" s="162"/>
      <c r="W1543" s="149"/>
      <c r="X1543" s="163"/>
      <c r="Y1543" s="162"/>
      <c r="Z1543" s="164"/>
      <c r="AA1543" s="116"/>
      <c r="AB1543" s="116"/>
      <c r="AC1543" s="165"/>
      <c r="AD1543" s="675" t="str">
        <f t="shared" si="76"/>
        <v/>
      </c>
      <c r="AE1543" s="166"/>
      <c r="AF1543" s="149" t="b">
        <v>0</v>
      </c>
      <c r="AG1543" s="166"/>
      <c r="AH1543" s="149" t="b">
        <v>0</v>
      </c>
      <c r="AI1543" s="162"/>
      <c r="AJ1543" s="143"/>
      <c r="AK1543" s="143"/>
      <c r="AL1543" s="1112"/>
      <c r="AM1543" s="1112"/>
      <c r="AN1543" s="1112"/>
      <c r="AO1543" s="1112"/>
      <c r="AP1543" s="1112"/>
      <c r="AQ1543" s="1112"/>
    </row>
    <row r="1544" ht="22.5" customHeight="1">
      <c r="A1544" s="166"/>
      <c r="B1544" s="1111"/>
      <c r="C1544" s="524"/>
      <c r="D1544" s="1110"/>
      <c r="E1544" s="669"/>
      <c r="F1544" s="524"/>
      <c r="G1544" s="165"/>
      <c r="H1544" s="669"/>
      <c r="I1544" s="669"/>
      <c r="J1544" s="352"/>
      <c r="K1544" s="271" t="str">
        <f t="shared" si="74"/>
        <v/>
      </c>
      <c r="L1544" s="297"/>
      <c r="M1544" s="334"/>
      <c r="N1544" s="277"/>
      <c r="O1544" s="315"/>
      <c r="P1544" s="344">
        <f t="shared" si="69"/>
        <v>0</v>
      </c>
      <c r="Q1544" s="321"/>
      <c r="R1544" s="672" t="b">
        <v>0</v>
      </c>
      <c r="S1544" s="318"/>
      <c r="T1544" s="319"/>
      <c r="U1544" s="315"/>
      <c r="V1544" s="162"/>
      <c r="W1544" s="149"/>
      <c r="X1544" s="163"/>
      <c r="Y1544" s="162"/>
      <c r="Z1544" s="164"/>
      <c r="AA1544" s="116"/>
      <c r="AB1544" s="116"/>
      <c r="AC1544" s="165"/>
      <c r="AD1544" s="675" t="str">
        <f t="shared" si="76"/>
        <v/>
      </c>
      <c r="AE1544" s="166"/>
      <c r="AF1544" s="149" t="b">
        <v>0</v>
      </c>
      <c r="AG1544" s="166"/>
      <c r="AH1544" s="149" t="b">
        <v>0</v>
      </c>
      <c r="AI1544" s="162"/>
      <c r="AJ1544" s="143"/>
      <c r="AK1544" s="143"/>
      <c r="AL1544" s="1112"/>
      <c r="AM1544" s="1112"/>
      <c r="AN1544" s="1112"/>
      <c r="AO1544" s="1112"/>
      <c r="AP1544" s="1112"/>
      <c r="AQ1544" s="1112"/>
    </row>
    <row r="1545" ht="22.5" customHeight="1">
      <c r="A1545" s="166"/>
      <c r="B1545" s="1111"/>
      <c r="C1545" s="524"/>
      <c r="D1545" s="1110"/>
      <c r="E1545" s="669"/>
      <c r="F1545" s="524"/>
      <c r="G1545" s="165"/>
      <c r="H1545" s="669"/>
      <c r="I1545" s="669"/>
      <c r="J1545" s="352"/>
      <c r="K1545" s="271" t="str">
        <f t="shared" si="74"/>
        <v/>
      </c>
      <c r="L1545" s="297"/>
      <c r="M1545" s="334"/>
      <c r="N1545" s="277"/>
      <c r="O1545" s="315"/>
      <c r="P1545" s="344">
        <f t="shared" si="69"/>
        <v>0</v>
      </c>
      <c r="Q1545" s="321"/>
      <c r="R1545" s="672" t="b">
        <v>0</v>
      </c>
      <c r="S1545" s="318"/>
      <c r="T1545" s="319"/>
      <c r="U1545" s="315"/>
      <c r="V1545" s="162"/>
      <c r="W1545" s="149"/>
      <c r="X1545" s="163"/>
      <c r="Y1545" s="162"/>
      <c r="Z1545" s="164"/>
      <c r="AA1545" s="116"/>
      <c r="AB1545" s="116"/>
      <c r="AC1545" s="165"/>
      <c r="AD1545" s="675" t="str">
        <f t="shared" si="76"/>
        <v/>
      </c>
      <c r="AE1545" s="166"/>
      <c r="AF1545" s="149" t="b">
        <v>0</v>
      </c>
      <c r="AG1545" s="166"/>
      <c r="AH1545" s="149" t="b">
        <v>0</v>
      </c>
      <c r="AI1545" s="162"/>
      <c r="AJ1545" s="143"/>
      <c r="AK1545" s="143"/>
      <c r="AL1545" s="1112"/>
      <c r="AM1545" s="1112"/>
      <c r="AN1545" s="1112"/>
      <c r="AO1545" s="1112"/>
      <c r="AP1545" s="1112"/>
      <c r="AQ1545" s="1112"/>
    </row>
    <row r="1546" ht="22.5" customHeight="1">
      <c r="A1546" s="166"/>
      <c r="B1546" s="1111"/>
      <c r="C1546" s="524"/>
      <c r="D1546" s="1110"/>
      <c r="E1546" s="669"/>
      <c r="F1546" s="524"/>
      <c r="G1546" s="165"/>
      <c r="H1546" s="669"/>
      <c r="I1546" s="669"/>
      <c r="J1546" s="352"/>
      <c r="K1546" s="271" t="str">
        <f t="shared" si="74"/>
        <v/>
      </c>
      <c r="L1546" s="297"/>
      <c r="M1546" s="334"/>
      <c r="N1546" s="277"/>
      <c r="O1546" s="315"/>
      <c r="P1546" s="344">
        <f t="shared" si="69"/>
        <v>0</v>
      </c>
      <c r="Q1546" s="321"/>
      <c r="R1546" s="672" t="b">
        <v>0</v>
      </c>
      <c r="S1546" s="318"/>
      <c r="T1546" s="319"/>
      <c r="U1546" s="315"/>
      <c r="V1546" s="162"/>
      <c r="W1546" s="149"/>
      <c r="X1546" s="163"/>
      <c r="Y1546" s="162"/>
      <c r="Z1546" s="164"/>
      <c r="AA1546" s="116"/>
      <c r="AB1546" s="116"/>
      <c r="AC1546" s="165"/>
      <c r="AD1546" s="675" t="str">
        <f t="shared" si="76"/>
        <v/>
      </c>
      <c r="AE1546" s="166"/>
      <c r="AF1546" s="149" t="b">
        <v>0</v>
      </c>
      <c r="AG1546" s="166"/>
      <c r="AH1546" s="149" t="b">
        <v>0</v>
      </c>
      <c r="AI1546" s="162"/>
      <c r="AJ1546" s="143"/>
      <c r="AK1546" s="143"/>
      <c r="AL1546" s="1112"/>
      <c r="AM1546" s="1112"/>
      <c r="AN1546" s="1112"/>
      <c r="AO1546" s="1112"/>
      <c r="AP1546" s="1112"/>
      <c r="AQ1546" s="1112"/>
    </row>
    <row r="1547" ht="22.5" customHeight="1">
      <c r="A1547" s="166"/>
      <c r="B1547" s="1111"/>
      <c r="C1547" s="524"/>
      <c r="D1547" s="1110"/>
      <c r="E1547" s="669"/>
      <c r="F1547" s="524"/>
      <c r="G1547" s="165"/>
      <c r="H1547" s="669"/>
      <c r="I1547" s="669"/>
      <c r="J1547" s="352"/>
      <c r="K1547" s="271" t="str">
        <f t="shared" si="74"/>
        <v/>
      </c>
      <c r="L1547" s="297"/>
      <c r="M1547" s="334"/>
      <c r="N1547" s="277"/>
      <c r="O1547" s="315"/>
      <c r="P1547" s="344">
        <f t="shared" si="69"/>
        <v>0</v>
      </c>
      <c r="Q1547" s="321"/>
      <c r="R1547" s="672" t="b">
        <v>0</v>
      </c>
      <c r="S1547" s="318"/>
      <c r="T1547" s="319"/>
      <c r="U1547" s="315"/>
      <c r="V1547" s="162"/>
      <c r="W1547" s="149"/>
      <c r="X1547" s="163"/>
      <c r="Y1547" s="162"/>
      <c r="Z1547" s="164"/>
      <c r="AA1547" s="116"/>
      <c r="AB1547" s="116"/>
      <c r="AC1547" s="165"/>
      <c r="AD1547" s="675" t="str">
        <f t="shared" si="76"/>
        <v/>
      </c>
      <c r="AE1547" s="166"/>
      <c r="AF1547" s="149" t="b">
        <v>0</v>
      </c>
      <c r="AG1547" s="166"/>
      <c r="AH1547" s="149" t="b">
        <v>0</v>
      </c>
      <c r="AI1547" s="162"/>
      <c r="AJ1547" s="143"/>
      <c r="AK1547" s="143"/>
      <c r="AL1547" s="1112"/>
      <c r="AM1547" s="1112"/>
      <c r="AN1547" s="1112"/>
      <c r="AO1547" s="1112"/>
      <c r="AP1547" s="1112"/>
      <c r="AQ1547" s="1112"/>
    </row>
    <row r="1548" ht="22.5" customHeight="1">
      <c r="A1548" s="166"/>
      <c r="B1548" s="1111"/>
      <c r="C1548" s="524"/>
      <c r="D1548" s="1110"/>
      <c r="E1548" s="669"/>
      <c r="F1548" s="524"/>
      <c r="G1548" s="165"/>
      <c r="H1548" s="669"/>
      <c r="I1548" s="669"/>
      <c r="J1548" s="352"/>
      <c r="K1548" s="271" t="str">
        <f t="shared" si="74"/>
        <v/>
      </c>
      <c r="L1548" s="297"/>
      <c r="M1548" s="334"/>
      <c r="N1548" s="277"/>
      <c r="O1548" s="315"/>
      <c r="P1548" s="344">
        <f t="shared" si="69"/>
        <v>0</v>
      </c>
      <c r="Q1548" s="321"/>
      <c r="R1548" s="672" t="b">
        <v>0</v>
      </c>
      <c r="S1548" s="318"/>
      <c r="T1548" s="319"/>
      <c r="U1548" s="315"/>
      <c r="V1548" s="162"/>
      <c r="W1548" s="149"/>
      <c r="X1548" s="163"/>
      <c r="Y1548" s="162"/>
      <c r="Z1548" s="164"/>
      <c r="AA1548" s="116"/>
      <c r="AB1548" s="116"/>
      <c r="AC1548" s="165"/>
      <c r="AD1548" s="675" t="str">
        <f t="shared" si="76"/>
        <v/>
      </c>
      <c r="AE1548" s="166"/>
      <c r="AF1548" s="149" t="b">
        <v>0</v>
      </c>
      <c r="AG1548" s="166"/>
      <c r="AH1548" s="149" t="b">
        <v>0</v>
      </c>
      <c r="AI1548" s="162"/>
      <c r="AJ1548" s="143"/>
      <c r="AK1548" s="143"/>
      <c r="AL1548" s="1112"/>
      <c r="AM1548" s="1112"/>
      <c r="AN1548" s="1112"/>
      <c r="AO1548" s="1112"/>
      <c r="AP1548" s="1112"/>
      <c r="AQ1548" s="1112"/>
    </row>
    <row r="1549" ht="22.5" customHeight="1">
      <c r="A1549" s="166"/>
      <c r="B1549" s="1111"/>
      <c r="C1549" s="524"/>
      <c r="D1549" s="1110"/>
      <c r="E1549" s="669"/>
      <c r="F1549" s="524"/>
      <c r="G1549" s="165"/>
      <c r="H1549" s="669"/>
      <c r="I1549" s="669"/>
      <c r="J1549" s="352"/>
      <c r="K1549" s="271" t="str">
        <f t="shared" si="74"/>
        <v/>
      </c>
      <c r="L1549" s="297"/>
      <c r="M1549" s="334"/>
      <c r="N1549" s="277"/>
      <c r="O1549" s="315"/>
      <c r="P1549" s="344">
        <f t="shared" si="69"/>
        <v>0</v>
      </c>
      <c r="Q1549" s="321"/>
      <c r="R1549" s="672" t="b">
        <v>0</v>
      </c>
      <c r="S1549" s="318"/>
      <c r="T1549" s="319"/>
      <c r="U1549" s="315"/>
      <c r="V1549" s="162"/>
      <c r="W1549" s="149"/>
      <c r="X1549" s="163"/>
      <c r="Y1549" s="162"/>
      <c r="Z1549" s="164"/>
      <c r="AA1549" s="116"/>
      <c r="AB1549" s="116"/>
      <c r="AC1549" s="165"/>
      <c r="AD1549" s="675" t="str">
        <f t="shared" si="76"/>
        <v/>
      </c>
      <c r="AE1549" s="166"/>
      <c r="AF1549" s="149" t="b">
        <v>0</v>
      </c>
      <c r="AG1549" s="166"/>
      <c r="AH1549" s="149" t="b">
        <v>0</v>
      </c>
      <c r="AI1549" s="162"/>
      <c r="AJ1549" s="143"/>
      <c r="AK1549" s="143"/>
      <c r="AL1549" s="1112"/>
      <c r="AM1549" s="1112"/>
      <c r="AN1549" s="1112"/>
      <c r="AO1549" s="1112"/>
      <c r="AP1549" s="1112"/>
      <c r="AQ1549" s="1112"/>
    </row>
    <row r="1550" ht="22.5" customHeight="1">
      <c r="A1550" s="166"/>
      <c r="B1550" s="1111"/>
      <c r="C1550" s="524"/>
      <c r="D1550" s="1110"/>
      <c r="E1550" s="669"/>
      <c r="F1550" s="524"/>
      <c r="G1550" s="165"/>
      <c r="H1550" s="669"/>
      <c r="I1550" s="669"/>
      <c r="J1550" s="352"/>
      <c r="K1550" s="271" t="str">
        <f t="shared" si="74"/>
        <v/>
      </c>
      <c r="L1550" s="297"/>
      <c r="M1550" s="334"/>
      <c r="N1550" s="277"/>
      <c r="O1550" s="315"/>
      <c r="P1550" s="344">
        <f t="shared" si="69"/>
        <v>0</v>
      </c>
      <c r="Q1550" s="321"/>
      <c r="R1550" s="672" t="b">
        <v>0</v>
      </c>
      <c r="S1550" s="318"/>
      <c r="T1550" s="319"/>
      <c r="U1550" s="315"/>
      <c r="V1550" s="162"/>
      <c r="W1550" s="149"/>
      <c r="X1550" s="163"/>
      <c r="Y1550" s="162"/>
      <c r="Z1550" s="164"/>
      <c r="AA1550" s="116"/>
      <c r="AB1550" s="116"/>
      <c r="AC1550" s="165"/>
      <c r="AD1550" s="675" t="str">
        <f t="shared" si="76"/>
        <v/>
      </c>
      <c r="AE1550" s="166"/>
      <c r="AF1550" s="149" t="b">
        <v>0</v>
      </c>
      <c r="AG1550" s="166"/>
      <c r="AH1550" s="149" t="b">
        <v>0</v>
      </c>
      <c r="AI1550" s="162"/>
      <c r="AJ1550" s="143"/>
      <c r="AK1550" s="143"/>
      <c r="AL1550" s="1112"/>
      <c r="AM1550" s="1112"/>
      <c r="AN1550" s="1112"/>
      <c r="AO1550" s="1112"/>
      <c r="AP1550" s="1112"/>
      <c r="AQ1550" s="1112"/>
    </row>
    <row r="1551" ht="22.5" customHeight="1">
      <c r="A1551" s="166"/>
      <c r="B1551" s="1111"/>
      <c r="C1551" s="524"/>
      <c r="D1551" s="1110"/>
      <c r="E1551" s="669"/>
      <c r="F1551" s="524"/>
      <c r="G1551" s="165"/>
      <c r="H1551" s="669"/>
      <c r="I1551" s="669"/>
      <c r="J1551" s="352"/>
      <c r="K1551" s="271" t="str">
        <f t="shared" si="74"/>
        <v/>
      </c>
      <c r="L1551" s="297"/>
      <c r="M1551" s="334"/>
      <c r="N1551" s="277"/>
      <c r="O1551" s="315"/>
      <c r="P1551" s="344">
        <f t="shared" si="69"/>
        <v>0</v>
      </c>
      <c r="Q1551" s="321"/>
      <c r="R1551" s="672" t="b">
        <v>0</v>
      </c>
      <c r="S1551" s="318"/>
      <c r="T1551" s="319"/>
      <c r="U1551" s="315"/>
      <c r="V1551" s="162"/>
      <c r="W1551" s="149"/>
      <c r="X1551" s="163"/>
      <c r="Y1551" s="162"/>
      <c r="Z1551" s="164"/>
      <c r="AA1551" s="116"/>
      <c r="AB1551" s="116"/>
      <c r="AC1551" s="165"/>
      <c r="AD1551" s="675" t="str">
        <f t="shared" si="76"/>
        <v/>
      </c>
      <c r="AE1551" s="166"/>
      <c r="AF1551" s="149" t="b">
        <v>0</v>
      </c>
      <c r="AG1551" s="166"/>
      <c r="AH1551" s="149" t="b">
        <v>0</v>
      </c>
      <c r="AI1551" s="162"/>
      <c r="AJ1551" s="143"/>
      <c r="AK1551" s="143"/>
      <c r="AL1551" s="1112"/>
      <c r="AM1551" s="1112"/>
      <c r="AN1551" s="1112"/>
      <c r="AO1551" s="1112"/>
      <c r="AP1551" s="1112"/>
      <c r="AQ1551" s="1112"/>
    </row>
    <row r="1552" ht="22.5" customHeight="1">
      <c r="A1552" s="166"/>
      <c r="B1552" s="1111"/>
      <c r="C1552" s="524"/>
      <c r="D1552" s="1110"/>
      <c r="E1552" s="669"/>
      <c r="F1552" s="524"/>
      <c r="G1552" s="165"/>
      <c r="H1552" s="669"/>
      <c r="I1552" s="669"/>
      <c r="J1552" s="352"/>
      <c r="K1552" s="271" t="str">
        <f t="shared" si="74"/>
        <v/>
      </c>
      <c r="L1552" s="297"/>
      <c r="M1552" s="334"/>
      <c r="N1552" s="277"/>
      <c r="O1552" s="315"/>
      <c r="P1552" s="344">
        <f t="shared" si="69"/>
        <v>0</v>
      </c>
      <c r="Q1552" s="321"/>
      <c r="R1552" s="672" t="b">
        <v>0</v>
      </c>
      <c r="S1552" s="318"/>
      <c r="T1552" s="319"/>
      <c r="U1552" s="315"/>
      <c r="V1552" s="162"/>
      <c r="W1552" s="149"/>
      <c r="X1552" s="163"/>
      <c r="Y1552" s="162"/>
      <c r="Z1552" s="164"/>
      <c r="AA1552" s="116"/>
      <c r="AB1552" s="116"/>
      <c r="AC1552" s="165"/>
      <c r="AD1552" s="675" t="str">
        <f t="shared" si="76"/>
        <v/>
      </c>
      <c r="AE1552" s="166"/>
      <c r="AF1552" s="149" t="b">
        <v>0</v>
      </c>
      <c r="AG1552" s="166"/>
      <c r="AH1552" s="149" t="b">
        <v>0</v>
      </c>
      <c r="AI1552" s="162"/>
      <c r="AJ1552" s="143"/>
      <c r="AK1552" s="143"/>
      <c r="AL1552" s="1112"/>
      <c r="AM1552" s="1112"/>
      <c r="AN1552" s="1112"/>
      <c r="AO1552" s="1112"/>
      <c r="AP1552" s="1112"/>
      <c r="AQ1552" s="1112"/>
    </row>
    <row r="1553" ht="22.5" customHeight="1">
      <c r="A1553" s="166"/>
      <c r="B1553" s="1111"/>
      <c r="C1553" s="524"/>
      <c r="D1553" s="1110"/>
      <c r="E1553" s="669"/>
      <c r="F1553" s="524"/>
      <c r="G1553" s="165"/>
      <c r="H1553" s="669"/>
      <c r="I1553" s="669"/>
      <c r="J1553" s="352"/>
      <c r="K1553" s="271" t="str">
        <f t="shared" si="74"/>
        <v/>
      </c>
      <c r="L1553" s="297"/>
      <c r="M1553" s="334"/>
      <c r="N1553" s="277"/>
      <c r="O1553" s="315"/>
      <c r="P1553" s="344">
        <f t="shared" si="69"/>
        <v>0</v>
      </c>
      <c r="Q1553" s="321"/>
      <c r="R1553" s="672" t="b">
        <v>0</v>
      </c>
      <c r="S1553" s="318"/>
      <c r="T1553" s="319"/>
      <c r="U1553" s="315"/>
      <c r="V1553" s="162"/>
      <c r="W1553" s="149"/>
      <c r="X1553" s="163"/>
      <c r="Y1553" s="162"/>
      <c r="Z1553" s="164"/>
      <c r="AA1553" s="116"/>
      <c r="AB1553" s="116"/>
      <c r="AC1553" s="165"/>
      <c r="AD1553" s="675" t="str">
        <f t="shared" si="76"/>
        <v/>
      </c>
      <c r="AE1553" s="166"/>
      <c r="AF1553" s="149" t="b">
        <v>0</v>
      </c>
      <c r="AG1553" s="166"/>
      <c r="AH1553" s="149" t="b">
        <v>0</v>
      </c>
      <c r="AI1553" s="162"/>
      <c r="AJ1553" s="143"/>
      <c r="AK1553" s="143"/>
      <c r="AL1553" s="1112"/>
      <c r="AM1553" s="1112"/>
      <c r="AN1553" s="1112"/>
      <c r="AO1553" s="1112"/>
      <c r="AP1553" s="1112"/>
      <c r="AQ1553" s="1112"/>
    </row>
    <row r="1554" ht="22.5" customHeight="1">
      <c r="A1554" s="166"/>
      <c r="B1554" s="1111"/>
      <c r="C1554" s="524"/>
      <c r="D1554" s="1110"/>
      <c r="E1554" s="669"/>
      <c r="F1554" s="524"/>
      <c r="G1554" s="165"/>
      <c r="H1554" s="669"/>
      <c r="I1554" s="669"/>
      <c r="J1554" s="352"/>
      <c r="K1554" s="271" t="str">
        <f t="shared" si="74"/>
        <v/>
      </c>
      <c r="L1554" s="297"/>
      <c r="M1554" s="334"/>
      <c r="N1554" s="277"/>
      <c r="O1554" s="315"/>
      <c r="P1554" s="344">
        <f t="shared" si="69"/>
        <v>0</v>
      </c>
      <c r="Q1554" s="321"/>
      <c r="R1554" s="672" t="b">
        <v>0</v>
      </c>
      <c r="S1554" s="318"/>
      <c r="T1554" s="319"/>
      <c r="U1554" s="315"/>
      <c r="V1554" s="162"/>
      <c r="W1554" s="149"/>
      <c r="X1554" s="163"/>
      <c r="Y1554" s="162"/>
      <c r="Z1554" s="164"/>
      <c r="AA1554" s="116"/>
      <c r="AB1554" s="116"/>
      <c r="AC1554" s="165"/>
      <c r="AD1554" s="675" t="str">
        <f t="shared" si="76"/>
        <v/>
      </c>
      <c r="AE1554" s="166"/>
      <c r="AF1554" s="149" t="b">
        <v>0</v>
      </c>
      <c r="AG1554" s="166"/>
      <c r="AH1554" s="149" t="b">
        <v>0</v>
      </c>
      <c r="AI1554" s="162"/>
      <c r="AJ1554" s="143"/>
      <c r="AK1554" s="143"/>
      <c r="AL1554" s="1112"/>
      <c r="AM1554" s="1112"/>
      <c r="AN1554" s="1112"/>
      <c r="AO1554" s="1112"/>
      <c r="AP1554" s="1112"/>
      <c r="AQ1554" s="1112"/>
    </row>
    <row r="1555" ht="22.5" customHeight="1">
      <c r="A1555" s="166"/>
      <c r="B1555" s="1111"/>
      <c r="C1555" s="524"/>
      <c r="D1555" s="1110"/>
      <c r="E1555" s="669"/>
      <c r="F1555" s="524"/>
      <c r="G1555" s="165"/>
      <c r="H1555" s="669"/>
      <c r="I1555" s="669"/>
      <c r="J1555" s="352"/>
      <c r="K1555" s="271" t="str">
        <f t="shared" si="74"/>
        <v/>
      </c>
      <c r="L1555" s="297"/>
      <c r="M1555" s="334"/>
      <c r="N1555" s="277"/>
      <c r="O1555" s="315"/>
      <c r="P1555" s="344">
        <f t="shared" si="69"/>
        <v>0</v>
      </c>
      <c r="Q1555" s="321"/>
      <c r="R1555" s="672" t="b">
        <v>0</v>
      </c>
      <c r="S1555" s="318"/>
      <c r="T1555" s="319"/>
      <c r="U1555" s="315"/>
      <c r="V1555" s="162"/>
      <c r="W1555" s="149"/>
      <c r="X1555" s="163"/>
      <c r="Y1555" s="162"/>
      <c r="Z1555" s="164"/>
      <c r="AA1555" s="116"/>
      <c r="AB1555" s="116"/>
      <c r="AC1555" s="165"/>
      <c r="AD1555" s="675" t="str">
        <f t="shared" si="76"/>
        <v/>
      </c>
      <c r="AE1555" s="166"/>
      <c r="AF1555" s="149" t="b">
        <v>0</v>
      </c>
      <c r="AG1555" s="166"/>
      <c r="AH1555" s="149" t="b">
        <v>0</v>
      </c>
      <c r="AI1555" s="162"/>
      <c r="AJ1555" s="143"/>
      <c r="AK1555" s="143"/>
      <c r="AL1555" s="1112"/>
      <c r="AM1555" s="1112"/>
      <c r="AN1555" s="1112"/>
      <c r="AO1555" s="1112"/>
      <c r="AP1555" s="1112"/>
      <c r="AQ1555" s="1112"/>
    </row>
    <row r="1556" ht="22.5" customHeight="1">
      <c r="A1556" s="166"/>
      <c r="B1556" s="1111"/>
      <c r="C1556" s="524"/>
      <c r="D1556" s="1110"/>
      <c r="E1556" s="669"/>
      <c r="F1556" s="524"/>
      <c r="G1556" s="165"/>
      <c r="H1556" s="669"/>
      <c r="I1556" s="669"/>
      <c r="J1556" s="352"/>
      <c r="K1556" s="271" t="str">
        <f t="shared" si="74"/>
        <v/>
      </c>
      <c r="L1556" s="297"/>
      <c r="M1556" s="334"/>
      <c r="N1556" s="277"/>
      <c r="O1556" s="315"/>
      <c r="P1556" s="344">
        <f t="shared" si="69"/>
        <v>0</v>
      </c>
      <c r="Q1556" s="321"/>
      <c r="R1556" s="672" t="b">
        <v>0</v>
      </c>
      <c r="S1556" s="318"/>
      <c r="T1556" s="319"/>
      <c r="U1556" s="315"/>
      <c r="V1556" s="162"/>
      <c r="W1556" s="149"/>
      <c r="X1556" s="163"/>
      <c r="Y1556" s="162"/>
      <c r="Z1556" s="164"/>
      <c r="AA1556" s="116"/>
      <c r="AB1556" s="116"/>
      <c r="AC1556" s="165"/>
      <c r="AD1556" s="675" t="str">
        <f t="shared" si="76"/>
        <v/>
      </c>
      <c r="AE1556" s="166"/>
      <c r="AF1556" s="149" t="b">
        <v>0</v>
      </c>
      <c r="AG1556" s="166"/>
      <c r="AH1556" s="149" t="b">
        <v>0</v>
      </c>
      <c r="AI1556" s="162"/>
      <c r="AJ1556" s="143"/>
      <c r="AK1556" s="143"/>
      <c r="AL1556" s="1112"/>
      <c r="AM1556" s="1112"/>
      <c r="AN1556" s="1112"/>
      <c r="AO1556" s="1112"/>
      <c r="AP1556" s="1112"/>
      <c r="AQ1556" s="1112"/>
    </row>
    <row r="1557" ht="22.5" customHeight="1">
      <c r="A1557" s="166"/>
      <c r="B1557" s="1111"/>
      <c r="C1557" s="524"/>
      <c r="D1557" s="1110"/>
      <c r="E1557" s="669"/>
      <c r="F1557" s="524"/>
      <c r="G1557" s="165"/>
      <c r="H1557" s="669"/>
      <c r="I1557" s="669"/>
      <c r="J1557" s="352"/>
      <c r="K1557" s="271" t="str">
        <f t="shared" si="74"/>
        <v/>
      </c>
      <c r="L1557" s="297"/>
      <c r="M1557" s="334"/>
      <c r="N1557" s="277"/>
      <c r="O1557" s="315"/>
      <c r="P1557" s="344">
        <f t="shared" si="69"/>
        <v>0</v>
      </c>
      <c r="Q1557" s="321"/>
      <c r="R1557" s="672" t="b">
        <v>0</v>
      </c>
      <c r="S1557" s="318"/>
      <c r="T1557" s="319"/>
      <c r="U1557" s="315"/>
      <c r="V1557" s="162"/>
      <c r="W1557" s="149"/>
      <c r="X1557" s="163"/>
      <c r="Y1557" s="162"/>
      <c r="Z1557" s="164"/>
      <c r="AA1557" s="116"/>
      <c r="AB1557" s="116"/>
      <c r="AC1557" s="165"/>
      <c r="AD1557" s="675" t="str">
        <f t="shared" si="76"/>
        <v/>
      </c>
      <c r="AE1557" s="166"/>
      <c r="AF1557" s="149" t="b">
        <v>0</v>
      </c>
      <c r="AG1557" s="166"/>
      <c r="AH1557" s="149" t="b">
        <v>0</v>
      </c>
      <c r="AI1557" s="162"/>
      <c r="AJ1557" s="143"/>
      <c r="AK1557" s="143"/>
      <c r="AL1557" s="1112"/>
      <c r="AM1557" s="1112"/>
      <c r="AN1557" s="1112"/>
      <c r="AO1557" s="1112"/>
      <c r="AP1557" s="1112"/>
      <c r="AQ1557" s="1112"/>
    </row>
    <row r="1558" ht="22.5" customHeight="1">
      <c r="A1558" s="166"/>
      <c r="B1558" s="1111"/>
      <c r="C1558" s="524"/>
      <c r="D1558" s="1110"/>
      <c r="E1558" s="669"/>
      <c r="F1558" s="524"/>
      <c r="G1558" s="165"/>
      <c r="H1558" s="669"/>
      <c r="I1558" s="669"/>
      <c r="J1558" s="352"/>
      <c r="K1558" s="271" t="str">
        <f t="shared" si="74"/>
        <v/>
      </c>
      <c r="L1558" s="297"/>
      <c r="M1558" s="334"/>
      <c r="N1558" s="277"/>
      <c r="O1558" s="315"/>
      <c r="P1558" s="344">
        <f t="shared" si="69"/>
        <v>0</v>
      </c>
      <c r="Q1558" s="321"/>
      <c r="R1558" s="672" t="b">
        <v>0</v>
      </c>
      <c r="S1558" s="318"/>
      <c r="T1558" s="319"/>
      <c r="U1558" s="315"/>
      <c r="V1558" s="162"/>
      <c r="W1558" s="149"/>
      <c r="X1558" s="163"/>
      <c r="Y1558" s="162"/>
      <c r="Z1558" s="164"/>
      <c r="AA1558" s="116"/>
      <c r="AB1558" s="116"/>
      <c r="AC1558" s="165"/>
      <c r="AD1558" s="675" t="str">
        <f t="shared" si="76"/>
        <v/>
      </c>
      <c r="AE1558" s="166"/>
      <c r="AF1558" s="149" t="b">
        <v>0</v>
      </c>
      <c r="AG1558" s="166"/>
      <c r="AH1558" s="149" t="b">
        <v>0</v>
      </c>
      <c r="AI1558" s="162"/>
      <c r="AJ1558" s="143"/>
      <c r="AK1558" s="143"/>
      <c r="AL1558" s="1112"/>
      <c r="AM1558" s="1112"/>
      <c r="AN1558" s="1112"/>
      <c r="AO1558" s="1112"/>
      <c r="AP1558" s="1112"/>
      <c r="AQ1558" s="1112"/>
    </row>
    <row r="1559" ht="22.5" customHeight="1">
      <c r="A1559" s="166"/>
      <c r="B1559" s="1111"/>
      <c r="C1559" s="524"/>
      <c r="D1559" s="1110"/>
      <c r="E1559" s="669"/>
      <c r="F1559" s="524"/>
      <c r="G1559" s="165"/>
      <c r="H1559" s="669"/>
      <c r="I1559" s="669"/>
      <c r="J1559" s="352"/>
      <c r="K1559" s="271" t="str">
        <f t="shared" si="74"/>
        <v/>
      </c>
      <c r="L1559" s="297"/>
      <c r="M1559" s="334"/>
      <c r="N1559" s="277"/>
      <c r="O1559" s="315"/>
      <c r="P1559" s="344">
        <f t="shared" si="69"/>
        <v>0</v>
      </c>
      <c r="Q1559" s="321"/>
      <c r="R1559" s="672" t="b">
        <v>0</v>
      </c>
      <c r="S1559" s="318"/>
      <c r="T1559" s="319"/>
      <c r="U1559" s="315"/>
      <c r="V1559" s="162"/>
      <c r="W1559" s="149"/>
      <c r="X1559" s="163"/>
      <c r="Y1559" s="162"/>
      <c r="Z1559" s="164"/>
      <c r="AA1559" s="116"/>
      <c r="AB1559" s="116"/>
      <c r="AC1559" s="165"/>
      <c r="AD1559" s="675" t="str">
        <f t="shared" si="76"/>
        <v/>
      </c>
      <c r="AE1559" s="166"/>
      <c r="AF1559" s="149" t="b">
        <v>0</v>
      </c>
      <c r="AG1559" s="166"/>
      <c r="AH1559" s="149" t="b">
        <v>0</v>
      </c>
      <c r="AI1559" s="162"/>
      <c r="AJ1559" s="143"/>
      <c r="AK1559" s="143"/>
      <c r="AL1559" s="1112"/>
      <c r="AM1559" s="1112"/>
      <c r="AN1559" s="1112"/>
      <c r="AO1559" s="1112"/>
      <c r="AP1559" s="1112"/>
      <c r="AQ1559" s="1112"/>
    </row>
    <row r="1560" ht="22.5" customHeight="1">
      <c r="A1560" s="166"/>
      <c r="B1560" s="1111"/>
      <c r="C1560" s="524"/>
      <c r="D1560" s="1110"/>
      <c r="E1560" s="669"/>
      <c r="F1560" s="524"/>
      <c r="G1560" s="165"/>
      <c r="H1560" s="669"/>
      <c r="I1560" s="669"/>
      <c r="J1560" s="352"/>
      <c r="K1560" s="271" t="str">
        <f t="shared" si="74"/>
        <v/>
      </c>
      <c r="L1560" s="297"/>
      <c r="M1560" s="334"/>
      <c r="N1560" s="277"/>
      <c r="O1560" s="315"/>
      <c r="P1560" s="344">
        <f t="shared" si="69"/>
        <v>0</v>
      </c>
      <c r="Q1560" s="321"/>
      <c r="R1560" s="672" t="b">
        <v>0</v>
      </c>
      <c r="S1560" s="318"/>
      <c r="T1560" s="319"/>
      <c r="U1560" s="315"/>
      <c r="V1560" s="162"/>
      <c r="W1560" s="149"/>
      <c r="X1560" s="163"/>
      <c r="Y1560" s="162"/>
      <c r="Z1560" s="164"/>
      <c r="AA1560" s="116"/>
      <c r="AB1560" s="116"/>
      <c r="AC1560" s="165"/>
      <c r="AD1560" s="675" t="str">
        <f t="shared" si="76"/>
        <v/>
      </c>
      <c r="AE1560" s="166"/>
      <c r="AF1560" s="149" t="b">
        <v>0</v>
      </c>
      <c r="AG1560" s="166"/>
      <c r="AH1560" s="149" t="b">
        <v>0</v>
      </c>
      <c r="AI1560" s="162"/>
      <c r="AJ1560" s="143"/>
      <c r="AK1560" s="143"/>
      <c r="AL1560" s="1112"/>
      <c r="AM1560" s="1112"/>
      <c r="AN1560" s="1112"/>
      <c r="AO1560" s="1112"/>
      <c r="AP1560" s="1112"/>
      <c r="AQ1560" s="1112"/>
    </row>
    <row r="1561" ht="22.5" customHeight="1">
      <c r="A1561" s="166"/>
      <c r="B1561" s="1111"/>
      <c r="C1561" s="524"/>
      <c r="D1561" s="1110"/>
      <c r="E1561" s="669"/>
      <c r="F1561" s="524"/>
      <c r="G1561" s="165"/>
      <c r="H1561" s="669"/>
      <c r="I1561" s="669"/>
      <c r="J1561" s="352"/>
      <c r="K1561" s="271" t="str">
        <f t="shared" si="74"/>
        <v/>
      </c>
      <c r="L1561" s="297"/>
      <c r="M1561" s="334"/>
      <c r="N1561" s="277"/>
      <c r="O1561" s="315"/>
      <c r="P1561" s="344">
        <f t="shared" si="69"/>
        <v>0</v>
      </c>
      <c r="Q1561" s="321"/>
      <c r="R1561" s="672" t="b">
        <v>0</v>
      </c>
      <c r="S1561" s="318"/>
      <c r="T1561" s="319"/>
      <c r="U1561" s="315"/>
      <c r="V1561" s="162"/>
      <c r="W1561" s="149"/>
      <c r="X1561" s="163"/>
      <c r="Y1561" s="162"/>
      <c r="Z1561" s="164"/>
      <c r="AA1561" s="116"/>
      <c r="AB1561" s="116"/>
      <c r="AC1561" s="165"/>
      <c r="AD1561" s="675" t="str">
        <f t="shared" si="76"/>
        <v/>
      </c>
      <c r="AE1561" s="166"/>
      <c r="AF1561" s="149" t="b">
        <v>0</v>
      </c>
      <c r="AG1561" s="166"/>
      <c r="AH1561" s="149" t="b">
        <v>0</v>
      </c>
      <c r="AI1561" s="162"/>
      <c r="AJ1561" s="143"/>
      <c r="AK1561" s="143"/>
      <c r="AL1561" s="1112"/>
      <c r="AM1561" s="1112"/>
      <c r="AN1561" s="1112"/>
      <c r="AO1561" s="1112"/>
      <c r="AP1561" s="1112"/>
      <c r="AQ1561" s="1112"/>
    </row>
    <row r="1562" ht="22.5" customHeight="1">
      <c r="A1562" s="166"/>
      <c r="B1562" s="1111"/>
      <c r="C1562" s="524"/>
      <c r="D1562" s="1110"/>
      <c r="E1562" s="669"/>
      <c r="F1562" s="524"/>
      <c r="G1562" s="165"/>
      <c r="H1562" s="669"/>
      <c r="I1562" s="669"/>
      <c r="J1562" s="352"/>
      <c r="K1562" s="271" t="str">
        <f t="shared" si="74"/>
        <v/>
      </c>
      <c r="L1562" s="297"/>
      <c r="M1562" s="334"/>
      <c r="N1562" s="277"/>
      <c r="O1562" s="315"/>
      <c r="P1562" s="344">
        <f t="shared" si="69"/>
        <v>0</v>
      </c>
      <c r="Q1562" s="321"/>
      <c r="R1562" s="672" t="b">
        <v>0</v>
      </c>
      <c r="S1562" s="318"/>
      <c r="T1562" s="319"/>
      <c r="U1562" s="315"/>
      <c r="V1562" s="162"/>
      <c r="W1562" s="149"/>
      <c r="X1562" s="163"/>
      <c r="Y1562" s="162"/>
      <c r="Z1562" s="164"/>
      <c r="AA1562" s="116"/>
      <c r="AB1562" s="116"/>
      <c r="AC1562" s="165"/>
      <c r="AD1562" s="675" t="str">
        <f t="shared" si="76"/>
        <v/>
      </c>
      <c r="AE1562" s="166"/>
      <c r="AF1562" s="149" t="b">
        <v>0</v>
      </c>
      <c r="AG1562" s="166"/>
      <c r="AH1562" s="149" t="b">
        <v>0</v>
      </c>
      <c r="AI1562" s="162"/>
      <c r="AJ1562" s="143"/>
      <c r="AK1562" s="143"/>
      <c r="AL1562" s="1112"/>
      <c r="AM1562" s="1112"/>
      <c r="AN1562" s="1112"/>
      <c r="AO1562" s="1112"/>
      <c r="AP1562" s="1112"/>
      <c r="AQ1562" s="1112"/>
    </row>
    <row r="1563" ht="22.5" customHeight="1">
      <c r="A1563" s="166"/>
      <c r="B1563" s="1111"/>
      <c r="C1563" s="524"/>
      <c r="D1563" s="1110"/>
      <c r="E1563" s="669"/>
      <c r="F1563" s="524"/>
      <c r="G1563" s="165"/>
      <c r="H1563" s="669"/>
      <c r="I1563" s="669"/>
      <c r="J1563" s="352"/>
      <c r="K1563" s="271" t="str">
        <f t="shared" si="74"/>
        <v/>
      </c>
      <c r="L1563" s="297"/>
      <c r="M1563" s="334"/>
      <c r="N1563" s="277"/>
      <c r="O1563" s="315"/>
      <c r="P1563" s="344">
        <f t="shared" si="69"/>
        <v>0</v>
      </c>
      <c r="Q1563" s="321"/>
      <c r="R1563" s="672" t="b">
        <v>0</v>
      </c>
      <c r="S1563" s="318"/>
      <c r="T1563" s="319"/>
      <c r="U1563" s="315"/>
      <c r="V1563" s="162"/>
      <c r="W1563" s="149"/>
      <c r="X1563" s="163"/>
      <c r="Y1563" s="162"/>
      <c r="Z1563" s="164"/>
      <c r="AA1563" s="116"/>
      <c r="AB1563" s="116"/>
      <c r="AC1563" s="165"/>
      <c r="AD1563" s="675" t="str">
        <f t="shared" si="76"/>
        <v/>
      </c>
      <c r="AE1563" s="166"/>
      <c r="AF1563" s="149" t="b">
        <v>0</v>
      </c>
      <c r="AG1563" s="166"/>
      <c r="AH1563" s="149" t="b">
        <v>0</v>
      </c>
      <c r="AI1563" s="162"/>
      <c r="AJ1563" s="143"/>
      <c r="AK1563" s="143"/>
      <c r="AL1563" s="1112"/>
      <c r="AM1563" s="1112"/>
      <c r="AN1563" s="1112"/>
      <c r="AO1563" s="1112"/>
      <c r="AP1563" s="1112"/>
      <c r="AQ1563" s="1112"/>
    </row>
    <row r="1564" ht="22.5" customHeight="1">
      <c r="A1564" s="166"/>
      <c r="B1564" s="1111"/>
      <c r="C1564" s="524"/>
      <c r="D1564" s="1110"/>
      <c r="E1564" s="669"/>
      <c r="F1564" s="524"/>
      <c r="G1564" s="165"/>
      <c r="H1564" s="669"/>
      <c r="I1564" s="669"/>
      <c r="J1564" s="352"/>
      <c r="K1564" s="271" t="str">
        <f t="shared" si="74"/>
        <v/>
      </c>
      <c r="L1564" s="297"/>
      <c r="M1564" s="334"/>
      <c r="N1564" s="277"/>
      <c r="O1564" s="315"/>
      <c r="P1564" s="344">
        <f t="shared" si="69"/>
        <v>0</v>
      </c>
      <c r="Q1564" s="321"/>
      <c r="R1564" s="672" t="b">
        <v>0</v>
      </c>
      <c r="S1564" s="318"/>
      <c r="T1564" s="319"/>
      <c r="U1564" s="315"/>
      <c r="V1564" s="162"/>
      <c r="W1564" s="149"/>
      <c r="X1564" s="163"/>
      <c r="Y1564" s="162"/>
      <c r="Z1564" s="164"/>
      <c r="AA1564" s="116"/>
      <c r="AB1564" s="116"/>
      <c r="AC1564" s="165"/>
      <c r="AD1564" s="675" t="str">
        <f t="shared" si="76"/>
        <v/>
      </c>
      <c r="AE1564" s="166"/>
      <c r="AF1564" s="149" t="b">
        <v>0</v>
      </c>
      <c r="AG1564" s="166"/>
      <c r="AH1564" s="149" t="b">
        <v>0</v>
      </c>
      <c r="AI1564" s="162"/>
      <c r="AJ1564" s="143"/>
      <c r="AK1564" s="143"/>
      <c r="AL1564" s="1112"/>
      <c r="AM1564" s="1112"/>
      <c r="AN1564" s="1112"/>
      <c r="AO1564" s="1112"/>
      <c r="AP1564" s="1112"/>
      <c r="AQ1564" s="1112"/>
    </row>
    <row r="1565" ht="22.5" customHeight="1">
      <c r="A1565" s="166"/>
      <c r="B1565" s="1111"/>
      <c r="C1565" s="524"/>
      <c r="D1565" s="1110"/>
      <c r="E1565" s="669"/>
      <c r="F1565" s="524"/>
      <c r="G1565" s="165"/>
      <c r="H1565" s="669"/>
      <c r="I1565" s="669"/>
      <c r="J1565" s="352"/>
      <c r="K1565" s="271" t="str">
        <f t="shared" si="74"/>
        <v/>
      </c>
      <c r="L1565" s="297"/>
      <c r="M1565" s="334"/>
      <c r="N1565" s="277"/>
      <c r="O1565" s="315"/>
      <c r="P1565" s="344">
        <f t="shared" si="69"/>
        <v>0</v>
      </c>
      <c r="Q1565" s="321"/>
      <c r="R1565" s="672" t="b">
        <v>0</v>
      </c>
      <c r="S1565" s="318"/>
      <c r="T1565" s="319"/>
      <c r="U1565" s="315"/>
      <c r="V1565" s="162"/>
      <c r="W1565" s="149"/>
      <c r="X1565" s="163"/>
      <c r="Y1565" s="162"/>
      <c r="Z1565" s="164"/>
      <c r="AA1565" s="116"/>
      <c r="AB1565" s="116"/>
      <c r="AC1565" s="165"/>
      <c r="AD1565" s="675" t="str">
        <f t="shared" si="76"/>
        <v/>
      </c>
      <c r="AE1565" s="166"/>
      <c r="AF1565" s="149" t="b">
        <v>0</v>
      </c>
      <c r="AG1565" s="166"/>
      <c r="AH1565" s="149" t="b">
        <v>0</v>
      </c>
      <c r="AI1565" s="162"/>
      <c r="AJ1565" s="143"/>
      <c r="AK1565" s="143"/>
      <c r="AL1565" s="1112"/>
      <c r="AM1565" s="1112"/>
      <c r="AN1565" s="1112"/>
      <c r="AO1565" s="1112"/>
      <c r="AP1565" s="1112"/>
      <c r="AQ1565" s="1112"/>
    </row>
    <row r="1566" ht="22.5" customHeight="1">
      <c r="A1566" s="166"/>
      <c r="B1566" s="1111"/>
      <c r="C1566" s="524"/>
      <c r="D1566" s="1110"/>
      <c r="E1566" s="669"/>
      <c r="F1566" s="524"/>
      <c r="G1566" s="165"/>
      <c r="H1566" s="669"/>
      <c r="I1566" s="669"/>
      <c r="J1566" s="352"/>
      <c r="K1566" s="271" t="str">
        <f t="shared" si="74"/>
        <v/>
      </c>
      <c r="L1566" s="297"/>
      <c r="M1566" s="334"/>
      <c r="N1566" s="277"/>
      <c r="O1566" s="315"/>
      <c r="P1566" s="344">
        <f t="shared" si="69"/>
        <v>0</v>
      </c>
      <c r="Q1566" s="321"/>
      <c r="R1566" s="672" t="b">
        <v>0</v>
      </c>
      <c r="S1566" s="318"/>
      <c r="T1566" s="319"/>
      <c r="U1566" s="315"/>
      <c r="V1566" s="162"/>
      <c r="W1566" s="149"/>
      <c r="X1566" s="163"/>
      <c r="Y1566" s="162"/>
      <c r="Z1566" s="164"/>
      <c r="AA1566" s="116"/>
      <c r="AB1566" s="116"/>
      <c r="AC1566" s="165"/>
      <c r="AD1566" s="675" t="str">
        <f t="shared" si="76"/>
        <v/>
      </c>
      <c r="AE1566" s="166"/>
      <c r="AF1566" s="149" t="b">
        <v>0</v>
      </c>
      <c r="AG1566" s="166"/>
      <c r="AH1566" s="149" t="b">
        <v>0</v>
      </c>
      <c r="AI1566" s="162"/>
      <c r="AJ1566" s="143"/>
      <c r="AK1566" s="143"/>
      <c r="AL1566" s="1112"/>
      <c r="AM1566" s="1112"/>
      <c r="AN1566" s="1112"/>
      <c r="AO1566" s="1112"/>
      <c r="AP1566" s="1112"/>
      <c r="AQ1566" s="1112"/>
    </row>
    <row r="1567" ht="22.5" customHeight="1">
      <c r="A1567" s="166"/>
      <c r="B1567" s="1111"/>
      <c r="C1567" s="524"/>
      <c r="D1567" s="1110"/>
      <c r="E1567" s="669"/>
      <c r="F1567" s="524"/>
      <c r="G1567" s="165"/>
      <c r="H1567" s="669"/>
      <c r="I1567" s="669"/>
      <c r="J1567" s="352"/>
      <c r="K1567" s="271" t="str">
        <f t="shared" si="74"/>
        <v/>
      </c>
      <c r="L1567" s="297"/>
      <c r="M1567" s="334"/>
      <c r="N1567" s="277"/>
      <c r="O1567" s="315"/>
      <c r="P1567" s="344">
        <f t="shared" si="69"/>
        <v>0</v>
      </c>
      <c r="Q1567" s="321"/>
      <c r="R1567" s="672" t="b">
        <v>0</v>
      </c>
      <c r="S1567" s="318"/>
      <c r="T1567" s="319"/>
      <c r="U1567" s="315"/>
      <c r="V1567" s="162"/>
      <c r="W1567" s="149"/>
      <c r="X1567" s="163"/>
      <c r="Y1567" s="162"/>
      <c r="Z1567" s="164"/>
      <c r="AA1567" s="116"/>
      <c r="AB1567" s="116"/>
      <c r="AC1567" s="165"/>
      <c r="AD1567" s="675" t="str">
        <f t="shared" si="76"/>
        <v/>
      </c>
      <c r="AE1567" s="166"/>
      <c r="AF1567" s="149" t="b">
        <v>0</v>
      </c>
      <c r="AG1567" s="166"/>
      <c r="AH1567" s="149" t="b">
        <v>0</v>
      </c>
      <c r="AI1567" s="162"/>
      <c r="AJ1567" s="143"/>
      <c r="AK1567" s="143"/>
      <c r="AL1567" s="1112"/>
      <c r="AM1567" s="1112"/>
      <c r="AN1567" s="1112"/>
      <c r="AO1567" s="1112"/>
      <c r="AP1567" s="1112"/>
      <c r="AQ1567" s="1112"/>
    </row>
    <row r="1568" ht="22.5" customHeight="1">
      <c r="A1568" s="166"/>
      <c r="B1568" s="1111"/>
      <c r="C1568" s="524"/>
      <c r="D1568" s="1110"/>
      <c r="E1568" s="669"/>
      <c r="F1568" s="524"/>
      <c r="G1568" s="165"/>
      <c r="H1568" s="669"/>
      <c r="I1568" s="669"/>
      <c r="J1568" s="352"/>
      <c r="K1568" s="271" t="str">
        <f t="shared" si="74"/>
        <v/>
      </c>
      <c r="L1568" s="297"/>
      <c r="M1568" s="334"/>
      <c r="N1568" s="277"/>
      <c r="O1568" s="315"/>
      <c r="P1568" s="344">
        <f t="shared" si="69"/>
        <v>0</v>
      </c>
      <c r="Q1568" s="321"/>
      <c r="R1568" s="672" t="b">
        <v>0</v>
      </c>
      <c r="S1568" s="318"/>
      <c r="T1568" s="319"/>
      <c r="U1568" s="315"/>
      <c r="V1568" s="162"/>
      <c r="W1568" s="149"/>
      <c r="X1568" s="163"/>
      <c r="Y1568" s="162"/>
      <c r="Z1568" s="164"/>
      <c r="AA1568" s="116"/>
      <c r="AB1568" s="116"/>
      <c r="AC1568" s="165"/>
      <c r="AD1568" s="675" t="str">
        <f t="shared" si="76"/>
        <v/>
      </c>
      <c r="AE1568" s="166"/>
      <c r="AF1568" s="149" t="b">
        <v>0</v>
      </c>
      <c r="AG1568" s="166"/>
      <c r="AH1568" s="149" t="b">
        <v>0</v>
      </c>
      <c r="AI1568" s="162"/>
      <c r="AJ1568" s="143"/>
      <c r="AK1568" s="143"/>
      <c r="AL1568" s="1112"/>
      <c r="AM1568" s="1112"/>
      <c r="AN1568" s="1112"/>
      <c r="AO1568" s="1112"/>
      <c r="AP1568" s="1112"/>
      <c r="AQ1568" s="1112"/>
    </row>
    <row r="1569" ht="22.5" customHeight="1">
      <c r="A1569" s="166"/>
      <c r="B1569" s="1111"/>
      <c r="C1569" s="524"/>
      <c r="D1569" s="1110"/>
      <c r="E1569" s="669"/>
      <c r="F1569" s="524"/>
      <c r="G1569" s="165"/>
      <c r="H1569" s="669"/>
      <c r="I1569" s="669"/>
      <c r="J1569" s="352"/>
      <c r="K1569" s="271" t="str">
        <f t="shared" si="74"/>
        <v/>
      </c>
      <c r="L1569" s="297"/>
      <c r="M1569" s="334"/>
      <c r="N1569" s="277"/>
      <c r="O1569" s="315"/>
      <c r="P1569" s="344">
        <f t="shared" si="69"/>
        <v>0</v>
      </c>
      <c r="Q1569" s="321"/>
      <c r="R1569" s="672" t="b">
        <v>0</v>
      </c>
      <c r="S1569" s="318"/>
      <c r="T1569" s="319"/>
      <c r="U1569" s="315"/>
      <c r="V1569" s="162"/>
      <c r="W1569" s="149"/>
      <c r="X1569" s="163"/>
      <c r="Y1569" s="162"/>
      <c r="Z1569" s="164"/>
      <c r="AA1569" s="116"/>
      <c r="AB1569" s="116"/>
      <c r="AC1569" s="165"/>
      <c r="AD1569" s="675" t="str">
        <f t="shared" si="76"/>
        <v/>
      </c>
      <c r="AE1569" s="166"/>
      <c r="AF1569" s="149" t="b">
        <v>0</v>
      </c>
      <c r="AG1569" s="166"/>
      <c r="AH1569" s="149" t="b">
        <v>0</v>
      </c>
      <c r="AI1569" s="162"/>
      <c r="AJ1569" s="143"/>
      <c r="AK1569" s="143"/>
      <c r="AL1569" s="1112"/>
      <c r="AM1569" s="1112"/>
      <c r="AN1569" s="1112"/>
      <c r="AO1569" s="1112"/>
      <c r="AP1569" s="1112"/>
      <c r="AQ1569" s="1112"/>
    </row>
    <row r="1570" ht="22.5" customHeight="1">
      <c r="A1570" s="166"/>
      <c r="B1570" s="1111"/>
      <c r="C1570" s="524"/>
      <c r="D1570" s="1110"/>
      <c r="E1570" s="669"/>
      <c r="F1570" s="524"/>
      <c r="G1570" s="165"/>
      <c r="H1570" s="669"/>
      <c r="I1570" s="669"/>
      <c r="J1570" s="352"/>
      <c r="K1570" s="271" t="str">
        <f t="shared" si="74"/>
        <v/>
      </c>
      <c r="L1570" s="297"/>
      <c r="M1570" s="334"/>
      <c r="N1570" s="277"/>
      <c r="O1570" s="315"/>
      <c r="P1570" s="344">
        <f t="shared" si="69"/>
        <v>0</v>
      </c>
      <c r="Q1570" s="321"/>
      <c r="R1570" s="672" t="b">
        <v>0</v>
      </c>
      <c r="S1570" s="318"/>
      <c r="T1570" s="319"/>
      <c r="U1570" s="315"/>
      <c r="V1570" s="162"/>
      <c r="W1570" s="149"/>
      <c r="X1570" s="163"/>
      <c r="Y1570" s="162"/>
      <c r="Z1570" s="164"/>
      <c r="AA1570" s="116"/>
      <c r="AB1570" s="116"/>
      <c r="AC1570" s="165"/>
      <c r="AD1570" s="675" t="str">
        <f t="shared" si="76"/>
        <v/>
      </c>
      <c r="AE1570" s="166"/>
      <c r="AF1570" s="149" t="b">
        <v>0</v>
      </c>
      <c r="AG1570" s="166"/>
      <c r="AH1570" s="149" t="b">
        <v>0</v>
      </c>
      <c r="AI1570" s="162"/>
      <c r="AJ1570" s="143"/>
      <c r="AK1570" s="143"/>
      <c r="AL1570" s="1112"/>
      <c r="AM1570" s="1112"/>
      <c r="AN1570" s="1112"/>
      <c r="AO1570" s="1112"/>
      <c r="AP1570" s="1112"/>
      <c r="AQ1570" s="1112"/>
    </row>
    <row r="1571" ht="22.5" customHeight="1">
      <c r="A1571" s="166"/>
      <c r="B1571" s="1111"/>
      <c r="C1571" s="524"/>
      <c r="D1571" s="1110"/>
      <c r="E1571" s="669"/>
      <c r="F1571" s="524"/>
      <c r="G1571" s="165"/>
      <c r="H1571" s="669"/>
      <c r="I1571" s="669"/>
      <c r="J1571" s="352"/>
      <c r="K1571" s="271" t="str">
        <f t="shared" si="74"/>
        <v/>
      </c>
      <c r="L1571" s="297"/>
      <c r="M1571" s="334"/>
      <c r="N1571" s="277"/>
      <c r="O1571" s="315"/>
      <c r="P1571" s="344">
        <f t="shared" si="69"/>
        <v>0</v>
      </c>
      <c r="Q1571" s="321"/>
      <c r="R1571" s="672" t="b">
        <v>0</v>
      </c>
      <c r="S1571" s="318"/>
      <c r="T1571" s="319"/>
      <c r="U1571" s="315"/>
      <c r="V1571" s="162"/>
      <c r="W1571" s="149"/>
      <c r="X1571" s="163"/>
      <c r="Y1571" s="162"/>
      <c r="Z1571" s="164"/>
      <c r="AA1571" s="116"/>
      <c r="AB1571" s="116"/>
      <c r="AC1571" s="165"/>
      <c r="AD1571" s="675" t="str">
        <f t="shared" si="76"/>
        <v/>
      </c>
      <c r="AE1571" s="166"/>
      <c r="AF1571" s="149" t="b">
        <v>0</v>
      </c>
      <c r="AG1571" s="166"/>
      <c r="AH1571" s="149" t="b">
        <v>0</v>
      </c>
      <c r="AI1571" s="162"/>
      <c r="AJ1571" s="143"/>
      <c r="AK1571" s="143"/>
      <c r="AL1571" s="1112"/>
      <c r="AM1571" s="1112"/>
      <c r="AN1571" s="1112"/>
      <c r="AO1571" s="1112"/>
      <c r="AP1571" s="1112"/>
      <c r="AQ1571" s="1112"/>
    </row>
    <row r="1572" ht="22.5" customHeight="1">
      <c r="A1572" s="166"/>
      <c r="B1572" s="1111"/>
      <c r="C1572" s="524"/>
      <c r="D1572" s="1110"/>
      <c r="E1572" s="669"/>
      <c r="F1572" s="524"/>
      <c r="G1572" s="165"/>
      <c r="H1572" s="669"/>
      <c r="I1572" s="669"/>
      <c r="J1572" s="352"/>
      <c r="K1572" s="271" t="str">
        <f t="shared" si="74"/>
        <v/>
      </c>
      <c r="L1572" s="297"/>
      <c r="M1572" s="334"/>
      <c r="N1572" s="277"/>
      <c r="O1572" s="315"/>
      <c r="P1572" s="344">
        <f t="shared" si="69"/>
        <v>0</v>
      </c>
      <c r="Q1572" s="321"/>
      <c r="R1572" s="672" t="b">
        <v>0</v>
      </c>
      <c r="S1572" s="318"/>
      <c r="T1572" s="319"/>
      <c r="U1572" s="315"/>
      <c r="V1572" s="162"/>
      <c r="W1572" s="149"/>
      <c r="X1572" s="163"/>
      <c r="Y1572" s="162"/>
      <c r="Z1572" s="164"/>
      <c r="AA1572" s="116"/>
      <c r="AB1572" s="116"/>
      <c r="AC1572" s="165"/>
      <c r="AD1572" s="675" t="str">
        <f t="shared" si="76"/>
        <v/>
      </c>
      <c r="AE1572" s="166"/>
      <c r="AF1572" s="149" t="b">
        <v>0</v>
      </c>
      <c r="AG1572" s="166"/>
      <c r="AH1572" s="149" t="b">
        <v>0</v>
      </c>
      <c r="AI1572" s="162"/>
      <c r="AJ1572" s="143"/>
      <c r="AK1572" s="143"/>
      <c r="AL1572" s="1112"/>
      <c r="AM1572" s="1112"/>
      <c r="AN1572" s="1112"/>
      <c r="AO1572" s="1112"/>
      <c r="AP1572" s="1112"/>
      <c r="AQ1572" s="1112"/>
    </row>
    <row r="1573" ht="22.5" customHeight="1">
      <c r="A1573" s="166"/>
      <c r="B1573" s="1111"/>
      <c r="C1573" s="524"/>
      <c r="D1573" s="1110"/>
      <c r="E1573" s="669"/>
      <c r="F1573" s="524"/>
      <c r="G1573" s="165"/>
      <c r="H1573" s="669"/>
      <c r="I1573" s="669"/>
      <c r="J1573" s="352"/>
      <c r="K1573" s="271" t="str">
        <f t="shared" si="74"/>
        <v/>
      </c>
      <c r="L1573" s="297"/>
      <c r="M1573" s="334"/>
      <c r="N1573" s="277"/>
      <c r="O1573" s="315"/>
      <c r="P1573" s="344">
        <f t="shared" si="69"/>
        <v>0</v>
      </c>
      <c r="Q1573" s="321"/>
      <c r="R1573" s="672" t="b">
        <v>0</v>
      </c>
      <c r="S1573" s="318"/>
      <c r="T1573" s="319"/>
      <c r="U1573" s="315"/>
      <c r="V1573" s="162"/>
      <c r="W1573" s="149"/>
      <c r="X1573" s="163"/>
      <c r="Y1573" s="162"/>
      <c r="Z1573" s="164"/>
      <c r="AA1573" s="116"/>
      <c r="AB1573" s="116"/>
      <c r="AC1573" s="165"/>
      <c r="AD1573" s="675" t="str">
        <f t="shared" si="76"/>
        <v/>
      </c>
      <c r="AE1573" s="166"/>
      <c r="AF1573" s="149" t="b">
        <v>0</v>
      </c>
      <c r="AG1573" s="166"/>
      <c r="AH1573" s="149" t="b">
        <v>0</v>
      </c>
      <c r="AI1573" s="162"/>
      <c r="AJ1573" s="143"/>
      <c r="AK1573" s="143"/>
      <c r="AL1573" s="1112"/>
      <c r="AM1573" s="1112"/>
      <c r="AN1573" s="1112"/>
      <c r="AO1573" s="1112"/>
      <c r="AP1573" s="1112"/>
      <c r="AQ1573" s="1112"/>
    </row>
    <row r="1574" ht="22.5" customHeight="1">
      <c r="A1574" s="166"/>
      <c r="B1574" s="1111"/>
      <c r="C1574" s="524"/>
      <c r="D1574" s="1110"/>
      <c r="E1574" s="669"/>
      <c r="F1574" s="524"/>
      <c r="G1574" s="165"/>
      <c r="H1574" s="669"/>
      <c r="I1574" s="669"/>
      <c r="J1574" s="352"/>
      <c r="K1574" s="271" t="str">
        <f t="shared" si="74"/>
        <v/>
      </c>
      <c r="L1574" s="297"/>
      <c r="M1574" s="334"/>
      <c r="N1574" s="277"/>
      <c r="O1574" s="315"/>
      <c r="P1574" s="344">
        <f t="shared" si="69"/>
        <v>0</v>
      </c>
      <c r="Q1574" s="321"/>
      <c r="R1574" s="672" t="b">
        <v>0</v>
      </c>
      <c r="S1574" s="318"/>
      <c r="T1574" s="319"/>
      <c r="U1574" s="315"/>
      <c r="V1574" s="162"/>
      <c r="W1574" s="149"/>
      <c r="X1574" s="163"/>
      <c r="Y1574" s="162"/>
      <c r="Z1574" s="164"/>
      <c r="AA1574" s="116"/>
      <c r="AB1574" s="116"/>
      <c r="AC1574" s="165"/>
      <c r="AD1574" s="675" t="str">
        <f t="shared" si="76"/>
        <v/>
      </c>
      <c r="AE1574" s="166"/>
      <c r="AF1574" s="149" t="b">
        <v>0</v>
      </c>
      <c r="AG1574" s="166"/>
      <c r="AH1574" s="149" t="b">
        <v>0</v>
      </c>
      <c r="AI1574" s="162"/>
      <c r="AJ1574" s="143"/>
      <c r="AK1574" s="143"/>
      <c r="AL1574" s="1112"/>
      <c r="AM1574" s="1112"/>
      <c r="AN1574" s="1112"/>
      <c r="AO1574" s="1112"/>
      <c r="AP1574" s="1112"/>
      <c r="AQ1574" s="1112"/>
    </row>
    <row r="1575" ht="22.5" customHeight="1">
      <c r="A1575" s="166"/>
      <c r="B1575" s="1111"/>
      <c r="C1575" s="524"/>
      <c r="D1575" s="1110"/>
      <c r="E1575" s="669"/>
      <c r="F1575" s="524"/>
      <c r="G1575" s="165"/>
      <c r="H1575" s="669"/>
      <c r="I1575" s="669"/>
      <c r="J1575" s="352"/>
      <c r="K1575" s="271" t="str">
        <f t="shared" si="74"/>
        <v/>
      </c>
      <c r="L1575" s="297"/>
      <c r="M1575" s="334"/>
      <c r="N1575" s="277"/>
      <c r="O1575" s="315"/>
      <c r="P1575" s="344">
        <f t="shared" si="69"/>
        <v>0</v>
      </c>
      <c r="Q1575" s="321"/>
      <c r="R1575" s="672" t="b">
        <v>0</v>
      </c>
      <c r="S1575" s="318"/>
      <c r="T1575" s="319"/>
      <c r="U1575" s="315"/>
      <c r="V1575" s="162"/>
      <c r="W1575" s="149"/>
      <c r="X1575" s="163"/>
      <c r="Y1575" s="162"/>
      <c r="Z1575" s="164"/>
      <c r="AA1575" s="116"/>
      <c r="AB1575" s="116"/>
      <c r="AC1575" s="165"/>
      <c r="AD1575" s="675" t="str">
        <f t="shared" si="76"/>
        <v/>
      </c>
      <c r="AE1575" s="166"/>
      <c r="AF1575" s="149" t="b">
        <v>0</v>
      </c>
      <c r="AG1575" s="166"/>
      <c r="AH1575" s="149" t="b">
        <v>0</v>
      </c>
      <c r="AI1575" s="162"/>
      <c r="AJ1575" s="143"/>
      <c r="AK1575" s="143"/>
      <c r="AL1575" s="1112"/>
      <c r="AM1575" s="1112"/>
      <c r="AN1575" s="1112"/>
      <c r="AO1575" s="1112"/>
      <c r="AP1575" s="1112"/>
      <c r="AQ1575" s="1112"/>
    </row>
    <row r="1576" ht="22.5" customHeight="1">
      <c r="A1576" s="166"/>
      <c r="B1576" s="1111"/>
      <c r="C1576" s="524"/>
      <c r="D1576" s="1110"/>
      <c r="E1576" s="669"/>
      <c r="F1576" s="524"/>
      <c r="G1576" s="165"/>
      <c r="H1576" s="669"/>
      <c r="I1576" s="669"/>
      <c r="J1576" s="352"/>
      <c r="K1576" s="271" t="str">
        <f t="shared" si="74"/>
        <v/>
      </c>
      <c r="L1576" s="297"/>
      <c r="M1576" s="334"/>
      <c r="N1576" s="277"/>
      <c r="O1576" s="315"/>
      <c r="P1576" s="344">
        <f t="shared" si="69"/>
        <v>0</v>
      </c>
      <c r="Q1576" s="321"/>
      <c r="R1576" s="672" t="b">
        <v>0</v>
      </c>
      <c r="S1576" s="318"/>
      <c r="T1576" s="319"/>
      <c r="U1576" s="315"/>
      <c r="V1576" s="162"/>
      <c r="W1576" s="149"/>
      <c r="X1576" s="163"/>
      <c r="Y1576" s="162"/>
      <c r="Z1576" s="164"/>
      <c r="AA1576" s="116"/>
      <c r="AB1576" s="116"/>
      <c r="AC1576" s="165"/>
      <c r="AD1576" s="675" t="str">
        <f t="shared" si="76"/>
        <v/>
      </c>
      <c r="AE1576" s="166"/>
      <c r="AF1576" s="149" t="b">
        <v>0</v>
      </c>
      <c r="AG1576" s="166"/>
      <c r="AH1576" s="149" t="b">
        <v>0</v>
      </c>
      <c r="AI1576" s="162"/>
      <c r="AJ1576" s="143"/>
      <c r="AK1576" s="143"/>
      <c r="AL1576" s="1112"/>
      <c r="AM1576" s="1112"/>
      <c r="AN1576" s="1112"/>
      <c r="AO1576" s="1112"/>
      <c r="AP1576" s="1112"/>
      <c r="AQ1576" s="1112"/>
    </row>
    <row r="1577" ht="22.5" customHeight="1">
      <c r="A1577" s="166"/>
      <c r="B1577" s="1111"/>
      <c r="C1577" s="524"/>
      <c r="D1577" s="1110"/>
      <c r="E1577" s="669"/>
      <c r="F1577" s="524"/>
      <c r="G1577" s="165"/>
      <c r="H1577" s="669"/>
      <c r="I1577" s="669"/>
      <c r="J1577" s="352"/>
      <c r="K1577" s="271" t="str">
        <f t="shared" si="74"/>
        <v/>
      </c>
      <c r="L1577" s="297"/>
      <c r="M1577" s="334"/>
      <c r="N1577" s="277"/>
      <c r="O1577" s="315"/>
      <c r="P1577" s="344">
        <f t="shared" si="69"/>
        <v>0</v>
      </c>
      <c r="Q1577" s="321"/>
      <c r="R1577" s="672" t="b">
        <v>0</v>
      </c>
      <c r="S1577" s="318"/>
      <c r="T1577" s="319"/>
      <c r="U1577" s="315"/>
      <c r="V1577" s="162"/>
      <c r="W1577" s="149"/>
      <c r="X1577" s="163"/>
      <c r="Y1577" s="162"/>
      <c r="Z1577" s="164"/>
      <c r="AA1577" s="116"/>
      <c r="AB1577" s="116"/>
      <c r="AC1577" s="165"/>
      <c r="AD1577" s="675" t="str">
        <f t="shared" si="76"/>
        <v/>
      </c>
      <c r="AE1577" s="166"/>
      <c r="AF1577" s="149" t="b">
        <v>0</v>
      </c>
      <c r="AG1577" s="166"/>
      <c r="AH1577" s="149" t="b">
        <v>0</v>
      </c>
      <c r="AI1577" s="162"/>
      <c r="AJ1577" s="143"/>
      <c r="AK1577" s="143"/>
      <c r="AL1577" s="1112"/>
      <c r="AM1577" s="1112"/>
      <c r="AN1577" s="1112"/>
      <c r="AO1577" s="1112"/>
      <c r="AP1577" s="1112"/>
      <c r="AQ1577" s="1112"/>
    </row>
    <row r="1578" ht="22.5" customHeight="1">
      <c r="A1578" s="166"/>
      <c r="B1578" s="1111"/>
      <c r="C1578" s="524"/>
      <c r="D1578" s="1110"/>
      <c r="E1578" s="669"/>
      <c r="F1578" s="524"/>
      <c r="G1578" s="165"/>
      <c r="H1578" s="669"/>
      <c r="I1578" s="669"/>
      <c r="J1578" s="352"/>
      <c r="K1578" s="271" t="str">
        <f t="shared" si="74"/>
        <v/>
      </c>
      <c r="L1578" s="297"/>
      <c r="M1578" s="334"/>
      <c r="N1578" s="277"/>
      <c r="O1578" s="315"/>
      <c r="P1578" s="344">
        <f t="shared" si="69"/>
        <v>0</v>
      </c>
      <c r="Q1578" s="321"/>
      <c r="R1578" s="672" t="b">
        <v>0</v>
      </c>
      <c r="S1578" s="318"/>
      <c r="T1578" s="319"/>
      <c r="U1578" s="315"/>
      <c r="V1578" s="162"/>
      <c r="W1578" s="149"/>
      <c r="X1578" s="163"/>
      <c r="Y1578" s="162"/>
      <c r="Z1578" s="164"/>
      <c r="AA1578" s="116"/>
      <c r="AB1578" s="116"/>
      <c r="AC1578" s="165"/>
      <c r="AD1578" s="675" t="str">
        <f t="shared" si="76"/>
        <v/>
      </c>
      <c r="AE1578" s="166"/>
      <c r="AF1578" s="149" t="b">
        <v>0</v>
      </c>
      <c r="AG1578" s="166"/>
      <c r="AH1578" s="149" t="b">
        <v>0</v>
      </c>
      <c r="AI1578" s="162"/>
      <c r="AJ1578" s="143"/>
      <c r="AK1578" s="143"/>
      <c r="AL1578" s="1112"/>
      <c r="AM1578" s="1112"/>
      <c r="AN1578" s="1112"/>
      <c r="AO1578" s="1112"/>
      <c r="AP1578" s="1112"/>
      <c r="AQ1578" s="1112"/>
    </row>
    <row r="1579" ht="22.5" customHeight="1">
      <c r="A1579" s="166"/>
      <c r="B1579" s="1111"/>
      <c r="C1579" s="524"/>
      <c r="D1579" s="1110"/>
      <c r="E1579" s="669"/>
      <c r="F1579" s="524"/>
      <c r="G1579" s="165"/>
      <c r="H1579" s="669"/>
      <c r="I1579" s="669"/>
      <c r="J1579" s="352"/>
      <c r="K1579" s="271" t="str">
        <f t="shared" si="74"/>
        <v/>
      </c>
      <c r="L1579" s="297"/>
      <c r="M1579" s="334"/>
      <c r="N1579" s="277"/>
      <c r="O1579" s="315"/>
      <c r="P1579" s="344">
        <f t="shared" si="69"/>
        <v>0</v>
      </c>
      <c r="Q1579" s="321"/>
      <c r="R1579" s="672" t="b">
        <v>0</v>
      </c>
      <c r="S1579" s="318"/>
      <c r="T1579" s="319"/>
      <c r="U1579" s="315"/>
      <c r="V1579" s="162"/>
      <c r="W1579" s="149"/>
      <c r="X1579" s="163"/>
      <c r="Y1579" s="162"/>
      <c r="Z1579" s="164"/>
      <c r="AA1579" s="116"/>
      <c r="AB1579" s="116"/>
      <c r="AC1579" s="165"/>
      <c r="AD1579" s="675" t="str">
        <f t="shared" si="76"/>
        <v/>
      </c>
      <c r="AE1579" s="166"/>
      <c r="AF1579" s="149" t="b">
        <v>0</v>
      </c>
      <c r="AG1579" s="166"/>
      <c r="AH1579" s="149" t="b">
        <v>0</v>
      </c>
      <c r="AI1579" s="162"/>
      <c r="AJ1579" s="143"/>
      <c r="AK1579" s="143"/>
      <c r="AL1579" s="1112"/>
      <c r="AM1579" s="1112"/>
      <c r="AN1579" s="1112"/>
      <c r="AO1579" s="1112"/>
      <c r="AP1579" s="1112"/>
      <c r="AQ1579" s="1112"/>
    </row>
    <row r="1580" ht="22.5" customHeight="1">
      <c r="A1580" s="166"/>
      <c r="B1580" s="1111"/>
      <c r="C1580" s="524"/>
      <c r="D1580" s="1110"/>
      <c r="E1580" s="669"/>
      <c r="F1580" s="524"/>
      <c r="G1580" s="165"/>
      <c r="H1580" s="669"/>
      <c r="I1580" s="669"/>
      <c r="J1580" s="352"/>
      <c r="K1580" s="271" t="str">
        <f t="shared" si="74"/>
        <v/>
      </c>
      <c r="L1580" s="297"/>
      <c r="M1580" s="334"/>
      <c r="N1580" s="277"/>
      <c r="O1580" s="315"/>
      <c r="P1580" s="344">
        <f t="shared" si="69"/>
        <v>0</v>
      </c>
      <c r="Q1580" s="321"/>
      <c r="R1580" s="672" t="b">
        <v>0</v>
      </c>
      <c r="S1580" s="318"/>
      <c r="T1580" s="319"/>
      <c r="U1580" s="315"/>
      <c r="V1580" s="162"/>
      <c r="W1580" s="149"/>
      <c r="X1580" s="163"/>
      <c r="Y1580" s="162"/>
      <c r="Z1580" s="164"/>
      <c r="AA1580" s="116"/>
      <c r="AB1580" s="116"/>
      <c r="AC1580" s="165"/>
      <c r="AD1580" s="675" t="str">
        <f t="shared" si="76"/>
        <v/>
      </c>
      <c r="AE1580" s="166"/>
      <c r="AF1580" s="149" t="b">
        <v>0</v>
      </c>
      <c r="AG1580" s="166"/>
      <c r="AH1580" s="149" t="b">
        <v>0</v>
      </c>
      <c r="AI1580" s="162"/>
      <c r="AJ1580" s="143"/>
      <c r="AK1580" s="143"/>
      <c r="AL1580" s="1112"/>
      <c r="AM1580" s="1112"/>
      <c r="AN1580" s="1112"/>
      <c r="AO1580" s="1112"/>
      <c r="AP1580" s="1112"/>
      <c r="AQ1580" s="1112"/>
    </row>
    <row r="1581" ht="22.5" customHeight="1">
      <c r="A1581" s="166"/>
      <c r="B1581" s="1111"/>
      <c r="C1581" s="524"/>
      <c r="D1581" s="1110"/>
      <c r="E1581" s="669"/>
      <c r="F1581" s="524"/>
      <c r="G1581" s="165"/>
      <c r="H1581" s="669"/>
      <c r="I1581" s="669"/>
      <c r="J1581" s="352"/>
      <c r="K1581" s="271" t="str">
        <f t="shared" si="74"/>
        <v/>
      </c>
      <c r="L1581" s="297"/>
      <c r="M1581" s="334"/>
      <c r="N1581" s="277"/>
      <c r="O1581" s="315"/>
      <c r="P1581" s="344">
        <f t="shared" si="69"/>
        <v>0</v>
      </c>
      <c r="Q1581" s="321"/>
      <c r="R1581" s="672" t="b">
        <v>0</v>
      </c>
      <c r="S1581" s="318"/>
      <c r="T1581" s="319"/>
      <c r="U1581" s="315"/>
      <c r="V1581" s="162"/>
      <c r="W1581" s="149"/>
      <c r="X1581" s="163"/>
      <c r="Y1581" s="162"/>
      <c r="Z1581" s="164"/>
      <c r="AA1581" s="116"/>
      <c r="AB1581" s="116"/>
      <c r="AC1581" s="165"/>
      <c r="AD1581" s="675" t="str">
        <f t="shared" si="76"/>
        <v/>
      </c>
      <c r="AE1581" s="166"/>
      <c r="AF1581" s="149" t="b">
        <v>0</v>
      </c>
      <c r="AG1581" s="166"/>
      <c r="AH1581" s="149" t="b">
        <v>0</v>
      </c>
      <c r="AI1581" s="162"/>
      <c r="AJ1581" s="143"/>
      <c r="AK1581" s="143"/>
      <c r="AL1581" s="1112"/>
      <c r="AM1581" s="1112"/>
      <c r="AN1581" s="1112"/>
      <c r="AO1581" s="1112"/>
      <c r="AP1581" s="1112"/>
      <c r="AQ1581" s="1112"/>
    </row>
    <row r="1582" ht="22.5" customHeight="1">
      <c r="A1582" s="166"/>
      <c r="B1582" s="1111"/>
      <c r="C1582" s="524"/>
      <c r="D1582" s="1110"/>
      <c r="E1582" s="669"/>
      <c r="F1582" s="524"/>
      <c r="G1582" s="165"/>
      <c r="H1582" s="669"/>
      <c r="I1582" s="669"/>
      <c r="J1582" s="352"/>
      <c r="K1582" s="271" t="str">
        <f t="shared" si="74"/>
        <v/>
      </c>
      <c r="L1582" s="297"/>
      <c r="M1582" s="334"/>
      <c r="N1582" s="277"/>
      <c r="O1582" s="315"/>
      <c r="P1582" s="344">
        <f t="shared" si="69"/>
        <v>0</v>
      </c>
      <c r="Q1582" s="321"/>
      <c r="R1582" s="672" t="b">
        <v>0</v>
      </c>
      <c r="S1582" s="318"/>
      <c r="T1582" s="319"/>
      <c r="U1582" s="315"/>
      <c r="V1582" s="162"/>
      <c r="W1582" s="149"/>
      <c r="X1582" s="163"/>
      <c r="Y1582" s="162"/>
      <c r="Z1582" s="164"/>
      <c r="AA1582" s="116"/>
      <c r="AB1582" s="116"/>
      <c r="AC1582" s="165"/>
      <c r="AD1582" s="675" t="str">
        <f t="shared" si="76"/>
        <v/>
      </c>
      <c r="AE1582" s="166"/>
      <c r="AF1582" s="149" t="b">
        <v>0</v>
      </c>
      <c r="AG1582" s="166"/>
      <c r="AH1582" s="149" t="b">
        <v>0</v>
      </c>
      <c r="AI1582" s="162"/>
      <c r="AJ1582" s="143"/>
      <c r="AK1582" s="143"/>
      <c r="AL1582" s="1112"/>
      <c r="AM1582" s="1112"/>
      <c r="AN1582" s="1112"/>
      <c r="AO1582" s="1112"/>
      <c r="AP1582" s="1112"/>
      <c r="AQ1582" s="1112"/>
    </row>
    <row r="1583" ht="22.5" customHeight="1">
      <c r="A1583" s="166"/>
      <c r="B1583" s="1111"/>
      <c r="C1583" s="524"/>
      <c r="D1583" s="1110"/>
      <c r="E1583" s="669"/>
      <c r="F1583" s="524"/>
      <c r="G1583" s="165"/>
      <c r="H1583" s="669"/>
      <c r="I1583" s="669"/>
      <c r="J1583" s="352"/>
      <c r="K1583" s="271" t="str">
        <f t="shared" si="74"/>
        <v/>
      </c>
      <c r="L1583" s="297"/>
      <c r="M1583" s="334"/>
      <c r="N1583" s="277"/>
      <c r="O1583" s="315"/>
      <c r="P1583" s="344">
        <f t="shared" si="69"/>
        <v>0</v>
      </c>
      <c r="Q1583" s="321"/>
      <c r="R1583" s="672" t="b">
        <v>0</v>
      </c>
      <c r="S1583" s="318"/>
      <c r="T1583" s="319"/>
      <c r="U1583" s="315"/>
      <c r="V1583" s="162"/>
      <c r="W1583" s="149"/>
      <c r="X1583" s="163"/>
      <c r="Y1583" s="162"/>
      <c r="Z1583" s="164"/>
      <c r="AA1583" s="116"/>
      <c r="AB1583" s="116"/>
      <c r="AC1583" s="165"/>
      <c r="AD1583" s="675" t="str">
        <f t="shared" si="76"/>
        <v/>
      </c>
      <c r="AE1583" s="166"/>
      <c r="AF1583" s="149" t="b">
        <v>0</v>
      </c>
      <c r="AG1583" s="166"/>
      <c r="AH1583" s="149" t="b">
        <v>0</v>
      </c>
      <c r="AI1583" s="162"/>
      <c r="AJ1583" s="143"/>
      <c r="AK1583" s="143"/>
      <c r="AL1583" s="1112"/>
      <c r="AM1583" s="1112"/>
      <c r="AN1583" s="1112"/>
      <c r="AO1583" s="1112"/>
      <c r="AP1583" s="1112"/>
      <c r="AQ1583" s="1112"/>
    </row>
    <row r="1584" ht="22.5" customHeight="1">
      <c r="A1584" s="166"/>
      <c r="B1584" s="1111"/>
      <c r="C1584" s="524"/>
      <c r="D1584" s="1110"/>
      <c r="E1584" s="669"/>
      <c r="F1584" s="524"/>
      <c r="G1584" s="165"/>
      <c r="H1584" s="669"/>
      <c r="I1584" s="669"/>
      <c r="J1584" s="352"/>
      <c r="K1584" s="271" t="str">
        <f t="shared" si="74"/>
        <v/>
      </c>
      <c r="L1584" s="297"/>
      <c r="M1584" s="334"/>
      <c r="N1584" s="277"/>
      <c r="O1584" s="315"/>
      <c r="P1584" s="344">
        <f t="shared" si="69"/>
        <v>0</v>
      </c>
      <c r="Q1584" s="321"/>
      <c r="R1584" s="672" t="b">
        <v>0</v>
      </c>
      <c r="S1584" s="318"/>
      <c r="T1584" s="319"/>
      <c r="U1584" s="315"/>
      <c r="V1584" s="162"/>
      <c r="W1584" s="149"/>
      <c r="X1584" s="163"/>
      <c r="Y1584" s="162"/>
      <c r="Z1584" s="164"/>
      <c r="AA1584" s="116"/>
      <c r="AB1584" s="116"/>
      <c r="AC1584" s="165"/>
      <c r="AD1584" s="675" t="str">
        <f t="shared" si="76"/>
        <v/>
      </c>
      <c r="AE1584" s="166"/>
      <c r="AF1584" s="149" t="b">
        <v>0</v>
      </c>
      <c r="AG1584" s="166"/>
      <c r="AH1584" s="149" t="b">
        <v>0</v>
      </c>
      <c r="AI1584" s="162"/>
      <c r="AJ1584" s="143"/>
      <c r="AK1584" s="143"/>
      <c r="AL1584" s="1112"/>
      <c r="AM1584" s="1112"/>
      <c r="AN1584" s="1112"/>
      <c r="AO1584" s="1112"/>
      <c r="AP1584" s="1112"/>
      <c r="AQ1584" s="1112"/>
    </row>
    <row r="1585" ht="22.5" customHeight="1">
      <c r="A1585" s="166"/>
      <c r="B1585" s="1111"/>
      <c r="C1585" s="524"/>
      <c r="D1585" s="1110"/>
      <c r="E1585" s="669"/>
      <c r="F1585" s="524"/>
      <c r="G1585" s="165"/>
      <c r="H1585" s="669"/>
      <c r="I1585" s="669"/>
      <c r="J1585" s="352"/>
      <c r="K1585" s="271" t="str">
        <f t="shared" si="74"/>
        <v/>
      </c>
      <c r="L1585" s="297"/>
      <c r="M1585" s="334"/>
      <c r="N1585" s="277"/>
      <c r="O1585" s="315"/>
      <c r="P1585" s="344">
        <f t="shared" si="69"/>
        <v>0</v>
      </c>
      <c r="Q1585" s="321"/>
      <c r="R1585" s="672" t="b">
        <v>0</v>
      </c>
      <c r="S1585" s="318"/>
      <c r="T1585" s="319"/>
      <c r="U1585" s="315"/>
      <c r="V1585" s="162"/>
      <c r="W1585" s="149"/>
      <c r="X1585" s="163"/>
      <c r="Y1585" s="162"/>
      <c r="Z1585" s="164"/>
      <c r="AA1585" s="116"/>
      <c r="AB1585" s="116"/>
      <c r="AC1585" s="165"/>
      <c r="AD1585" s="675" t="str">
        <f t="shared" si="76"/>
        <v/>
      </c>
      <c r="AE1585" s="166"/>
      <c r="AF1585" s="149" t="b">
        <v>0</v>
      </c>
      <c r="AG1585" s="166"/>
      <c r="AH1585" s="149" t="b">
        <v>0</v>
      </c>
      <c r="AI1585" s="162"/>
      <c r="AJ1585" s="143"/>
      <c r="AK1585" s="143"/>
      <c r="AL1585" s="1112"/>
      <c r="AM1585" s="1112"/>
      <c r="AN1585" s="1112"/>
      <c r="AO1585" s="1112"/>
      <c r="AP1585" s="1112"/>
      <c r="AQ1585" s="1112"/>
    </row>
    <row r="1586" ht="22.5" customHeight="1">
      <c r="A1586" s="166"/>
      <c r="B1586" s="1111"/>
      <c r="C1586" s="524"/>
      <c r="D1586" s="1110"/>
      <c r="E1586" s="669"/>
      <c r="F1586" s="524"/>
      <c r="G1586" s="165"/>
      <c r="H1586" s="669"/>
      <c r="I1586" s="669"/>
      <c r="J1586" s="352"/>
      <c r="K1586" s="271" t="str">
        <f t="shared" si="74"/>
        <v/>
      </c>
      <c r="L1586" s="297"/>
      <c r="M1586" s="334"/>
      <c r="N1586" s="277"/>
      <c r="O1586" s="315"/>
      <c r="P1586" s="344">
        <f t="shared" si="69"/>
        <v>0</v>
      </c>
      <c r="Q1586" s="321"/>
      <c r="R1586" s="672" t="b">
        <v>0</v>
      </c>
      <c r="S1586" s="318"/>
      <c r="T1586" s="319"/>
      <c r="U1586" s="315"/>
      <c r="V1586" s="162"/>
      <c r="W1586" s="149"/>
      <c r="X1586" s="163"/>
      <c r="Y1586" s="162"/>
      <c r="Z1586" s="164"/>
      <c r="AA1586" s="116"/>
      <c r="AB1586" s="116"/>
      <c r="AC1586" s="165"/>
      <c r="AD1586" s="675" t="str">
        <f t="shared" si="76"/>
        <v/>
      </c>
      <c r="AE1586" s="166"/>
      <c r="AF1586" s="149" t="b">
        <v>0</v>
      </c>
      <c r="AG1586" s="166"/>
      <c r="AH1586" s="149" t="b">
        <v>0</v>
      </c>
      <c r="AI1586" s="162"/>
      <c r="AJ1586" s="143"/>
      <c r="AK1586" s="143"/>
      <c r="AL1586" s="1112"/>
      <c r="AM1586" s="1112"/>
      <c r="AN1586" s="1112"/>
      <c r="AO1586" s="1112"/>
      <c r="AP1586" s="1112"/>
      <c r="AQ1586" s="1112"/>
    </row>
    <row r="1587" ht="22.5" customHeight="1">
      <c r="A1587" s="166"/>
      <c r="B1587" s="1111"/>
      <c r="C1587" s="524"/>
      <c r="D1587" s="1110"/>
      <c r="E1587" s="669"/>
      <c r="F1587" s="524"/>
      <c r="G1587" s="165"/>
      <c r="H1587" s="669"/>
      <c r="I1587" s="669"/>
      <c r="J1587" s="352"/>
      <c r="K1587" s="271" t="str">
        <f t="shared" si="74"/>
        <v/>
      </c>
      <c r="L1587" s="297"/>
      <c r="M1587" s="334"/>
      <c r="N1587" s="277"/>
      <c r="O1587" s="315"/>
      <c r="P1587" s="344">
        <f t="shared" si="69"/>
        <v>0</v>
      </c>
      <c r="Q1587" s="321"/>
      <c r="R1587" s="672" t="b">
        <v>0</v>
      </c>
      <c r="S1587" s="318"/>
      <c r="T1587" s="319"/>
      <c r="U1587" s="315"/>
      <c r="V1587" s="162"/>
      <c r="W1587" s="149"/>
      <c r="X1587" s="163"/>
      <c r="Y1587" s="162"/>
      <c r="Z1587" s="164"/>
      <c r="AA1587" s="116"/>
      <c r="AB1587" s="116"/>
      <c r="AC1587" s="165"/>
      <c r="AD1587" s="675" t="str">
        <f t="shared" si="76"/>
        <v/>
      </c>
      <c r="AE1587" s="166"/>
      <c r="AF1587" s="149" t="b">
        <v>0</v>
      </c>
      <c r="AG1587" s="166"/>
      <c r="AH1587" s="149" t="b">
        <v>0</v>
      </c>
      <c r="AI1587" s="162"/>
      <c r="AJ1587" s="143"/>
      <c r="AK1587" s="143"/>
      <c r="AL1587" s="1112"/>
      <c r="AM1587" s="1112"/>
      <c r="AN1587" s="1112"/>
      <c r="AO1587" s="1112"/>
      <c r="AP1587" s="1112"/>
      <c r="AQ1587" s="1112"/>
    </row>
    <row r="1588" ht="22.5" customHeight="1">
      <c r="A1588" s="166"/>
      <c r="B1588" s="1111"/>
      <c r="C1588" s="524"/>
      <c r="D1588" s="1110"/>
      <c r="E1588" s="669"/>
      <c r="F1588" s="524"/>
      <c r="G1588" s="165"/>
      <c r="H1588" s="669"/>
      <c r="I1588" s="669"/>
      <c r="J1588" s="352"/>
      <c r="K1588" s="271" t="str">
        <f t="shared" si="74"/>
        <v/>
      </c>
      <c r="L1588" s="297"/>
      <c r="M1588" s="334"/>
      <c r="N1588" s="277"/>
      <c r="O1588" s="315"/>
      <c r="P1588" s="344">
        <f t="shared" si="69"/>
        <v>0</v>
      </c>
      <c r="Q1588" s="321"/>
      <c r="R1588" s="672" t="b">
        <v>0</v>
      </c>
      <c r="S1588" s="318"/>
      <c r="T1588" s="319"/>
      <c r="U1588" s="315"/>
      <c r="V1588" s="162"/>
      <c r="W1588" s="149"/>
      <c r="X1588" s="163"/>
      <c r="Y1588" s="162"/>
      <c r="Z1588" s="164"/>
      <c r="AA1588" s="116"/>
      <c r="AB1588" s="116"/>
      <c r="AC1588" s="165"/>
      <c r="AD1588" s="675" t="str">
        <f t="shared" si="76"/>
        <v/>
      </c>
      <c r="AE1588" s="166"/>
      <c r="AF1588" s="149" t="b">
        <v>0</v>
      </c>
      <c r="AG1588" s="166"/>
      <c r="AH1588" s="149" t="b">
        <v>0</v>
      </c>
      <c r="AI1588" s="162"/>
      <c r="AJ1588" s="143"/>
      <c r="AK1588" s="143"/>
      <c r="AL1588" s="1112"/>
      <c r="AM1588" s="1112"/>
      <c r="AN1588" s="1112"/>
      <c r="AO1588" s="1112"/>
      <c r="AP1588" s="1112"/>
      <c r="AQ1588" s="1112"/>
    </row>
    <row r="1589" ht="22.5" customHeight="1">
      <c r="A1589" s="166"/>
      <c r="B1589" s="1111"/>
      <c r="C1589" s="524"/>
      <c r="D1589" s="1110"/>
      <c r="E1589" s="669"/>
      <c r="F1589" s="524"/>
      <c r="G1589" s="165"/>
      <c r="H1589" s="669"/>
      <c r="I1589" s="669"/>
      <c r="J1589" s="352"/>
      <c r="K1589" s="271" t="str">
        <f t="shared" si="74"/>
        <v/>
      </c>
      <c r="L1589" s="297"/>
      <c r="M1589" s="334"/>
      <c r="N1589" s="277"/>
      <c r="O1589" s="315"/>
      <c r="P1589" s="344">
        <f t="shared" si="69"/>
        <v>0</v>
      </c>
      <c r="Q1589" s="321"/>
      <c r="R1589" s="672" t="b">
        <v>0</v>
      </c>
      <c r="S1589" s="318"/>
      <c r="T1589" s="319"/>
      <c r="U1589" s="315"/>
      <c r="V1589" s="162"/>
      <c r="W1589" s="149"/>
      <c r="X1589" s="163"/>
      <c r="Y1589" s="162"/>
      <c r="Z1589" s="164"/>
      <c r="AA1589" s="116"/>
      <c r="AB1589" s="116"/>
      <c r="AC1589" s="165"/>
      <c r="AD1589" s="675" t="str">
        <f t="shared" si="76"/>
        <v/>
      </c>
      <c r="AE1589" s="166"/>
      <c r="AF1589" s="149" t="b">
        <v>0</v>
      </c>
      <c r="AG1589" s="166"/>
      <c r="AH1589" s="149" t="b">
        <v>0</v>
      </c>
      <c r="AI1589" s="162"/>
      <c r="AJ1589" s="143"/>
      <c r="AK1589" s="143"/>
      <c r="AL1589" s="1112"/>
      <c r="AM1589" s="1112"/>
      <c r="AN1589" s="1112"/>
      <c r="AO1589" s="1112"/>
      <c r="AP1589" s="1112"/>
      <c r="AQ1589" s="1112"/>
    </row>
    <row r="1590" ht="22.5" customHeight="1">
      <c r="A1590" s="166"/>
      <c r="B1590" s="1111"/>
      <c r="C1590" s="524"/>
      <c r="D1590" s="1110"/>
      <c r="E1590" s="669"/>
      <c r="F1590" s="524"/>
      <c r="G1590" s="165"/>
      <c r="H1590" s="669"/>
      <c r="I1590" s="669"/>
      <c r="J1590" s="352"/>
      <c r="K1590" s="271" t="str">
        <f t="shared" si="74"/>
        <v/>
      </c>
      <c r="L1590" s="297"/>
      <c r="M1590" s="334"/>
      <c r="N1590" s="277"/>
      <c r="O1590" s="315"/>
      <c r="P1590" s="344">
        <f t="shared" si="69"/>
        <v>0</v>
      </c>
      <c r="Q1590" s="321"/>
      <c r="R1590" s="672" t="b">
        <v>0</v>
      </c>
      <c r="S1590" s="318"/>
      <c r="T1590" s="319"/>
      <c r="U1590" s="315"/>
      <c r="V1590" s="162"/>
      <c r="W1590" s="149"/>
      <c r="X1590" s="163"/>
      <c r="Y1590" s="162"/>
      <c r="Z1590" s="164"/>
      <c r="AA1590" s="116"/>
      <c r="AB1590" s="116"/>
      <c r="AC1590" s="165"/>
      <c r="AD1590" s="675" t="str">
        <f t="shared" si="76"/>
        <v/>
      </c>
      <c r="AE1590" s="166"/>
      <c r="AF1590" s="149" t="b">
        <v>0</v>
      </c>
      <c r="AG1590" s="166"/>
      <c r="AH1590" s="149" t="b">
        <v>0</v>
      </c>
      <c r="AI1590" s="162"/>
      <c r="AJ1590" s="143"/>
      <c r="AK1590" s="143"/>
      <c r="AL1590" s="1112"/>
      <c r="AM1590" s="1112"/>
      <c r="AN1590" s="1112"/>
      <c r="AO1590" s="1112"/>
      <c r="AP1590" s="1112"/>
      <c r="AQ1590" s="1112"/>
    </row>
    <row r="1591" ht="22.5" customHeight="1">
      <c r="A1591" s="166"/>
      <c r="B1591" s="1111"/>
      <c r="C1591" s="524"/>
      <c r="D1591" s="1110"/>
      <c r="E1591" s="669"/>
      <c r="F1591" s="524"/>
      <c r="G1591" s="165"/>
      <c r="H1591" s="669"/>
      <c r="I1591" s="669"/>
      <c r="J1591" s="352"/>
      <c r="K1591" s="271" t="str">
        <f t="shared" si="74"/>
        <v/>
      </c>
      <c r="L1591" s="297"/>
      <c r="M1591" s="334"/>
      <c r="N1591" s="277"/>
      <c r="O1591" s="315"/>
      <c r="P1591" s="344">
        <f t="shared" si="69"/>
        <v>0</v>
      </c>
      <c r="Q1591" s="321"/>
      <c r="R1591" s="672" t="b">
        <v>0</v>
      </c>
      <c r="S1591" s="318"/>
      <c r="T1591" s="319"/>
      <c r="U1591" s="315"/>
      <c r="V1591" s="162"/>
      <c r="W1591" s="149"/>
      <c r="X1591" s="163"/>
      <c r="Y1591" s="162"/>
      <c r="Z1591" s="164"/>
      <c r="AA1591" s="116"/>
      <c r="AB1591" s="116"/>
      <c r="AC1591" s="165"/>
      <c r="AD1591" s="675" t="str">
        <f t="shared" si="76"/>
        <v/>
      </c>
      <c r="AE1591" s="166"/>
      <c r="AF1591" s="149" t="b">
        <v>0</v>
      </c>
      <c r="AG1591" s="166"/>
      <c r="AH1591" s="149" t="b">
        <v>0</v>
      </c>
      <c r="AI1591" s="162"/>
      <c r="AJ1591" s="143"/>
      <c r="AK1591" s="143"/>
      <c r="AL1591" s="1112"/>
      <c r="AM1591" s="1112"/>
      <c r="AN1591" s="1112"/>
      <c r="AO1591" s="1112"/>
      <c r="AP1591" s="1112"/>
      <c r="AQ1591" s="1112"/>
    </row>
    <row r="1592" ht="22.5" customHeight="1">
      <c r="A1592" s="166"/>
      <c r="B1592" s="1111"/>
      <c r="C1592" s="524"/>
      <c r="D1592" s="1110"/>
      <c r="E1592" s="669"/>
      <c r="F1592" s="524"/>
      <c r="G1592" s="165"/>
      <c r="H1592" s="669"/>
      <c r="I1592" s="669"/>
      <c r="J1592" s="352"/>
      <c r="K1592" s="271" t="str">
        <f t="shared" si="74"/>
        <v/>
      </c>
      <c r="L1592" s="297"/>
      <c r="M1592" s="334"/>
      <c r="N1592" s="277"/>
      <c r="O1592" s="315"/>
      <c r="P1592" s="344">
        <f t="shared" si="69"/>
        <v>0</v>
      </c>
      <c r="Q1592" s="321"/>
      <c r="R1592" s="672" t="b">
        <v>0</v>
      </c>
      <c r="S1592" s="318"/>
      <c r="T1592" s="319"/>
      <c r="U1592" s="315"/>
      <c r="V1592" s="162"/>
      <c r="W1592" s="149"/>
      <c r="X1592" s="163"/>
      <c r="Y1592" s="162"/>
      <c r="Z1592" s="164"/>
      <c r="AA1592" s="116"/>
      <c r="AB1592" s="116"/>
      <c r="AC1592" s="165"/>
      <c r="AD1592" s="675" t="str">
        <f t="shared" si="76"/>
        <v/>
      </c>
      <c r="AE1592" s="166"/>
      <c r="AF1592" s="149" t="b">
        <v>0</v>
      </c>
      <c r="AG1592" s="166"/>
      <c r="AH1592" s="149" t="b">
        <v>0</v>
      </c>
      <c r="AI1592" s="162"/>
      <c r="AJ1592" s="143"/>
      <c r="AK1592" s="143"/>
      <c r="AL1592" s="1112"/>
      <c r="AM1592" s="1112"/>
      <c r="AN1592" s="1112"/>
      <c r="AO1592" s="1112"/>
      <c r="AP1592" s="1112"/>
      <c r="AQ1592" s="1112"/>
    </row>
    <row r="1593" ht="22.5" customHeight="1">
      <c r="A1593" s="166"/>
      <c r="B1593" s="1111"/>
      <c r="C1593" s="524"/>
      <c r="D1593" s="1110"/>
      <c r="E1593" s="669"/>
      <c r="F1593" s="524"/>
      <c r="G1593" s="165"/>
      <c r="H1593" s="669"/>
      <c r="I1593" s="669"/>
      <c r="J1593" s="352"/>
      <c r="K1593" s="271" t="str">
        <f t="shared" si="74"/>
        <v/>
      </c>
      <c r="L1593" s="297"/>
      <c r="M1593" s="334"/>
      <c r="N1593" s="277"/>
      <c r="O1593" s="315"/>
      <c r="P1593" s="344">
        <f t="shared" si="69"/>
        <v>0</v>
      </c>
      <c r="Q1593" s="321"/>
      <c r="R1593" s="672" t="b">
        <v>0</v>
      </c>
      <c r="S1593" s="318"/>
      <c r="T1593" s="319"/>
      <c r="U1593" s="315"/>
      <c r="V1593" s="162"/>
      <c r="W1593" s="149"/>
      <c r="X1593" s="163"/>
      <c r="Y1593" s="162"/>
      <c r="Z1593" s="164"/>
      <c r="AA1593" s="116"/>
      <c r="AB1593" s="116"/>
      <c r="AC1593" s="165"/>
      <c r="AD1593" s="675" t="str">
        <f t="shared" si="76"/>
        <v/>
      </c>
      <c r="AE1593" s="166"/>
      <c r="AF1593" s="149" t="b">
        <v>0</v>
      </c>
      <c r="AG1593" s="166"/>
      <c r="AH1593" s="149" t="b">
        <v>0</v>
      </c>
      <c r="AI1593" s="162"/>
      <c r="AJ1593" s="143"/>
      <c r="AK1593" s="143"/>
      <c r="AL1593" s="1112"/>
      <c r="AM1593" s="1112"/>
      <c r="AN1593" s="1112"/>
      <c r="AO1593" s="1112"/>
      <c r="AP1593" s="1112"/>
      <c r="AQ1593" s="1112"/>
    </row>
    <row r="1594" ht="22.5" customHeight="1">
      <c r="A1594" s="166"/>
      <c r="B1594" s="1111"/>
      <c r="C1594" s="524"/>
      <c r="D1594" s="1110"/>
      <c r="E1594" s="669"/>
      <c r="F1594" s="524"/>
      <c r="G1594" s="165"/>
      <c r="H1594" s="669"/>
      <c r="I1594" s="669"/>
      <c r="J1594" s="352"/>
      <c r="K1594" s="271" t="str">
        <f t="shared" si="74"/>
        <v/>
      </c>
      <c r="L1594" s="297"/>
      <c r="M1594" s="334"/>
      <c r="N1594" s="277"/>
      <c r="O1594" s="315"/>
      <c r="P1594" s="344">
        <f t="shared" si="69"/>
        <v>0</v>
      </c>
      <c r="Q1594" s="321"/>
      <c r="R1594" s="672" t="b">
        <v>0</v>
      </c>
      <c r="S1594" s="318"/>
      <c r="T1594" s="319"/>
      <c r="U1594" s="315"/>
      <c r="V1594" s="162"/>
      <c r="W1594" s="149"/>
      <c r="X1594" s="163"/>
      <c r="Y1594" s="162"/>
      <c r="Z1594" s="164"/>
      <c r="AA1594" s="116"/>
      <c r="AB1594" s="116"/>
      <c r="AC1594" s="165"/>
      <c r="AD1594" s="675" t="str">
        <f t="shared" si="76"/>
        <v/>
      </c>
      <c r="AE1594" s="166"/>
      <c r="AF1594" s="149" t="b">
        <v>0</v>
      </c>
      <c r="AG1594" s="166"/>
      <c r="AH1594" s="149" t="b">
        <v>0</v>
      </c>
      <c r="AI1594" s="162"/>
      <c r="AJ1594" s="143"/>
      <c r="AK1594" s="143"/>
      <c r="AL1594" s="1112"/>
      <c r="AM1594" s="1112"/>
      <c r="AN1594" s="1112"/>
      <c r="AO1594" s="1112"/>
      <c r="AP1594" s="1112"/>
      <c r="AQ1594" s="1112"/>
    </row>
    <row r="1595" ht="22.5" customHeight="1">
      <c r="A1595" s="166"/>
      <c r="B1595" s="1111"/>
      <c r="C1595" s="524"/>
      <c r="D1595" s="1110"/>
      <c r="E1595" s="669"/>
      <c r="F1595" s="524"/>
      <c r="G1595" s="165"/>
      <c r="H1595" s="669"/>
      <c r="I1595" s="669"/>
      <c r="J1595" s="352"/>
      <c r="K1595" s="271" t="str">
        <f t="shared" si="74"/>
        <v/>
      </c>
      <c r="L1595" s="297"/>
      <c r="M1595" s="334"/>
      <c r="N1595" s="277"/>
      <c r="O1595" s="315"/>
      <c r="P1595" s="344">
        <f t="shared" si="69"/>
        <v>0</v>
      </c>
      <c r="Q1595" s="321"/>
      <c r="R1595" s="672" t="b">
        <v>0</v>
      </c>
      <c r="S1595" s="318"/>
      <c r="T1595" s="319"/>
      <c r="U1595" s="315"/>
      <c r="V1595" s="162"/>
      <c r="W1595" s="149"/>
      <c r="X1595" s="163"/>
      <c r="Y1595" s="162"/>
      <c r="Z1595" s="164"/>
      <c r="AA1595" s="116"/>
      <c r="AB1595" s="116"/>
      <c r="AC1595" s="165"/>
      <c r="AD1595" s="675" t="str">
        <f t="shared" si="76"/>
        <v/>
      </c>
      <c r="AE1595" s="166"/>
      <c r="AF1595" s="149" t="b">
        <v>0</v>
      </c>
      <c r="AG1595" s="166"/>
      <c r="AH1595" s="149" t="b">
        <v>0</v>
      </c>
      <c r="AI1595" s="162"/>
      <c r="AJ1595" s="143"/>
      <c r="AK1595" s="143"/>
      <c r="AL1595" s="1112"/>
      <c r="AM1595" s="1112"/>
      <c r="AN1595" s="1112"/>
      <c r="AO1595" s="1112"/>
      <c r="AP1595" s="1112"/>
      <c r="AQ1595" s="1112"/>
    </row>
    <row r="1596" ht="22.5" customHeight="1">
      <c r="A1596" s="166"/>
      <c r="B1596" s="1111"/>
      <c r="C1596" s="524"/>
      <c r="D1596" s="1110"/>
      <c r="E1596" s="669"/>
      <c r="F1596" s="524"/>
      <c r="G1596" s="165"/>
      <c r="H1596" s="669"/>
      <c r="I1596" s="669"/>
      <c r="J1596" s="352"/>
      <c r="K1596" s="271" t="str">
        <f t="shared" si="74"/>
        <v/>
      </c>
      <c r="L1596" s="297"/>
      <c r="M1596" s="334"/>
      <c r="N1596" s="277"/>
      <c r="O1596" s="315"/>
      <c r="P1596" s="344">
        <f t="shared" si="69"/>
        <v>0</v>
      </c>
      <c r="Q1596" s="321"/>
      <c r="R1596" s="672" t="b">
        <v>0</v>
      </c>
      <c r="S1596" s="318"/>
      <c r="T1596" s="319"/>
      <c r="U1596" s="315"/>
      <c r="V1596" s="162"/>
      <c r="W1596" s="149"/>
      <c r="X1596" s="163"/>
      <c r="Y1596" s="162"/>
      <c r="Z1596" s="164"/>
      <c r="AA1596" s="116"/>
      <c r="AB1596" s="116"/>
      <c r="AC1596" s="165"/>
      <c r="AD1596" s="675" t="str">
        <f t="shared" si="76"/>
        <v/>
      </c>
      <c r="AE1596" s="166"/>
      <c r="AF1596" s="149" t="b">
        <v>0</v>
      </c>
      <c r="AG1596" s="166"/>
      <c r="AH1596" s="149" t="b">
        <v>0</v>
      </c>
      <c r="AI1596" s="162"/>
      <c r="AJ1596" s="143"/>
      <c r="AK1596" s="143"/>
      <c r="AL1596" s="1112"/>
      <c r="AM1596" s="1112"/>
      <c r="AN1596" s="1112"/>
      <c r="AO1596" s="1112"/>
      <c r="AP1596" s="1112"/>
      <c r="AQ1596" s="1112"/>
    </row>
    <row r="1597" ht="22.5" customHeight="1">
      <c r="A1597" s="166"/>
      <c r="B1597" s="1111"/>
      <c r="C1597" s="524"/>
      <c r="D1597" s="1110"/>
      <c r="E1597" s="669"/>
      <c r="F1597" s="524"/>
      <c r="G1597" s="165"/>
      <c r="H1597" s="669"/>
      <c r="I1597" s="669"/>
      <c r="J1597" s="352"/>
      <c r="K1597" s="271" t="str">
        <f t="shared" si="74"/>
        <v/>
      </c>
      <c r="L1597" s="297"/>
      <c r="M1597" s="334"/>
      <c r="N1597" s="277"/>
      <c r="O1597" s="315"/>
      <c r="P1597" s="344">
        <f t="shared" si="69"/>
        <v>0</v>
      </c>
      <c r="Q1597" s="321"/>
      <c r="R1597" s="672" t="b">
        <v>0</v>
      </c>
      <c r="S1597" s="318"/>
      <c r="T1597" s="319"/>
      <c r="U1597" s="315"/>
      <c r="V1597" s="162"/>
      <c r="W1597" s="149"/>
      <c r="X1597" s="163"/>
      <c r="Y1597" s="162"/>
      <c r="Z1597" s="164"/>
      <c r="AA1597" s="116"/>
      <c r="AB1597" s="116"/>
      <c r="AC1597" s="165"/>
      <c r="AD1597" s="675" t="str">
        <f t="shared" si="76"/>
        <v/>
      </c>
      <c r="AE1597" s="166"/>
      <c r="AF1597" s="149" t="b">
        <v>0</v>
      </c>
      <c r="AG1597" s="166"/>
      <c r="AH1597" s="149" t="b">
        <v>0</v>
      </c>
      <c r="AI1597" s="162"/>
      <c r="AJ1597" s="143"/>
      <c r="AK1597" s="143"/>
      <c r="AL1597" s="1112"/>
      <c r="AM1597" s="1112"/>
      <c r="AN1597" s="1112"/>
      <c r="AO1597" s="1112"/>
      <c r="AP1597" s="1112"/>
      <c r="AQ1597" s="1112"/>
    </row>
    <row r="1598" ht="22.5" customHeight="1">
      <c r="A1598" s="166"/>
      <c r="B1598" s="1111"/>
      <c r="C1598" s="524"/>
      <c r="D1598" s="1110"/>
      <c r="E1598" s="669"/>
      <c r="F1598" s="524"/>
      <c r="G1598" s="165"/>
      <c r="H1598" s="669"/>
      <c r="I1598" s="669"/>
      <c r="J1598" s="352"/>
      <c r="K1598" s="271" t="str">
        <f t="shared" si="74"/>
        <v/>
      </c>
      <c r="L1598" s="297"/>
      <c r="M1598" s="334"/>
      <c r="N1598" s="277"/>
      <c r="O1598" s="315"/>
      <c r="P1598" s="344">
        <f t="shared" si="69"/>
        <v>0</v>
      </c>
      <c r="Q1598" s="321"/>
      <c r="R1598" s="672" t="b">
        <v>0</v>
      </c>
      <c r="S1598" s="318"/>
      <c r="T1598" s="319"/>
      <c r="U1598" s="315"/>
      <c r="V1598" s="162"/>
      <c r="W1598" s="149"/>
      <c r="X1598" s="163"/>
      <c r="Y1598" s="162"/>
      <c r="Z1598" s="164"/>
      <c r="AA1598" s="116"/>
      <c r="AB1598" s="116"/>
      <c r="AC1598" s="165"/>
      <c r="AD1598" s="675" t="str">
        <f t="shared" si="76"/>
        <v/>
      </c>
      <c r="AE1598" s="166"/>
      <c r="AF1598" s="149" t="b">
        <v>0</v>
      </c>
      <c r="AG1598" s="166"/>
      <c r="AH1598" s="149" t="b">
        <v>0</v>
      </c>
      <c r="AI1598" s="162"/>
      <c r="AJ1598" s="143"/>
      <c r="AK1598" s="143"/>
      <c r="AL1598" s="1112"/>
      <c r="AM1598" s="1112"/>
      <c r="AN1598" s="1112"/>
      <c r="AO1598" s="1112"/>
      <c r="AP1598" s="1112"/>
      <c r="AQ1598" s="1112"/>
    </row>
    <row r="1599" ht="22.5" customHeight="1">
      <c r="A1599" s="166"/>
      <c r="B1599" s="1111"/>
      <c r="C1599" s="524"/>
      <c r="D1599" s="1110"/>
      <c r="E1599" s="669"/>
      <c r="F1599" s="524"/>
      <c r="G1599" s="165"/>
      <c r="H1599" s="669"/>
      <c r="I1599" s="669"/>
      <c r="J1599" s="352"/>
      <c r="K1599" s="271" t="str">
        <f t="shared" si="74"/>
        <v/>
      </c>
      <c r="L1599" s="297"/>
      <c r="M1599" s="334"/>
      <c r="N1599" s="277"/>
      <c r="O1599" s="315"/>
      <c r="P1599" s="344">
        <f t="shared" si="69"/>
        <v>0</v>
      </c>
      <c r="Q1599" s="321"/>
      <c r="R1599" s="672" t="b">
        <v>0</v>
      </c>
      <c r="S1599" s="318"/>
      <c r="T1599" s="319"/>
      <c r="U1599" s="315"/>
      <c r="V1599" s="162"/>
      <c r="W1599" s="149"/>
      <c r="X1599" s="163"/>
      <c r="Y1599" s="162"/>
      <c r="Z1599" s="164"/>
      <c r="AA1599" s="116"/>
      <c r="AB1599" s="116"/>
      <c r="AC1599" s="165"/>
      <c r="AD1599" s="675" t="str">
        <f t="shared" si="76"/>
        <v/>
      </c>
      <c r="AE1599" s="166"/>
      <c r="AF1599" s="149" t="b">
        <v>0</v>
      </c>
      <c r="AG1599" s="166"/>
      <c r="AH1599" s="149" t="b">
        <v>0</v>
      </c>
      <c r="AI1599" s="162"/>
      <c r="AJ1599" s="143"/>
      <c r="AK1599" s="143"/>
      <c r="AL1599" s="1112"/>
      <c r="AM1599" s="1112"/>
      <c r="AN1599" s="1112"/>
      <c r="AO1599" s="1112"/>
      <c r="AP1599" s="1112"/>
      <c r="AQ1599" s="1112"/>
    </row>
    <row r="1600" ht="22.5" customHeight="1">
      <c r="A1600" s="166"/>
      <c r="B1600" s="1111"/>
      <c r="C1600" s="524"/>
      <c r="D1600" s="1110"/>
      <c r="E1600" s="669"/>
      <c r="F1600" s="524"/>
      <c r="G1600" s="165"/>
      <c r="H1600" s="669"/>
      <c r="I1600" s="669"/>
      <c r="J1600" s="352"/>
      <c r="K1600" s="271" t="str">
        <f t="shared" si="74"/>
        <v/>
      </c>
      <c r="L1600" s="297"/>
      <c r="M1600" s="334"/>
      <c r="N1600" s="277"/>
      <c r="O1600" s="315"/>
      <c r="P1600" s="344">
        <f t="shared" si="69"/>
        <v>0</v>
      </c>
      <c r="Q1600" s="321"/>
      <c r="R1600" s="672" t="b">
        <v>0</v>
      </c>
      <c r="S1600" s="318"/>
      <c r="T1600" s="319"/>
      <c r="U1600" s="315"/>
      <c r="V1600" s="162"/>
      <c r="W1600" s="149"/>
      <c r="X1600" s="163"/>
      <c r="Y1600" s="162"/>
      <c r="Z1600" s="164"/>
      <c r="AA1600" s="116"/>
      <c r="AB1600" s="116"/>
      <c r="AC1600" s="165"/>
      <c r="AD1600" s="675" t="str">
        <f t="shared" si="76"/>
        <v/>
      </c>
      <c r="AE1600" s="166"/>
      <c r="AF1600" s="149" t="b">
        <v>0</v>
      </c>
      <c r="AG1600" s="166"/>
      <c r="AH1600" s="149" t="b">
        <v>0</v>
      </c>
      <c r="AI1600" s="162"/>
      <c r="AJ1600" s="143"/>
      <c r="AK1600" s="143"/>
      <c r="AL1600" s="1112"/>
      <c r="AM1600" s="1112"/>
      <c r="AN1600" s="1112"/>
      <c r="AO1600" s="1112"/>
      <c r="AP1600" s="1112"/>
      <c r="AQ1600" s="1112"/>
    </row>
    <row r="1601" ht="22.5" customHeight="1">
      <c r="A1601" s="166"/>
      <c r="B1601" s="1111"/>
      <c r="C1601" s="524"/>
      <c r="D1601" s="1110"/>
      <c r="E1601" s="669"/>
      <c r="F1601" s="524"/>
      <c r="G1601" s="165"/>
      <c r="H1601" s="669"/>
      <c r="I1601" s="669"/>
      <c r="J1601" s="352"/>
      <c r="K1601" s="271" t="str">
        <f t="shared" si="74"/>
        <v/>
      </c>
      <c r="L1601" s="297"/>
      <c r="M1601" s="334"/>
      <c r="N1601" s="277"/>
      <c r="O1601" s="315"/>
      <c r="P1601" s="344">
        <f t="shared" si="69"/>
        <v>0</v>
      </c>
      <c r="Q1601" s="321"/>
      <c r="R1601" s="672" t="b">
        <v>0</v>
      </c>
      <c r="S1601" s="318"/>
      <c r="T1601" s="319"/>
      <c r="U1601" s="315"/>
      <c r="V1601" s="162"/>
      <c r="W1601" s="149"/>
      <c r="X1601" s="163"/>
      <c r="Y1601" s="162"/>
      <c r="Z1601" s="164"/>
      <c r="AA1601" s="116"/>
      <c r="AB1601" s="116"/>
      <c r="AC1601" s="165"/>
      <c r="AD1601" s="675" t="str">
        <f t="shared" si="76"/>
        <v/>
      </c>
      <c r="AE1601" s="166"/>
      <c r="AF1601" s="149" t="b">
        <v>0</v>
      </c>
      <c r="AG1601" s="166"/>
      <c r="AH1601" s="149" t="b">
        <v>0</v>
      </c>
      <c r="AI1601" s="162"/>
      <c r="AJ1601" s="143"/>
      <c r="AK1601" s="143"/>
      <c r="AL1601" s="1112"/>
      <c r="AM1601" s="1112"/>
      <c r="AN1601" s="1112"/>
      <c r="AO1601" s="1112"/>
      <c r="AP1601" s="1112"/>
      <c r="AQ1601" s="1112"/>
    </row>
    <row r="1602" ht="22.5" customHeight="1">
      <c r="A1602" s="166"/>
      <c r="B1602" s="1111"/>
      <c r="C1602" s="524"/>
      <c r="D1602" s="1110"/>
      <c r="E1602" s="669"/>
      <c r="F1602" s="524"/>
      <c r="G1602" s="165"/>
      <c r="H1602" s="669"/>
      <c r="I1602" s="669"/>
      <c r="J1602" s="352"/>
      <c r="K1602" s="271" t="str">
        <f t="shared" si="74"/>
        <v/>
      </c>
      <c r="L1602" s="297"/>
      <c r="M1602" s="334"/>
      <c r="N1602" s="277"/>
      <c r="O1602" s="315"/>
      <c r="P1602" s="344">
        <f t="shared" si="69"/>
        <v>0</v>
      </c>
      <c r="Q1602" s="321"/>
      <c r="R1602" s="672" t="b">
        <v>0</v>
      </c>
      <c r="S1602" s="318"/>
      <c r="T1602" s="319"/>
      <c r="U1602" s="315"/>
      <c r="V1602" s="162"/>
      <c r="W1602" s="149"/>
      <c r="X1602" s="163"/>
      <c r="Y1602" s="162"/>
      <c r="Z1602" s="164"/>
      <c r="AA1602" s="116"/>
      <c r="AB1602" s="116"/>
      <c r="AC1602" s="165"/>
      <c r="AD1602" s="675" t="str">
        <f t="shared" si="76"/>
        <v/>
      </c>
      <c r="AE1602" s="166"/>
      <c r="AF1602" s="149" t="b">
        <v>0</v>
      </c>
      <c r="AG1602" s="166"/>
      <c r="AH1602" s="149" t="b">
        <v>0</v>
      </c>
      <c r="AI1602" s="162"/>
      <c r="AJ1602" s="143"/>
      <c r="AK1602" s="143"/>
      <c r="AL1602" s="1112"/>
      <c r="AM1602" s="1112"/>
      <c r="AN1602" s="1112"/>
      <c r="AO1602" s="1112"/>
      <c r="AP1602" s="1112"/>
      <c r="AQ1602" s="1112"/>
    </row>
    <row r="1603" ht="22.5" customHeight="1">
      <c r="A1603" s="166"/>
      <c r="B1603" s="1111"/>
      <c r="C1603" s="524"/>
      <c r="D1603" s="1110"/>
      <c r="E1603" s="669"/>
      <c r="F1603" s="524"/>
      <c r="G1603" s="165"/>
      <c r="H1603" s="669"/>
      <c r="I1603" s="669"/>
      <c r="J1603" s="352"/>
      <c r="K1603" s="271" t="str">
        <f t="shared" si="74"/>
        <v/>
      </c>
      <c r="L1603" s="297"/>
      <c r="M1603" s="334"/>
      <c r="N1603" s="277"/>
      <c r="O1603" s="315"/>
      <c r="P1603" s="344">
        <f t="shared" si="69"/>
        <v>0</v>
      </c>
      <c r="Q1603" s="321"/>
      <c r="R1603" s="672" t="b">
        <v>0</v>
      </c>
      <c r="S1603" s="318"/>
      <c r="T1603" s="319"/>
      <c r="U1603" s="315"/>
      <c r="V1603" s="162"/>
      <c r="W1603" s="149"/>
      <c r="X1603" s="163"/>
      <c r="Y1603" s="162"/>
      <c r="Z1603" s="164"/>
      <c r="AA1603" s="116"/>
      <c r="AB1603" s="116"/>
      <c r="AC1603" s="165"/>
      <c r="AD1603" s="675" t="str">
        <f t="shared" si="76"/>
        <v/>
      </c>
      <c r="AE1603" s="166"/>
      <c r="AF1603" s="149" t="b">
        <v>0</v>
      </c>
      <c r="AG1603" s="166"/>
      <c r="AH1603" s="149" t="b">
        <v>0</v>
      </c>
      <c r="AI1603" s="162"/>
      <c r="AJ1603" s="143"/>
      <c r="AK1603" s="143"/>
      <c r="AL1603" s="1112"/>
      <c r="AM1603" s="1112"/>
      <c r="AN1603" s="1112"/>
      <c r="AO1603" s="1112"/>
      <c r="AP1603" s="1112"/>
      <c r="AQ1603" s="1112"/>
    </row>
    <row r="1604" ht="22.5" customHeight="1">
      <c r="A1604" s="166"/>
      <c r="B1604" s="1111"/>
      <c r="C1604" s="524"/>
      <c r="D1604" s="1110"/>
      <c r="E1604" s="669"/>
      <c r="F1604" s="524"/>
      <c r="G1604" s="165"/>
      <c r="H1604" s="669"/>
      <c r="I1604" s="669"/>
      <c r="J1604" s="352"/>
      <c r="K1604" s="271" t="str">
        <f t="shared" si="74"/>
        <v/>
      </c>
      <c r="L1604" s="297"/>
      <c r="M1604" s="334"/>
      <c r="N1604" s="277"/>
      <c r="O1604" s="315"/>
      <c r="P1604" s="344">
        <f t="shared" si="69"/>
        <v>0</v>
      </c>
      <c r="Q1604" s="321"/>
      <c r="R1604" s="672" t="b">
        <v>0</v>
      </c>
      <c r="S1604" s="318"/>
      <c r="T1604" s="319"/>
      <c r="U1604" s="315"/>
      <c r="V1604" s="162"/>
      <c r="W1604" s="149"/>
      <c r="X1604" s="163"/>
      <c r="Y1604" s="162"/>
      <c r="Z1604" s="164"/>
      <c r="AA1604" s="116"/>
      <c r="AB1604" s="116"/>
      <c r="AC1604" s="165"/>
      <c r="AD1604" s="675" t="str">
        <f t="shared" si="76"/>
        <v/>
      </c>
      <c r="AE1604" s="166"/>
      <c r="AF1604" s="149" t="b">
        <v>0</v>
      </c>
      <c r="AG1604" s="166"/>
      <c r="AH1604" s="149" t="b">
        <v>0</v>
      </c>
      <c r="AI1604" s="162"/>
      <c r="AJ1604" s="143"/>
      <c r="AK1604" s="143"/>
      <c r="AL1604" s="1112"/>
      <c r="AM1604" s="1112"/>
      <c r="AN1604" s="1112"/>
      <c r="AO1604" s="1112"/>
      <c r="AP1604" s="1112"/>
      <c r="AQ1604" s="1112"/>
    </row>
    <row r="1605" ht="22.5" customHeight="1">
      <c r="A1605" s="166"/>
      <c r="B1605" s="1111"/>
      <c r="C1605" s="524"/>
      <c r="D1605" s="1110"/>
      <c r="E1605" s="669"/>
      <c r="F1605" s="524"/>
      <c r="G1605" s="165"/>
      <c r="H1605" s="669"/>
      <c r="I1605" s="669"/>
      <c r="J1605" s="352"/>
      <c r="K1605" s="271" t="str">
        <f t="shared" si="74"/>
        <v/>
      </c>
      <c r="L1605" s="297"/>
      <c r="M1605" s="334"/>
      <c r="N1605" s="277"/>
      <c r="O1605" s="315"/>
      <c r="P1605" s="344">
        <f t="shared" si="69"/>
        <v>0</v>
      </c>
      <c r="Q1605" s="321"/>
      <c r="R1605" s="672" t="b">
        <v>0</v>
      </c>
      <c r="S1605" s="318"/>
      <c r="T1605" s="319"/>
      <c r="U1605" s="315"/>
      <c r="V1605" s="162"/>
      <c r="W1605" s="149"/>
      <c r="X1605" s="163"/>
      <c r="Y1605" s="162"/>
      <c r="Z1605" s="164"/>
      <c r="AA1605" s="116"/>
      <c r="AB1605" s="116"/>
      <c r="AC1605" s="165"/>
      <c r="AD1605" s="675" t="str">
        <f t="shared" si="76"/>
        <v/>
      </c>
      <c r="AE1605" s="166"/>
      <c r="AF1605" s="149" t="b">
        <v>0</v>
      </c>
      <c r="AG1605" s="166"/>
      <c r="AH1605" s="149" t="b">
        <v>0</v>
      </c>
      <c r="AI1605" s="162"/>
      <c r="AJ1605" s="143"/>
      <c r="AK1605" s="143"/>
      <c r="AL1605" s="1112"/>
      <c r="AM1605" s="1112"/>
      <c r="AN1605" s="1112"/>
      <c r="AO1605" s="1112"/>
      <c r="AP1605" s="1112"/>
      <c r="AQ1605" s="1112"/>
    </row>
    <row r="1606" ht="22.5" customHeight="1">
      <c r="A1606" s="166"/>
      <c r="B1606" s="1111"/>
      <c r="C1606" s="524"/>
      <c r="D1606" s="1110"/>
      <c r="E1606" s="669"/>
      <c r="F1606" s="524"/>
      <c r="G1606" s="165"/>
      <c r="H1606" s="669"/>
      <c r="I1606" s="669"/>
      <c r="J1606" s="352"/>
      <c r="K1606" s="271" t="str">
        <f t="shared" si="74"/>
        <v/>
      </c>
      <c r="L1606" s="297"/>
      <c r="M1606" s="334"/>
      <c r="N1606" s="277"/>
      <c r="O1606" s="315"/>
      <c r="P1606" s="344">
        <f t="shared" si="69"/>
        <v>0</v>
      </c>
      <c r="Q1606" s="321"/>
      <c r="R1606" s="672" t="b">
        <v>0</v>
      </c>
      <c r="S1606" s="318"/>
      <c r="T1606" s="319"/>
      <c r="U1606" s="315"/>
      <c r="V1606" s="162"/>
      <c r="W1606" s="149"/>
      <c r="X1606" s="163"/>
      <c r="Y1606" s="162"/>
      <c r="Z1606" s="164"/>
      <c r="AA1606" s="116"/>
      <c r="AB1606" s="116"/>
      <c r="AC1606" s="165"/>
      <c r="AD1606" s="675" t="str">
        <f t="shared" si="76"/>
        <v/>
      </c>
      <c r="AE1606" s="166"/>
      <c r="AF1606" s="149" t="b">
        <v>0</v>
      </c>
      <c r="AG1606" s="166"/>
      <c r="AH1606" s="149" t="b">
        <v>0</v>
      </c>
      <c r="AI1606" s="162"/>
      <c r="AJ1606" s="143"/>
      <c r="AK1606" s="143"/>
      <c r="AL1606" s="1112"/>
      <c r="AM1606" s="1112"/>
      <c r="AN1606" s="1112"/>
      <c r="AO1606" s="1112"/>
      <c r="AP1606" s="1112"/>
      <c r="AQ1606" s="1112"/>
    </row>
    <row r="1607" ht="22.5" customHeight="1">
      <c r="A1607" s="166"/>
      <c r="B1607" s="1111"/>
      <c r="C1607" s="524"/>
      <c r="D1607" s="1110"/>
      <c r="E1607" s="669"/>
      <c r="F1607" s="524"/>
      <c r="G1607" s="165"/>
      <c r="H1607" s="669"/>
      <c r="I1607" s="669"/>
      <c r="J1607" s="352"/>
      <c r="K1607" s="271" t="str">
        <f t="shared" si="74"/>
        <v/>
      </c>
      <c r="L1607" s="297"/>
      <c r="M1607" s="334"/>
      <c r="N1607" s="277"/>
      <c r="O1607" s="315"/>
      <c r="P1607" s="344">
        <f t="shared" si="69"/>
        <v>0</v>
      </c>
      <c r="Q1607" s="321"/>
      <c r="R1607" s="672" t="b">
        <v>0</v>
      </c>
      <c r="S1607" s="318"/>
      <c r="T1607" s="319"/>
      <c r="U1607" s="315"/>
      <c r="V1607" s="162"/>
      <c r="W1607" s="149"/>
      <c r="X1607" s="163"/>
      <c r="Y1607" s="162"/>
      <c r="Z1607" s="164"/>
      <c r="AA1607" s="116"/>
      <c r="AB1607" s="116"/>
      <c r="AC1607" s="165"/>
      <c r="AD1607" s="675" t="str">
        <f t="shared" si="76"/>
        <v/>
      </c>
      <c r="AE1607" s="166"/>
      <c r="AF1607" s="149" t="b">
        <v>0</v>
      </c>
      <c r="AG1607" s="166"/>
      <c r="AH1607" s="149" t="b">
        <v>0</v>
      </c>
      <c r="AI1607" s="162"/>
      <c r="AJ1607" s="143"/>
      <c r="AK1607" s="143"/>
      <c r="AL1607" s="1112"/>
      <c r="AM1607" s="1112"/>
      <c r="AN1607" s="1112"/>
      <c r="AO1607" s="1112"/>
      <c r="AP1607" s="1112"/>
      <c r="AQ1607" s="1112"/>
    </row>
    <row r="1608" ht="22.5" customHeight="1">
      <c r="A1608" s="166"/>
      <c r="B1608" s="1111"/>
      <c r="C1608" s="524"/>
      <c r="D1608" s="1110"/>
      <c r="E1608" s="669"/>
      <c r="F1608" s="524"/>
      <c r="G1608" s="165"/>
      <c r="H1608" s="669"/>
      <c r="I1608" s="669"/>
      <c r="J1608" s="352"/>
      <c r="K1608" s="271" t="str">
        <f t="shared" si="74"/>
        <v/>
      </c>
      <c r="L1608" s="297"/>
      <c r="M1608" s="334"/>
      <c r="N1608" s="277"/>
      <c r="O1608" s="315"/>
      <c r="P1608" s="344">
        <f t="shared" si="69"/>
        <v>0</v>
      </c>
      <c r="Q1608" s="321"/>
      <c r="R1608" s="672" t="b">
        <v>0</v>
      </c>
      <c r="S1608" s="318"/>
      <c r="T1608" s="319"/>
      <c r="U1608" s="315"/>
      <c r="V1608" s="162"/>
      <c r="W1608" s="149"/>
      <c r="X1608" s="163"/>
      <c r="Y1608" s="162"/>
      <c r="Z1608" s="164"/>
      <c r="AA1608" s="116"/>
      <c r="AB1608" s="116"/>
      <c r="AC1608" s="165"/>
      <c r="AD1608" s="675" t="str">
        <f t="shared" si="76"/>
        <v/>
      </c>
      <c r="AE1608" s="166"/>
      <c r="AF1608" s="149" t="b">
        <v>0</v>
      </c>
      <c r="AG1608" s="166"/>
      <c r="AH1608" s="149" t="b">
        <v>0</v>
      </c>
      <c r="AI1608" s="162"/>
      <c r="AJ1608" s="143"/>
      <c r="AK1608" s="143"/>
      <c r="AL1608" s="1112"/>
      <c r="AM1608" s="1112"/>
      <c r="AN1608" s="1112"/>
      <c r="AO1608" s="1112"/>
      <c r="AP1608" s="1112"/>
      <c r="AQ1608" s="1112"/>
    </row>
    <row r="1609" ht="22.5" customHeight="1">
      <c r="A1609" s="166"/>
      <c r="B1609" s="1111"/>
      <c r="C1609" s="524"/>
      <c r="D1609" s="1110"/>
      <c r="E1609" s="669"/>
      <c r="F1609" s="524"/>
      <c r="G1609" s="165"/>
      <c r="H1609" s="669"/>
      <c r="I1609" s="669"/>
      <c r="J1609" s="352"/>
      <c r="K1609" s="271" t="str">
        <f t="shared" si="74"/>
        <v/>
      </c>
      <c r="L1609" s="297"/>
      <c r="M1609" s="334"/>
      <c r="N1609" s="277"/>
      <c r="O1609" s="315"/>
      <c r="P1609" s="344">
        <f t="shared" si="69"/>
        <v>0</v>
      </c>
      <c r="Q1609" s="321"/>
      <c r="R1609" s="672" t="b">
        <v>0</v>
      </c>
      <c r="S1609" s="318"/>
      <c r="T1609" s="319"/>
      <c r="U1609" s="315"/>
      <c r="V1609" s="162"/>
      <c r="W1609" s="149"/>
      <c r="X1609" s="163"/>
      <c r="Y1609" s="162"/>
      <c r="Z1609" s="164"/>
      <c r="AA1609" s="116"/>
      <c r="AB1609" s="116"/>
      <c r="AC1609" s="165"/>
      <c r="AD1609" s="675" t="str">
        <f t="shared" si="76"/>
        <v/>
      </c>
      <c r="AE1609" s="166"/>
      <c r="AF1609" s="149" t="b">
        <v>0</v>
      </c>
      <c r="AG1609" s="166"/>
      <c r="AH1609" s="149" t="b">
        <v>0</v>
      </c>
      <c r="AI1609" s="162"/>
      <c r="AJ1609" s="143"/>
      <c r="AK1609" s="143"/>
      <c r="AL1609" s="1112"/>
      <c r="AM1609" s="1112"/>
      <c r="AN1609" s="1112"/>
      <c r="AO1609" s="1112"/>
      <c r="AP1609" s="1112"/>
      <c r="AQ1609" s="1112"/>
    </row>
    <row r="1610" ht="22.5" customHeight="1">
      <c r="A1610" s="166"/>
      <c r="B1610" s="1111"/>
      <c r="C1610" s="524"/>
      <c r="D1610" s="1110"/>
      <c r="E1610" s="669"/>
      <c r="F1610" s="524"/>
      <c r="G1610" s="165"/>
      <c r="H1610" s="669"/>
      <c r="I1610" s="669"/>
      <c r="J1610" s="352"/>
      <c r="K1610" s="271" t="str">
        <f t="shared" si="74"/>
        <v/>
      </c>
      <c r="L1610" s="297"/>
      <c r="M1610" s="334"/>
      <c r="N1610" s="277"/>
      <c r="O1610" s="315"/>
      <c r="P1610" s="344">
        <f t="shared" si="69"/>
        <v>0</v>
      </c>
      <c r="Q1610" s="321"/>
      <c r="R1610" s="672" t="b">
        <v>0</v>
      </c>
      <c r="S1610" s="318"/>
      <c r="T1610" s="319"/>
      <c r="U1610" s="315"/>
      <c r="V1610" s="162"/>
      <c r="W1610" s="149"/>
      <c r="X1610" s="163"/>
      <c r="Y1610" s="162"/>
      <c r="Z1610" s="164"/>
      <c r="AA1610" s="116"/>
      <c r="AB1610" s="116"/>
      <c r="AC1610" s="165"/>
      <c r="AD1610" s="675" t="str">
        <f t="shared" si="76"/>
        <v/>
      </c>
      <c r="AE1610" s="166"/>
      <c r="AF1610" s="149" t="b">
        <v>0</v>
      </c>
      <c r="AG1610" s="166"/>
      <c r="AH1610" s="149" t="b">
        <v>0</v>
      </c>
      <c r="AI1610" s="162"/>
      <c r="AJ1610" s="143"/>
      <c r="AK1610" s="143"/>
      <c r="AL1610" s="1112"/>
      <c r="AM1610" s="1112"/>
      <c r="AN1610" s="1112"/>
      <c r="AO1610" s="1112"/>
      <c r="AP1610" s="1112"/>
      <c r="AQ1610" s="1112"/>
    </row>
    <row r="1611" ht="22.5" customHeight="1">
      <c r="A1611" s="166"/>
      <c r="B1611" s="1111"/>
      <c r="C1611" s="524"/>
      <c r="D1611" s="1110"/>
      <c r="E1611" s="669"/>
      <c r="F1611" s="524"/>
      <c r="G1611" s="165"/>
      <c r="H1611" s="669"/>
      <c r="I1611" s="669"/>
      <c r="J1611" s="352"/>
      <c r="K1611" s="271" t="str">
        <f t="shared" si="74"/>
        <v/>
      </c>
      <c r="L1611" s="297"/>
      <c r="M1611" s="334"/>
      <c r="N1611" s="277"/>
      <c r="O1611" s="315"/>
      <c r="P1611" s="344">
        <f t="shared" si="69"/>
        <v>0</v>
      </c>
      <c r="Q1611" s="321"/>
      <c r="R1611" s="672" t="b">
        <v>0</v>
      </c>
      <c r="S1611" s="318"/>
      <c r="T1611" s="319"/>
      <c r="U1611" s="315"/>
      <c r="V1611" s="162"/>
      <c r="W1611" s="149"/>
      <c r="X1611" s="163"/>
      <c r="Y1611" s="162"/>
      <c r="Z1611" s="164"/>
      <c r="AA1611" s="116"/>
      <c r="AB1611" s="116"/>
      <c r="AC1611" s="165"/>
      <c r="AD1611" s="675" t="str">
        <f t="shared" si="76"/>
        <v/>
      </c>
      <c r="AE1611" s="166"/>
      <c r="AF1611" s="149" t="b">
        <v>0</v>
      </c>
      <c r="AG1611" s="166"/>
      <c r="AH1611" s="149" t="b">
        <v>0</v>
      </c>
      <c r="AI1611" s="162"/>
      <c r="AJ1611" s="143"/>
      <c r="AK1611" s="143"/>
      <c r="AL1611" s="1112"/>
      <c r="AM1611" s="1112"/>
      <c r="AN1611" s="1112"/>
      <c r="AO1611" s="1112"/>
      <c r="AP1611" s="1112"/>
      <c r="AQ1611" s="1112"/>
    </row>
    <row r="1612" ht="22.5" customHeight="1">
      <c r="A1612" s="166"/>
      <c r="B1612" s="1111"/>
      <c r="C1612" s="524"/>
      <c r="D1612" s="1110"/>
      <c r="E1612" s="669"/>
      <c r="F1612" s="524"/>
      <c r="G1612" s="165"/>
      <c r="H1612" s="669"/>
      <c r="I1612" s="669"/>
      <c r="J1612" s="352"/>
      <c r="K1612" s="271" t="str">
        <f t="shared" si="74"/>
        <v/>
      </c>
      <c r="L1612" s="297"/>
      <c r="M1612" s="334"/>
      <c r="N1612" s="277"/>
      <c r="O1612" s="315"/>
      <c r="P1612" s="344">
        <f t="shared" si="69"/>
        <v>0</v>
      </c>
      <c r="Q1612" s="321"/>
      <c r="R1612" s="672" t="b">
        <v>0</v>
      </c>
      <c r="S1612" s="318"/>
      <c r="T1612" s="319"/>
      <c r="U1612" s="315"/>
      <c r="V1612" s="162"/>
      <c r="W1612" s="149"/>
      <c r="X1612" s="163"/>
      <c r="Y1612" s="162"/>
      <c r="Z1612" s="164"/>
      <c r="AA1612" s="116"/>
      <c r="AB1612" s="116"/>
      <c r="AC1612" s="165"/>
      <c r="AD1612" s="675" t="str">
        <f t="shared" si="76"/>
        <v/>
      </c>
      <c r="AE1612" s="166"/>
      <c r="AF1612" s="149" t="b">
        <v>0</v>
      </c>
      <c r="AG1612" s="166"/>
      <c r="AH1612" s="149" t="b">
        <v>0</v>
      </c>
      <c r="AI1612" s="162"/>
      <c r="AJ1612" s="143"/>
      <c r="AK1612" s="143"/>
      <c r="AL1612" s="1112"/>
      <c r="AM1612" s="1112"/>
      <c r="AN1612" s="1112"/>
      <c r="AO1612" s="1112"/>
      <c r="AP1612" s="1112"/>
      <c r="AQ1612" s="1112"/>
    </row>
    <row r="1613" ht="22.5" customHeight="1">
      <c r="A1613" s="166"/>
      <c r="B1613" s="1111"/>
      <c r="C1613" s="524"/>
      <c r="D1613" s="1110"/>
      <c r="E1613" s="669"/>
      <c r="F1613" s="524"/>
      <c r="G1613" s="165"/>
      <c r="H1613" s="669"/>
      <c r="I1613" s="669"/>
      <c r="J1613" s="352"/>
      <c r="K1613" s="271" t="str">
        <f t="shared" si="74"/>
        <v/>
      </c>
      <c r="L1613" s="297"/>
      <c r="M1613" s="334"/>
      <c r="N1613" s="277"/>
      <c r="O1613" s="315"/>
      <c r="P1613" s="344">
        <f t="shared" si="69"/>
        <v>0</v>
      </c>
      <c r="Q1613" s="321"/>
      <c r="R1613" s="672" t="b">
        <v>0</v>
      </c>
      <c r="S1613" s="318"/>
      <c r="T1613" s="319"/>
      <c r="U1613" s="315"/>
      <c r="V1613" s="162"/>
      <c r="W1613" s="149"/>
      <c r="X1613" s="163"/>
      <c r="Y1613" s="162"/>
      <c r="Z1613" s="164"/>
      <c r="AA1613" s="116"/>
      <c r="AB1613" s="116"/>
      <c r="AC1613" s="165"/>
      <c r="AD1613" s="675" t="str">
        <f t="shared" si="76"/>
        <v/>
      </c>
      <c r="AE1613" s="166"/>
      <c r="AF1613" s="149" t="b">
        <v>0</v>
      </c>
      <c r="AG1613" s="166"/>
      <c r="AH1613" s="149" t="b">
        <v>0</v>
      </c>
      <c r="AI1613" s="162"/>
      <c r="AJ1613" s="143"/>
      <c r="AK1613" s="143"/>
      <c r="AL1613" s="1112"/>
      <c r="AM1613" s="1112"/>
      <c r="AN1613" s="1112"/>
      <c r="AO1613" s="1112"/>
      <c r="AP1613" s="1112"/>
      <c r="AQ1613" s="1112"/>
    </row>
    <row r="1614" ht="22.5" customHeight="1">
      <c r="A1614" s="166"/>
      <c r="B1614" s="1111"/>
      <c r="C1614" s="524"/>
      <c r="D1614" s="1110"/>
      <c r="E1614" s="669"/>
      <c r="F1614" s="524"/>
      <c r="G1614" s="165"/>
      <c r="H1614" s="669"/>
      <c r="I1614" s="669"/>
      <c r="J1614" s="352"/>
      <c r="K1614" s="271" t="str">
        <f t="shared" si="74"/>
        <v/>
      </c>
      <c r="L1614" s="297"/>
      <c r="M1614" s="334"/>
      <c r="N1614" s="277"/>
      <c r="O1614" s="315"/>
      <c r="P1614" s="344">
        <f t="shared" si="69"/>
        <v>0</v>
      </c>
      <c r="Q1614" s="321"/>
      <c r="R1614" s="672" t="b">
        <v>0</v>
      </c>
      <c r="S1614" s="318"/>
      <c r="T1614" s="319"/>
      <c r="U1614" s="315"/>
      <c r="V1614" s="162"/>
      <c r="W1614" s="149"/>
      <c r="X1614" s="163"/>
      <c r="Y1614" s="162"/>
      <c r="Z1614" s="164"/>
      <c r="AA1614" s="116"/>
      <c r="AB1614" s="116"/>
      <c r="AC1614" s="165"/>
      <c r="AD1614" s="675" t="str">
        <f t="shared" si="76"/>
        <v/>
      </c>
      <c r="AE1614" s="166"/>
      <c r="AF1614" s="149" t="b">
        <v>0</v>
      </c>
      <c r="AG1614" s="166"/>
      <c r="AH1614" s="149" t="b">
        <v>0</v>
      </c>
      <c r="AI1614" s="162"/>
      <c r="AJ1614" s="143"/>
      <c r="AK1614" s="143"/>
      <c r="AL1614" s="1112"/>
      <c r="AM1614" s="1112"/>
      <c r="AN1614" s="1112"/>
      <c r="AO1614" s="1112"/>
      <c r="AP1614" s="1112"/>
      <c r="AQ1614" s="1112"/>
    </row>
    <row r="1615" ht="22.5" customHeight="1">
      <c r="A1615" s="166"/>
      <c r="B1615" s="1111"/>
      <c r="C1615" s="524"/>
      <c r="D1615" s="1110"/>
      <c r="E1615" s="669"/>
      <c r="F1615" s="524"/>
      <c r="G1615" s="165"/>
      <c r="H1615" s="669"/>
      <c r="I1615" s="669"/>
      <c r="J1615" s="352"/>
      <c r="K1615" s="271" t="str">
        <f t="shared" si="74"/>
        <v/>
      </c>
      <c r="L1615" s="297"/>
      <c r="M1615" s="334"/>
      <c r="N1615" s="277"/>
      <c r="O1615" s="315"/>
      <c r="P1615" s="344">
        <f t="shared" si="69"/>
        <v>0</v>
      </c>
      <c r="Q1615" s="321"/>
      <c r="R1615" s="672" t="b">
        <v>0</v>
      </c>
      <c r="S1615" s="318"/>
      <c r="T1615" s="319"/>
      <c r="U1615" s="315"/>
      <c r="V1615" s="162"/>
      <c r="W1615" s="149"/>
      <c r="X1615" s="163"/>
      <c r="Y1615" s="162"/>
      <c r="Z1615" s="164"/>
      <c r="AA1615" s="116"/>
      <c r="AB1615" s="116"/>
      <c r="AC1615" s="165"/>
      <c r="AD1615" s="675" t="str">
        <f t="shared" si="76"/>
        <v/>
      </c>
      <c r="AE1615" s="166"/>
      <c r="AF1615" s="149" t="b">
        <v>0</v>
      </c>
      <c r="AG1615" s="166"/>
      <c r="AH1615" s="149" t="b">
        <v>0</v>
      </c>
      <c r="AI1615" s="162"/>
      <c r="AJ1615" s="143"/>
      <c r="AK1615" s="143"/>
      <c r="AL1615" s="1112"/>
      <c r="AM1615" s="1112"/>
      <c r="AN1615" s="1112"/>
      <c r="AO1615" s="1112"/>
      <c r="AP1615" s="1112"/>
      <c r="AQ1615" s="1112"/>
    </row>
    <row r="1616" ht="22.5" customHeight="1">
      <c r="A1616" s="166"/>
      <c r="B1616" s="1111"/>
      <c r="C1616" s="524"/>
      <c r="D1616" s="1110"/>
      <c r="E1616" s="669"/>
      <c r="F1616" s="524"/>
      <c r="G1616" s="165"/>
      <c r="H1616" s="669"/>
      <c r="I1616" s="669"/>
      <c r="J1616" s="352"/>
      <c r="K1616" s="271" t="str">
        <f t="shared" si="74"/>
        <v/>
      </c>
      <c r="L1616" s="297"/>
      <c r="M1616" s="334"/>
      <c r="N1616" s="277"/>
      <c r="O1616" s="315"/>
      <c r="P1616" s="344">
        <f t="shared" si="69"/>
        <v>0</v>
      </c>
      <c r="Q1616" s="321"/>
      <c r="R1616" s="672" t="b">
        <v>0</v>
      </c>
      <c r="S1616" s="318"/>
      <c r="T1616" s="319"/>
      <c r="U1616" s="315"/>
      <c r="V1616" s="162"/>
      <c r="W1616" s="149"/>
      <c r="X1616" s="163"/>
      <c r="Y1616" s="162"/>
      <c r="Z1616" s="164"/>
      <c r="AA1616" s="116"/>
      <c r="AB1616" s="116"/>
      <c r="AC1616" s="165"/>
      <c r="AD1616" s="675" t="str">
        <f t="shared" si="76"/>
        <v/>
      </c>
      <c r="AE1616" s="166"/>
      <c r="AF1616" s="149" t="b">
        <v>0</v>
      </c>
      <c r="AG1616" s="166"/>
      <c r="AH1616" s="149" t="b">
        <v>0</v>
      </c>
      <c r="AI1616" s="162"/>
      <c r="AJ1616" s="143"/>
      <c r="AK1616" s="143"/>
      <c r="AL1616" s="1112"/>
      <c r="AM1616" s="1112"/>
      <c r="AN1616" s="1112"/>
      <c r="AO1616" s="1112"/>
      <c r="AP1616" s="1112"/>
      <c r="AQ1616" s="1112"/>
    </row>
    <row r="1617" ht="22.5" customHeight="1">
      <c r="A1617" s="166"/>
      <c r="B1617" s="1111"/>
      <c r="C1617" s="524"/>
      <c r="D1617" s="1110"/>
      <c r="E1617" s="669"/>
      <c r="F1617" s="524"/>
      <c r="G1617" s="165"/>
      <c r="H1617" s="669"/>
      <c r="I1617" s="669"/>
      <c r="J1617" s="352"/>
      <c r="K1617" s="271" t="str">
        <f t="shared" si="74"/>
        <v/>
      </c>
      <c r="L1617" s="297"/>
      <c r="M1617" s="334"/>
      <c r="N1617" s="277"/>
      <c r="O1617" s="315"/>
      <c r="P1617" s="344">
        <f t="shared" si="69"/>
        <v>0</v>
      </c>
      <c r="Q1617" s="321"/>
      <c r="R1617" s="672" t="b">
        <v>0</v>
      </c>
      <c r="S1617" s="318"/>
      <c r="T1617" s="319"/>
      <c r="U1617" s="315"/>
      <c r="V1617" s="162"/>
      <c r="W1617" s="149"/>
      <c r="X1617" s="163"/>
      <c r="Y1617" s="162"/>
      <c r="Z1617" s="164"/>
      <c r="AA1617" s="116"/>
      <c r="AB1617" s="116"/>
      <c r="AC1617" s="165"/>
      <c r="AD1617" s="675" t="str">
        <f t="shared" si="76"/>
        <v/>
      </c>
      <c r="AE1617" s="166"/>
      <c r="AF1617" s="149" t="b">
        <v>0</v>
      </c>
      <c r="AG1617" s="166"/>
      <c r="AH1617" s="149" t="b">
        <v>0</v>
      </c>
      <c r="AI1617" s="162"/>
      <c r="AJ1617" s="143"/>
      <c r="AK1617" s="143"/>
      <c r="AL1617" s="1112"/>
      <c r="AM1617" s="1112"/>
      <c r="AN1617" s="1112"/>
      <c r="AO1617" s="1112"/>
      <c r="AP1617" s="1112"/>
      <c r="AQ1617" s="1112"/>
    </row>
    <row r="1618" ht="22.5" customHeight="1">
      <c r="A1618" s="166"/>
      <c r="B1618" s="1111"/>
      <c r="C1618" s="524"/>
      <c r="D1618" s="1110"/>
      <c r="E1618" s="669"/>
      <c r="F1618" s="524"/>
      <c r="G1618" s="165"/>
      <c r="H1618" s="669"/>
      <c r="I1618" s="669"/>
      <c r="J1618" s="352"/>
      <c r="K1618" s="271" t="str">
        <f t="shared" si="74"/>
        <v/>
      </c>
      <c r="L1618" s="297"/>
      <c r="M1618" s="334"/>
      <c r="N1618" s="277"/>
      <c r="O1618" s="315"/>
      <c r="P1618" s="344">
        <f t="shared" si="69"/>
        <v>0</v>
      </c>
      <c r="Q1618" s="321"/>
      <c r="R1618" s="672" t="b">
        <v>0</v>
      </c>
      <c r="S1618" s="318"/>
      <c r="T1618" s="319"/>
      <c r="U1618" s="315"/>
      <c r="V1618" s="162"/>
      <c r="W1618" s="149"/>
      <c r="X1618" s="163"/>
      <c r="Y1618" s="162"/>
      <c r="Z1618" s="164"/>
      <c r="AA1618" s="116"/>
      <c r="AB1618" s="116"/>
      <c r="AC1618" s="165"/>
      <c r="AD1618" s="675" t="str">
        <f t="shared" si="76"/>
        <v/>
      </c>
      <c r="AE1618" s="166"/>
      <c r="AF1618" s="149" t="b">
        <v>0</v>
      </c>
      <c r="AG1618" s="166"/>
      <c r="AH1618" s="149" t="b">
        <v>0</v>
      </c>
      <c r="AI1618" s="162"/>
      <c r="AJ1618" s="143"/>
      <c r="AK1618" s="143"/>
      <c r="AL1618" s="1112"/>
      <c r="AM1618" s="1112"/>
      <c r="AN1618" s="1112"/>
      <c r="AO1618" s="1112"/>
      <c r="AP1618" s="1112"/>
      <c r="AQ1618" s="1112"/>
    </row>
    <row r="1619" ht="22.5" customHeight="1">
      <c r="A1619" s="166"/>
      <c r="B1619" s="1111"/>
      <c r="C1619" s="524"/>
      <c r="D1619" s="1110"/>
      <c r="E1619" s="669"/>
      <c r="F1619" s="524"/>
      <c r="G1619" s="165"/>
      <c r="H1619" s="669"/>
      <c r="I1619" s="669"/>
      <c r="J1619" s="352"/>
      <c r="K1619" s="271" t="str">
        <f t="shared" si="74"/>
        <v/>
      </c>
      <c r="L1619" s="297"/>
      <c r="M1619" s="334"/>
      <c r="N1619" s="277"/>
      <c r="O1619" s="315"/>
      <c r="P1619" s="344">
        <f t="shared" si="69"/>
        <v>0</v>
      </c>
      <c r="Q1619" s="321"/>
      <c r="R1619" s="672" t="b">
        <v>0</v>
      </c>
      <c r="S1619" s="318"/>
      <c r="T1619" s="319"/>
      <c r="U1619" s="315"/>
      <c r="V1619" s="162"/>
      <c r="W1619" s="149"/>
      <c r="X1619" s="163"/>
      <c r="Y1619" s="162"/>
      <c r="Z1619" s="164"/>
      <c r="AA1619" s="116"/>
      <c r="AB1619" s="116"/>
      <c r="AC1619" s="165"/>
      <c r="AD1619" s="675" t="str">
        <f t="shared" si="76"/>
        <v/>
      </c>
      <c r="AE1619" s="166"/>
      <c r="AF1619" s="149" t="b">
        <v>0</v>
      </c>
      <c r="AG1619" s="166"/>
      <c r="AH1619" s="149" t="b">
        <v>0</v>
      </c>
      <c r="AI1619" s="162"/>
      <c r="AJ1619" s="143"/>
      <c r="AK1619" s="143"/>
      <c r="AL1619" s="1112"/>
      <c r="AM1619" s="1112"/>
      <c r="AN1619" s="1112"/>
      <c r="AO1619" s="1112"/>
      <c r="AP1619" s="1112"/>
      <c r="AQ1619" s="1112"/>
    </row>
    <row r="1620" ht="22.5" customHeight="1">
      <c r="A1620" s="166"/>
      <c r="B1620" s="1111"/>
      <c r="C1620" s="524"/>
      <c r="D1620" s="1110"/>
      <c r="E1620" s="669"/>
      <c r="F1620" s="524"/>
      <c r="G1620" s="165"/>
      <c r="H1620" s="669"/>
      <c r="I1620" s="669"/>
      <c r="J1620" s="352"/>
      <c r="K1620" s="271" t="str">
        <f t="shared" si="74"/>
        <v/>
      </c>
      <c r="L1620" s="297"/>
      <c r="M1620" s="334"/>
      <c r="N1620" s="277"/>
      <c r="O1620" s="315"/>
      <c r="P1620" s="344">
        <f t="shared" si="69"/>
        <v>0</v>
      </c>
      <c r="Q1620" s="321"/>
      <c r="R1620" s="672" t="b">
        <v>0</v>
      </c>
      <c r="S1620" s="318"/>
      <c r="T1620" s="319"/>
      <c r="U1620" s="315"/>
      <c r="V1620" s="162"/>
      <c r="W1620" s="149"/>
      <c r="X1620" s="163"/>
      <c r="Y1620" s="162"/>
      <c r="Z1620" s="164"/>
      <c r="AA1620" s="116"/>
      <c r="AB1620" s="116"/>
      <c r="AC1620" s="165"/>
      <c r="AD1620" s="675" t="str">
        <f t="shared" si="76"/>
        <v/>
      </c>
      <c r="AE1620" s="166"/>
      <c r="AF1620" s="149" t="b">
        <v>0</v>
      </c>
      <c r="AG1620" s="166"/>
      <c r="AH1620" s="149" t="b">
        <v>0</v>
      </c>
      <c r="AI1620" s="162"/>
      <c r="AJ1620" s="143"/>
      <c r="AK1620" s="143"/>
      <c r="AL1620" s="1112"/>
      <c r="AM1620" s="1112"/>
      <c r="AN1620" s="1112"/>
      <c r="AO1620" s="1112"/>
      <c r="AP1620" s="1112"/>
      <c r="AQ1620" s="1112"/>
    </row>
    <row r="1621" ht="22.5" customHeight="1">
      <c r="A1621" s="166"/>
      <c r="B1621" s="1111"/>
      <c r="C1621" s="524"/>
      <c r="D1621" s="1110"/>
      <c r="E1621" s="669"/>
      <c r="F1621" s="524"/>
      <c r="G1621" s="165"/>
      <c r="H1621" s="669"/>
      <c r="I1621" s="669"/>
      <c r="J1621" s="352"/>
      <c r="K1621" s="271" t="str">
        <f t="shared" si="74"/>
        <v/>
      </c>
      <c r="L1621" s="297"/>
      <c r="M1621" s="334"/>
      <c r="N1621" s="277"/>
      <c r="O1621" s="315"/>
      <c r="P1621" s="344">
        <f t="shared" si="69"/>
        <v>0</v>
      </c>
      <c r="Q1621" s="321"/>
      <c r="R1621" s="672" t="b">
        <v>0</v>
      </c>
      <c r="S1621" s="318"/>
      <c r="T1621" s="319"/>
      <c r="U1621" s="315"/>
      <c r="V1621" s="162"/>
      <c r="W1621" s="149"/>
      <c r="X1621" s="163"/>
      <c r="Y1621" s="162"/>
      <c r="Z1621" s="164"/>
      <c r="AA1621" s="116"/>
      <c r="AB1621" s="116"/>
      <c r="AC1621" s="165"/>
      <c r="AD1621" s="675" t="str">
        <f t="shared" si="76"/>
        <v/>
      </c>
      <c r="AE1621" s="166"/>
      <c r="AF1621" s="149" t="b">
        <v>0</v>
      </c>
      <c r="AG1621" s="166"/>
      <c r="AH1621" s="149" t="b">
        <v>0</v>
      </c>
      <c r="AI1621" s="162"/>
      <c r="AJ1621" s="143"/>
      <c r="AK1621" s="143"/>
      <c r="AL1621" s="1112"/>
      <c r="AM1621" s="1112"/>
      <c r="AN1621" s="1112"/>
      <c r="AO1621" s="1112"/>
      <c r="AP1621" s="1112"/>
      <c r="AQ1621" s="1112"/>
    </row>
    <row r="1622" ht="22.5" customHeight="1">
      <c r="A1622" s="166"/>
      <c r="B1622" s="1111"/>
      <c r="C1622" s="524"/>
      <c r="D1622" s="1110"/>
      <c r="E1622" s="669"/>
      <c r="F1622" s="524"/>
      <c r="G1622" s="165"/>
      <c r="H1622" s="669"/>
      <c r="I1622" s="669"/>
      <c r="J1622" s="352"/>
      <c r="K1622" s="271" t="str">
        <f t="shared" si="74"/>
        <v/>
      </c>
      <c r="L1622" s="297"/>
      <c r="M1622" s="334"/>
      <c r="N1622" s="277"/>
      <c r="O1622" s="315"/>
      <c r="P1622" s="344">
        <f t="shared" si="69"/>
        <v>0</v>
      </c>
      <c r="Q1622" s="321"/>
      <c r="R1622" s="672" t="b">
        <v>0</v>
      </c>
      <c r="S1622" s="318"/>
      <c r="T1622" s="319"/>
      <c r="U1622" s="315"/>
      <c r="V1622" s="162"/>
      <c r="W1622" s="149"/>
      <c r="X1622" s="163"/>
      <c r="Y1622" s="162"/>
      <c r="Z1622" s="164"/>
      <c r="AA1622" s="116"/>
      <c r="AB1622" s="116"/>
      <c r="AC1622" s="165"/>
      <c r="AD1622" s="675" t="str">
        <f t="shared" si="76"/>
        <v/>
      </c>
      <c r="AE1622" s="166"/>
      <c r="AF1622" s="149" t="b">
        <v>0</v>
      </c>
      <c r="AG1622" s="166"/>
      <c r="AH1622" s="149" t="b">
        <v>0</v>
      </c>
      <c r="AI1622" s="162"/>
      <c r="AJ1622" s="143"/>
      <c r="AK1622" s="143"/>
      <c r="AL1622" s="1112"/>
      <c r="AM1622" s="1112"/>
      <c r="AN1622" s="1112"/>
      <c r="AO1622" s="1112"/>
      <c r="AP1622" s="1112"/>
      <c r="AQ1622" s="1112"/>
    </row>
    <row r="1623" ht="22.5" customHeight="1">
      <c r="A1623" s="166"/>
      <c r="B1623" s="1111"/>
      <c r="C1623" s="524"/>
      <c r="D1623" s="1110"/>
      <c r="E1623" s="669"/>
      <c r="F1623" s="524"/>
      <c r="G1623" s="165"/>
      <c r="H1623" s="669"/>
      <c r="I1623" s="669"/>
      <c r="J1623" s="352"/>
      <c r="K1623" s="271" t="str">
        <f t="shared" si="74"/>
        <v/>
      </c>
      <c r="L1623" s="297"/>
      <c r="M1623" s="334"/>
      <c r="N1623" s="277"/>
      <c r="O1623" s="315"/>
      <c r="P1623" s="344">
        <f t="shared" si="69"/>
        <v>0</v>
      </c>
      <c r="Q1623" s="321"/>
      <c r="R1623" s="672" t="b">
        <v>0</v>
      </c>
      <c r="S1623" s="318"/>
      <c r="T1623" s="319"/>
      <c r="U1623" s="315"/>
      <c r="V1623" s="162"/>
      <c r="W1623" s="149"/>
      <c r="X1623" s="163"/>
      <c r="Y1623" s="162"/>
      <c r="Z1623" s="164"/>
      <c r="AA1623" s="116"/>
      <c r="AB1623" s="116"/>
      <c r="AC1623" s="165"/>
      <c r="AD1623" s="675" t="str">
        <f t="shared" si="76"/>
        <v/>
      </c>
      <c r="AE1623" s="166"/>
      <c r="AF1623" s="149" t="b">
        <v>0</v>
      </c>
      <c r="AG1623" s="166"/>
      <c r="AH1623" s="149" t="b">
        <v>0</v>
      </c>
      <c r="AI1623" s="162"/>
      <c r="AJ1623" s="143"/>
      <c r="AK1623" s="143"/>
      <c r="AL1623" s="1112"/>
      <c r="AM1623" s="1112"/>
      <c r="AN1623" s="1112"/>
      <c r="AO1623" s="1112"/>
      <c r="AP1623" s="1112"/>
      <c r="AQ1623" s="1112"/>
    </row>
    <row r="1624" ht="22.5" customHeight="1">
      <c r="A1624" s="166"/>
      <c r="B1624" s="1111"/>
      <c r="C1624" s="524"/>
      <c r="D1624" s="1110"/>
      <c r="E1624" s="669"/>
      <c r="F1624" s="524"/>
      <c r="G1624" s="165"/>
      <c r="H1624" s="669"/>
      <c r="I1624" s="669"/>
      <c r="J1624" s="352"/>
      <c r="K1624" s="271" t="str">
        <f t="shared" si="74"/>
        <v/>
      </c>
      <c r="L1624" s="297"/>
      <c r="M1624" s="334"/>
      <c r="N1624" s="277"/>
      <c r="O1624" s="315"/>
      <c r="P1624" s="344">
        <f t="shared" si="69"/>
        <v>0</v>
      </c>
      <c r="Q1624" s="321"/>
      <c r="R1624" s="672" t="b">
        <v>0</v>
      </c>
      <c r="S1624" s="318"/>
      <c r="T1624" s="319"/>
      <c r="U1624" s="315"/>
      <c r="V1624" s="162"/>
      <c r="W1624" s="149"/>
      <c r="X1624" s="163"/>
      <c r="Y1624" s="162"/>
      <c r="Z1624" s="164"/>
      <c r="AA1624" s="116"/>
      <c r="AB1624" s="116"/>
      <c r="AC1624" s="165"/>
      <c r="AD1624" s="675" t="str">
        <f t="shared" si="76"/>
        <v/>
      </c>
      <c r="AE1624" s="166"/>
      <c r="AF1624" s="149" t="b">
        <v>0</v>
      </c>
      <c r="AG1624" s="166"/>
      <c r="AH1624" s="149" t="b">
        <v>0</v>
      </c>
      <c r="AI1624" s="162"/>
      <c r="AJ1624" s="143"/>
      <c r="AK1624" s="143"/>
      <c r="AL1624" s="1112"/>
      <c r="AM1624" s="1112"/>
      <c r="AN1624" s="1112"/>
      <c r="AO1624" s="1112"/>
      <c r="AP1624" s="1112"/>
      <c r="AQ1624" s="1112"/>
    </row>
    <row r="1625" ht="22.5" customHeight="1">
      <c r="A1625" s="166"/>
      <c r="B1625" s="1111"/>
      <c r="C1625" s="524"/>
      <c r="D1625" s="1110"/>
      <c r="E1625" s="669"/>
      <c r="F1625" s="524"/>
      <c r="G1625" s="165"/>
      <c r="H1625" s="669"/>
      <c r="I1625" s="669"/>
      <c r="J1625" s="352"/>
      <c r="K1625" s="271" t="str">
        <f t="shared" si="74"/>
        <v/>
      </c>
      <c r="L1625" s="297"/>
      <c r="M1625" s="334"/>
      <c r="N1625" s="277"/>
      <c r="O1625" s="315"/>
      <c r="P1625" s="344">
        <f t="shared" si="69"/>
        <v>0</v>
      </c>
      <c r="Q1625" s="321"/>
      <c r="R1625" s="672" t="b">
        <v>0</v>
      </c>
      <c r="S1625" s="318"/>
      <c r="T1625" s="319"/>
      <c r="U1625" s="315"/>
      <c r="V1625" s="162"/>
      <c r="W1625" s="149"/>
      <c r="X1625" s="163"/>
      <c r="Y1625" s="162"/>
      <c r="Z1625" s="164"/>
      <c r="AA1625" s="116"/>
      <c r="AB1625" s="116"/>
      <c r="AC1625" s="165"/>
      <c r="AD1625" s="675" t="str">
        <f t="shared" si="76"/>
        <v/>
      </c>
      <c r="AE1625" s="166"/>
      <c r="AF1625" s="149" t="b">
        <v>0</v>
      </c>
      <c r="AG1625" s="166"/>
      <c r="AH1625" s="149" t="b">
        <v>0</v>
      </c>
      <c r="AI1625" s="162"/>
      <c r="AJ1625" s="143"/>
      <c r="AK1625" s="143"/>
      <c r="AL1625" s="1112"/>
      <c r="AM1625" s="1112"/>
      <c r="AN1625" s="1112"/>
      <c r="AO1625" s="1112"/>
      <c r="AP1625" s="1112"/>
      <c r="AQ1625" s="1112"/>
    </row>
    <row r="1626" ht="22.5" customHeight="1">
      <c r="A1626" s="166"/>
      <c r="B1626" s="1111"/>
      <c r="C1626" s="524"/>
      <c r="D1626" s="1110"/>
      <c r="E1626" s="669"/>
      <c r="F1626" s="524"/>
      <c r="G1626" s="165"/>
      <c r="H1626" s="669"/>
      <c r="I1626" s="669"/>
      <c r="J1626" s="352"/>
      <c r="K1626" s="271" t="str">
        <f t="shared" si="74"/>
        <v/>
      </c>
      <c r="L1626" s="297"/>
      <c r="M1626" s="334"/>
      <c r="N1626" s="277"/>
      <c r="O1626" s="315"/>
      <c r="P1626" s="344">
        <f t="shared" si="69"/>
        <v>0</v>
      </c>
      <c r="Q1626" s="321"/>
      <c r="R1626" s="672" t="b">
        <v>0</v>
      </c>
      <c r="S1626" s="318"/>
      <c r="T1626" s="319"/>
      <c r="U1626" s="315"/>
      <c r="V1626" s="162"/>
      <c r="W1626" s="149"/>
      <c r="X1626" s="163"/>
      <c r="Y1626" s="162"/>
      <c r="Z1626" s="164"/>
      <c r="AA1626" s="116"/>
      <c r="AB1626" s="116"/>
      <c r="AC1626" s="165"/>
      <c r="AD1626" s="675" t="str">
        <f t="shared" si="76"/>
        <v/>
      </c>
      <c r="AE1626" s="166"/>
      <c r="AF1626" s="149" t="b">
        <v>0</v>
      </c>
      <c r="AG1626" s="166"/>
      <c r="AH1626" s="149" t="b">
        <v>0</v>
      </c>
      <c r="AI1626" s="162"/>
      <c r="AJ1626" s="143"/>
      <c r="AK1626" s="143"/>
      <c r="AL1626" s="1112"/>
      <c r="AM1626" s="1112"/>
      <c r="AN1626" s="1112"/>
      <c r="AO1626" s="1112"/>
      <c r="AP1626" s="1112"/>
      <c r="AQ1626" s="1112"/>
    </row>
    <row r="1627" ht="22.5" customHeight="1">
      <c r="A1627" s="166"/>
      <c r="B1627" s="1111"/>
      <c r="C1627" s="524"/>
      <c r="D1627" s="1110"/>
      <c r="E1627" s="669"/>
      <c r="F1627" s="524"/>
      <c r="G1627" s="165"/>
      <c r="H1627" s="669"/>
      <c r="I1627" s="669"/>
      <c r="J1627" s="352"/>
      <c r="K1627" s="271" t="str">
        <f t="shared" si="74"/>
        <v/>
      </c>
      <c r="L1627" s="297"/>
      <c r="M1627" s="334"/>
      <c r="N1627" s="277"/>
      <c r="O1627" s="315"/>
      <c r="P1627" s="344">
        <f t="shared" si="69"/>
        <v>0</v>
      </c>
      <c r="Q1627" s="321"/>
      <c r="R1627" s="672" t="b">
        <v>0</v>
      </c>
      <c r="S1627" s="318"/>
      <c r="T1627" s="319"/>
      <c r="U1627" s="315"/>
      <c r="V1627" s="162"/>
      <c r="W1627" s="149"/>
      <c r="X1627" s="163"/>
      <c r="Y1627" s="162"/>
      <c r="Z1627" s="164"/>
      <c r="AA1627" s="116"/>
      <c r="AB1627" s="116"/>
      <c r="AC1627" s="165"/>
      <c r="AD1627" s="675" t="str">
        <f t="shared" si="76"/>
        <v/>
      </c>
      <c r="AE1627" s="166"/>
      <c r="AF1627" s="149" t="b">
        <v>0</v>
      </c>
      <c r="AG1627" s="166"/>
      <c r="AH1627" s="149" t="b">
        <v>0</v>
      </c>
      <c r="AI1627" s="162"/>
      <c r="AJ1627" s="143"/>
      <c r="AK1627" s="143"/>
      <c r="AL1627" s="1112"/>
      <c r="AM1627" s="1112"/>
      <c r="AN1627" s="1112"/>
      <c r="AO1627" s="1112"/>
      <c r="AP1627" s="1112"/>
      <c r="AQ1627" s="1112"/>
    </row>
    <row r="1628" ht="22.5" customHeight="1">
      <c r="A1628" s="166"/>
      <c r="B1628" s="1111"/>
      <c r="C1628" s="524"/>
      <c r="D1628" s="1110"/>
      <c r="E1628" s="669"/>
      <c r="F1628" s="524"/>
      <c r="G1628" s="165"/>
      <c r="H1628" s="669"/>
      <c r="I1628" s="669"/>
      <c r="J1628" s="352"/>
      <c r="K1628" s="271" t="str">
        <f t="shared" si="74"/>
        <v/>
      </c>
      <c r="L1628" s="297"/>
      <c r="M1628" s="334"/>
      <c r="N1628" s="277"/>
      <c r="O1628" s="315"/>
      <c r="P1628" s="344">
        <f t="shared" si="69"/>
        <v>0</v>
      </c>
      <c r="Q1628" s="321"/>
      <c r="R1628" s="672" t="b">
        <v>0</v>
      </c>
      <c r="S1628" s="318"/>
      <c r="T1628" s="319"/>
      <c r="U1628" s="315"/>
      <c r="V1628" s="162"/>
      <c r="W1628" s="149"/>
      <c r="X1628" s="163"/>
      <c r="Y1628" s="162"/>
      <c r="Z1628" s="164"/>
      <c r="AA1628" s="116"/>
      <c r="AB1628" s="116"/>
      <c r="AC1628" s="165"/>
      <c r="AD1628" s="675" t="str">
        <f t="shared" si="76"/>
        <v/>
      </c>
      <c r="AE1628" s="166"/>
      <c r="AF1628" s="149" t="b">
        <v>0</v>
      </c>
      <c r="AG1628" s="166"/>
      <c r="AH1628" s="149" t="b">
        <v>0</v>
      </c>
      <c r="AI1628" s="162"/>
      <c r="AJ1628" s="143"/>
      <c r="AK1628" s="143"/>
      <c r="AL1628" s="1112"/>
      <c r="AM1628" s="1112"/>
      <c r="AN1628" s="1112"/>
      <c r="AO1628" s="1112"/>
      <c r="AP1628" s="1112"/>
      <c r="AQ1628" s="1112"/>
    </row>
    <row r="1629" ht="22.5" customHeight="1">
      <c r="A1629" s="166"/>
      <c r="B1629" s="1111"/>
      <c r="C1629" s="524"/>
      <c r="D1629" s="1110"/>
      <c r="E1629" s="669"/>
      <c r="F1629" s="524"/>
      <c r="G1629" s="165"/>
      <c r="H1629" s="669"/>
      <c r="I1629" s="669"/>
      <c r="J1629" s="352"/>
      <c r="K1629" s="271" t="str">
        <f t="shared" si="74"/>
        <v/>
      </c>
      <c r="L1629" s="297"/>
      <c r="M1629" s="334"/>
      <c r="N1629" s="277"/>
      <c r="O1629" s="315"/>
      <c r="P1629" s="344">
        <f t="shared" si="69"/>
        <v>0</v>
      </c>
      <c r="Q1629" s="321"/>
      <c r="R1629" s="672" t="b">
        <v>0</v>
      </c>
      <c r="S1629" s="318"/>
      <c r="T1629" s="319"/>
      <c r="U1629" s="315"/>
      <c r="V1629" s="162"/>
      <c r="W1629" s="149"/>
      <c r="X1629" s="163"/>
      <c r="Y1629" s="162"/>
      <c r="Z1629" s="164"/>
      <c r="AA1629" s="116"/>
      <c r="AB1629" s="116"/>
      <c r="AC1629" s="165"/>
      <c r="AD1629" s="675" t="str">
        <f t="shared" si="76"/>
        <v/>
      </c>
      <c r="AE1629" s="166"/>
      <c r="AF1629" s="149" t="b">
        <v>0</v>
      </c>
      <c r="AG1629" s="166"/>
      <c r="AH1629" s="149" t="b">
        <v>0</v>
      </c>
      <c r="AI1629" s="162"/>
      <c r="AJ1629" s="143"/>
      <c r="AK1629" s="143"/>
      <c r="AL1629" s="1112"/>
      <c r="AM1629" s="1112"/>
      <c r="AN1629" s="1112"/>
      <c r="AO1629" s="1112"/>
      <c r="AP1629" s="1112"/>
      <c r="AQ1629" s="1112"/>
    </row>
    <row r="1630" ht="22.5" customHeight="1">
      <c r="A1630" s="166"/>
      <c r="B1630" s="1111"/>
      <c r="C1630" s="524"/>
      <c r="D1630" s="1110"/>
      <c r="E1630" s="669"/>
      <c r="F1630" s="524"/>
      <c r="G1630" s="165"/>
      <c r="H1630" s="669"/>
      <c r="I1630" s="669"/>
      <c r="J1630" s="352"/>
      <c r="K1630" s="271" t="str">
        <f t="shared" si="74"/>
        <v/>
      </c>
      <c r="L1630" s="297"/>
      <c r="M1630" s="334"/>
      <c r="N1630" s="277"/>
      <c r="O1630" s="315"/>
      <c r="P1630" s="344">
        <f t="shared" si="69"/>
        <v>0</v>
      </c>
      <c r="Q1630" s="321"/>
      <c r="R1630" s="672" t="b">
        <v>0</v>
      </c>
      <c r="S1630" s="318"/>
      <c r="T1630" s="319"/>
      <c r="U1630" s="315"/>
      <c r="V1630" s="162"/>
      <c r="W1630" s="149"/>
      <c r="X1630" s="163"/>
      <c r="Y1630" s="162"/>
      <c r="Z1630" s="164"/>
      <c r="AA1630" s="116"/>
      <c r="AB1630" s="116"/>
      <c r="AC1630" s="165"/>
      <c r="AD1630" s="675" t="str">
        <f t="shared" si="76"/>
        <v/>
      </c>
      <c r="AE1630" s="166"/>
      <c r="AF1630" s="149" t="b">
        <v>0</v>
      </c>
      <c r="AG1630" s="166"/>
      <c r="AH1630" s="149" t="b">
        <v>0</v>
      </c>
      <c r="AI1630" s="162"/>
      <c r="AJ1630" s="143"/>
      <c r="AK1630" s="143"/>
      <c r="AL1630" s="1112"/>
      <c r="AM1630" s="1112"/>
      <c r="AN1630" s="1112"/>
      <c r="AO1630" s="1112"/>
      <c r="AP1630" s="1112"/>
      <c r="AQ1630" s="1112"/>
    </row>
    <row r="1631" ht="22.5" customHeight="1">
      <c r="A1631" s="166"/>
      <c r="B1631" s="1111"/>
      <c r="C1631" s="524"/>
      <c r="D1631" s="1110"/>
      <c r="E1631" s="669"/>
      <c r="F1631" s="524"/>
      <c r="G1631" s="165"/>
      <c r="H1631" s="669"/>
      <c r="I1631" s="669"/>
      <c r="J1631" s="352"/>
      <c r="K1631" s="271" t="str">
        <f t="shared" si="74"/>
        <v/>
      </c>
      <c r="L1631" s="297"/>
      <c r="M1631" s="334"/>
      <c r="N1631" s="277"/>
      <c r="O1631" s="315"/>
      <c r="P1631" s="344">
        <f t="shared" si="69"/>
        <v>0</v>
      </c>
      <c r="Q1631" s="321"/>
      <c r="R1631" s="672" t="b">
        <v>0</v>
      </c>
      <c r="S1631" s="318"/>
      <c r="T1631" s="319"/>
      <c r="U1631" s="315"/>
      <c r="V1631" s="162"/>
      <c r="W1631" s="149"/>
      <c r="X1631" s="163"/>
      <c r="Y1631" s="162"/>
      <c r="Z1631" s="164"/>
      <c r="AA1631" s="116"/>
      <c r="AB1631" s="116"/>
      <c r="AC1631" s="165"/>
      <c r="AD1631" s="675" t="str">
        <f t="shared" si="76"/>
        <v/>
      </c>
      <c r="AE1631" s="166"/>
      <c r="AF1631" s="149" t="b">
        <v>0</v>
      </c>
      <c r="AG1631" s="166"/>
      <c r="AH1631" s="149" t="b">
        <v>0</v>
      </c>
      <c r="AI1631" s="162"/>
      <c r="AJ1631" s="143"/>
      <c r="AK1631" s="143"/>
      <c r="AL1631" s="1112"/>
      <c r="AM1631" s="1112"/>
      <c r="AN1631" s="1112"/>
      <c r="AO1631" s="1112"/>
      <c r="AP1631" s="1112"/>
      <c r="AQ1631" s="1112"/>
    </row>
    <row r="1632" ht="22.5" customHeight="1">
      <c r="A1632" s="166"/>
      <c r="B1632" s="1111"/>
      <c r="C1632" s="524"/>
      <c r="D1632" s="1110"/>
      <c r="E1632" s="669"/>
      <c r="F1632" s="524"/>
      <c r="G1632" s="165"/>
      <c r="H1632" s="669"/>
      <c r="I1632" s="669"/>
      <c r="J1632" s="352"/>
      <c r="K1632" s="271" t="str">
        <f t="shared" si="74"/>
        <v/>
      </c>
      <c r="L1632" s="297"/>
      <c r="M1632" s="334"/>
      <c r="N1632" s="277"/>
      <c r="O1632" s="315"/>
      <c r="P1632" s="344">
        <f t="shared" si="69"/>
        <v>0</v>
      </c>
      <c r="Q1632" s="321"/>
      <c r="R1632" s="672" t="b">
        <v>0</v>
      </c>
      <c r="S1632" s="318"/>
      <c r="T1632" s="319"/>
      <c r="U1632" s="315"/>
      <c r="V1632" s="162"/>
      <c r="W1632" s="149"/>
      <c r="X1632" s="163"/>
      <c r="Y1632" s="162"/>
      <c r="Z1632" s="164"/>
      <c r="AA1632" s="116"/>
      <c r="AB1632" s="116"/>
      <c r="AC1632" s="165"/>
      <c r="AD1632" s="675" t="str">
        <f t="shared" si="76"/>
        <v/>
      </c>
      <c r="AE1632" s="166"/>
      <c r="AF1632" s="149" t="b">
        <v>0</v>
      </c>
      <c r="AG1632" s="166"/>
      <c r="AH1632" s="149" t="b">
        <v>0</v>
      </c>
      <c r="AI1632" s="162"/>
      <c r="AJ1632" s="143"/>
      <c r="AK1632" s="143"/>
      <c r="AL1632" s="1112"/>
      <c r="AM1632" s="1112"/>
      <c r="AN1632" s="1112"/>
      <c r="AO1632" s="1112"/>
      <c r="AP1632" s="1112"/>
      <c r="AQ1632" s="1112"/>
    </row>
    <row r="1633" ht="22.5" customHeight="1">
      <c r="A1633" s="166"/>
      <c r="B1633" s="1111"/>
      <c r="C1633" s="524"/>
      <c r="D1633" s="1110"/>
      <c r="E1633" s="669"/>
      <c r="F1633" s="524"/>
      <c r="G1633" s="165"/>
      <c r="H1633" s="669"/>
      <c r="I1633" s="669"/>
      <c r="J1633" s="352"/>
      <c r="K1633" s="271" t="str">
        <f t="shared" si="74"/>
        <v/>
      </c>
      <c r="L1633" s="297"/>
      <c r="M1633" s="334"/>
      <c r="N1633" s="277"/>
      <c r="O1633" s="315"/>
      <c r="P1633" s="344">
        <f t="shared" si="69"/>
        <v>0</v>
      </c>
      <c r="Q1633" s="321"/>
      <c r="R1633" s="672" t="b">
        <v>0</v>
      </c>
      <c r="S1633" s="318"/>
      <c r="T1633" s="319"/>
      <c r="U1633" s="315"/>
      <c r="V1633" s="162"/>
      <c r="W1633" s="149"/>
      <c r="X1633" s="163"/>
      <c r="Y1633" s="162"/>
      <c r="Z1633" s="164"/>
      <c r="AA1633" s="116"/>
      <c r="AB1633" s="116"/>
      <c r="AC1633" s="165"/>
      <c r="AD1633" s="675" t="str">
        <f t="shared" si="76"/>
        <v/>
      </c>
      <c r="AE1633" s="166"/>
      <c r="AF1633" s="149" t="b">
        <v>0</v>
      </c>
      <c r="AG1633" s="166"/>
      <c r="AH1633" s="149" t="b">
        <v>0</v>
      </c>
      <c r="AI1633" s="162"/>
      <c r="AJ1633" s="143"/>
      <c r="AK1633" s="143"/>
      <c r="AL1633" s="1112"/>
      <c r="AM1633" s="1112"/>
      <c r="AN1633" s="1112"/>
      <c r="AO1633" s="1112"/>
      <c r="AP1633" s="1112"/>
      <c r="AQ1633" s="1112"/>
    </row>
    <row r="1634" ht="22.5" customHeight="1">
      <c r="A1634" s="166"/>
      <c r="B1634" s="1111"/>
      <c r="C1634" s="524"/>
      <c r="D1634" s="1110"/>
      <c r="E1634" s="669"/>
      <c r="F1634" s="524"/>
      <c r="G1634" s="165"/>
      <c r="H1634" s="669"/>
      <c r="I1634" s="669"/>
      <c r="J1634" s="352"/>
      <c r="K1634" s="271" t="str">
        <f t="shared" si="74"/>
        <v/>
      </c>
      <c r="L1634" s="297"/>
      <c r="M1634" s="334"/>
      <c r="N1634" s="277"/>
      <c r="O1634" s="315"/>
      <c r="P1634" s="344">
        <f t="shared" si="69"/>
        <v>0</v>
      </c>
      <c r="Q1634" s="321"/>
      <c r="R1634" s="672" t="b">
        <v>0</v>
      </c>
      <c r="S1634" s="318"/>
      <c r="T1634" s="319"/>
      <c r="U1634" s="315"/>
      <c r="V1634" s="162"/>
      <c r="W1634" s="149"/>
      <c r="X1634" s="163"/>
      <c r="Y1634" s="162"/>
      <c r="Z1634" s="164"/>
      <c r="AA1634" s="116"/>
      <c r="AB1634" s="116"/>
      <c r="AC1634" s="165"/>
      <c r="AD1634" s="675" t="str">
        <f t="shared" si="76"/>
        <v/>
      </c>
      <c r="AE1634" s="166"/>
      <c r="AF1634" s="149" t="b">
        <v>0</v>
      </c>
      <c r="AG1634" s="166"/>
      <c r="AH1634" s="149" t="b">
        <v>0</v>
      </c>
      <c r="AI1634" s="162"/>
      <c r="AJ1634" s="143"/>
      <c r="AK1634" s="143"/>
      <c r="AL1634" s="1112"/>
      <c r="AM1634" s="1112"/>
      <c r="AN1634" s="1112"/>
      <c r="AO1634" s="1112"/>
      <c r="AP1634" s="1112"/>
      <c r="AQ1634" s="1112"/>
    </row>
    <row r="1635" ht="22.5" customHeight="1">
      <c r="A1635" s="166"/>
      <c r="B1635" s="1111"/>
      <c r="C1635" s="524"/>
      <c r="D1635" s="1110"/>
      <c r="E1635" s="669"/>
      <c r="F1635" s="524"/>
      <c r="G1635" s="165"/>
      <c r="H1635" s="669"/>
      <c r="I1635" s="669"/>
      <c r="J1635" s="352"/>
      <c r="K1635" s="271" t="str">
        <f t="shared" si="74"/>
        <v/>
      </c>
      <c r="L1635" s="297"/>
      <c r="M1635" s="334"/>
      <c r="N1635" s="277"/>
      <c r="O1635" s="315"/>
      <c r="P1635" s="344">
        <f t="shared" si="69"/>
        <v>0</v>
      </c>
      <c r="Q1635" s="321"/>
      <c r="R1635" s="672" t="b">
        <v>0</v>
      </c>
      <c r="S1635" s="318"/>
      <c r="T1635" s="319"/>
      <c r="U1635" s="315"/>
      <c r="V1635" s="162"/>
      <c r="W1635" s="149"/>
      <c r="X1635" s="163"/>
      <c r="Y1635" s="162"/>
      <c r="Z1635" s="164"/>
      <c r="AA1635" s="116"/>
      <c r="AB1635" s="116"/>
      <c r="AC1635" s="165"/>
      <c r="AD1635" s="675" t="str">
        <f t="shared" si="76"/>
        <v/>
      </c>
      <c r="AE1635" s="166"/>
      <c r="AF1635" s="149" t="b">
        <v>0</v>
      </c>
      <c r="AG1635" s="166"/>
      <c r="AH1635" s="149" t="b">
        <v>0</v>
      </c>
      <c r="AI1635" s="162"/>
      <c r="AJ1635" s="143"/>
      <c r="AK1635" s="143"/>
      <c r="AL1635" s="1112"/>
      <c r="AM1635" s="1112"/>
      <c r="AN1635" s="1112"/>
      <c r="AO1635" s="1112"/>
      <c r="AP1635" s="1112"/>
      <c r="AQ1635" s="1112"/>
    </row>
    <row r="1636" ht="22.5" customHeight="1">
      <c r="A1636" s="166"/>
      <c r="B1636" s="1111"/>
      <c r="C1636" s="524"/>
      <c r="D1636" s="1110"/>
      <c r="E1636" s="669"/>
      <c r="F1636" s="524"/>
      <c r="G1636" s="165"/>
      <c r="H1636" s="669"/>
      <c r="I1636" s="669"/>
      <c r="J1636" s="352"/>
      <c r="K1636" s="271" t="str">
        <f t="shared" si="74"/>
        <v/>
      </c>
      <c r="L1636" s="297"/>
      <c r="M1636" s="334"/>
      <c r="N1636" s="277"/>
      <c r="O1636" s="315"/>
      <c r="P1636" s="344">
        <f t="shared" si="69"/>
        <v>0</v>
      </c>
      <c r="Q1636" s="321"/>
      <c r="R1636" s="672" t="b">
        <v>0</v>
      </c>
      <c r="S1636" s="318"/>
      <c r="T1636" s="319"/>
      <c r="U1636" s="315"/>
      <c r="V1636" s="162"/>
      <c r="W1636" s="149"/>
      <c r="X1636" s="163"/>
      <c r="Y1636" s="162"/>
      <c r="Z1636" s="164"/>
      <c r="AA1636" s="116"/>
      <c r="AB1636" s="116"/>
      <c r="AC1636" s="165"/>
      <c r="AD1636" s="675" t="str">
        <f t="shared" si="76"/>
        <v/>
      </c>
      <c r="AE1636" s="166"/>
      <c r="AF1636" s="149" t="b">
        <v>0</v>
      </c>
      <c r="AG1636" s="166"/>
      <c r="AH1636" s="149" t="b">
        <v>0</v>
      </c>
      <c r="AI1636" s="162"/>
      <c r="AJ1636" s="143"/>
      <c r="AK1636" s="143"/>
      <c r="AL1636" s="1112"/>
      <c r="AM1636" s="1112"/>
      <c r="AN1636" s="1112"/>
      <c r="AO1636" s="1112"/>
      <c r="AP1636" s="1112"/>
      <c r="AQ1636" s="1112"/>
    </row>
    <row r="1637" ht="22.5" customHeight="1">
      <c r="A1637" s="166"/>
      <c r="B1637" s="1111"/>
      <c r="C1637" s="524"/>
      <c r="D1637" s="1110"/>
      <c r="E1637" s="669"/>
      <c r="F1637" s="524"/>
      <c r="G1637" s="165"/>
      <c r="H1637" s="669"/>
      <c r="I1637" s="669"/>
      <c r="J1637" s="352"/>
      <c r="K1637" s="271" t="str">
        <f t="shared" si="74"/>
        <v/>
      </c>
      <c r="L1637" s="297"/>
      <c r="M1637" s="334"/>
      <c r="N1637" s="277"/>
      <c r="O1637" s="315"/>
      <c r="P1637" s="344">
        <f t="shared" si="69"/>
        <v>0</v>
      </c>
      <c r="Q1637" s="321"/>
      <c r="R1637" s="672" t="b">
        <v>0</v>
      </c>
      <c r="S1637" s="318"/>
      <c r="T1637" s="319"/>
      <c r="U1637" s="315"/>
      <c r="V1637" s="162"/>
      <c r="W1637" s="149"/>
      <c r="X1637" s="163"/>
      <c r="Y1637" s="162"/>
      <c r="Z1637" s="164"/>
      <c r="AA1637" s="116"/>
      <c r="AB1637" s="116"/>
      <c r="AC1637" s="165"/>
      <c r="AD1637" s="675" t="str">
        <f t="shared" si="76"/>
        <v/>
      </c>
      <c r="AE1637" s="166"/>
      <c r="AF1637" s="149" t="b">
        <v>0</v>
      </c>
      <c r="AG1637" s="166"/>
      <c r="AH1637" s="149" t="b">
        <v>0</v>
      </c>
      <c r="AI1637" s="162"/>
      <c r="AJ1637" s="143"/>
      <c r="AK1637" s="143"/>
      <c r="AL1637" s="1112"/>
      <c r="AM1637" s="1112"/>
      <c r="AN1637" s="1112"/>
      <c r="AO1637" s="1112"/>
      <c r="AP1637" s="1112"/>
      <c r="AQ1637" s="1112"/>
    </row>
    <row r="1638" ht="22.5" customHeight="1">
      <c r="A1638" s="166"/>
      <c r="B1638" s="1111"/>
      <c r="C1638" s="524"/>
      <c r="D1638" s="1110"/>
      <c r="E1638" s="669"/>
      <c r="F1638" s="524"/>
      <c r="G1638" s="165"/>
      <c r="H1638" s="669"/>
      <c r="I1638" s="669"/>
      <c r="J1638" s="352"/>
      <c r="K1638" s="271" t="str">
        <f t="shared" si="74"/>
        <v/>
      </c>
      <c r="L1638" s="297"/>
      <c r="M1638" s="334"/>
      <c r="N1638" s="277"/>
      <c r="O1638" s="315"/>
      <c r="P1638" s="344">
        <f t="shared" si="69"/>
        <v>0</v>
      </c>
      <c r="Q1638" s="321"/>
      <c r="R1638" s="672" t="b">
        <v>0</v>
      </c>
      <c r="S1638" s="318"/>
      <c r="T1638" s="319"/>
      <c r="U1638" s="315"/>
      <c r="V1638" s="162"/>
      <c r="W1638" s="149"/>
      <c r="X1638" s="163"/>
      <c r="Y1638" s="162"/>
      <c r="Z1638" s="164"/>
      <c r="AA1638" s="116"/>
      <c r="AB1638" s="116"/>
      <c r="AC1638" s="165"/>
      <c r="AD1638" s="675" t="str">
        <f t="shared" si="76"/>
        <v/>
      </c>
      <c r="AE1638" s="166"/>
      <c r="AF1638" s="149" t="b">
        <v>0</v>
      </c>
      <c r="AG1638" s="166"/>
      <c r="AH1638" s="149" t="b">
        <v>0</v>
      </c>
      <c r="AI1638" s="162"/>
      <c r="AJ1638" s="143"/>
      <c r="AK1638" s="143"/>
      <c r="AL1638" s="1112"/>
      <c r="AM1638" s="1112"/>
      <c r="AN1638" s="1112"/>
      <c r="AO1638" s="1112"/>
      <c r="AP1638" s="1112"/>
      <c r="AQ1638" s="1112"/>
    </row>
    <row r="1639" ht="22.5" customHeight="1">
      <c r="A1639" s="166"/>
      <c r="B1639" s="1111"/>
      <c r="C1639" s="524"/>
      <c r="D1639" s="1110"/>
      <c r="E1639" s="669"/>
      <c r="F1639" s="524"/>
      <c r="G1639" s="165"/>
      <c r="H1639" s="669"/>
      <c r="I1639" s="669"/>
      <c r="J1639" s="352"/>
      <c r="K1639" s="271" t="str">
        <f t="shared" si="74"/>
        <v/>
      </c>
      <c r="L1639" s="297"/>
      <c r="M1639" s="334"/>
      <c r="N1639" s="277"/>
      <c r="O1639" s="315"/>
      <c r="P1639" s="344">
        <f t="shared" si="69"/>
        <v>0</v>
      </c>
      <c r="Q1639" s="321"/>
      <c r="R1639" s="672" t="b">
        <v>0</v>
      </c>
      <c r="S1639" s="318"/>
      <c r="T1639" s="319"/>
      <c r="U1639" s="315"/>
      <c r="V1639" s="162"/>
      <c r="W1639" s="149"/>
      <c r="X1639" s="163"/>
      <c r="Y1639" s="162"/>
      <c r="Z1639" s="164"/>
      <c r="AA1639" s="116"/>
      <c r="AB1639" s="116"/>
      <c r="AC1639" s="165"/>
      <c r="AD1639" s="675" t="str">
        <f t="shared" si="76"/>
        <v/>
      </c>
      <c r="AE1639" s="166"/>
      <c r="AF1639" s="149" t="b">
        <v>0</v>
      </c>
      <c r="AG1639" s="166"/>
      <c r="AH1639" s="149" t="b">
        <v>0</v>
      </c>
      <c r="AI1639" s="162"/>
      <c r="AJ1639" s="143"/>
      <c r="AK1639" s="143"/>
      <c r="AL1639" s="1112"/>
      <c r="AM1639" s="1112"/>
      <c r="AN1639" s="1112"/>
      <c r="AO1639" s="1112"/>
      <c r="AP1639" s="1112"/>
      <c r="AQ1639" s="1112"/>
    </row>
    <row r="1640" ht="22.5" customHeight="1">
      <c r="A1640" s="166"/>
      <c r="B1640" s="1111"/>
      <c r="C1640" s="524"/>
      <c r="D1640" s="1110"/>
      <c r="E1640" s="669"/>
      <c r="F1640" s="524"/>
      <c r="G1640" s="165"/>
      <c r="H1640" s="669"/>
      <c r="I1640" s="669"/>
      <c r="J1640" s="352"/>
      <c r="K1640" s="271" t="str">
        <f t="shared" si="74"/>
        <v/>
      </c>
      <c r="L1640" s="297"/>
      <c r="M1640" s="334"/>
      <c r="N1640" s="277"/>
      <c r="O1640" s="315"/>
      <c r="P1640" s="344">
        <f t="shared" si="69"/>
        <v>0</v>
      </c>
      <c r="Q1640" s="321"/>
      <c r="R1640" s="672" t="b">
        <v>0</v>
      </c>
      <c r="S1640" s="318"/>
      <c r="T1640" s="319"/>
      <c r="U1640" s="315"/>
      <c r="V1640" s="162"/>
      <c r="W1640" s="149"/>
      <c r="X1640" s="163"/>
      <c r="Y1640" s="162"/>
      <c r="Z1640" s="164"/>
      <c r="AA1640" s="116"/>
      <c r="AB1640" s="116"/>
      <c r="AC1640" s="165"/>
      <c r="AD1640" s="675" t="str">
        <f t="shared" si="76"/>
        <v/>
      </c>
      <c r="AE1640" s="166"/>
      <c r="AF1640" s="149" t="b">
        <v>0</v>
      </c>
      <c r="AG1640" s="166"/>
      <c r="AH1640" s="149" t="b">
        <v>0</v>
      </c>
      <c r="AI1640" s="162"/>
      <c r="AJ1640" s="143"/>
      <c r="AK1640" s="143"/>
      <c r="AL1640" s="1112"/>
      <c r="AM1640" s="1112"/>
      <c r="AN1640" s="1112"/>
      <c r="AO1640" s="1112"/>
      <c r="AP1640" s="1112"/>
      <c r="AQ1640" s="1112"/>
    </row>
    <row r="1641" ht="22.5" customHeight="1">
      <c r="A1641" s="166"/>
      <c r="B1641" s="1111"/>
      <c r="C1641" s="524"/>
      <c r="D1641" s="1110"/>
      <c r="E1641" s="669"/>
      <c r="F1641" s="524"/>
      <c r="G1641" s="165"/>
      <c r="H1641" s="669"/>
      <c r="I1641" s="669"/>
      <c r="J1641" s="352"/>
      <c r="K1641" s="271" t="str">
        <f t="shared" si="74"/>
        <v/>
      </c>
      <c r="L1641" s="297"/>
      <c r="M1641" s="334"/>
      <c r="N1641" s="277"/>
      <c r="O1641" s="315"/>
      <c r="P1641" s="344">
        <f t="shared" si="69"/>
        <v>0</v>
      </c>
      <c r="Q1641" s="321"/>
      <c r="R1641" s="672" t="b">
        <v>0</v>
      </c>
      <c r="S1641" s="318"/>
      <c r="T1641" s="319"/>
      <c r="U1641" s="315"/>
      <c r="V1641" s="162"/>
      <c r="W1641" s="149"/>
      <c r="X1641" s="163"/>
      <c r="Y1641" s="162"/>
      <c r="Z1641" s="164"/>
      <c r="AA1641" s="116"/>
      <c r="AB1641" s="116"/>
      <c r="AC1641" s="165"/>
      <c r="AD1641" s="675" t="str">
        <f t="shared" si="76"/>
        <v/>
      </c>
      <c r="AE1641" s="166"/>
      <c r="AF1641" s="149" t="b">
        <v>0</v>
      </c>
      <c r="AG1641" s="166"/>
      <c r="AH1641" s="149" t="b">
        <v>0</v>
      </c>
      <c r="AI1641" s="162"/>
      <c r="AJ1641" s="143"/>
      <c r="AK1641" s="143"/>
      <c r="AL1641" s="1112"/>
      <c r="AM1641" s="1112"/>
      <c r="AN1641" s="1112"/>
      <c r="AO1641" s="1112"/>
      <c r="AP1641" s="1112"/>
      <c r="AQ1641" s="1112"/>
    </row>
    <row r="1642" ht="22.5" customHeight="1">
      <c r="A1642" s="166"/>
      <c r="B1642" s="1111"/>
      <c r="C1642" s="524"/>
      <c r="D1642" s="1110"/>
      <c r="E1642" s="669"/>
      <c r="F1642" s="524"/>
      <c r="G1642" s="165"/>
      <c r="H1642" s="669"/>
      <c r="I1642" s="669"/>
      <c r="J1642" s="352"/>
      <c r="K1642" s="271" t="str">
        <f t="shared" si="74"/>
        <v/>
      </c>
      <c r="L1642" s="297"/>
      <c r="M1642" s="334"/>
      <c r="N1642" s="277"/>
      <c r="O1642" s="315"/>
      <c r="P1642" s="344">
        <f t="shared" si="69"/>
        <v>0</v>
      </c>
      <c r="Q1642" s="321"/>
      <c r="R1642" s="672" t="b">
        <v>0</v>
      </c>
      <c r="S1642" s="318"/>
      <c r="T1642" s="319"/>
      <c r="U1642" s="315"/>
      <c r="V1642" s="162"/>
      <c r="W1642" s="149"/>
      <c r="X1642" s="163"/>
      <c r="Y1642" s="162"/>
      <c r="Z1642" s="164"/>
      <c r="AA1642" s="116"/>
      <c r="AB1642" s="116"/>
      <c r="AC1642" s="165"/>
      <c r="AD1642" s="675" t="str">
        <f t="shared" si="76"/>
        <v/>
      </c>
      <c r="AE1642" s="166"/>
      <c r="AF1642" s="149" t="b">
        <v>0</v>
      </c>
      <c r="AG1642" s="166"/>
      <c r="AH1642" s="149" t="b">
        <v>0</v>
      </c>
      <c r="AI1642" s="162"/>
      <c r="AJ1642" s="143"/>
      <c r="AK1642" s="143"/>
      <c r="AL1642" s="1112"/>
      <c r="AM1642" s="1112"/>
      <c r="AN1642" s="1112"/>
      <c r="AO1642" s="1112"/>
      <c r="AP1642" s="1112"/>
      <c r="AQ1642" s="1112"/>
    </row>
    <row r="1643" ht="22.5" customHeight="1">
      <c r="A1643" s="166"/>
      <c r="B1643" s="1111"/>
      <c r="C1643" s="524"/>
      <c r="D1643" s="1110"/>
      <c r="E1643" s="669"/>
      <c r="F1643" s="524"/>
      <c r="G1643" s="165"/>
      <c r="H1643" s="669"/>
      <c r="I1643" s="669"/>
      <c r="J1643" s="352"/>
      <c r="K1643" s="271" t="str">
        <f t="shared" si="74"/>
        <v/>
      </c>
      <c r="L1643" s="297"/>
      <c r="M1643" s="334"/>
      <c r="N1643" s="277"/>
      <c r="O1643" s="315"/>
      <c r="P1643" s="344">
        <f t="shared" si="69"/>
        <v>0</v>
      </c>
      <c r="Q1643" s="321"/>
      <c r="R1643" s="672" t="b">
        <v>0</v>
      </c>
      <c r="S1643" s="318"/>
      <c r="T1643" s="319"/>
      <c r="U1643" s="315"/>
      <c r="V1643" s="162"/>
      <c r="W1643" s="149"/>
      <c r="X1643" s="163"/>
      <c r="Y1643" s="162"/>
      <c r="Z1643" s="164"/>
      <c r="AA1643" s="116"/>
      <c r="AB1643" s="116"/>
      <c r="AC1643" s="165"/>
      <c r="AD1643" s="675" t="str">
        <f t="shared" si="76"/>
        <v/>
      </c>
      <c r="AE1643" s="166"/>
      <c r="AF1643" s="149" t="b">
        <v>0</v>
      </c>
      <c r="AG1643" s="166"/>
      <c r="AH1643" s="149" t="b">
        <v>0</v>
      </c>
      <c r="AI1643" s="162"/>
      <c r="AJ1643" s="143"/>
      <c r="AK1643" s="143"/>
      <c r="AL1643" s="1112"/>
      <c r="AM1643" s="1112"/>
      <c r="AN1643" s="1112"/>
      <c r="AO1643" s="1112"/>
      <c r="AP1643" s="1112"/>
      <c r="AQ1643" s="1112"/>
    </row>
    <row r="1644" ht="22.5" customHeight="1">
      <c r="A1644" s="166"/>
      <c r="B1644" s="1111"/>
      <c r="C1644" s="524"/>
      <c r="D1644" s="1110"/>
      <c r="E1644" s="669"/>
      <c r="F1644" s="524"/>
      <c r="G1644" s="165"/>
      <c r="H1644" s="669"/>
      <c r="I1644" s="669"/>
      <c r="J1644" s="352"/>
      <c r="K1644" s="271" t="str">
        <f t="shared" si="74"/>
        <v/>
      </c>
      <c r="L1644" s="297"/>
      <c r="M1644" s="334"/>
      <c r="N1644" s="277"/>
      <c r="O1644" s="315"/>
      <c r="P1644" s="344">
        <f t="shared" si="69"/>
        <v>0</v>
      </c>
      <c r="Q1644" s="321"/>
      <c r="R1644" s="672" t="b">
        <v>0</v>
      </c>
      <c r="S1644" s="318"/>
      <c r="T1644" s="319"/>
      <c r="U1644" s="315"/>
      <c r="V1644" s="162"/>
      <c r="W1644" s="149"/>
      <c r="X1644" s="163"/>
      <c r="Y1644" s="162"/>
      <c r="Z1644" s="164"/>
      <c r="AA1644" s="116"/>
      <c r="AB1644" s="116"/>
      <c r="AC1644" s="165"/>
      <c r="AD1644" s="675" t="str">
        <f t="shared" si="76"/>
        <v/>
      </c>
      <c r="AE1644" s="166"/>
      <c r="AF1644" s="149" t="b">
        <v>0</v>
      </c>
      <c r="AG1644" s="166"/>
      <c r="AH1644" s="149" t="b">
        <v>0</v>
      </c>
      <c r="AI1644" s="162"/>
      <c r="AJ1644" s="143"/>
      <c r="AK1644" s="143"/>
      <c r="AL1644" s="1112"/>
      <c r="AM1644" s="1112"/>
      <c r="AN1644" s="1112"/>
      <c r="AO1644" s="1112"/>
      <c r="AP1644" s="1112"/>
      <c r="AQ1644" s="1112"/>
    </row>
    <row r="1645" ht="22.5" customHeight="1">
      <c r="A1645" s="166"/>
      <c r="B1645" s="1111"/>
      <c r="C1645" s="524"/>
      <c r="D1645" s="1110"/>
      <c r="E1645" s="669"/>
      <c r="F1645" s="524"/>
      <c r="G1645" s="165"/>
      <c r="H1645" s="669"/>
      <c r="I1645" s="669"/>
      <c r="J1645" s="352"/>
      <c r="K1645" s="271" t="str">
        <f t="shared" si="74"/>
        <v/>
      </c>
      <c r="L1645" s="297"/>
      <c r="M1645" s="334"/>
      <c r="N1645" s="277"/>
      <c r="O1645" s="315"/>
      <c r="P1645" s="344">
        <f t="shared" si="69"/>
        <v>0</v>
      </c>
      <c r="Q1645" s="321"/>
      <c r="R1645" s="672" t="b">
        <v>0</v>
      </c>
      <c r="S1645" s="318"/>
      <c r="T1645" s="319"/>
      <c r="U1645" s="315"/>
      <c r="V1645" s="162"/>
      <c r="W1645" s="149"/>
      <c r="X1645" s="163"/>
      <c r="Y1645" s="162"/>
      <c r="Z1645" s="164"/>
      <c r="AA1645" s="116"/>
      <c r="AB1645" s="116"/>
      <c r="AC1645" s="165"/>
      <c r="AD1645" s="675" t="str">
        <f t="shared" si="76"/>
        <v/>
      </c>
      <c r="AE1645" s="166"/>
      <c r="AF1645" s="149" t="b">
        <v>0</v>
      </c>
      <c r="AG1645" s="166"/>
      <c r="AH1645" s="149" t="b">
        <v>0</v>
      </c>
      <c r="AI1645" s="162"/>
      <c r="AJ1645" s="143"/>
      <c r="AK1645" s="143"/>
      <c r="AL1645" s="1112"/>
      <c r="AM1645" s="1112"/>
      <c r="AN1645" s="1112"/>
      <c r="AO1645" s="1112"/>
      <c r="AP1645" s="1112"/>
      <c r="AQ1645" s="1112"/>
    </row>
    <row r="1646" ht="22.5" customHeight="1">
      <c r="A1646" s="166"/>
      <c r="B1646" s="1111"/>
      <c r="C1646" s="524"/>
      <c r="D1646" s="1110"/>
      <c r="E1646" s="669"/>
      <c r="F1646" s="524"/>
      <c r="G1646" s="165"/>
      <c r="H1646" s="669"/>
      <c r="I1646" s="669"/>
      <c r="J1646" s="352"/>
      <c r="K1646" s="271" t="str">
        <f t="shared" si="74"/>
        <v/>
      </c>
      <c r="L1646" s="297"/>
      <c r="M1646" s="334"/>
      <c r="N1646" s="277"/>
      <c r="O1646" s="315"/>
      <c r="P1646" s="344">
        <f t="shared" si="69"/>
        <v>0</v>
      </c>
      <c r="Q1646" s="321"/>
      <c r="R1646" s="672" t="b">
        <v>0</v>
      </c>
      <c r="S1646" s="318"/>
      <c r="T1646" s="319"/>
      <c r="U1646" s="315"/>
      <c r="V1646" s="162"/>
      <c r="W1646" s="149"/>
      <c r="X1646" s="163"/>
      <c r="Y1646" s="162"/>
      <c r="Z1646" s="164"/>
      <c r="AA1646" s="116"/>
      <c r="AB1646" s="116"/>
      <c r="AC1646" s="165"/>
      <c r="AD1646" s="675" t="str">
        <f t="shared" si="76"/>
        <v/>
      </c>
      <c r="AE1646" s="166"/>
      <c r="AF1646" s="149" t="b">
        <v>0</v>
      </c>
      <c r="AG1646" s="166"/>
      <c r="AH1646" s="149" t="b">
        <v>0</v>
      </c>
      <c r="AI1646" s="162"/>
      <c r="AJ1646" s="143"/>
      <c r="AK1646" s="143"/>
      <c r="AL1646" s="1112"/>
      <c r="AM1646" s="1112"/>
      <c r="AN1646" s="1112"/>
      <c r="AO1646" s="1112"/>
      <c r="AP1646" s="1112"/>
      <c r="AQ1646" s="1112"/>
    </row>
    <row r="1647" ht="22.5" customHeight="1">
      <c r="A1647" s="166"/>
      <c r="B1647" s="1111"/>
      <c r="C1647" s="524"/>
      <c r="D1647" s="1110"/>
      <c r="E1647" s="669"/>
      <c r="F1647" s="524"/>
      <c r="G1647" s="165"/>
      <c r="H1647" s="669"/>
      <c r="I1647" s="669"/>
      <c r="J1647" s="352"/>
      <c r="K1647" s="271" t="str">
        <f t="shared" si="74"/>
        <v/>
      </c>
      <c r="L1647" s="297"/>
      <c r="M1647" s="334"/>
      <c r="N1647" s="277"/>
      <c r="O1647" s="315"/>
      <c r="P1647" s="344">
        <f t="shared" si="69"/>
        <v>0</v>
      </c>
      <c r="Q1647" s="321"/>
      <c r="R1647" s="672" t="b">
        <v>0</v>
      </c>
      <c r="S1647" s="318"/>
      <c r="T1647" s="319"/>
      <c r="U1647" s="315"/>
      <c r="V1647" s="162"/>
      <c r="W1647" s="149"/>
      <c r="X1647" s="163"/>
      <c r="Y1647" s="162"/>
      <c r="Z1647" s="164"/>
      <c r="AA1647" s="116"/>
      <c r="AB1647" s="116"/>
      <c r="AC1647" s="165"/>
      <c r="AD1647" s="675" t="str">
        <f t="shared" si="76"/>
        <v/>
      </c>
      <c r="AE1647" s="166"/>
      <c r="AF1647" s="149" t="b">
        <v>0</v>
      </c>
      <c r="AG1647" s="166"/>
      <c r="AH1647" s="149" t="b">
        <v>0</v>
      </c>
      <c r="AI1647" s="162"/>
      <c r="AJ1647" s="143"/>
      <c r="AK1647" s="143"/>
      <c r="AL1647" s="1112"/>
      <c r="AM1647" s="1112"/>
      <c r="AN1647" s="1112"/>
      <c r="AO1647" s="1112"/>
      <c r="AP1647" s="1112"/>
      <c r="AQ1647" s="1112"/>
    </row>
    <row r="1648" ht="22.5" customHeight="1">
      <c r="A1648" s="166"/>
      <c r="B1648" s="1111"/>
      <c r="C1648" s="524"/>
      <c r="D1648" s="1110"/>
      <c r="E1648" s="669"/>
      <c r="F1648" s="524"/>
      <c r="G1648" s="165"/>
      <c r="H1648" s="669"/>
      <c r="I1648" s="669"/>
      <c r="J1648" s="352"/>
      <c r="K1648" s="271" t="str">
        <f t="shared" si="74"/>
        <v/>
      </c>
      <c r="L1648" s="297"/>
      <c r="M1648" s="334"/>
      <c r="N1648" s="277"/>
      <c r="O1648" s="315"/>
      <c r="P1648" s="344">
        <f t="shared" si="69"/>
        <v>0</v>
      </c>
      <c r="Q1648" s="321"/>
      <c r="R1648" s="672" t="b">
        <v>0</v>
      </c>
      <c r="S1648" s="318"/>
      <c r="T1648" s="319"/>
      <c r="U1648" s="315"/>
      <c r="V1648" s="162"/>
      <c r="W1648" s="149"/>
      <c r="X1648" s="163"/>
      <c r="Y1648" s="162"/>
      <c r="Z1648" s="164"/>
      <c r="AA1648" s="116"/>
      <c r="AB1648" s="116"/>
      <c r="AC1648" s="165"/>
      <c r="AD1648" s="675" t="str">
        <f t="shared" si="76"/>
        <v/>
      </c>
      <c r="AE1648" s="166"/>
      <c r="AF1648" s="149" t="b">
        <v>0</v>
      </c>
      <c r="AG1648" s="166"/>
      <c r="AH1648" s="149" t="b">
        <v>0</v>
      </c>
      <c r="AI1648" s="162"/>
      <c r="AJ1648" s="143"/>
      <c r="AK1648" s="143"/>
      <c r="AL1648" s="1112"/>
      <c r="AM1648" s="1112"/>
      <c r="AN1648" s="1112"/>
      <c r="AO1648" s="1112"/>
      <c r="AP1648" s="1112"/>
      <c r="AQ1648" s="1112"/>
    </row>
    <row r="1649" ht="22.5" customHeight="1">
      <c r="A1649" s="166"/>
      <c r="B1649" s="1111"/>
      <c r="C1649" s="524"/>
      <c r="D1649" s="1110"/>
      <c r="E1649" s="669"/>
      <c r="F1649" s="524"/>
      <c r="G1649" s="165"/>
      <c r="H1649" s="669"/>
      <c r="I1649" s="669"/>
      <c r="J1649" s="352"/>
      <c r="K1649" s="271" t="str">
        <f t="shared" si="74"/>
        <v/>
      </c>
      <c r="L1649" s="297"/>
      <c r="M1649" s="334"/>
      <c r="N1649" s="277"/>
      <c r="O1649" s="315"/>
      <c r="P1649" s="344">
        <f t="shared" si="69"/>
        <v>0</v>
      </c>
      <c r="Q1649" s="321"/>
      <c r="R1649" s="672" t="b">
        <v>0</v>
      </c>
      <c r="S1649" s="318"/>
      <c r="T1649" s="319"/>
      <c r="U1649" s="315"/>
      <c r="V1649" s="162"/>
      <c r="W1649" s="149"/>
      <c r="X1649" s="163"/>
      <c r="Y1649" s="162"/>
      <c r="Z1649" s="164"/>
      <c r="AA1649" s="116"/>
      <c r="AB1649" s="116"/>
      <c r="AC1649" s="165"/>
      <c r="AD1649" s="675" t="str">
        <f t="shared" si="76"/>
        <v/>
      </c>
      <c r="AE1649" s="166"/>
      <c r="AF1649" s="149" t="b">
        <v>0</v>
      </c>
      <c r="AG1649" s="166"/>
      <c r="AH1649" s="149" t="b">
        <v>0</v>
      </c>
      <c r="AI1649" s="162"/>
      <c r="AJ1649" s="143"/>
      <c r="AK1649" s="143"/>
      <c r="AL1649" s="1112"/>
      <c r="AM1649" s="1112"/>
      <c r="AN1649" s="1112"/>
      <c r="AO1649" s="1112"/>
      <c r="AP1649" s="1112"/>
      <c r="AQ1649" s="1112"/>
    </row>
    <row r="1650" ht="22.5" customHeight="1">
      <c r="A1650" s="166"/>
      <c r="B1650" s="1111"/>
      <c r="C1650" s="524"/>
      <c r="D1650" s="1110"/>
      <c r="E1650" s="669"/>
      <c r="F1650" s="524"/>
      <c r="G1650" s="165"/>
      <c r="H1650" s="669"/>
      <c r="I1650" s="669"/>
      <c r="J1650" s="352"/>
      <c r="K1650" s="271" t="str">
        <f t="shared" si="74"/>
        <v/>
      </c>
      <c r="L1650" s="297"/>
      <c r="M1650" s="334"/>
      <c r="N1650" s="277"/>
      <c r="O1650" s="315"/>
      <c r="P1650" s="344">
        <f t="shared" si="69"/>
        <v>0</v>
      </c>
      <c r="Q1650" s="321"/>
      <c r="R1650" s="672" t="b">
        <v>0</v>
      </c>
      <c r="S1650" s="318"/>
      <c r="T1650" s="319"/>
      <c r="U1650" s="315"/>
      <c r="V1650" s="162"/>
      <c r="W1650" s="149"/>
      <c r="X1650" s="163"/>
      <c r="Y1650" s="162"/>
      <c r="Z1650" s="164"/>
      <c r="AA1650" s="116"/>
      <c r="AB1650" s="116"/>
      <c r="AC1650" s="165"/>
      <c r="AD1650" s="675" t="str">
        <f t="shared" si="76"/>
        <v/>
      </c>
      <c r="AE1650" s="166"/>
      <c r="AF1650" s="149" t="b">
        <v>0</v>
      </c>
      <c r="AG1650" s="166"/>
      <c r="AH1650" s="149" t="b">
        <v>0</v>
      </c>
      <c r="AI1650" s="162"/>
      <c r="AJ1650" s="143"/>
      <c r="AK1650" s="143"/>
      <c r="AL1650" s="1112"/>
      <c r="AM1650" s="1112"/>
      <c r="AN1650" s="1112"/>
      <c r="AO1650" s="1112"/>
      <c r="AP1650" s="1112"/>
      <c r="AQ1650" s="1112"/>
    </row>
    <row r="1651" ht="22.5" customHeight="1">
      <c r="A1651" s="166"/>
      <c r="B1651" s="1111"/>
      <c r="C1651" s="524"/>
      <c r="D1651" s="1110"/>
      <c r="E1651" s="669"/>
      <c r="F1651" s="524"/>
      <c r="G1651" s="165"/>
      <c r="H1651" s="669"/>
      <c r="I1651" s="669"/>
      <c r="J1651" s="352"/>
      <c r="K1651" s="271" t="str">
        <f t="shared" si="74"/>
        <v/>
      </c>
      <c r="L1651" s="297"/>
      <c r="M1651" s="334"/>
      <c r="N1651" s="277"/>
      <c r="O1651" s="315"/>
      <c r="P1651" s="344">
        <f t="shared" si="69"/>
        <v>0</v>
      </c>
      <c r="Q1651" s="321"/>
      <c r="R1651" s="672" t="b">
        <v>0</v>
      </c>
      <c r="S1651" s="318"/>
      <c r="T1651" s="319"/>
      <c r="U1651" s="315"/>
      <c r="V1651" s="162"/>
      <c r="W1651" s="149"/>
      <c r="X1651" s="163"/>
      <c r="Y1651" s="162"/>
      <c r="Z1651" s="164"/>
      <c r="AA1651" s="116"/>
      <c r="AB1651" s="116"/>
      <c r="AC1651" s="165"/>
      <c r="AD1651" s="675" t="str">
        <f t="shared" si="76"/>
        <v/>
      </c>
      <c r="AE1651" s="166"/>
      <c r="AF1651" s="149" t="b">
        <v>0</v>
      </c>
      <c r="AG1651" s="166"/>
      <c r="AH1651" s="149" t="b">
        <v>0</v>
      </c>
      <c r="AI1651" s="162"/>
      <c r="AJ1651" s="143"/>
      <c r="AK1651" s="143"/>
      <c r="AL1651" s="1112"/>
      <c r="AM1651" s="1112"/>
      <c r="AN1651" s="1112"/>
      <c r="AO1651" s="1112"/>
      <c r="AP1651" s="1112"/>
      <c r="AQ1651" s="1112"/>
    </row>
    <row r="1652" ht="22.5" customHeight="1">
      <c r="A1652" s="166"/>
      <c r="B1652" s="1111"/>
      <c r="C1652" s="524"/>
      <c r="D1652" s="1110"/>
      <c r="E1652" s="669"/>
      <c r="F1652" s="524"/>
      <c r="G1652" s="165"/>
      <c r="H1652" s="669"/>
      <c r="I1652" s="669"/>
      <c r="J1652" s="352"/>
      <c r="K1652" s="271" t="str">
        <f t="shared" si="74"/>
        <v/>
      </c>
      <c r="L1652" s="297"/>
      <c r="M1652" s="334"/>
      <c r="N1652" s="277"/>
      <c r="O1652" s="315"/>
      <c r="P1652" s="344">
        <f t="shared" si="69"/>
        <v>0</v>
      </c>
      <c r="Q1652" s="321"/>
      <c r="R1652" s="672" t="b">
        <v>0</v>
      </c>
      <c r="S1652" s="318"/>
      <c r="T1652" s="319"/>
      <c r="U1652" s="315"/>
      <c r="V1652" s="162"/>
      <c r="W1652" s="149"/>
      <c r="X1652" s="163"/>
      <c r="Y1652" s="162"/>
      <c r="Z1652" s="164"/>
      <c r="AA1652" s="116"/>
      <c r="AB1652" s="116"/>
      <c r="AC1652" s="165"/>
      <c r="AD1652" s="675" t="str">
        <f t="shared" si="76"/>
        <v/>
      </c>
      <c r="AE1652" s="166"/>
      <c r="AF1652" s="149" t="b">
        <v>0</v>
      </c>
      <c r="AG1652" s="166"/>
      <c r="AH1652" s="149" t="b">
        <v>0</v>
      </c>
      <c r="AI1652" s="162"/>
      <c r="AJ1652" s="143"/>
      <c r="AK1652" s="143"/>
      <c r="AL1652" s="1112"/>
      <c r="AM1652" s="1112"/>
      <c r="AN1652" s="1112"/>
      <c r="AO1652" s="1112"/>
      <c r="AP1652" s="1112"/>
      <c r="AQ1652" s="1112"/>
    </row>
    <row r="1653" ht="22.5" customHeight="1">
      <c r="A1653" s="166"/>
      <c r="B1653" s="1111"/>
      <c r="C1653" s="524"/>
      <c r="D1653" s="1110"/>
      <c r="E1653" s="669"/>
      <c r="F1653" s="524"/>
      <c r="G1653" s="165"/>
      <c r="H1653" s="669"/>
      <c r="I1653" s="669"/>
      <c r="J1653" s="352"/>
      <c r="K1653" s="271" t="str">
        <f t="shared" si="74"/>
        <v/>
      </c>
      <c r="L1653" s="297"/>
      <c r="M1653" s="334"/>
      <c r="N1653" s="277"/>
      <c r="O1653" s="315"/>
      <c r="P1653" s="344">
        <f t="shared" si="69"/>
        <v>0</v>
      </c>
      <c r="Q1653" s="321"/>
      <c r="R1653" s="672" t="b">
        <v>0</v>
      </c>
      <c r="S1653" s="318"/>
      <c r="T1653" s="319"/>
      <c r="U1653" s="315"/>
      <c r="V1653" s="162"/>
      <c r="W1653" s="149"/>
      <c r="X1653" s="163"/>
      <c r="Y1653" s="162"/>
      <c r="Z1653" s="164"/>
      <c r="AA1653" s="116"/>
      <c r="AB1653" s="116"/>
      <c r="AC1653" s="165"/>
      <c r="AD1653" s="675" t="str">
        <f t="shared" si="76"/>
        <v/>
      </c>
      <c r="AE1653" s="166"/>
      <c r="AF1653" s="149" t="b">
        <v>0</v>
      </c>
      <c r="AG1653" s="166"/>
      <c r="AH1653" s="149" t="b">
        <v>0</v>
      </c>
      <c r="AI1653" s="162"/>
      <c r="AJ1653" s="143"/>
      <c r="AK1653" s="143"/>
      <c r="AL1653" s="1112"/>
      <c r="AM1653" s="1112"/>
      <c r="AN1653" s="1112"/>
      <c r="AO1653" s="1112"/>
      <c r="AP1653" s="1112"/>
      <c r="AQ1653" s="1112"/>
    </row>
    <row r="1654" ht="22.5" customHeight="1">
      <c r="A1654" s="166"/>
      <c r="B1654" s="1111"/>
      <c r="C1654" s="524"/>
      <c r="D1654" s="1110"/>
      <c r="E1654" s="669"/>
      <c r="F1654" s="524"/>
      <c r="G1654" s="165"/>
      <c r="H1654" s="669"/>
      <c r="I1654" s="669"/>
      <c r="J1654" s="352"/>
      <c r="K1654" s="271" t="str">
        <f t="shared" si="74"/>
        <v/>
      </c>
      <c r="L1654" s="297"/>
      <c r="M1654" s="334"/>
      <c r="N1654" s="277"/>
      <c r="O1654" s="315"/>
      <c r="P1654" s="344">
        <f t="shared" si="69"/>
        <v>0</v>
      </c>
      <c r="Q1654" s="321"/>
      <c r="R1654" s="672" t="b">
        <v>0</v>
      </c>
      <c r="S1654" s="318"/>
      <c r="T1654" s="319"/>
      <c r="U1654" s="315"/>
      <c r="V1654" s="162"/>
      <c r="W1654" s="149"/>
      <c r="X1654" s="163"/>
      <c r="Y1654" s="162"/>
      <c r="Z1654" s="164"/>
      <c r="AA1654" s="116"/>
      <c r="AB1654" s="116"/>
      <c r="AC1654" s="165"/>
      <c r="AD1654" s="675" t="str">
        <f t="shared" si="76"/>
        <v/>
      </c>
      <c r="AE1654" s="166"/>
      <c r="AF1654" s="149" t="b">
        <v>0</v>
      </c>
      <c r="AG1654" s="166"/>
      <c r="AH1654" s="149" t="b">
        <v>0</v>
      </c>
      <c r="AI1654" s="162"/>
      <c r="AJ1654" s="143"/>
      <c r="AK1654" s="143"/>
      <c r="AL1654" s="1112"/>
      <c r="AM1654" s="1112"/>
      <c r="AN1654" s="1112"/>
      <c r="AO1654" s="1112"/>
      <c r="AP1654" s="1112"/>
      <c r="AQ1654" s="1112"/>
    </row>
    <row r="1655" ht="22.5" customHeight="1">
      <c r="A1655" s="166"/>
      <c r="B1655" s="1111"/>
      <c r="C1655" s="524"/>
      <c r="D1655" s="1110"/>
      <c r="E1655" s="669"/>
      <c r="F1655" s="524"/>
      <c r="G1655" s="165"/>
      <c r="H1655" s="669"/>
      <c r="I1655" s="669"/>
      <c r="J1655" s="352"/>
      <c r="K1655" s="271" t="str">
        <f t="shared" si="74"/>
        <v/>
      </c>
      <c r="L1655" s="297"/>
      <c r="M1655" s="334"/>
      <c r="N1655" s="277"/>
      <c r="O1655" s="315"/>
      <c r="P1655" s="344">
        <f t="shared" si="69"/>
        <v>0</v>
      </c>
      <c r="Q1655" s="321"/>
      <c r="R1655" s="672" t="b">
        <v>0</v>
      </c>
      <c r="S1655" s="318"/>
      <c r="T1655" s="319"/>
      <c r="U1655" s="315"/>
      <c r="V1655" s="162"/>
      <c r="W1655" s="149"/>
      <c r="X1655" s="163"/>
      <c r="Y1655" s="162"/>
      <c r="Z1655" s="164"/>
      <c r="AA1655" s="116"/>
      <c r="AB1655" s="116"/>
      <c r="AC1655" s="165"/>
      <c r="AD1655" s="675" t="str">
        <f t="shared" si="76"/>
        <v/>
      </c>
      <c r="AE1655" s="166"/>
      <c r="AF1655" s="149" t="b">
        <v>0</v>
      </c>
      <c r="AG1655" s="166"/>
      <c r="AH1655" s="149" t="b">
        <v>0</v>
      </c>
      <c r="AI1655" s="162"/>
      <c r="AJ1655" s="143"/>
      <c r="AK1655" s="143"/>
      <c r="AL1655" s="1112"/>
      <c r="AM1655" s="1112"/>
      <c r="AN1655" s="1112"/>
      <c r="AO1655" s="1112"/>
      <c r="AP1655" s="1112"/>
      <c r="AQ1655" s="1112"/>
    </row>
    <row r="1656" ht="22.5" customHeight="1">
      <c r="A1656" s="166"/>
      <c r="B1656" s="1111"/>
      <c r="C1656" s="524"/>
      <c r="D1656" s="1110"/>
      <c r="E1656" s="669"/>
      <c r="F1656" s="524"/>
      <c r="G1656" s="165"/>
      <c r="H1656" s="669"/>
      <c r="I1656" s="669"/>
      <c r="J1656" s="352"/>
      <c r="K1656" s="271" t="str">
        <f t="shared" si="74"/>
        <v/>
      </c>
      <c r="L1656" s="297"/>
      <c r="M1656" s="334"/>
      <c r="N1656" s="277"/>
      <c r="O1656" s="315"/>
      <c r="P1656" s="344">
        <f t="shared" si="69"/>
        <v>0</v>
      </c>
      <c r="Q1656" s="321"/>
      <c r="R1656" s="672" t="b">
        <v>0</v>
      </c>
      <c r="S1656" s="318"/>
      <c r="T1656" s="319"/>
      <c r="U1656" s="315"/>
      <c r="V1656" s="162"/>
      <c r="W1656" s="149"/>
      <c r="X1656" s="163"/>
      <c r="Y1656" s="162"/>
      <c r="Z1656" s="164"/>
      <c r="AA1656" s="116"/>
      <c r="AB1656" s="116"/>
      <c r="AC1656" s="165"/>
      <c r="AD1656" s="675" t="str">
        <f t="shared" si="76"/>
        <v/>
      </c>
      <c r="AE1656" s="166"/>
      <c r="AF1656" s="149" t="b">
        <v>0</v>
      </c>
      <c r="AG1656" s="166"/>
      <c r="AH1656" s="149" t="b">
        <v>0</v>
      </c>
      <c r="AI1656" s="162"/>
      <c r="AJ1656" s="143"/>
      <c r="AK1656" s="143"/>
      <c r="AL1656" s="1112"/>
      <c r="AM1656" s="1112"/>
      <c r="AN1656" s="1112"/>
      <c r="AO1656" s="1112"/>
      <c r="AP1656" s="1112"/>
      <c r="AQ1656" s="1112"/>
    </row>
    <row r="1657" ht="22.5" customHeight="1">
      <c r="A1657" s="166"/>
      <c r="B1657" s="1111"/>
      <c r="C1657" s="524"/>
      <c r="D1657" s="1110"/>
      <c r="E1657" s="669"/>
      <c r="F1657" s="524"/>
      <c r="G1657" s="165"/>
      <c r="H1657" s="669"/>
      <c r="I1657" s="669"/>
      <c r="J1657" s="352"/>
      <c r="K1657" s="271" t="str">
        <f t="shared" si="74"/>
        <v/>
      </c>
      <c r="L1657" s="297"/>
      <c r="M1657" s="334"/>
      <c r="N1657" s="277"/>
      <c r="O1657" s="315"/>
      <c r="P1657" s="344">
        <f t="shared" si="69"/>
        <v>0</v>
      </c>
      <c r="Q1657" s="321"/>
      <c r="R1657" s="672" t="b">
        <v>0</v>
      </c>
      <c r="S1657" s="318"/>
      <c r="T1657" s="319"/>
      <c r="U1657" s="315"/>
      <c r="V1657" s="162"/>
      <c r="W1657" s="149"/>
      <c r="X1657" s="163"/>
      <c r="Y1657" s="162"/>
      <c r="Z1657" s="164"/>
      <c r="AA1657" s="116"/>
      <c r="AB1657" s="116"/>
      <c r="AC1657" s="165"/>
      <c r="AD1657" s="675" t="str">
        <f t="shared" si="76"/>
        <v/>
      </c>
      <c r="AE1657" s="166"/>
      <c r="AF1657" s="149" t="b">
        <v>0</v>
      </c>
      <c r="AG1657" s="166"/>
      <c r="AH1657" s="149" t="b">
        <v>0</v>
      </c>
      <c r="AI1657" s="162"/>
      <c r="AJ1657" s="143"/>
      <c r="AK1657" s="143"/>
      <c r="AL1657" s="1112"/>
      <c r="AM1657" s="1112"/>
      <c r="AN1657" s="1112"/>
      <c r="AO1657" s="1112"/>
      <c r="AP1657" s="1112"/>
      <c r="AQ1657" s="1112"/>
    </row>
    <row r="1658" ht="22.5" customHeight="1">
      <c r="A1658" s="166"/>
      <c r="B1658" s="1111"/>
      <c r="C1658" s="524"/>
      <c r="D1658" s="1110"/>
      <c r="E1658" s="669"/>
      <c r="F1658" s="524"/>
      <c r="G1658" s="165"/>
      <c r="H1658" s="669"/>
      <c r="I1658" s="669"/>
      <c r="J1658" s="352"/>
      <c r="K1658" s="271" t="str">
        <f t="shared" si="74"/>
        <v/>
      </c>
      <c r="L1658" s="297"/>
      <c r="M1658" s="334"/>
      <c r="N1658" s="277"/>
      <c r="O1658" s="315"/>
      <c r="P1658" s="344">
        <f t="shared" si="69"/>
        <v>0</v>
      </c>
      <c r="Q1658" s="321"/>
      <c r="R1658" s="672" t="b">
        <v>0</v>
      </c>
      <c r="S1658" s="318"/>
      <c r="T1658" s="319"/>
      <c r="U1658" s="315"/>
      <c r="V1658" s="162"/>
      <c r="W1658" s="149"/>
      <c r="X1658" s="163"/>
      <c r="Y1658" s="162"/>
      <c r="Z1658" s="164"/>
      <c r="AA1658" s="116"/>
      <c r="AB1658" s="116"/>
      <c r="AC1658" s="165"/>
      <c r="AD1658" s="675" t="str">
        <f t="shared" si="76"/>
        <v/>
      </c>
      <c r="AE1658" s="166"/>
      <c r="AF1658" s="149" t="b">
        <v>0</v>
      </c>
      <c r="AG1658" s="166"/>
      <c r="AH1658" s="149" t="b">
        <v>0</v>
      </c>
      <c r="AI1658" s="162"/>
      <c r="AJ1658" s="143"/>
      <c r="AK1658" s="143"/>
      <c r="AL1658" s="1112"/>
      <c r="AM1658" s="1112"/>
      <c r="AN1658" s="1112"/>
      <c r="AO1658" s="1112"/>
      <c r="AP1658" s="1112"/>
      <c r="AQ1658" s="1112"/>
    </row>
    <row r="1659" ht="22.5" customHeight="1">
      <c r="A1659" s="166"/>
      <c r="B1659" s="1111"/>
      <c r="C1659" s="524"/>
      <c r="D1659" s="1110"/>
      <c r="E1659" s="669"/>
      <c r="F1659" s="524"/>
      <c r="G1659" s="165"/>
      <c r="H1659" s="669"/>
      <c r="I1659" s="669"/>
      <c r="J1659" s="352"/>
      <c r="K1659" s="271" t="str">
        <f t="shared" si="74"/>
        <v/>
      </c>
      <c r="L1659" s="297"/>
      <c r="M1659" s="334"/>
      <c r="N1659" s="277"/>
      <c r="O1659" s="315"/>
      <c r="P1659" s="344">
        <f t="shared" si="69"/>
        <v>0</v>
      </c>
      <c r="Q1659" s="321"/>
      <c r="R1659" s="672" t="b">
        <v>0</v>
      </c>
      <c r="S1659" s="318"/>
      <c r="T1659" s="319"/>
      <c r="U1659" s="315"/>
      <c r="V1659" s="162"/>
      <c r="W1659" s="149"/>
      <c r="X1659" s="163"/>
      <c r="Y1659" s="162"/>
      <c r="Z1659" s="164"/>
      <c r="AA1659" s="116"/>
      <c r="AB1659" s="116"/>
      <c r="AC1659" s="165"/>
      <c r="AD1659" s="675" t="str">
        <f t="shared" si="76"/>
        <v/>
      </c>
      <c r="AE1659" s="166"/>
      <c r="AF1659" s="149" t="b">
        <v>0</v>
      </c>
      <c r="AG1659" s="166"/>
      <c r="AH1659" s="149" t="b">
        <v>0</v>
      </c>
      <c r="AI1659" s="162"/>
      <c r="AJ1659" s="143"/>
      <c r="AK1659" s="143"/>
      <c r="AL1659" s="1112"/>
      <c r="AM1659" s="1112"/>
      <c r="AN1659" s="1112"/>
      <c r="AO1659" s="1112"/>
      <c r="AP1659" s="1112"/>
      <c r="AQ1659" s="1112"/>
    </row>
    <row r="1660" ht="22.5" customHeight="1">
      <c r="A1660" s="166"/>
      <c r="B1660" s="1111"/>
      <c r="C1660" s="524"/>
      <c r="D1660" s="1110"/>
      <c r="E1660" s="669"/>
      <c r="F1660" s="524"/>
      <c r="G1660" s="165"/>
      <c r="H1660" s="669"/>
      <c r="I1660" s="669"/>
      <c r="J1660" s="352"/>
      <c r="K1660" s="271" t="str">
        <f t="shared" si="74"/>
        <v/>
      </c>
      <c r="L1660" s="297"/>
      <c r="M1660" s="334"/>
      <c r="N1660" s="277"/>
      <c r="O1660" s="315"/>
      <c r="P1660" s="344">
        <f t="shared" si="69"/>
        <v>0</v>
      </c>
      <c r="Q1660" s="321"/>
      <c r="R1660" s="672" t="b">
        <v>0</v>
      </c>
      <c r="S1660" s="318"/>
      <c r="T1660" s="319"/>
      <c r="U1660" s="315"/>
      <c r="V1660" s="162"/>
      <c r="W1660" s="149"/>
      <c r="X1660" s="163"/>
      <c r="Y1660" s="162"/>
      <c r="Z1660" s="164"/>
      <c r="AA1660" s="116"/>
      <c r="AB1660" s="116"/>
      <c r="AC1660" s="165"/>
      <c r="AD1660" s="675" t="str">
        <f t="shared" si="76"/>
        <v/>
      </c>
      <c r="AE1660" s="166"/>
      <c r="AF1660" s="149" t="b">
        <v>0</v>
      </c>
      <c r="AG1660" s="166"/>
      <c r="AH1660" s="149" t="b">
        <v>0</v>
      </c>
      <c r="AI1660" s="162"/>
      <c r="AJ1660" s="143"/>
      <c r="AK1660" s="143"/>
      <c r="AL1660" s="1112"/>
      <c r="AM1660" s="1112"/>
      <c r="AN1660" s="1112"/>
      <c r="AO1660" s="1112"/>
      <c r="AP1660" s="1112"/>
      <c r="AQ1660" s="1112"/>
    </row>
    <row r="1661" ht="22.5" customHeight="1">
      <c r="A1661" s="166"/>
      <c r="B1661" s="1111"/>
      <c r="C1661" s="524"/>
      <c r="D1661" s="1110"/>
      <c r="E1661" s="669"/>
      <c r="F1661" s="524"/>
      <c r="G1661" s="165"/>
      <c r="H1661" s="669"/>
      <c r="I1661" s="669"/>
      <c r="J1661" s="352"/>
      <c r="K1661" s="271" t="str">
        <f t="shared" si="74"/>
        <v/>
      </c>
      <c r="L1661" s="297"/>
      <c r="M1661" s="334"/>
      <c r="N1661" s="277"/>
      <c r="O1661" s="315"/>
      <c r="P1661" s="344">
        <f t="shared" si="69"/>
        <v>0</v>
      </c>
      <c r="Q1661" s="321"/>
      <c r="R1661" s="672" t="b">
        <v>0</v>
      </c>
      <c r="S1661" s="318"/>
      <c r="T1661" s="319"/>
      <c r="U1661" s="315"/>
      <c r="V1661" s="162"/>
      <c r="W1661" s="149"/>
      <c r="X1661" s="163"/>
      <c r="Y1661" s="162"/>
      <c r="Z1661" s="164"/>
      <c r="AA1661" s="116"/>
      <c r="AB1661" s="116"/>
      <c r="AC1661" s="165"/>
      <c r="AD1661" s="675" t="str">
        <f t="shared" si="76"/>
        <v/>
      </c>
      <c r="AE1661" s="166"/>
      <c r="AF1661" s="149" t="b">
        <v>0</v>
      </c>
      <c r="AG1661" s="166"/>
      <c r="AH1661" s="149" t="b">
        <v>0</v>
      </c>
      <c r="AI1661" s="162"/>
      <c r="AJ1661" s="143"/>
      <c r="AK1661" s="143"/>
      <c r="AL1661" s="1112"/>
      <c r="AM1661" s="1112"/>
      <c r="AN1661" s="1112"/>
      <c r="AO1661" s="1112"/>
      <c r="AP1661" s="1112"/>
      <c r="AQ1661" s="1112"/>
    </row>
    <row r="1662" ht="22.5" customHeight="1">
      <c r="A1662" s="166"/>
      <c r="B1662" s="1111"/>
      <c r="C1662" s="524"/>
      <c r="D1662" s="1110"/>
      <c r="E1662" s="669"/>
      <c r="F1662" s="524"/>
      <c r="G1662" s="165"/>
      <c r="H1662" s="669"/>
      <c r="I1662" s="669"/>
      <c r="J1662" s="352"/>
      <c r="K1662" s="271" t="str">
        <f t="shared" si="74"/>
        <v/>
      </c>
      <c r="L1662" s="297"/>
      <c r="M1662" s="334"/>
      <c r="N1662" s="277"/>
      <c r="O1662" s="315"/>
      <c r="P1662" s="344">
        <f t="shared" si="69"/>
        <v>0</v>
      </c>
      <c r="Q1662" s="321"/>
      <c r="R1662" s="672" t="b">
        <v>0</v>
      </c>
      <c r="S1662" s="318"/>
      <c r="T1662" s="319"/>
      <c r="U1662" s="315"/>
      <c r="V1662" s="162"/>
      <c r="W1662" s="149"/>
      <c r="X1662" s="163"/>
      <c r="Y1662" s="162"/>
      <c r="Z1662" s="164"/>
      <c r="AA1662" s="116"/>
      <c r="AB1662" s="116"/>
      <c r="AC1662" s="165"/>
      <c r="AD1662" s="675" t="str">
        <f t="shared" si="76"/>
        <v/>
      </c>
      <c r="AE1662" s="166"/>
      <c r="AF1662" s="149" t="b">
        <v>0</v>
      </c>
      <c r="AG1662" s="166"/>
      <c r="AH1662" s="149" t="b">
        <v>0</v>
      </c>
      <c r="AI1662" s="162"/>
      <c r="AJ1662" s="143"/>
      <c r="AK1662" s="143"/>
      <c r="AL1662" s="1112"/>
      <c r="AM1662" s="1112"/>
      <c r="AN1662" s="1112"/>
      <c r="AO1662" s="1112"/>
      <c r="AP1662" s="1112"/>
      <c r="AQ1662" s="1112"/>
    </row>
    <row r="1663" ht="22.5" customHeight="1">
      <c r="A1663" s="166"/>
      <c r="B1663" s="1111"/>
      <c r="C1663" s="524"/>
      <c r="D1663" s="1110"/>
      <c r="E1663" s="669"/>
      <c r="F1663" s="524"/>
      <c r="G1663" s="165"/>
      <c r="H1663" s="669"/>
      <c r="I1663" s="669"/>
      <c r="J1663" s="352"/>
      <c r="K1663" s="271" t="str">
        <f t="shared" si="74"/>
        <v/>
      </c>
      <c r="L1663" s="297"/>
      <c r="M1663" s="334"/>
      <c r="N1663" s="277"/>
      <c r="O1663" s="315"/>
      <c r="P1663" s="344">
        <f t="shared" si="69"/>
        <v>0</v>
      </c>
      <c r="Q1663" s="321"/>
      <c r="R1663" s="672" t="b">
        <v>0</v>
      </c>
      <c r="S1663" s="318"/>
      <c r="T1663" s="319"/>
      <c r="U1663" s="315"/>
      <c r="V1663" s="162"/>
      <c r="W1663" s="149"/>
      <c r="X1663" s="163"/>
      <c r="Y1663" s="162"/>
      <c r="Z1663" s="164"/>
      <c r="AA1663" s="116"/>
      <c r="AB1663" s="116"/>
      <c r="AC1663" s="165"/>
      <c r="AD1663" s="675" t="str">
        <f t="shared" si="76"/>
        <v/>
      </c>
      <c r="AE1663" s="166"/>
      <c r="AF1663" s="149" t="b">
        <v>0</v>
      </c>
      <c r="AG1663" s="166"/>
      <c r="AH1663" s="149" t="b">
        <v>0</v>
      </c>
      <c r="AI1663" s="162"/>
      <c r="AJ1663" s="143"/>
      <c r="AK1663" s="143"/>
      <c r="AL1663" s="1112"/>
      <c r="AM1663" s="1112"/>
      <c r="AN1663" s="1112"/>
      <c r="AO1663" s="1112"/>
      <c r="AP1663" s="1112"/>
      <c r="AQ1663" s="1112"/>
    </row>
    <row r="1664" ht="22.5" customHeight="1">
      <c r="A1664" s="166"/>
      <c r="B1664" s="1111"/>
      <c r="C1664" s="524"/>
      <c r="D1664" s="1110"/>
      <c r="E1664" s="669"/>
      <c r="F1664" s="524"/>
      <c r="G1664" s="165"/>
      <c r="H1664" s="669"/>
      <c r="I1664" s="669"/>
      <c r="J1664" s="352"/>
      <c r="K1664" s="271" t="str">
        <f t="shared" si="74"/>
        <v/>
      </c>
      <c r="L1664" s="297"/>
      <c r="M1664" s="334"/>
      <c r="N1664" s="277"/>
      <c r="O1664" s="315"/>
      <c r="P1664" s="344">
        <f t="shared" si="69"/>
        <v>0</v>
      </c>
      <c r="Q1664" s="321"/>
      <c r="R1664" s="672" t="b">
        <v>0</v>
      </c>
      <c r="S1664" s="318"/>
      <c r="T1664" s="319"/>
      <c r="U1664" s="315"/>
      <c r="V1664" s="162"/>
      <c r="W1664" s="149"/>
      <c r="X1664" s="163"/>
      <c r="Y1664" s="162"/>
      <c r="Z1664" s="164"/>
      <c r="AA1664" s="116"/>
      <c r="AB1664" s="116"/>
      <c r="AC1664" s="165"/>
      <c r="AD1664" s="675" t="str">
        <f t="shared" si="76"/>
        <v/>
      </c>
      <c r="AE1664" s="166"/>
      <c r="AF1664" s="149" t="b">
        <v>0</v>
      </c>
      <c r="AG1664" s="166"/>
      <c r="AH1664" s="149" t="b">
        <v>0</v>
      </c>
      <c r="AI1664" s="162"/>
      <c r="AJ1664" s="143"/>
      <c r="AK1664" s="143"/>
      <c r="AL1664" s="1112"/>
      <c r="AM1664" s="1112"/>
      <c r="AN1664" s="1112"/>
      <c r="AO1664" s="1112"/>
      <c r="AP1664" s="1112"/>
      <c r="AQ1664" s="1112"/>
    </row>
    <row r="1665" ht="22.5" customHeight="1">
      <c r="A1665" s="166"/>
      <c r="B1665" s="1111"/>
      <c r="C1665" s="524"/>
      <c r="D1665" s="1110"/>
      <c r="E1665" s="669"/>
      <c r="F1665" s="524"/>
      <c r="G1665" s="165"/>
      <c r="H1665" s="669"/>
      <c r="I1665" s="669"/>
      <c r="J1665" s="352"/>
      <c r="K1665" s="271" t="str">
        <f t="shared" si="74"/>
        <v/>
      </c>
      <c r="L1665" s="297"/>
      <c r="M1665" s="334"/>
      <c r="N1665" s="277"/>
      <c r="O1665" s="315"/>
      <c r="P1665" s="344">
        <f t="shared" si="69"/>
        <v>0</v>
      </c>
      <c r="Q1665" s="321"/>
      <c r="R1665" s="672" t="b">
        <v>0</v>
      </c>
      <c r="S1665" s="318"/>
      <c r="T1665" s="319"/>
      <c r="U1665" s="315"/>
      <c r="V1665" s="162"/>
      <c r="W1665" s="149"/>
      <c r="X1665" s="163"/>
      <c r="Y1665" s="162"/>
      <c r="Z1665" s="164"/>
      <c r="AA1665" s="116"/>
      <c r="AB1665" s="116"/>
      <c r="AC1665" s="165"/>
      <c r="AD1665" s="675" t="str">
        <f t="shared" si="76"/>
        <v/>
      </c>
      <c r="AE1665" s="166"/>
      <c r="AF1665" s="149" t="b">
        <v>0</v>
      </c>
      <c r="AG1665" s="166"/>
      <c r="AH1665" s="149" t="b">
        <v>0</v>
      </c>
      <c r="AI1665" s="162"/>
      <c r="AJ1665" s="143"/>
      <c r="AK1665" s="143"/>
      <c r="AL1665" s="1112"/>
      <c r="AM1665" s="1112"/>
      <c r="AN1665" s="1112"/>
      <c r="AO1665" s="1112"/>
      <c r="AP1665" s="1112"/>
      <c r="AQ1665" s="1112"/>
    </row>
    <row r="1666" ht="22.5" customHeight="1">
      <c r="A1666" s="166"/>
      <c r="B1666" s="1111"/>
      <c r="C1666" s="524"/>
      <c r="D1666" s="1110"/>
      <c r="E1666" s="669"/>
      <c r="F1666" s="524"/>
      <c r="G1666" s="165"/>
      <c r="H1666" s="669"/>
      <c r="I1666" s="669"/>
      <c r="J1666" s="352"/>
      <c r="K1666" s="271" t="str">
        <f t="shared" si="74"/>
        <v/>
      </c>
      <c r="L1666" s="297"/>
      <c r="M1666" s="334"/>
      <c r="N1666" s="277"/>
      <c r="O1666" s="315"/>
      <c r="P1666" s="344">
        <f t="shared" si="69"/>
        <v>0</v>
      </c>
      <c r="Q1666" s="321"/>
      <c r="R1666" s="672" t="b">
        <v>0</v>
      </c>
      <c r="S1666" s="318"/>
      <c r="T1666" s="319"/>
      <c r="U1666" s="315"/>
      <c r="V1666" s="162"/>
      <c r="W1666" s="149"/>
      <c r="X1666" s="163"/>
      <c r="Y1666" s="162"/>
      <c r="Z1666" s="164"/>
      <c r="AA1666" s="116"/>
      <c r="AB1666" s="116"/>
      <c r="AC1666" s="165"/>
      <c r="AD1666" s="675" t="str">
        <f t="shared" si="76"/>
        <v/>
      </c>
      <c r="AE1666" s="166"/>
      <c r="AF1666" s="149" t="b">
        <v>0</v>
      </c>
      <c r="AG1666" s="166"/>
      <c r="AH1666" s="149" t="b">
        <v>0</v>
      </c>
      <c r="AI1666" s="162"/>
      <c r="AJ1666" s="143"/>
      <c r="AK1666" s="143"/>
      <c r="AL1666" s="1112"/>
      <c r="AM1666" s="1112"/>
      <c r="AN1666" s="1112"/>
      <c r="AO1666" s="1112"/>
      <c r="AP1666" s="1112"/>
      <c r="AQ1666" s="1112"/>
    </row>
    <row r="1667" ht="22.5" customHeight="1">
      <c r="A1667" s="166"/>
      <c r="B1667" s="1111"/>
      <c r="C1667" s="524"/>
      <c r="D1667" s="1110"/>
      <c r="E1667" s="669"/>
      <c r="F1667" s="524"/>
      <c r="G1667" s="165"/>
      <c r="H1667" s="669"/>
      <c r="I1667" s="669"/>
      <c r="J1667" s="352"/>
      <c r="K1667" s="271" t="str">
        <f t="shared" si="74"/>
        <v/>
      </c>
      <c r="L1667" s="297"/>
      <c r="M1667" s="334"/>
      <c r="N1667" s="277"/>
      <c r="O1667" s="315"/>
      <c r="P1667" s="344">
        <f t="shared" si="69"/>
        <v>0</v>
      </c>
      <c r="Q1667" s="321"/>
      <c r="R1667" s="672" t="b">
        <v>0</v>
      </c>
      <c r="S1667" s="318"/>
      <c r="T1667" s="319"/>
      <c r="U1667" s="315"/>
      <c r="V1667" s="162"/>
      <c r="W1667" s="149"/>
      <c r="X1667" s="163"/>
      <c r="Y1667" s="162"/>
      <c r="Z1667" s="164"/>
      <c r="AA1667" s="116"/>
      <c r="AB1667" s="116"/>
      <c r="AC1667" s="165"/>
      <c r="AD1667" s="675" t="str">
        <f t="shared" si="76"/>
        <v/>
      </c>
      <c r="AE1667" s="166"/>
      <c r="AF1667" s="149" t="b">
        <v>0</v>
      </c>
      <c r="AG1667" s="166"/>
      <c r="AH1667" s="149" t="b">
        <v>0</v>
      </c>
      <c r="AI1667" s="162"/>
      <c r="AJ1667" s="143"/>
      <c r="AK1667" s="143"/>
      <c r="AL1667" s="1112"/>
      <c r="AM1667" s="1112"/>
      <c r="AN1667" s="1112"/>
      <c r="AO1667" s="1112"/>
      <c r="AP1667" s="1112"/>
      <c r="AQ1667" s="1112"/>
    </row>
    <row r="1668" ht="22.5" customHeight="1">
      <c r="A1668" s="166"/>
      <c r="B1668" s="1111"/>
      <c r="C1668" s="524"/>
      <c r="D1668" s="1110"/>
      <c r="E1668" s="669"/>
      <c r="F1668" s="524"/>
      <c r="G1668" s="165"/>
      <c r="H1668" s="669"/>
      <c r="I1668" s="669"/>
      <c r="J1668" s="352"/>
      <c r="K1668" s="271" t="str">
        <f t="shared" si="74"/>
        <v/>
      </c>
      <c r="L1668" s="297"/>
      <c r="M1668" s="334"/>
      <c r="N1668" s="277"/>
      <c r="O1668" s="315"/>
      <c r="P1668" s="344">
        <f t="shared" si="69"/>
        <v>0</v>
      </c>
      <c r="Q1668" s="321"/>
      <c r="R1668" s="672" t="b">
        <v>0</v>
      </c>
      <c r="S1668" s="318"/>
      <c r="T1668" s="319"/>
      <c r="U1668" s="315"/>
      <c r="V1668" s="162"/>
      <c r="W1668" s="149"/>
      <c r="X1668" s="163"/>
      <c r="Y1668" s="162"/>
      <c r="Z1668" s="164"/>
      <c r="AA1668" s="116"/>
      <c r="AB1668" s="116"/>
      <c r="AC1668" s="165"/>
      <c r="AD1668" s="675" t="str">
        <f t="shared" si="76"/>
        <v/>
      </c>
      <c r="AE1668" s="166"/>
      <c r="AF1668" s="149" t="b">
        <v>0</v>
      </c>
      <c r="AG1668" s="166"/>
      <c r="AH1668" s="149" t="b">
        <v>0</v>
      </c>
      <c r="AI1668" s="162"/>
      <c r="AJ1668" s="143"/>
      <c r="AK1668" s="143"/>
      <c r="AL1668" s="1112"/>
      <c r="AM1668" s="1112"/>
      <c r="AN1668" s="1112"/>
      <c r="AO1668" s="1112"/>
      <c r="AP1668" s="1112"/>
      <c r="AQ1668" s="1112"/>
    </row>
    <row r="1669" ht="22.5" customHeight="1">
      <c r="A1669" s="166"/>
      <c r="B1669" s="1111"/>
      <c r="C1669" s="524"/>
      <c r="D1669" s="1110"/>
      <c r="E1669" s="669"/>
      <c r="F1669" s="524"/>
      <c r="G1669" s="165"/>
      <c r="H1669" s="669"/>
      <c r="I1669" s="669"/>
      <c r="J1669" s="352"/>
      <c r="K1669" s="271" t="str">
        <f t="shared" si="74"/>
        <v/>
      </c>
      <c r="L1669" s="297"/>
      <c r="M1669" s="334"/>
      <c r="N1669" s="277"/>
      <c r="O1669" s="315"/>
      <c r="P1669" s="344">
        <f t="shared" si="69"/>
        <v>0</v>
      </c>
      <c r="Q1669" s="321"/>
      <c r="R1669" s="672" t="b">
        <v>0</v>
      </c>
      <c r="S1669" s="318"/>
      <c r="T1669" s="319"/>
      <c r="U1669" s="315"/>
      <c r="V1669" s="162"/>
      <c r="W1669" s="149"/>
      <c r="X1669" s="163"/>
      <c r="Y1669" s="162"/>
      <c r="Z1669" s="164"/>
      <c r="AA1669" s="116"/>
      <c r="AB1669" s="116"/>
      <c r="AC1669" s="165"/>
      <c r="AD1669" s="675" t="str">
        <f t="shared" si="76"/>
        <v/>
      </c>
      <c r="AE1669" s="166"/>
      <c r="AF1669" s="149" t="b">
        <v>0</v>
      </c>
      <c r="AG1669" s="166"/>
      <c r="AH1669" s="149" t="b">
        <v>0</v>
      </c>
      <c r="AI1669" s="162"/>
      <c r="AJ1669" s="143"/>
      <c r="AK1669" s="143"/>
      <c r="AL1669" s="1112"/>
      <c r="AM1669" s="1112"/>
      <c r="AN1669" s="1112"/>
      <c r="AO1669" s="1112"/>
      <c r="AP1669" s="1112"/>
      <c r="AQ1669" s="1112"/>
    </row>
    <row r="1670" ht="22.5" customHeight="1">
      <c r="A1670" s="166"/>
      <c r="B1670" s="1111"/>
      <c r="C1670" s="524"/>
      <c r="D1670" s="1110"/>
      <c r="E1670" s="669"/>
      <c r="F1670" s="524"/>
      <c r="G1670" s="165"/>
      <c r="H1670" s="669"/>
      <c r="I1670" s="669"/>
      <c r="J1670" s="352"/>
      <c r="K1670" s="271" t="str">
        <f t="shared" si="74"/>
        <v/>
      </c>
      <c r="L1670" s="297"/>
      <c r="M1670" s="334"/>
      <c r="N1670" s="277"/>
      <c r="O1670" s="315"/>
      <c r="P1670" s="344">
        <f t="shared" si="69"/>
        <v>0</v>
      </c>
      <c r="Q1670" s="321"/>
      <c r="R1670" s="672" t="b">
        <v>0</v>
      </c>
      <c r="S1670" s="318"/>
      <c r="T1670" s="319"/>
      <c r="U1670" s="315"/>
      <c r="V1670" s="162"/>
      <c r="W1670" s="149"/>
      <c r="X1670" s="163"/>
      <c r="Y1670" s="162"/>
      <c r="Z1670" s="164"/>
      <c r="AA1670" s="116"/>
      <c r="AB1670" s="116"/>
      <c r="AC1670" s="165"/>
      <c r="AD1670" s="675" t="str">
        <f t="shared" si="76"/>
        <v/>
      </c>
      <c r="AE1670" s="166"/>
      <c r="AF1670" s="149" t="b">
        <v>0</v>
      </c>
      <c r="AG1670" s="166"/>
      <c r="AH1670" s="149" t="b">
        <v>0</v>
      </c>
      <c r="AI1670" s="162"/>
      <c r="AJ1670" s="143"/>
      <c r="AK1670" s="143"/>
      <c r="AL1670" s="1112"/>
      <c r="AM1670" s="1112"/>
      <c r="AN1670" s="1112"/>
      <c r="AO1670" s="1112"/>
      <c r="AP1670" s="1112"/>
      <c r="AQ1670" s="1112"/>
    </row>
    <row r="1671" ht="22.5" customHeight="1">
      <c r="A1671" s="166"/>
      <c r="B1671" s="1111"/>
      <c r="C1671" s="524"/>
      <c r="D1671" s="1110"/>
      <c r="E1671" s="669"/>
      <c r="F1671" s="524"/>
      <c r="G1671" s="165"/>
      <c r="H1671" s="669"/>
      <c r="I1671" s="669"/>
      <c r="J1671" s="352"/>
      <c r="K1671" s="271" t="str">
        <f t="shared" si="74"/>
        <v/>
      </c>
      <c r="L1671" s="297"/>
      <c r="M1671" s="334"/>
      <c r="N1671" s="277"/>
      <c r="O1671" s="315"/>
      <c r="P1671" s="344">
        <f t="shared" si="69"/>
        <v>0</v>
      </c>
      <c r="Q1671" s="321"/>
      <c r="R1671" s="672" t="b">
        <v>0</v>
      </c>
      <c r="S1671" s="318"/>
      <c r="T1671" s="319"/>
      <c r="U1671" s="315"/>
      <c r="V1671" s="162"/>
      <c r="W1671" s="149"/>
      <c r="X1671" s="163"/>
      <c r="Y1671" s="162"/>
      <c r="Z1671" s="164"/>
      <c r="AA1671" s="116"/>
      <c r="AB1671" s="116"/>
      <c r="AC1671" s="165"/>
      <c r="AD1671" s="675" t="str">
        <f t="shared" si="76"/>
        <v/>
      </c>
      <c r="AE1671" s="166"/>
      <c r="AF1671" s="149" t="b">
        <v>0</v>
      </c>
      <c r="AG1671" s="166"/>
      <c r="AH1671" s="149" t="b">
        <v>0</v>
      </c>
      <c r="AI1671" s="162"/>
      <c r="AJ1671" s="143"/>
      <c r="AK1671" s="143"/>
      <c r="AL1671" s="1112"/>
      <c r="AM1671" s="1112"/>
      <c r="AN1671" s="1112"/>
      <c r="AO1671" s="1112"/>
      <c r="AP1671" s="1112"/>
      <c r="AQ1671" s="1112"/>
    </row>
    <row r="1672" ht="22.5" customHeight="1">
      <c r="A1672" s="166"/>
      <c r="B1672" s="1111"/>
      <c r="C1672" s="524"/>
      <c r="D1672" s="1110"/>
      <c r="E1672" s="669"/>
      <c r="F1672" s="524"/>
      <c r="G1672" s="165"/>
      <c r="H1672" s="669"/>
      <c r="I1672" s="669"/>
      <c r="J1672" s="352"/>
      <c r="K1672" s="271" t="str">
        <f t="shared" si="74"/>
        <v/>
      </c>
      <c r="L1672" s="297"/>
      <c r="M1672" s="334"/>
      <c r="N1672" s="277"/>
      <c r="O1672" s="315"/>
      <c r="P1672" s="344">
        <f t="shared" si="69"/>
        <v>0</v>
      </c>
      <c r="Q1672" s="321"/>
      <c r="R1672" s="672" t="b">
        <v>0</v>
      </c>
      <c r="S1672" s="318"/>
      <c r="T1672" s="319"/>
      <c r="U1672" s="315"/>
      <c r="V1672" s="162"/>
      <c r="W1672" s="149"/>
      <c r="X1672" s="163"/>
      <c r="Y1672" s="162"/>
      <c r="Z1672" s="164"/>
      <c r="AA1672" s="116"/>
      <c r="AB1672" s="116"/>
      <c r="AC1672" s="165"/>
      <c r="AD1672" s="675" t="str">
        <f t="shared" si="76"/>
        <v/>
      </c>
      <c r="AE1672" s="166"/>
      <c r="AF1672" s="149" t="b">
        <v>0</v>
      </c>
      <c r="AG1672" s="166"/>
      <c r="AH1672" s="149" t="b">
        <v>0</v>
      </c>
      <c r="AI1672" s="162"/>
      <c r="AJ1672" s="143"/>
      <c r="AK1672" s="143"/>
      <c r="AL1672" s="1112"/>
      <c r="AM1672" s="1112"/>
      <c r="AN1672" s="1112"/>
      <c r="AO1672" s="1112"/>
      <c r="AP1672" s="1112"/>
      <c r="AQ1672" s="1112"/>
    </row>
    <row r="1673" ht="22.5" customHeight="1">
      <c r="A1673" s="166"/>
      <c r="B1673" s="1111"/>
      <c r="C1673" s="524"/>
      <c r="D1673" s="1110"/>
      <c r="E1673" s="669"/>
      <c r="F1673" s="524"/>
      <c r="G1673" s="165"/>
      <c r="H1673" s="669"/>
      <c r="I1673" s="669"/>
      <c r="J1673" s="352"/>
      <c r="K1673" s="271" t="str">
        <f t="shared" si="74"/>
        <v/>
      </c>
      <c r="L1673" s="297"/>
      <c r="M1673" s="334"/>
      <c r="N1673" s="277"/>
      <c r="O1673" s="315"/>
      <c r="P1673" s="344">
        <f t="shared" si="69"/>
        <v>0</v>
      </c>
      <c r="Q1673" s="321"/>
      <c r="R1673" s="672" t="b">
        <v>0</v>
      </c>
      <c r="S1673" s="318"/>
      <c r="T1673" s="319"/>
      <c r="U1673" s="315"/>
      <c r="V1673" s="162"/>
      <c r="W1673" s="149"/>
      <c r="X1673" s="163"/>
      <c r="Y1673" s="162"/>
      <c r="Z1673" s="164"/>
      <c r="AA1673" s="116"/>
      <c r="AB1673" s="116"/>
      <c r="AC1673" s="165"/>
      <c r="AD1673" s="675" t="str">
        <f t="shared" si="76"/>
        <v/>
      </c>
      <c r="AE1673" s="166"/>
      <c r="AF1673" s="149" t="b">
        <v>0</v>
      </c>
      <c r="AG1673" s="166"/>
      <c r="AH1673" s="149" t="b">
        <v>0</v>
      </c>
      <c r="AI1673" s="162"/>
      <c r="AJ1673" s="143"/>
      <c r="AK1673" s="143"/>
      <c r="AL1673" s="1112"/>
      <c r="AM1673" s="1112"/>
      <c r="AN1673" s="1112"/>
      <c r="AO1673" s="1112"/>
      <c r="AP1673" s="1112"/>
      <c r="AQ1673" s="1112"/>
    </row>
    <row r="1674" ht="22.5" customHeight="1">
      <c r="A1674" s="166"/>
      <c r="B1674" s="1111"/>
      <c r="C1674" s="524"/>
      <c r="D1674" s="1110"/>
      <c r="E1674" s="669"/>
      <c r="F1674" s="524"/>
      <c r="G1674" s="165"/>
      <c r="H1674" s="669"/>
      <c r="I1674" s="669"/>
      <c r="J1674" s="352"/>
      <c r="K1674" s="271" t="str">
        <f t="shared" si="74"/>
        <v/>
      </c>
      <c r="L1674" s="297"/>
      <c r="M1674" s="334"/>
      <c r="N1674" s="277"/>
      <c r="O1674" s="315"/>
      <c r="P1674" s="344">
        <f t="shared" si="69"/>
        <v>0</v>
      </c>
      <c r="Q1674" s="321"/>
      <c r="R1674" s="672" t="b">
        <v>0</v>
      </c>
      <c r="S1674" s="318"/>
      <c r="T1674" s="319"/>
      <c r="U1674" s="315"/>
      <c r="V1674" s="162"/>
      <c r="W1674" s="149"/>
      <c r="X1674" s="163"/>
      <c r="Y1674" s="162"/>
      <c r="Z1674" s="164"/>
      <c r="AA1674" s="116"/>
      <c r="AB1674" s="116"/>
      <c r="AC1674" s="165"/>
      <c r="AD1674" s="675" t="str">
        <f t="shared" si="76"/>
        <v/>
      </c>
      <c r="AE1674" s="166"/>
      <c r="AF1674" s="149" t="b">
        <v>0</v>
      </c>
      <c r="AG1674" s="166"/>
      <c r="AH1674" s="149" t="b">
        <v>0</v>
      </c>
      <c r="AI1674" s="162"/>
      <c r="AJ1674" s="143"/>
      <c r="AK1674" s="143"/>
      <c r="AL1674" s="1112"/>
      <c r="AM1674" s="1112"/>
      <c r="AN1674" s="1112"/>
      <c r="AO1674" s="1112"/>
      <c r="AP1674" s="1112"/>
      <c r="AQ1674" s="1112"/>
    </row>
    <row r="1675" ht="22.5" customHeight="1">
      <c r="A1675" s="166"/>
      <c r="B1675" s="1111"/>
      <c r="C1675" s="524"/>
      <c r="D1675" s="1110"/>
      <c r="E1675" s="669"/>
      <c r="F1675" s="524"/>
      <c r="G1675" s="165"/>
      <c r="H1675" s="669"/>
      <c r="I1675" s="669"/>
      <c r="J1675" s="352"/>
      <c r="K1675" s="271" t="str">
        <f t="shared" si="74"/>
        <v/>
      </c>
      <c r="L1675" s="297"/>
      <c r="M1675" s="334"/>
      <c r="N1675" s="277"/>
      <c r="O1675" s="315"/>
      <c r="P1675" s="344">
        <f t="shared" si="69"/>
        <v>0</v>
      </c>
      <c r="Q1675" s="321"/>
      <c r="R1675" s="672" t="b">
        <v>0</v>
      </c>
      <c r="S1675" s="318"/>
      <c r="T1675" s="319"/>
      <c r="U1675" s="315"/>
      <c r="V1675" s="162"/>
      <c r="W1675" s="149"/>
      <c r="X1675" s="163"/>
      <c r="Y1675" s="162"/>
      <c r="Z1675" s="164"/>
      <c r="AA1675" s="116"/>
      <c r="AB1675" s="116"/>
      <c r="AC1675" s="165"/>
      <c r="AD1675" s="675" t="str">
        <f t="shared" si="76"/>
        <v/>
      </c>
      <c r="AE1675" s="166"/>
      <c r="AF1675" s="149" t="b">
        <v>0</v>
      </c>
      <c r="AG1675" s="166"/>
      <c r="AH1675" s="149" t="b">
        <v>0</v>
      </c>
      <c r="AI1675" s="162"/>
      <c r="AJ1675" s="143"/>
      <c r="AK1675" s="143"/>
      <c r="AL1675" s="1112"/>
      <c r="AM1675" s="1112"/>
      <c r="AN1675" s="1112"/>
      <c r="AO1675" s="1112"/>
      <c r="AP1675" s="1112"/>
      <c r="AQ1675" s="1112"/>
    </row>
    <row r="1676" ht="22.5" customHeight="1">
      <c r="A1676" s="166"/>
      <c r="B1676" s="1111"/>
      <c r="C1676" s="524"/>
      <c r="D1676" s="1110"/>
      <c r="E1676" s="669"/>
      <c r="F1676" s="524"/>
      <c r="G1676" s="165"/>
      <c r="H1676" s="669"/>
      <c r="I1676" s="669"/>
      <c r="J1676" s="352"/>
      <c r="K1676" s="271" t="str">
        <f t="shared" si="74"/>
        <v/>
      </c>
      <c r="L1676" s="297"/>
      <c r="M1676" s="334"/>
      <c r="N1676" s="277"/>
      <c r="O1676" s="315"/>
      <c r="P1676" s="344">
        <f t="shared" si="69"/>
        <v>0</v>
      </c>
      <c r="Q1676" s="321"/>
      <c r="R1676" s="672" t="b">
        <v>0</v>
      </c>
      <c r="S1676" s="318"/>
      <c r="T1676" s="319"/>
      <c r="U1676" s="315"/>
      <c r="V1676" s="162"/>
      <c r="W1676" s="149"/>
      <c r="X1676" s="163"/>
      <c r="Y1676" s="162"/>
      <c r="Z1676" s="164"/>
      <c r="AA1676" s="116"/>
      <c r="AB1676" s="116"/>
      <c r="AC1676" s="165"/>
      <c r="AD1676" s="675" t="str">
        <f t="shared" si="76"/>
        <v/>
      </c>
      <c r="AE1676" s="166"/>
      <c r="AF1676" s="149" t="b">
        <v>0</v>
      </c>
      <c r="AG1676" s="166"/>
      <c r="AH1676" s="149" t="b">
        <v>0</v>
      </c>
      <c r="AI1676" s="162"/>
      <c r="AJ1676" s="143"/>
      <c r="AK1676" s="143"/>
      <c r="AL1676" s="1112"/>
      <c r="AM1676" s="1112"/>
      <c r="AN1676" s="1112"/>
      <c r="AO1676" s="1112"/>
      <c r="AP1676" s="1112"/>
      <c r="AQ1676" s="1112"/>
    </row>
    <row r="1677" ht="22.5" customHeight="1">
      <c r="A1677" s="166"/>
      <c r="B1677" s="1111"/>
      <c r="C1677" s="524"/>
      <c r="D1677" s="1110"/>
      <c r="E1677" s="669"/>
      <c r="F1677" s="524"/>
      <c r="G1677" s="165"/>
      <c r="H1677" s="669"/>
      <c r="I1677" s="669"/>
      <c r="J1677" s="352"/>
      <c r="K1677" s="271" t="str">
        <f t="shared" si="74"/>
        <v/>
      </c>
      <c r="L1677" s="297"/>
      <c r="M1677" s="334"/>
      <c r="N1677" s="277"/>
      <c r="O1677" s="315"/>
      <c r="P1677" s="344">
        <f t="shared" si="69"/>
        <v>0</v>
      </c>
      <c r="Q1677" s="321"/>
      <c r="R1677" s="672" t="b">
        <v>0</v>
      </c>
      <c r="S1677" s="318"/>
      <c r="T1677" s="319"/>
      <c r="U1677" s="315"/>
      <c r="V1677" s="162"/>
      <c r="W1677" s="149"/>
      <c r="X1677" s="163"/>
      <c r="Y1677" s="162"/>
      <c r="Z1677" s="164"/>
      <c r="AA1677" s="116"/>
      <c r="AB1677" s="116"/>
      <c r="AC1677" s="165"/>
      <c r="AD1677" s="675" t="str">
        <f t="shared" si="76"/>
        <v/>
      </c>
      <c r="AE1677" s="166"/>
      <c r="AF1677" s="149" t="b">
        <v>0</v>
      </c>
      <c r="AG1677" s="166"/>
      <c r="AH1677" s="149" t="b">
        <v>0</v>
      </c>
      <c r="AI1677" s="162"/>
      <c r="AJ1677" s="143"/>
      <c r="AK1677" s="143"/>
      <c r="AL1677" s="1112"/>
      <c r="AM1677" s="1112"/>
      <c r="AN1677" s="1112"/>
      <c r="AO1677" s="1112"/>
      <c r="AP1677" s="1112"/>
      <c r="AQ1677" s="1112"/>
    </row>
    <row r="1678" ht="22.5" customHeight="1">
      <c r="A1678" s="166"/>
      <c r="B1678" s="1111"/>
      <c r="C1678" s="524"/>
      <c r="D1678" s="1110"/>
      <c r="E1678" s="669"/>
      <c r="F1678" s="524"/>
      <c r="G1678" s="165"/>
      <c r="H1678" s="669"/>
      <c r="I1678" s="669"/>
      <c r="J1678" s="352"/>
      <c r="K1678" s="271" t="str">
        <f t="shared" si="74"/>
        <v/>
      </c>
      <c r="L1678" s="297"/>
      <c r="M1678" s="334"/>
      <c r="N1678" s="277"/>
      <c r="O1678" s="315"/>
      <c r="P1678" s="344">
        <f t="shared" si="69"/>
        <v>0</v>
      </c>
      <c r="Q1678" s="321"/>
      <c r="R1678" s="672" t="b">
        <v>0</v>
      </c>
      <c r="S1678" s="318"/>
      <c r="T1678" s="319"/>
      <c r="U1678" s="315"/>
      <c r="V1678" s="162"/>
      <c r="W1678" s="149"/>
      <c r="X1678" s="163"/>
      <c r="Y1678" s="162"/>
      <c r="Z1678" s="164"/>
      <c r="AA1678" s="116"/>
      <c r="AB1678" s="116"/>
      <c r="AC1678" s="165"/>
      <c r="AD1678" s="675" t="str">
        <f t="shared" si="76"/>
        <v/>
      </c>
      <c r="AE1678" s="166"/>
      <c r="AF1678" s="149" t="b">
        <v>0</v>
      </c>
      <c r="AG1678" s="166"/>
      <c r="AH1678" s="149" t="b">
        <v>0</v>
      </c>
      <c r="AI1678" s="162"/>
      <c r="AJ1678" s="143"/>
      <c r="AK1678" s="143"/>
      <c r="AL1678" s="1112"/>
      <c r="AM1678" s="1112"/>
      <c r="AN1678" s="1112"/>
      <c r="AO1678" s="1112"/>
      <c r="AP1678" s="1112"/>
      <c r="AQ1678" s="1112"/>
    </row>
    <row r="1679" ht="22.5" customHeight="1">
      <c r="A1679" s="166"/>
      <c r="B1679" s="1111"/>
      <c r="C1679" s="524"/>
      <c r="D1679" s="1110"/>
      <c r="E1679" s="669"/>
      <c r="F1679" s="524"/>
      <c r="G1679" s="165"/>
      <c r="H1679" s="669"/>
      <c r="I1679" s="669"/>
      <c r="J1679" s="352"/>
      <c r="K1679" s="271" t="str">
        <f t="shared" si="74"/>
        <v/>
      </c>
      <c r="L1679" s="297"/>
      <c r="M1679" s="334"/>
      <c r="N1679" s="277"/>
      <c r="O1679" s="315"/>
      <c r="P1679" s="344">
        <f t="shared" si="69"/>
        <v>0</v>
      </c>
      <c r="Q1679" s="321"/>
      <c r="R1679" s="672" t="b">
        <v>0</v>
      </c>
      <c r="S1679" s="318"/>
      <c r="T1679" s="319"/>
      <c r="U1679" s="315"/>
      <c r="V1679" s="162"/>
      <c r="W1679" s="149"/>
      <c r="X1679" s="163"/>
      <c r="Y1679" s="162"/>
      <c r="Z1679" s="164"/>
      <c r="AA1679" s="116"/>
      <c r="AB1679" s="116"/>
      <c r="AC1679" s="165"/>
      <c r="AD1679" s="675" t="str">
        <f t="shared" si="76"/>
        <v/>
      </c>
      <c r="AE1679" s="166"/>
      <c r="AF1679" s="149" t="b">
        <v>0</v>
      </c>
      <c r="AG1679" s="166"/>
      <c r="AH1679" s="149" t="b">
        <v>0</v>
      </c>
      <c r="AI1679" s="162"/>
      <c r="AJ1679" s="143"/>
      <c r="AK1679" s="143"/>
      <c r="AL1679" s="1112"/>
      <c r="AM1679" s="1112"/>
      <c r="AN1679" s="1112"/>
      <c r="AO1679" s="1112"/>
      <c r="AP1679" s="1112"/>
      <c r="AQ1679" s="1112"/>
    </row>
    <row r="1680" ht="22.5" customHeight="1">
      <c r="A1680" s="166"/>
      <c r="B1680" s="1111"/>
      <c r="C1680" s="524"/>
      <c r="D1680" s="1110"/>
      <c r="E1680" s="669"/>
      <c r="F1680" s="524"/>
      <c r="G1680" s="165"/>
      <c r="H1680" s="669"/>
      <c r="I1680" s="669"/>
      <c r="J1680" s="352"/>
      <c r="K1680" s="271" t="str">
        <f t="shared" si="74"/>
        <v/>
      </c>
      <c r="L1680" s="297"/>
      <c r="M1680" s="334"/>
      <c r="N1680" s="277"/>
      <c r="O1680" s="315"/>
      <c r="P1680" s="344">
        <f t="shared" si="69"/>
        <v>0</v>
      </c>
      <c r="Q1680" s="321"/>
      <c r="R1680" s="672" t="b">
        <v>0</v>
      </c>
      <c r="S1680" s="318"/>
      <c r="T1680" s="319"/>
      <c r="U1680" s="315"/>
      <c r="V1680" s="162"/>
      <c r="W1680" s="149"/>
      <c r="X1680" s="163"/>
      <c r="Y1680" s="162"/>
      <c r="Z1680" s="164"/>
      <c r="AA1680" s="116"/>
      <c r="AB1680" s="116"/>
      <c r="AC1680" s="165"/>
      <c r="AD1680" s="675" t="str">
        <f t="shared" si="76"/>
        <v/>
      </c>
      <c r="AE1680" s="166"/>
      <c r="AF1680" s="149" t="b">
        <v>0</v>
      </c>
      <c r="AG1680" s="166"/>
      <c r="AH1680" s="149" t="b">
        <v>0</v>
      </c>
      <c r="AI1680" s="162"/>
      <c r="AJ1680" s="143"/>
      <c r="AK1680" s="143"/>
      <c r="AL1680" s="1112"/>
      <c r="AM1680" s="1112"/>
      <c r="AN1680" s="1112"/>
      <c r="AO1680" s="1112"/>
      <c r="AP1680" s="1112"/>
      <c r="AQ1680" s="1112"/>
    </row>
    <row r="1681" ht="22.5" customHeight="1">
      <c r="A1681" s="166"/>
      <c r="B1681" s="1111"/>
      <c r="C1681" s="524"/>
      <c r="D1681" s="1110"/>
      <c r="E1681" s="669"/>
      <c r="F1681" s="524"/>
      <c r="G1681" s="165"/>
      <c r="H1681" s="669"/>
      <c r="I1681" s="669"/>
      <c r="J1681" s="352"/>
      <c r="K1681" s="271" t="str">
        <f t="shared" si="74"/>
        <v/>
      </c>
      <c r="L1681" s="297"/>
      <c r="M1681" s="334"/>
      <c r="N1681" s="277"/>
      <c r="O1681" s="315"/>
      <c r="P1681" s="344">
        <f t="shared" si="69"/>
        <v>0</v>
      </c>
      <c r="Q1681" s="321"/>
      <c r="R1681" s="672" t="b">
        <v>0</v>
      </c>
      <c r="S1681" s="318"/>
      <c r="T1681" s="319"/>
      <c r="U1681" s="315"/>
      <c r="V1681" s="162"/>
      <c r="W1681" s="149"/>
      <c r="X1681" s="163"/>
      <c r="Y1681" s="162"/>
      <c r="Z1681" s="164"/>
      <c r="AA1681" s="116"/>
      <c r="AB1681" s="116"/>
      <c r="AC1681" s="165"/>
      <c r="AD1681" s="675" t="str">
        <f t="shared" si="76"/>
        <v/>
      </c>
      <c r="AE1681" s="166"/>
      <c r="AF1681" s="149" t="b">
        <v>0</v>
      </c>
      <c r="AG1681" s="166"/>
      <c r="AH1681" s="149" t="b">
        <v>0</v>
      </c>
      <c r="AI1681" s="162"/>
      <c r="AJ1681" s="143"/>
      <c r="AK1681" s="143"/>
      <c r="AL1681" s="1112"/>
      <c r="AM1681" s="1112"/>
      <c r="AN1681" s="1112"/>
      <c r="AO1681" s="1112"/>
      <c r="AP1681" s="1112"/>
      <c r="AQ1681" s="1112"/>
    </row>
    <row r="1682" ht="22.5" customHeight="1">
      <c r="A1682" s="166"/>
      <c r="B1682" s="1111"/>
      <c r="C1682" s="524"/>
      <c r="D1682" s="1110"/>
      <c r="E1682" s="669"/>
      <c r="F1682" s="524"/>
      <c r="G1682" s="165"/>
      <c r="H1682" s="669"/>
      <c r="I1682" s="669"/>
      <c r="J1682" s="352"/>
      <c r="K1682" s="271" t="str">
        <f t="shared" si="74"/>
        <v/>
      </c>
      <c r="L1682" s="297"/>
      <c r="M1682" s="334"/>
      <c r="N1682" s="277"/>
      <c r="O1682" s="315"/>
      <c r="P1682" s="344">
        <f t="shared" si="69"/>
        <v>0</v>
      </c>
      <c r="Q1682" s="321"/>
      <c r="R1682" s="672" t="b">
        <v>0</v>
      </c>
      <c r="S1682" s="318"/>
      <c r="T1682" s="319"/>
      <c r="U1682" s="315"/>
      <c r="V1682" s="162"/>
      <c r="W1682" s="149"/>
      <c r="X1682" s="163"/>
      <c r="Y1682" s="162"/>
      <c r="Z1682" s="164"/>
      <c r="AA1682" s="116"/>
      <c r="AB1682" s="116"/>
      <c r="AC1682" s="165"/>
      <c r="AD1682" s="675" t="str">
        <f t="shared" si="76"/>
        <v/>
      </c>
      <c r="AE1682" s="166"/>
      <c r="AF1682" s="149" t="b">
        <v>0</v>
      </c>
      <c r="AG1682" s="166"/>
      <c r="AH1682" s="149" t="b">
        <v>0</v>
      </c>
      <c r="AI1682" s="162"/>
      <c r="AJ1682" s="143"/>
      <c r="AK1682" s="143"/>
      <c r="AL1682" s="1112"/>
      <c r="AM1682" s="1112"/>
      <c r="AN1682" s="1112"/>
      <c r="AO1682" s="1112"/>
      <c r="AP1682" s="1112"/>
      <c r="AQ1682" s="1112"/>
    </row>
    <row r="1683" ht="22.5" customHeight="1">
      <c r="A1683" s="166"/>
      <c r="B1683" s="1111"/>
      <c r="C1683" s="524"/>
      <c r="D1683" s="1110"/>
      <c r="E1683" s="669"/>
      <c r="F1683" s="524"/>
      <c r="G1683" s="165"/>
      <c r="H1683" s="669"/>
      <c r="I1683" s="669"/>
      <c r="J1683" s="352"/>
      <c r="K1683" s="271" t="str">
        <f t="shared" si="74"/>
        <v/>
      </c>
      <c r="L1683" s="297"/>
      <c r="M1683" s="334"/>
      <c r="N1683" s="277"/>
      <c r="O1683" s="315"/>
      <c r="P1683" s="344">
        <f t="shared" si="69"/>
        <v>0</v>
      </c>
      <c r="Q1683" s="321"/>
      <c r="R1683" s="672" t="b">
        <v>0</v>
      </c>
      <c r="S1683" s="318"/>
      <c r="T1683" s="319"/>
      <c r="U1683" s="315"/>
      <c r="V1683" s="162"/>
      <c r="W1683" s="149"/>
      <c r="X1683" s="163"/>
      <c r="Y1683" s="162"/>
      <c r="Z1683" s="164"/>
      <c r="AA1683" s="116"/>
      <c r="AB1683" s="116"/>
      <c r="AC1683" s="165"/>
      <c r="AD1683" s="675" t="str">
        <f t="shared" si="76"/>
        <v/>
      </c>
      <c r="AE1683" s="166"/>
      <c r="AF1683" s="149" t="b">
        <v>0</v>
      </c>
      <c r="AG1683" s="166"/>
      <c r="AH1683" s="149" t="b">
        <v>0</v>
      </c>
      <c r="AI1683" s="162"/>
      <c r="AJ1683" s="143"/>
      <c r="AK1683" s="143"/>
      <c r="AL1683" s="1112"/>
      <c r="AM1683" s="1112"/>
      <c r="AN1683" s="1112"/>
      <c r="AO1683" s="1112"/>
      <c r="AP1683" s="1112"/>
      <c r="AQ1683" s="1112"/>
    </row>
    <row r="1684" ht="22.5" customHeight="1">
      <c r="A1684" s="166"/>
      <c r="B1684" s="1111"/>
      <c r="C1684" s="524"/>
      <c r="D1684" s="1110"/>
      <c r="E1684" s="669"/>
      <c r="F1684" s="524"/>
      <c r="G1684" s="165"/>
      <c r="H1684" s="669"/>
      <c r="I1684" s="669"/>
      <c r="J1684" s="352"/>
      <c r="K1684" s="271" t="str">
        <f t="shared" si="74"/>
        <v/>
      </c>
      <c r="L1684" s="297"/>
      <c r="M1684" s="334"/>
      <c r="N1684" s="277"/>
      <c r="O1684" s="315"/>
      <c r="P1684" s="344">
        <f t="shared" si="69"/>
        <v>0</v>
      </c>
      <c r="Q1684" s="321"/>
      <c r="R1684" s="672" t="b">
        <v>0</v>
      </c>
      <c r="S1684" s="318"/>
      <c r="T1684" s="319"/>
      <c r="U1684" s="315"/>
      <c r="V1684" s="162"/>
      <c r="W1684" s="149"/>
      <c r="X1684" s="163"/>
      <c r="Y1684" s="162"/>
      <c r="Z1684" s="164"/>
      <c r="AA1684" s="116"/>
      <c r="AB1684" s="116"/>
      <c r="AC1684" s="165"/>
      <c r="AD1684" s="675" t="str">
        <f t="shared" si="76"/>
        <v/>
      </c>
      <c r="AE1684" s="166"/>
      <c r="AF1684" s="149" t="b">
        <v>0</v>
      </c>
      <c r="AG1684" s="166"/>
      <c r="AH1684" s="149" t="b">
        <v>0</v>
      </c>
      <c r="AI1684" s="162"/>
      <c r="AJ1684" s="143"/>
      <c r="AK1684" s="143"/>
      <c r="AL1684" s="1112"/>
      <c r="AM1684" s="1112"/>
      <c r="AN1684" s="1112"/>
      <c r="AO1684" s="1112"/>
      <c r="AP1684" s="1112"/>
      <c r="AQ1684" s="1112"/>
    </row>
    <row r="1685" ht="22.5" customHeight="1">
      <c r="A1685" s="166"/>
      <c r="B1685" s="1111"/>
      <c r="C1685" s="524"/>
      <c r="D1685" s="1110"/>
      <c r="E1685" s="669"/>
      <c r="F1685" s="524"/>
      <c r="G1685" s="165"/>
      <c r="H1685" s="669"/>
      <c r="I1685" s="669"/>
      <c r="J1685" s="352"/>
      <c r="K1685" s="271" t="str">
        <f t="shared" si="74"/>
        <v/>
      </c>
      <c r="L1685" s="297"/>
      <c r="M1685" s="334"/>
      <c r="N1685" s="277"/>
      <c r="O1685" s="315"/>
      <c r="P1685" s="344">
        <f t="shared" si="69"/>
        <v>0</v>
      </c>
      <c r="Q1685" s="321"/>
      <c r="R1685" s="672" t="b">
        <v>0</v>
      </c>
      <c r="S1685" s="318"/>
      <c r="T1685" s="319"/>
      <c r="U1685" s="315"/>
      <c r="V1685" s="162"/>
      <c r="W1685" s="149"/>
      <c r="X1685" s="163"/>
      <c r="Y1685" s="162"/>
      <c r="Z1685" s="164"/>
      <c r="AA1685" s="116"/>
      <c r="AB1685" s="116"/>
      <c r="AC1685" s="165"/>
      <c r="AD1685" s="675" t="str">
        <f t="shared" si="76"/>
        <v/>
      </c>
      <c r="AE1685" s="166"/>
      <c r="AF1685" s="149" t="b">
        <v>0</v>
      </c>
      <c r="AG1685" s="166"/>
      <c r="AH1685" s="149" t="b">
        <v>0</v>
      </c>
      <c r="AI1685" s="162"/>
      <c r="AJ1685" s="143"/>
      <c r="AK1685" s="143"/>
      <c r="AL1685" s="1112"/>
      <c r="AM1685" s="1112"/>
      <c r="AN1685" s="1112"/>
      <c r="AO1685" s="1112"/>
      <c r="AP1685" s="1112"/>
      <c r="AQ1685" s="1112"/>
    </row>
    <row r="1686" ht="22.5" customHeight="1">
      <c r="A1686" s="166"/>
      <c r="B1686" s="1111"/>
      <c r="C1686" s="524"/>
      <c r="D1686" s="1110"/>
      <c r="E1686" s="669"/>
      <c r="F1686" s="524"/>
      <c r="G1686" s="165"/>
      <c r="H1686" s="669"/>
      <c r="I1686" s="669"/>
      <c r="J1686" s="352"/>
      <c r="K1686" s="271" t="str">
        <f t="shared" si="74"/>
        <v/>
      </c>
      <c r="L1686" s="297"/>
      <c r="M1686" s="334"/>
      <c r="N1686" s="277"/>
      <c r="O1686" s="315"/>
      <c r="P1686" s="344">
        <f t="shared" si="69"/>
        <v>0</v>
      </c>
      <c r="Q1686" s="321"/>
      <c r="R1686" s="672" t="b">
        <v>0</v>
      </c>
      <c r="S1686" s="318"/>
      <c r="T1686" s="319"/>
      <c r="U1686" s="315"/>
      <c r="V1686" s="162"/>
      <c r="W1686" s="149"/>
      <c r="X1686" s="163"/>
      <c r="Y1686" s="162"/>
      <c r="Z1686" s="164"/>
      <c r="AA1686" s="116"/>
      <c r="AB1686" s="116"/>
      <c r="AC1686" s="165"/>
      <c r="AD1686" s="675" t="str">
        <f t="shared" si="76"/>
        <v/>
      </c>
      <c r="AE1686" s="166"/>
      <c r="AF1686" s="149" t="b">
        <v>0</v>
      </c>
      <c r="AG1686" s="166"/>
      <c r="AH1686" s="149" t="b">
        <v>0</v>
      </c>
      <c r="AI1686" s="162"/>
      <c r="AJ1686" s="143"/>
      <c r="AK1686" s="143"/>
      <c r="AL1686" s="1112"/>
      <c r="AM1686" s="1112"/>
      <c r="AN1686" s="1112"/>
      <c r="AO1686" s="1112"/>
      <c r="AP1686" s="1112"/>
      <c r="AQ1686" s="1112"/>
    </row>
    <row r="1687" ht="22.5" customHeight="1">
      <c r="A1687" s="166"/>
      <c r="B1687" s="1111"/>
      <c r="C1687" s="524"/>
      <c r="D1687" s="1110"/>
      <c r="E1687" s="669"/>
      <c r="F1687" s="524"/>
      <c r="G1687" s="165"/>
      <c r="H1687" s="669"/>
      <c r="I1687" s="669"/>
      <c r="J1687" s="352"/>
      <c r="K1687" s="271" t="str">
        <f t="shared" si="74"/>
        <v/>
      </c>
      <c r="L1687" s="297"/>
      <c r="M1687" s="334"/>
      <c r="N1687" s="277"/>
      <c r="O1687" s="315"/>
      <c r="P1687" s="344">
        <f t="shared" si="69"/>
        <v>0</v>
      </c>
      <c r="Q1687" s="321"/>
      <c r="R1687" s="672" t="b">
        <v>0</v>
      </c>
      <c r="S1687" s="318"/>
      <c r="T1687" s="319"/>
      <c r="U1687" s="315"/>
      <c r="V1687" s="162"/>
      <c r="W1687" s="149"/>
      <c r="X1687" s="163"/>
      <c r="Y1687" s="162"/>
      <c r="Z1687" s="164"/>
      <c r="AA1687" s="116"/>
      <c r="AB1687" s="116"/>
      <c r="AC1687" s="165"/>
      <c r="AD1687" s="675" t="str">
        <f t="shared" si="76"/>
        <v/>
      </c>
      <c r="AE1687" s="166"/>
      <c r="AF1687" s="149" t="b">
        <v>0</v>
      </c>
      <c r="AG1687" s="166"/>
      <c r="AH1687" s="149" t="b">
        <v>0</v>
      </c>
      <c r="AI1687" s="162"/>
      <c r="AJ1687" s="143"/>
      <c r="AK1687" s="143"/>
      <c r="AL1687" s="1112"/>
      <c r="AM1687" s="1112"/>
      <c r="AN1687" s="1112"/>
      <c r="AO1687" s="1112"/>
      <c r="AP1687" s="1112"/>
      <c r="AQ1687" s="1112"/>
    </row>
    <row r="1688" ht="22.5" customHeight="1">
      <c r="A1688" s="166"/>
      <c r="B1688" s="1111"/>
      <c r="C1688" s="524"/>
      <c r="D1688" s="1110"/>
      <c r="E1688" s="669"/>
      <c r="F1688" s="524"/>
      <c r="G1688" s="165"/>
      <c r="H1688" s="669"/>
      <c r="I1688" s="669"/>
      <c r="J1688" s="352"/>
      <c r="K1688" s="271" t="str">
        <f t="shared" si="74"/>
        <v/>
      </c>
      <c r="L1688" s="297"/>
      <c r="M1688" s="334"/>
      <c r="N1688" s="277"/>
      <c r="O1688" s="315"/>
      <c r="P1688" s="344">
        <f t="shared" si="69"/>
        <v>0</v>
      </c>
      <c r="Q1688" s="321"/>
      <c r="R1688" s="672" t="b">
        <v>0</v>
      </c>
      <c r="S1688" s="318"/>
      <c r="T1688" s="319"/>
      <c r="U1688" s="315"/>
      <c r="V1688" s="162"/>
      <c r="W1688" s="149"/>
      <c r="X1688" s="163"/>
      <c r="Y1688" s="162"/>
      <c r="Z1688" s="164"/>
      <c r="AA1688" s="116"/>
      <c r="AB1688" s="116"/>
      <c r="AC1688" s="165"/>
      <c r="AD1688" s="675" t="str">
        <f t="shared" si="76"/>
        <v/>
      </c>
      <c r="AE1688" s="166"/>
      <c r="AF1688" s="149" t="b">
        <v>0</v>
      </c>
      <c r="AG1688" s="166"/>
      <c r="AH1688" s="149" t="b">
        <v>0</v>
      </c>
      <c r="AI1688" s="162"/>
      <c r="AJ1688" s="143"/>
      <c r="AK1688" s="143"/>
      <c r="AL1688" s="1112"/>
      <c r="AM1688" s="1112"/>
      <c r="AN1688" s="1112"/>
      <c r="AO1688" s="1112"/>
      <c r="AP1688" s="1112"/>
      <c r="AQ1688" s="1112"/>
    </row>
    <row r="1689" ht="22.5" customHeight="1">
      <c r="A1689" s="166"/>
      <c r="B1689" s="1111"/>
      <c r="C1689" s="524"/>
      <c r="D1689" s="1110"/>
      <c r="E1689" s="669"/>
      <c r="F1689" s="524"/>
      <c r="G1689" s="165"/>
      <c r="H1689" s="669"/>
      <c r="I1689" s="669"/>
      <c r="J1689" s="352"/>
      <c r="K1689" s="271" t="str">
        <f t="shared" si="74"/>
        <v/>
      </c>
      <c r="L1689" s="297"/>
      <c r="M1689" s="334"/>
      <c r="N1689" s="277"/>
      <c r="O1689" s="315"/>
      <c r="P1689" s="344">
        <f t="shared" si="69"/>
        <v>0</v>
      </c>
      <c r="Q1689" s="321"/>
      <c r="R1689" s="672" t="b">
        <v>0</v>
      </c>
      <c r="S1689" s="318"/>
      <c r="T1689" s="319"/>
      <c r="U1689" s="315"/>
      <c r="V1689" s="162"/>
      <c r="W1689" s="149"/>
      <c r="X1689" s="163"/>
      <c r="Y1689" s="162"/>
      <c r="Z1689" s="164"/>
      <c r="AA1689" s="116"/>
      <c r="AB1689" s="116"/>
      <c r="AC1689" s="165"/>
      <c r="AD1689" s="675" t="str">
        <f t="shared" si="76"/>
        <v/>
      </c>
      <c r="AE1689" s="166"/>
      <c r="AF1689" s="149" t="b">
        <v>0</v>
      </c>
      <c r="AG1689" s="166"/>
      <c r="AH1689" s="149" t="b">
        <v>0</v>
      </c>
      <c r="AI1689" s="162"/>
      <c r="AJ1689" s="143"/>
      <c r="AK1689" s="143"/>
      <c r="AL1689" s="1112"/>
      <c r="AM1689" s="1112"/>
      <c r="AN1689" s="1112"/>
      <c r="AO1689" s="1112"/>
      <c r="AP1689" s="1112"/>
      <c r="AQ1689" s="1112"/>
    </row>
    <row r="1690" ht="22.5" customHeight="1">
      <c r="A1690" s="166"/>
      <c r="B1690" s="1111"/>
      <c r="C1690" s="524"/>
      <c r="D1690" s="1110"/>
      <c r="E1690" s="669"/>
      <c r="F1690" s="524"/>
      <c r="G1690" s="165"/>
      <c r="H1690" s="669"/>
      <c r="I1690" s="669"/>
      <c r="J1690" s="352"/>
      <c r="K1690" s="271" t="str">
        <f t="shared" si="74"/>
        <v/>
      </c>
      <c r="L1690" s="297"/>
      <c r="M1690" s="334"/>
      <c r="N1690" s="277"/>
      <c r="O1690" s="315"/>
      <c r="P1690" s="344">
        <f t="shared" si="69"/>
        <v>0</v>
      </c>
      <c r="Q1690" s="321"/>
      <c r="R1690" s="672" t="b">
        <v>0</v>
      </c>
      <c r="S1690" s="318"/>
      <c r="T1690" s="319"/>
      <c r="U1690" s="315"/>
      <c r="V1690" s="162"/>
      <c r="W1690" s="149"/>
      <c r="X1690" s="163"/>
      <c r="Y1690" s="162"/>
      <c r="Z1690" s="164"/>
      <c r="AA1690" s="116"/>
      <c r="AB1690" s="116"/>
      <c r="AC1690" s="165"/>
      <c r="AD1690" s="675" t="str">
        <f t="shared" si="76"/>
        <v/>
      </c>
      <c r="AE1690" s="166"/>
      <c r="AF1690" s="149" t="b">
        <v>0</v>
      </c>
      <c r="AG1690" s="166"/>
      <c r="AH1690" s="149" t="b">
        <v>0</v>
      </c>
      <c r="AI1690" s="162"/>
      <c r="AJ1690" s="143"/>
      <c r="AK1690" s="143"/>
      <c r="AL1690" s="1112"/>
      <c r="AM1690" s="1112"/>
      <c r="AN1690" s="1112"/>
      <c r="AO1690" s="1112"/>
      <c r="AP1690" s="1112"/>
      <c r="AQ1690" s="1112"/>
    </row>
    <row r="1691" ht="22.5" customHeight="1">
      <c r="A1691" s="166"/>
      <c r="B1691" s="1111"/>
      <c r="C1691" s="524"/>
      <c r="D1691" s="1110"/>
      <c r="E1691" s="669"/>
      <c r="F1691" s="524"/>
      <c r="G1691" s="165"/>
      <c r="H1691" s="669"/>
      <c r="I1691" s="669"/>
      <c r="J1691" s="352"/>
      <c r="K1691" s="271" t="str">
        <f t="shared" si="74"/>
        <v/>
      </c>
      <c r="L1691" s="297"/>
      <c r="M1691" s="334"/>
      <c r="N1691" s="277"/>
      <c r="O1691" s="315"/>
      <c r="P1691" s="344">
        <f t="shared" si="69"/>
        <v>0</v>
      </c>
      <c r="Q1691" s="321"/>
      <c r="R1691" s="672" t="b">
        <v>0</v>
      </c>
      <c r="S1691" s="318"/>
      <c r="T1691" s="319"/>
      <c r="U1691" s="315"/>
      <c r="V1691" s="162"/>
      <c r="W1691" s="149"/>
      <c r="X1691" s="163"/>
      <c r="Y1691" s="162"/>
      <c r="Z1691" s="164"/>
      <c r="AA1691" s="116"/>
      <c r="AB1691" s="116"/>
      <c r="AC1691" s="165"/>
      <c r="AD1691" s="675" t="str">
        <f t="shared" si="76"/>
        <v/>
      </c>
      <c r="AE1691" s="166"/>
      <c r="AF1691" s="149" t="b">
        <v>0</v>
      </c>
      <c r="AG1691" s="166"/>
      <c r="AH1691" s="149" t="b">
        <v>0</v>
      </c>
      <c r="AI1691" s="162"/>
      <c r="AJ1691" s="143"/>
      <c r="AK1691" s="143"/>
      <c r="AL1691" s="1112"/>
      <c r="AM1691" s="1112"/>
      <c r="AN1691" s="1112"/>
      <c r="AO1691" s="1112"/>
      <c r="AP1691" s="1112"/>
      <c r="AQ1691" s="1112"/>
    </row>
    <row r="1692" ht="22.5" customHeight="1">
      <c r="A1692" s="166"/>
      <c r="B1692" s="1111"/>
      <c r="C1692" s="524"/>
      <c r="D1692" s="1110"/>
      <c r="E1692" s="669"/>
      <c r="F1692" s="524"/>
      <c r="G1692" s="165"/>
      <c r="H1692" s="669"/>
      <c r="I1692" s="669"/>
      <c r="J1692" s="352"/>
      <c r="K1692" s="271" t="str">
        <f t="shared" si="74"/>
        <v/>
      </c>
      <c r="L1692" s="297"/>
      <c r="M1692" s="334"/>
      <c r="N1692" s="277"/>
      <c r="O1692" s="315"/>
      <c r="P1692" s="344">
        <f t="shared" si="69"/>
        <v>0</v>
      </c>
      <c r="Q1692" s="321"/>
      <c r="R1692" s="672" t="b">
        <v>0</v>
      </c>
      <c r="S1692" s="318"/>
      <c r="T1692" s="319"/>
      <c r="U1692" s="315"/>
      <c r="V1692" s="162"/>
      <c r="W1692" s="149"/>
      <c r="X1692" s="163"/>
      <c r="Y1692" s="162"/>
      <c r="Z1692" s="164"/>
      <c r="AA1692" s="116"/>
      <c r="AB1692" s="116"/>
      <c r="AC1692" s="165"/>
      <c r="AD1692" s="675" t="str">
        <f t="shared" si="76"/>
        <v/>
      </c>
      <c r="AE1692" s="166"/>
      <c r="AF1692" s="149" t="b">
        <v>0</v>
      </c>
      <c r="AG1692" s="166"/>
      <c r="AH1692" s="149" t="b">
        <v>0</v>
      </c>
      <c r="AI1692" s="162"/>
      <c r="AJ1692" s="143"/>
      <c r="AK1692" s="143"/>
      <c r="AL1692" s="1112"/>
      <c r="AM1692" s="1112"/>
      <c r="AN1692" s="1112"/>
      <c r="AO1692" s="1112"/>
      <c r="AP1692" s="1112"/>
      <c r="AQ1692" s="1112"/>
    </row>
    <row r="1693" ht="22.5" customHeight="1">
      <c r="A1693" s="166"/>
      <c r="B1693" s="1111"/>
      <c r="C1693" s="524"/>
      <c r="D1693" s="1110"/>
      <c r="E1693" s="669"/>
      <c r="F1693" s="524"/>
      <c r="G1693" s="165"/>
      <c r="H1693" s="669"/>
      <c r="I1693" s="669"/>
      <c r="J1693" s="352"/>
      <c r="K1693" s="271" t="str">
        <f t="shared" si="74"/>
        <v/>
      </c>
      <c r="L1693" s="297"/>
      <c r="M1693" s="334"/>
      <c r="N1693" s="277"/>
      <c r="O1693" s="315"/>
      <c r="P1693" s="344">
        <f t="shared" si="69"/>
        <v>0</v>
      </c>
      <c r="Q1693" s="321"/>
      <c r="R1693" s="672" t="b">
        <v>0</v>
      </c>
      <c r="S1693" s="318"/>
      <c r="T1693" s="319"/>
      <c r="U1693" s="315"/>
      <c r="V1693" s="162"/>
      <c r="W1693" s="149"/>
      <c r="X1693" s="163"/>
      <c r="Y1693" s="162"/>
      <c r="Z1693" s="164"/>
      <c r="AA1693" s="116"/>
      <c r="AB1693" s="116"/>
      <c r="AC1693" s="165"/>
      <c r="AD1693" s="675" t="str">
        <f t="shared" si="76"/>
        <v/>
      </c>
      <c r="AE1693" s="166"/>
      <c r="AF1693" s="149" t="b">
        <v>0</v>
      </c>
      <c r="AG1693" s="166"/>
      <c r="AH1693" s="149" t="b">
        <v>0</v>
      </c>
      <c r="AI1693" s="162"/>
      <c r="AJ1693" s="143"/>
      <c r="AK1693" s="143"/>
      <c r="AL1693" s="1112"/>
      <c r="AM1693" s="1112"/>
      <c r="AN1693" s="1112"/>
      <c r="AO1693" s="1112"/>
      <c r="AP1693" s="1112"/>
      <c r="AQ1693" s="1112"/>
    </row>
    <row r="1694" ht="22.5" customHeight="1">
      <c r="A1694" s="166"/>
      <c r="B1694" s="1111"/>
      <c r="C1694" s="524"/>
      <c r="D1694" s="1110"/>
      <c r="E1694" s="669"/>
      <c r="F1694" s="524"/>
      <c r="G1694" s="165"/>
      <c r="H1694" s="669"/>
      <c r="I1694" s="669"/>
      <c r="J1694" s="352"/>
      <c r="K1694" s="271" t="str">
        <f t="shared" si="74"/>
        <v/>
      </c>
      <c r="L1694" s="297"/>
      <c r="M1694" s="334"/>
      <c r="N1694" s="277"/>
      <c r="O1694" s="315"/>
      <c r="P1694" s="344">
        <f t="shared" si="69"/>
        <v>0</v>
      </c>
      <c r="Q1694" s="321"/>
      <c r="R1694" s="672" t="b">
        <v>0</v>
      </c>
      <c r="S1694" s="318"/>
      <c r="T1694" s="319"/>
      <c r="U1694" s="315"/>
      <c r="V1694" s="162"/>
      <c r="W1694" s="149"/>
      <c r="X1694" s="163"/>
      <c r="Y1694" s="162"/>
      <c r="Z1694" s="164"/>
      <c r="AA1694" s="116"/>
      <c r="AB1694" s="116"/>
      <c r="AC1694" s="165"/>
      <c r="AD1694" s="675" t="str">
        <f t="shared" si="76"/>
        <v/>
      </c>
      <c r="AE1694" s="166"/>
      <c r="AF1694" s="149" t="b">
        <v>0</v>
      </c>
      <c r="AG1694" s="166"/>
      <c r="AH1694" s="149" t="b">
        <v>0</v>
      </c>
      <c r="AI1694" s="162"/>
      <c r="AJ1694" s="143"/>
      <c r="AK1694" s="143"/>
      <c r="AL1694" s="1112"/>
      <c r="AM1694" s="1112"/>
      <c r="AN1694" s="1112"/>
      <c r="AO1694" s="1112"/>
      <c r="AP1694" s="1112"/>
      <c r="AQ1694" s="1112"/>
    </row>
    <row r="1695" ht="22.5" customHeight="1">
      <c r="A1695" s="166"/>
      <c r="B1695" s="1111"/>
      <c r="C1695" s="524"/>
      <c r="D1695" s="1110"/>
      <c r="E1695" s="669"/>
      <c r="F1695" s="524"/>
      <c r="G1695" s="165"/>
      <c r="H1695" s="669"/>
      <c r="I1695" s="669"/>
      <c r="J1695" s="352"/>
      <c r="K1695" s="271" t="str">
        <f t="shared" si="74"/>
        <v/>
      </c>
      <c r="L1695" s="297"/>
      <c r="M1695" s="334"/>
      <c r="N1695" s="277"/>
      <c r="O1695" s="315"/>
      <c r="P1695" s="344">
        <f t="shared" si="69"/>
        <v>0</v>
      </c>
      <c r="Q1695" s="321"/>
      <c r="R1695" s="672" t="b">
        <v>0</v>
      </c>
      <c r="S1695" s="318"/>
      <c r="T1695" s="319"/>
      <c r="U1695" s="315"/>
      <c r="V1695" s="162"/>
      <c r="W1695" s="149"/>
      <c r="X1695" s="163"/>
      <c r="Y1695" s="162"/>
      <c r="Z1695" s="164"/>
      <c r="AA1695" s="116"/>
      <c r="AB1695" s="116"/>
      <c r="AC1695" s="165"/>
      <c r="AD1695" s="675" t="str">
        <f t="shared" si="76"/>
        <v/>
      </c>
      <c r="AE1695" s="166"/>
      <c r="AF1695" s="149" t="b">
        <v>0</v>
      </c>
      <c r="AG1695" s="166"/>
      <c r="AH1695" s="149" t="b">
        <v>0</v>
      </c>
      <c r="AI1695" s="162"/>
      <c r="AJ1695" s="143"/>
      <c r="AK1695" s="143"/>
      <c r="AL1695" s="1112"/>
      <c r="AM1695" s="1112"/>
      <c r="AN1695" s="1112"/>
      <c r="AO1695" s="1112"/>
      <c r="AP1695" s="1112"/>
      <c r="AQ1695" s="1112"/>
    </row>
    <row r="1696" ht="22.5" customHeight="1">
      <c r="A1696" s="166"/>
      <c r="B1696" s="1111"/>
      <c r="C1696" s="524"/>
      <c r="D1696" s="1110"/>
      <c r="E1696" s="669"/>
      <c r="F1696" s="524"/>
      <c r="G1696" s="165"/>
      <c r="H1696" s="669"/>
      <c r="I1696" s="669"/>
      <c r="J1696" s="352"/>
      <c r="K1696" s="271" t="str">
        <f t="shared" si="74"/>
        <v/>
      </c>
      <c r="L1696" s="297"/>
      <c r="M1696" s="334"/>
      <c r="N1696" s="277"/>
      <c r="O1696" s="315"/>
      <c r="P1696" s="344">
        <f t="shared" si="69"/>
        <v>0</v>
      </c>
      <c r="Q1696" s="321"/>
      <c r="R1696" s="672" t="b">
        <v>0</v>
      </c>
      <c r="S1696" s="318"/>
      <c r="T1696" s="319"/>
      <c r="U1696" s="315"/>
      <c r="V1696" s="162"/>
      <c r="W1696" s="149"/>
      <c r="X1696" s="163"/>
      <c r="Y1696" s="162"/>
      <c r="Z1696" s="164"/>
      <c r="AA1696" s="116"/>
      <c r="AB1696" s="116"/>
      <c r="AC1696" s="165"/>
      <c r="AD1696" s="675" t="str">
        <f t="shared" si="76"/>
        <v/>
      </c>
      <c r="AE1696" s="166"/>
      <c r="AF1696" s="149" t="b">
        <v>0</v>
      </c>
      <c r="AG1696" s="166"/>
      <c r="AH1696" s="149" t="b">
        <v>0</v>
      </c>
      <c r="AI1696" s="162"/>
      <c r="AJ1696" s="143"/>
      <c r="AK1696" s="143"/>
      <c r="AL1696" s="1112"/>
      <c r="AM1696" s="1112"/>
      <c r="AN1696" s="1112"/>
      <c r="AO1696" s="1112"/>
      <c r="AP1696" s="1112"/>
      <c r="AQ1696" s="1112"/>
    </row>
    <row r="1697" ht="22.5" customHeight="1">
      <c r="A1697" s="166"/>
      <c r="B1697" s="1111"/>
      <c r="C1697" s="524"/>
      <c r="D1697" s="1110"/>
      <c r="E1697" s="669"/>
      <c r="F1697" s="524"/>
      <c r="G1697" s="165"/>
      <c r="H1697" s="669"/>
      <c r="I1697" s="669"/>
      <c r="J1697" s="352"/>
      <c r="K1697" s="271" t="str">
        <f t="shared" si="74"/>
        <v/>
      </c>
      <c r="L1697" s="297"/>
      <c r="M1697" s="334"/>
      <c r="N1697" s="277"/>
      <c r="O1697" s="315"/>
      <c r="P1697" s="344">
        <f t="shared" si="69"/>
        <v>0</v>
      </c>
      <c r="Q1697" s="321"/>
      <c r="R1697" s="672" t="b">
        <v>0</v>
      </c>
      <c r="S1697" s="318"/>
      <c r="T1697" s="319"/>
      <c r="U1697" s="315"/>
      <c r="V1697" s="162"/>
      <c r="W1697" s="149"/>
      <c r="X1697" s="163"/>
      <c r="Y1697" s="162"/>
      <c r="Z1697" s="164"/>
      <c r="AA1697" s="116"/>
      <c r="AB1697" s="116"/>
      <c r="AC1697" s="165"/>
      <c r="AD1697" s="675" t="str">
        <f t="shared" si="76"/>
        <v/>
      </c>
      <c r="AE1697" s="166"/>
      <c r="AF1697" s="149" t="b">
        <v>0</v>
      </c>
      <c r="AG1697" s="166"/>
      <c r="AH1697" s="149" t="b">
        <v>0</v>
      </c>
      <c r="AI1697" s="162"/>
      <c r="AJ1697" s="143"/>
      <c r="AK1697" s="143"/>
      <c r="AL1697" s="1112"/>
      <c r="AM1697" s="1112"/>
      <c r="AN1697" s="1112"/>
      <c r="AO1697" s="1112"/>
      <c r="AP1697" s="1112"/>
      <c r="AQ1697" s="1112"/>
    </row>
    <row r="1698" ht="22.5" customHeight="1">
      <c r="A1698" s="166"/>
      <c r="B1698" s="1111"/>
      <c r="C1698" s="524"/>
      <c r="D1698" s="1110"/>
      <c r="E1698" s="669"/>
      <c r="F1698" s="524"/>
      <c r="G1698" s="165"/>
      <c r="H1698" s="669"/>
      <c r="I1698" s="669"/>
      <c r="J1698" s="352"/>
      <c r="K1698" s="271" t="str">
        <f t="shared" si="74"/>
        <v/>
      </c>
      <c r="L1698" s="297"/>
      <c r="M1698" s="334"/>
      <c r="N1698" s="277"/>
      <c r="O1698" s="315"/>
      <c r="P1698" s="344">
        <f t="shared" si="69"/>
        <v>0</v>
      </c>
      <c r="Q1698" s="321"/>
      <c r="R1698" s="672" t="b">
        <v>0</v>
      </c>
      <c r="S1698" s="318"/>
      <c r="T1698" s="319"/>
      <c r="U1698" s="315"/>
      <c r="V1698" s="162"/>
      <c r="W1698" s="149"/>
      <c r="X1698" s="163"/>
      <c r="Y1698" s="162"/>
      <c r="Z1698" s="164"/>
      <c r="AA1698" s="116"/>
      <c r="AB1698" s="116"/>
      <c r="AC1698" s="165"/>
      <c r="AD1698" s="675" t="str">
        <f t="shared" si="76"/>
        <v/>
      </c>
      <c r="AE1698" s="166"/>
      <c r="AF1698" s="149" t="b">
        <v>0</v>
      </c>
      <c r="AG1698" s="166"/>
      <c r="AH1698" s="149" t="b">
        <v>0</v>
      </c>
      <c r="AI1698" s="162"/>
      <c r="AJ1698" s="143"/>
      <c r="AK1698" s="143"/>
      <c r="AL1698" s="1112"/>
      <c r="AM1698" s="1112"/>
      <c r="AN1698" s="1112"/>
      <c r="AO1698" s="1112"/>
      <c r="AP1698" s="1112"/>
      <c r="AQ1698" s="1112"/>
    </row>
    <row r="1699" ht="22.5" customHeight="1">
      <c r="A1699" s="166"/>
      <c r="B1699" s="1111"/>
      <c r="C1699" s="524"/>
      <c r="D1699" s="1110"/>
      <c r="E1699" s="669"/>
      <c r="F1699" s="524"/>
      <c r="G1699" s="165"/>
      <c r="H1699" s="669"/>
      <c r="I1699" s="669"/>
      <c r="J1699" s="352"/>
      <c r="K1699" s="271" t="str">
        <f t="shared" si="74"/>
        <v/>
      </c>
      <c r="L1699" s="297"/>
      <c r="M1699" s="334"/>
      <c r="N1699" s="277"/>
      <c r="O1699" s="315"/>
      <c r="P1699" s="344">
        <f t="shared" si="69"/>
        <v>0</v>
      </c>
      <c r="Q1699" s="321"/>
      <c r="R1699" s="672" t="b">
        <v>0</v>
      </c>
      <c r="S1699" s="318"/>
      <c r="T1699" s="319"/>
      <c r="U1699" s="315"/>
      <c r="V1699" s="162"/>
      <c r="W1699" s="149"/>
      <c r="X1699" s="163"/>
      <c r="Y1699" s="162"/>
      <c r="Z1699" s="164"/>
      <c r="AA1699" s="116"/>
      <c r="AB1699" s="116"/>
      <c r="AC1699" s="165"/>
      <c r="AD1699" s="675" t="str">
        <f t="shared" si="76"/>
        <v/>
      </c>
      <c r="AE1699" s="166"/>
      <c r="AF1699" s="149" t="b">
        <v>0</v>
      </c>
      <c r="AG1699" s="166"/>
      <c r="AH1699" s="149" t="b">
        <v>0</v>
      </c>
      <c r="AI1699" s="162"/>
      <c r="AJ1699" s="143"/>
      <c r="AK1699" s="143"/>
      <c r="AL1699" s="1112"/>
      <c r="AM1699" s="1112"/>
      <c r="AN1699" s="1112"/>
      <c r="AO1699" s="1112"/>
      <c r="AP1699" s="1112"/>
      <c r="AQ1699" s="1112"/>
    </row>
    <row r="1700" ht="22.5" customHeight="1">
      <c r="A1700" s="166"/>
      <c r="B1700" s="1111"/>
      <c r="C1700" s="524"/>
      <c r="D1700" s="1110"/>
      <c r="E1700" s="669"/>
      <c r="F1700" s="524"/>
      <c r="G1700" s="165"/>
      <c r="H1700" s="669"/>
      <c r="I1700" s="669"/>
      <c r="J1700" s="352"/>
      <c r="K1700" s="271" t="str">
        <f t="shared" si="74"/>
        <v/>
      </c>
      <c r="L1700" s="297"/>
      <c r="M1700" s="334"/>
      <c r="N1700" s="277"/>
      <c r="O1700" s="315"/>
      <c r="P1700" s="344">
        <f t="shared" si="69"/>
        <v>0</v>
      </c>
      <c r="Q1700" s="321"/>
      <c r="R1700" s="672" t="b">
        <v>0</v>
      </c>
      <c r="S1700" s="318"/>
      <c r="T1700" s="319"/>
      <c r="U1700" s="315"/>
      <c r="V1700" s="162"/>
      <c r="W1700" s="149"/>
      <c r="X1700" s="163"/>
      <c r="Y1700" s="162"/>
      <c r="Z1700" s="164"/>
      <c r="AA1700" s="116"/>
      <c r="AB1700" s="116"/>
      <c r="AC1700" s="165"/>
      <c r="AD1700" s="675" t="str">
        <f t="shared" si="76"/>
        <v/>
      </c>
      <c r="AE1700" s="166"/>
      <c r="AF1700" s="149" t="b">
        <v>0</v>
      </c>
      <c r="AG1700" s="166"/>
      <c r="AH1700" s="149" t="b">
        <v>0</v>
      </c>
      <c r="AI1700" s="162"/>
      <c r="AJ1700" s="143"/>
      <c r="AK1700" s="143"/>
      <c r="AL1700" s="1112"/>
      <c r="AM1700" s="1112"/>
      <c r="AN1700" s="1112"/>
      <c r="AO1700" s="1112"/>
      <c r="AP1700" s="1112"/>
      <c r="AQ1700" s="1112"/>
    </row>
    <row r="1701" ht="22.5" customHeight="1">
      <c r="A1701" s="166"/>
      <c r="B1701" s="1111"/>
      <c r="C1701" s="524"/>
      <c r="D1701" s="1110"/>
      <c r="E1701" s="669"/>
      <c r="F1701" s="524"/>
      <c r="G1701" s="165"/>
      <c r="H1701" s="669"/>
      <c r="I1701" s="669"/>
      <c r="J1701" s="352"/>
      <c r="K1701" s="271" t="str">
        <f t="shared" si="74"/>
        <v/>
      </c>
      <c r="L1701" s="297"/>
      <c r="M1701" s="334"/>
      <c r="N1701" s="277"/>
      <c r="O1701" s="315"/>
      <c r="P1701" s="344">
        <f t="shared" si="69"/>
        <v>0</v>
      </c>
      <c r="Q1701" s="321"/>
      <c r="R1701" s="672" t="b">
        <v>0</v>
      </c>
      <c r="S1701" s="318"/>
      <c r="T1701" s="319"/>
      <c r="U1701" s="315"/>
      <c r="V1701" s="162"/>
      <c r="W1701" s="149"/>
      <c r="X1701" s="163"/>
      <c r="Y1701" s="162"/>
      <c r="Z1701" s="164"/>
      <c r="AA1701" s="116"/>
      <c r="AB1701" s="116"/>
      <c r="AC1701" s="165"/>
      <c r="AD1701" s="675" t="str">
        <f t="shared" si="76"/>
        <v/>
      </c>
      <c r="AE1701" s="166"/>
      <c r="AF1701" s="149" t="b">
        <v>0</v>
      </c>
      <c r="AG1701" s="166"/>
      <c r="AH1701" s="149" t="b">
        <v>0</v>
      </c>
      <c r="AI1701" s="162"/>
      <c r="AJ1701" s="143"/>
      <c r="AK1701" s="143"/>
      <c r="AL1701" s="1112"/>
      <c r="AM1701" s="1112"/>
      <c r="AN1701" s="1112"/>
      <c r="AO1701" s="1112"/>
      <c r="AP1701" s="1112"/>
      <c r="AQ1701" s="1112"/>
    </row>
    <row r="1702" ht="22.5" customHeight="1">
      <c r="A1702" s="166"/>
      <c r="B1702" s="1111"/>
      <c r="C1702" s="524"/>
      <c r="D1702" s="1110"/>
      <c r="E1702" s="669"/>
      <c r="F1702" s="524"/>
      <c r="G1702" s="165"/>
      <c r="H1702" s="669"/>
      <c r="I1702" s="669"/>
      <c r="J1702" s="352"/>
      <c r="K1702" s="271" t="str">
        <f t="shared" si="74"/>
        <v/>
      </c>
      <c r="L1702" s="297"/>
      <c r="M1702" s="334"/>
      <c r="N1702" s="277"/>
      <c r="O1702" s="315"/>
      <c r="P1702" s="344">
        <f t="shared" si="69"/>
        <v>0</v>
      </c>
      <c r="Q1702" s="321"/>
      <c r="R1702" s="672" t="b">
        <v>0</v>
      </c>
      <c r="S1702" s="318"/>
      <c r="T1702" s="319"/>
      <c r="U1702" s="315"/>
      <c r="V1702" s="162"/>
      <c r="W1702" s="149"/>
      <c r="X1702" s="163"/>
      <c r="Y1702" s="162"/>
      <c r="Z1702" s="164"/>
      <c r="AA1702" s="116"/>
      <c r="AB1702" s="116"/>
      <c r="AC1702" s="165"/>
      <c r="AD1702" s="675" t="str">
        <f t="shared" si="76"/>
        <v/>
      </c>
      <c r="AE1702" s="166"/>
      <c r="AF1702" s="149" t="b">
        <v>0</v>
      </c>
      <c r="AG1702" s="166"/>
      <c r="AH1702" s="149" t="b">
        <v>0</v>
      </c>
      <c r="AI1702" s="162"/>
      <c r="AJ1702" s="143"/>
      <c r="AK1702" s="143"/>
      <c r="AL1702" s="1112"/>
      <c r="AM1702" s="1112"/>
      <c r="AN1702" s="1112"/>
      <c r="AO1702" s="1112"/>
      <c r="AP1702" s="1112"/>
      <c r="AQ1702" s="1112"/>
    </row>
    <row r="1703" ht="22.5" customHeight="1">
      <c r="A1703" s="166"/>
      <c r="B1703" s="1111"/>
      <c r="C1703" s="524"/>
      <c r="D1703" s="1110"/>
      <c r="E1703" s="669"/>
      <c r="F1703" s="524"/>
      <c r="G1703" s="165"/>
      <c r="H1703" s="669"/>
      <c r="I1703" s="669"/>
      <c r="J1703" s="352"/>
      <c r="K1703" s="271" t="str">
        <f t="shared" si="74"/>
        <v/>
      </c>
      <c r="L1703" s="297"/>
      <c r="M1703" s="334"/>
      <c r="N1703" s="277"/>
      <c r="O1703" s="315"/>
      <c r="P1703" s="344">
        <f t="shared" si="69"/>
        <v>0</v>
      </c>
      <c r="Q1703" s="321"/>
      <c r="R1703" s="672" t="b">
        <v>0</v>
      </c>
      <c r="S1703" s="318"/>
      <c r="T1703" s="319"/>
      <c r="U1703" s="315"/>
      <c r="V1703" s="162"/>
      <c r="W1703" s="149"/>
      <c r="X1703" s="163"/>
      <c r="Y1703" s="162"/>
      <c r="Z1703" s="164"/>
      <c r="AA1703" s="116"/>
      <c r="AB1703" s="116"/>
      <c r="AC1703" s="165"/>
      <c r="AD1703" s="675" t="str">
        <f t="shared" si="76"/>
        <v/>
      </c>
      <c r="AE1703" s="166"/>
      <c r="AF1703" s="149" t="b">
        <v>0</v>
      </c>
      <c r="AG1703" s="166"/>
      <c r="AH1703" s="149" t="b">
        <v>0</v>
      </c>
      <c r="AI1703" s="162"/>
      <c r="AJ1703" s="143"/>
      <c r="AK1703" s="143"/>
      <c r="AL1703" s="1112"/>
      <c r="AM1703" s="1112"/>
      <c r="AN1703" s="1112"/>
      <c r="AO1703" s="1112"/>
      <c r="AP1703" s="1112"/>
      <c r="AQ1703" s="1112"/>
    </row>
    <row r="1704" ht="22.5" customHeight="1">
      <c r="A1704" s="166"/>
      <c r="B1704" s="1111"/>
      <c r="C1704" s="524"/>
      <c r="D1704" s="1110"/>
      <c r="E1704" s="669"/>
      <c r="F1704" s="524"/>
      <c r="G1704" s="165"/>
      <c r="H1704" s="669"/>
      <c r="I1704" s="669"/>
      <c r="J1704" s="352"/>
      <c r="K1704" s="271" t="str">
        <f t="shared" si="74"/>
        <v/>
      </c>
      <c r="L1704" s="297"/>
      <c r="M1704" s="334"/>
      <c r="N1704" s="277"/>
      <c r="O1704" s="315"/>
      <c r="P1704" s="344">
        <f t="shared" si="69"/>
        <v>0</v>
      </c>
      <c r="Q1704" s="321"/>
      <c r="R1704" s="672" t="b">
        <v>0</v>
      </c>
      <c r="S1704" s="318"/>
      <c r="T1704" s="319"/>
      <c r="U1704" s="315"/>
      <c r="V1704" s="162"/>
      <c r="W1704" s="149"/>
      <c r="X1704" s="163"/>
      <c r="Y1704" s="162"/>
      <c r="Z1704" s="164"/>
      <c r="AA1704" s="116"/>
      <c r="AB1704" s="116"/>
      <c r="AC1704" s="165"/>
      <c r="AD1704" s="675" t="str">
        <f t="shared" si="76"/>
        <v/>
      </c>
      <c r="AE1704" s="166"/>
      <c r="AF1704" s="149" t="b">
        <v>0</v>
      </c>
      <c r="AG1704" s="166"/>
      <c r="AH1704" s="149" t="b">
        <v>0</v>
      </c>
      <c r="AI1704" s="162"/>
      <c r="AJ1704" s="143"/>
      <c r="AK1704" s="143"/>
      <c r="AL1704" s="1112"/>
      <c r="AM1704" s="1112"/>
      <c r="AN1704" s="1112"/>
      <c r="AO1704" s="1112"/>
      <c r="AP1704" s="1112"/>
      <c r="AQ1704" s="1112"/>
    </row>
    <row r="1705" ht="22.5" customHeight="1">
      <c r="A1705" s="166"/>
      <c r="B1705" s="1111"/>
      <c r="C1705" s="524"/>
      <c r="D1705" s="1110"/>
      <c r="E1705" s="669"/>
      <c r="F1705" s="524"/>
      <c r="G1705" s="165"/>
      <c r="H1705" s="669"/>
      <c r="I1705" s="669"/>
      <c r="J1705" s="352"/>
      <c r="K1705" s="271" t="str">
        <f t="shared" si="74"/>
        <v/>
      </c>
      <c r="L1705" s="297"/>
      <c r="M1705" s="334"/>
      <c r="N1705" s="277"/>
      <c r="O1705" s="315"/>
      <c r="P1705" s="344">
        <f t="shared" si="69"/>
        <v>0</v>
      </c>
      <c r="Q1705" s="321"/>
      <c r="R1705" s="672" t="b">
        <v>0</v>
      </c>
      <c r="S1705" s="318"/>
      <c r="T1705" s="319"/>
      <c r="U1705" s="315"/>
      <c r="V1705" s="162"/>
      <c r="W1705" s="149"/>
      <c r="X1705" s="163"/>
      <c r="Y1705" s="162"/>
      <c r="Z1705" s="164"/>
      <c r="AA1705" s="116"/>
      <c r="AB1705" s="116"/>
      <c r="AC1705" s="165"/>
      <c r="AD1705" s="675" t="str">
        <f t="shared" si="76"/>
        <v/>
      </c>
      <c r="AE1705" s="166"/>
      <c r="AF1705" s="149" t="b">
        <v>0</v>
      </c>
      <c r="AG1705" s="166"/>
      <c r="AH1705" s="149" t="b">
        <v>0</v>
      </c>
      <c r="AI1705" s="162"/>
      <c r="AJ1705" s="143"/>
      <c r="AK1705" s="143"/>
      <c r="AL1705" s="1112"/>
      <c r="AM1705" s="1112"/>
      <c r="AN1705" s="1112"/>
      <c r="AO1705" s="1112"/>
      <c r="AP1705" s="1112"/>
      <c r="AQ1705" s="1112"/>
    </row>
    <row r="1706" ht="22.5" customHeight="1">
      <c r="A1706" s="166"/>
      <c r="B1706" s="1111"/>
      <c r="C1706" s="524"/>
      <c r="D1706" s="1110"/>
      <c r="E1706" s="669"/>
      <c r="F1706" s="524"/>
      <c r="G1706" s="165"/>
      <c r="H1706" s="669"/>
      <c r="I1706" s="669"/>
      <c r="J1706" s="352"/>
      <c r="K1706" s="271" t="str">
        <f t="shared" si="74"/>
        <v/>
      </c>
      <c r="L1706" s="297"/>
      <c r="M1706" s="334"/>
      <c r="N1706" s="277"/>
      <c r="O1706" s="315"/>
      <c r="P1706" s="344">
        <f t="shared" si="69"/>
        <v>0</v>
      </c>
      <c r="Q1706" s="321"/>
      <c r="R1706" s="672" t="b">
        <v>0</v>
      </c>
      <c r="S1706" s="318"/>
      <c r="T1706" s="319"/>
      <c r="U1706" s="315"/>
      <c r="V1706" s="162"/>
      <c r="W1706" s="149"/>
      <c r="X1706" s="163"/>
      <c r="Y1706" s="162"/>
      <c r="Z1706" s="164"/>
      <c r="AA1706" s="116"/>
      <c r="AB1706" s="116"/>
      <c r="AC1706" s="165"/>
      <c r="AD1706" s="675" t="str">
        <f t="shared" si="76"/>
        <v/>
      </c>
      <c r="AE1706" s="166"/>
      <c r="AF1706" s="149" t="b">
        <v>0</v>
      </c>
      <c r="AG1706" s="166"/>
      <c r="AH1706" s="149" t="b">
        <v>0</v>
      </c>
      <c r="AI1706" s="162"/>
      <c r="AJ1706" s="143"/>
      <c r="AK1706" s="143"/>
      <c r="AL1706" s="1112"/>
      <c r="AM1706" s="1112"/>
      <c r="AN1706" s="1112"/>
      <c r="AO1706" s="1112"/>
      <c r="AP1706" s="1112"/>
      <c r="AQ1706" s="1112"/>
    </row>
    <row r="1707" ht="22.5" customHeight="1">
      <c r="A1707" s="166"/>
      <c r="B1707" s="1111"/>
      <c r="C1707" s="524"/>
      <c r="D1707" s="1110"/>
      <c r="E1707" s="669"/>
      <c r="F1707" s="524"/>
      <c r="G1707" s="165"/>
      <c r="H1707" s="669"/>
      <c r="I1707" s="669"/>
      <c r="J1707" s="352"/>
      <c r="K1707" s="271" t="str">
        <f t="shared" si="74"/>
        <v/>
      </c>
      <c r="L1707" s="297"/>
      <c r="M1707" s="334"/>
      <c r="N1707" s="277"/>
      <c r="O1707" s="315"/>
      <c r="P1707" s="344">
        <f t="shared" si="69"/>
        <v>0</v>
      </c>
      <c r="Q1707" s="321"/>
      <c r="R1707" s="672" t="b">
        <v>0</v>
      </c>
      <c r="S1707" s="318"/>
      <c r="T1707" s="319"/>
      <c r="U1707" s="315"/>
      <c r="V1707" s="162"/>
      <c r="W1707" s="149"/>
      <c r="X1707" s="163"/>
      <c r="Y1707" s="162"/>
      <c r="Z1707" s="164"/>
      <c r="AA1707" s="116"/>
      <c r="AB1707" s="116"/>
      <c r="AC1707" s="165"/>
      <c r="AD1707" s="675" t="str">
        <f t="shared" si="76"/>
        <v/>
      </c>
      <c r="AE1707" s="166"/>
      <c r="AF1707" s="149" t="b">
        <v>0</v>
      </c>
      <c r="AG1707" s="166"/>
      <c r="AH1707" s="149" t="b">
        <v>0</v>
      </c>
      <c r="AI1707" s="162"/>
      <c r="AJ1707" s="143"/>
      <c r="AK1707" s="143"/>
      <c r="AL1707" s="1112"/>
      <c r="AM1707" s="1112"/>
      <c r="AN1707" s="1112"/>
      <c r="AO1707" s="1112"/>
      <c r="AP1707" s="1112"/>
      <c r="AQ1707" s="1112"/>
    </row>
    <row r="1708" ht="22.5" customHeight="1">
      <c r="A1708" s="166"/>
      <c r="B1708" s="1111"/>
      <c r="C1708" s="524"/>
      <c r="D1708" s="1110"/>
      <c r="E1708" s="669"/>
      <c r="F1708" s="524"/>
      <c r="G1708" s="165"/>
      <c r="H1708" s="669"/>
      <c r="I1708" s="669"/>
      <c r="J1708" s="352"/>
      <c r="K1708" s="271" t="str">
        <f t="shared" si="74"/>
        <v/>
      </c>
      <c r="L1708" s="297"/>
      <c r="M1708" s="334"/>
      <c r="N1708" s="277"/>
      <c r="O1708" s="315"/>
      <c r="P1708" s="344">
        <f t="shared" si="69"/>
        <v>0</v>
      </c>
      <c r="Q1708" s="321"/>
      <c r="R1708" s="672" t="b">
        <v>0</v>
      </c>
      <c r="S1708" s="318"/>
      <c r="T1708" s="319"/>
      <c r="U1708" s="315"/>
      <c r="V1708" s="162"/>
      <c r="W1708" s="149"/>
      <c r="X1708" s="163"/>
      <c r="Y1708" s="162"/>
      <c r="Z1708" s="164"/>
      <c r="AA1708" s="116"/>
      <c r="AB1708" s="116"/>
      <c r="AC1708" s="165"/>
      <c r="AD1708" s="675" t="str">
        <f t="shared" si="76"/>
        <v/>
      </c>
      <c r="AE1708" s="166"/>
      <c r="AF1708" s="149" t="b">
        <v>0</v>
      </c>
      <c r="AG1708" s="166"/>
      <c r="AH1708" s="149" t="b">
        <v>0</v>
      </c>
      <c r="AI1708" s="162"/>
      <c r="AJ1708" s="143"/>
      <c r="AK1708" s="143"/>
      <c r="AL1708" s="1112"/>
      <c r="AM1708" s="1112"/>
      <c r="AN1708" s="1112"/>
      <c r="AO1708" s="1112"/>
      <c r="AP1708" s="1112"/>
      <c r="AQ1708" s="1112"/>
    </row>
    <row r="1709" ht="22.5" customHeight="1">
      <c r="A1709" s="166"/>
      <c r="B1709" s="1111"/>
      <c r="C1709" s="524"/>
      <c r="D1709" s="1110"/>
      <c r="E1709" s="669"/>
      <c r="F1709" s="524"/>
      <c r="G1709" s="165"/>
      <c r="H1709" s="669"/>
      <c r="I1709" s="669"/>
      <c r="J1709" s="352"/>
      <c r="K1709" s="271" t="str">
        <f t="shared" si="74"/>
        <v/>
      </c>
      <c r="L1709" s="297"/>
      <c r="M1709" s="334"/>
      <c r="N1709" s="277"/>
      <c r="O1709" s="315"/>
      <c r="P1709" s="344">
        <f t="shared" si="69"/>
        <v>0</v>
      </c>
      <c r="Q1709" s="321"/>
      <c r="R1709" s="672" t="b">
        <v>0</v>
      </c>
      <c r="S1709" s="318"/>
      <c r="T1709" s="319"/>
      <c r="U1709" s="315"/>
      <c r="V1709" s="162"/>
      <c r="W1709" s="149"/>
      <c r="X1709" s="163"/>
      <c r="Y1709" s="162"/>
      <c r="Z1709" s="164"/>
      <c r="AA1709" s="116"/>
      <c r="AB1709" s="116"/>
      <c r="AC1709" s="165"/>
      <c r="AD1709" s="675" t="str">
        <f t="shared" si="76"/>
        <v/>
      </c>
      <c r="AE1709" s="166"/>
      <c r="AF1709" s="149" t="b">
        <v>0</v>
      </c>
      <c r="AG1709" s="166"/>
      <c r="AH1709" s="149" t="b">
        <v>0</v>
      </c>
      <c r="AI1709" s="162"/>
      <c r="AJ1709" s="143"/>
      <c r="AK1709" s="143"/>
      <c r="AL1709" s="1112"/>
      <c r="AM1709" s="1112"/>
      <c r="AN1709" s="1112"/>
      <c r="AO1709" s="1112"/>
      <c r="AP1709" s="1112"/>
      <c r="AQ1709" s="1112"/>
    </row>
    <row r="1710" ht="22.5" customHeight="1">
      <c r="A1710" s="166"/>
      <c r="B1710" s="1111"/>
      <c r="C1710" s="524"/>
      <c r="D1710" s="1110"/>
      <c r="E1710" s="669"/>
      <c r="F1710" s="524"/>
      <c r="G1710" s="165"/>
      <c r="H1710" s="669"/>
      <c r="I1710" s="669"/>
      <c r="J1710" s="352"/>
      <c r="K1710" s="271" t="str">
        <f t="shared" si="74"/>
        <v/>
      </c>
      <c r="L1710" s="297"/>
      <c r="M1710" s="334"/>
      <c r="N1710" s="277"/>
      <c r="O1710" s="315"/>
      <c r="P1710" s="344">
        <f t="shared" si="69"/>
        <v>0</v>
      </c>
      <c r="Q1710" s="321"/>
      <c r="R1710" s="672" t="b">
        <v>0</v>
      </c>
      <c r="S1710" s="318"/>
      <c r="T1710" s="319"/>
      <c r="U1710" s="315"/>
      <c r="V1710" s="162"/>
      <c r="W1710" s="149"/>
      <c r="X1710" s="163"/>
      <c r="Y1710" s="162"/>
      <c r="Z1710" s="164"/>
      <c r="AA1710" s="116"/>
      <c r="AB1710" s="116"/>
      <c r="AC1710" s="165"/>
      <c r="AD1710" s="675" t="str">
        <f t="shared" si="76"/>
        <v/>
      </c>
      <c r="AE1710" s="166"/>
      <c r="AF1710" s="149" t="b">
        <v>0</v>
      </c>
      <c r="AG1710" s="166"/>
      <c r="AH1710" s="149" t="b">
        <v>0</v>
      </c>
      <c r="AI1710" s="162"/>
      <c r="AJ1710" s="143"/>
      <c r="AK1710" s="143"/>
      <c r="AL1710" s="1112"/>
      <c r="AM1710" s="1112"/>
      <c r="AN1710" s="1112"/>
      <c r="AO1710" s="1112"/>
      <c r="AP1710" s="1112"/>
      <c r="AQ1710" s="1112"/>
    </row>
    <row r="1711" ht="22.5" customHeight="1">
      <c r="A1711" s="166"/>
      <c r="B1711" s="1111"/>
      <c r="C1711" s="524"/>
      <c r="D1711" s="1110"/>
      <c r="E1711" s="669"/>
      <c r="F1711" s="524"/>
      <c r="G1711" s="165"/>
      <c r="H1711" s="669"/>
      <c r="I1711" s="669"/>
      <c r="J1711" s="352"/>
      <c r="K1711" s="271" t="str">
        <f t="shared" si="74"/>
        <v/>
      </c>
      <c r="L1711" s="297"/>
      <c r="M1711" s="334"/>
      <c r="N1711" s="277"/>
      <c r="O1711" s="315"/>
      <c r="P1711" s="344">
        <f t="shared" si="69"/>
        <v>0</v>
      </c>
      <c r="Q1711" s="321"/>
      <c r="R1711" s="672" t="b">
        <v>0</v>
      </c>
      <c r="S1711" s="318"/>
      <c r="T1711" s="319"/>
      <c r="U1711" s="315"/>
      <c r="V1711" s="162"/>
      <c r="W1711" s="149"/>
      <c r="X1711" s="163"/>
      <c r="Y1711" s="162"/>
      <c r="Z1711" s="164"/>
      <c r="AA1711" s="116"/>
      <c r="AB1711" s="116"/>
      <c r="AC1711" s="165"/>
      <c r="AD1711" s="675" t="str">
        <f t="shared" si="76"/>
        <v/>
      </c>
      <c r="AE1711" s="166"/>
      <c r="AF1711" s="149" t="b">
        <v>0</v>
      </c>
      <c r="AG1711" s="166"/>
      <c r="AH1711" s="149" t="b">
        <v>0</v>
      </c>
      <c r="AI1711" s="162"/>
      <c r="AJ1711" s="143"/>
      <c r="AK1711" s="143"/>
      <c r="AL1711" s="1112"/>
      <c r="AM1711" s="1112"/>
      <c r="AN1711" s="1112"/>
      <c r="AO1711" s="1112"/>
      <c r="AP1711" s="1112"/>
      <c r="AQ1711" s="1112"/>
    </row>
    <row r="1712" ht="22.5" customHeight="1">
      <c r="A1712" s="166"/>
      <c r="B1712" s="1111"/>
      <c r="C1712" s="524"/>
      <c r="D1712" s="1110"/>
      <c r="E1712" s="669"/>
      <c r="F1712" s="524"/>
      <c r="G1712" s="165"/>
      <c r="H1712" s="669"/>
      <c r="I1712" s="669"/>
      <c r="J1712" s="352"/>
      <c r="K1712" s="271" t="str">
        <f t="shared" si="74"/>
        <v/>
      </c>
      <c r="L1712" s="297"/>
      <c r="M1712" s="334"/>
      <c r="N1712" s="277"/>
      <c r="O1712" s="315"/>
      <c r="P1712" s="344">
        <f t="shared" si="69"/>
        <v>0</v>
      </c>
      <c r="Q1712" s="321"/>
      <c r="R1712" s="672" t="b">
        <v>0</v>
      </c>
      <c r="S1712" s="318"/>
      <c r="T1712" s="319"/>
      <c r="U1712" s="315"/>
      <c r="V1712" s="162"/>
      <c r="W1712" s="149"/>
      <c r="X1712" s="163"/>
      <c r="Y1712" s="162"/>
      <c r="Z1712" s="164"/>
      <c r="AA1712" s="116"/>
      <c r="AB1712" s="116"/>
      <c r="AC1712" s="165"/>
      <c r="AD1712" s="675" t="str">
        <f t="shared" si="76"/>
        <v/>
      </c>
      <c r="AE1712" s="166"/>
      <c r="AF1712" s="149" t="b">
        <v>0</v>
      </c>
      <c r="AG1712" s="166"/>
      <c r="AH1712" s="149" t="b">
        <v>0</v>
      </c>
      <c r="AI1712" s="162"/>
      <c r="AJ1712" s="143"/>
      <c r="AK1712" s="143"/>
      <c r="AL1712" s="1112"/>
      <c r="AM1712" s="1112"/>
      <c r="AN1712" s="1112"/>
      <c r="AO1712" s="1112"/>
      <c r="AP1712" s="1112"/>
      <c r="AQ1712" s="1112"/>
    </row>
    <row r="1713" ht="22.5" customHeight="1">
      <c r="A1713" s="166"/>
      <c r="B1713" s="1111"/>
      <c r="C1713" s="524"/>
      <c r="D1713" s="1110"/>
      <c r="E1713" s="669"/>
      <c r="F1713" s="524"/>
      <c r="G1713" s="165"/>
      <c r="H1713" s="669"/>
      <c r="I1713" s="669"/>
      <c r="J1713" s="352"/>
      <c r="K1713" s="271" t="str">
        <f t="shared" si="74"/>
        <v/>
      </c>
      <c r="L1713" s="297"/>
      <c r="M1713" s="334"/>
      <c r="N1713" s="277"/>
      <c r="O1713" s="315"/>
      <c r="P1713" s="344">
        <f t="shared" si="69"/>
        <v>0</v>
      </c>
      <c r="Q1713" s="321"/>
      <c r="R1713" s="672" t="b">
        <v>0</v>
      </c>
      <c r="S1713" s="318"/>
      <c r="T1713" s="319"/>
      <c r="U1713" s="315"/>
      <c r="V1713" s="162"/>
      <c r="W1713" s="149"/>
      <c r="X1713" s="163"/>
      <c r="Y1713" s="162"/>
      <c r="Z1713" s="164"/>
      <c r="AA1713" s="116"/>
      <c r="AB1713" s="116"/>
      <c r="AC1713" s="165"/>
      <c r="AD1713" s="675" t="str">
        <f t="shared" si="76"/>
        <v/>
      </c>
      <c r="AE1713" s="166"/>
      <c r="AF1713" s="149" t="b">
        <v>0</v>
      </c>
      <c r="AG1713" s="166"/>
      <c r="AH1713" s="149" t="b">
        <v>0</v>
      </c>
      <c r="AI1713" s="162"/>
      <c r="AJ1713" s="143"/>
      <c r="AK1713" s="143"/>
      <c r="AL1713" s="1112"/>
      <c r="AM1713" s="1112"/>
      <c r="AN1713" s="1112"/>
      <c r="AO1713" s="1112"/>
      <c r="AP1713" s="1112"/>
      <c r="AQ1713" s="1112"/>
    </row>
    <row r="1714" ht="22.5" customHeight="1">
      <c r="A1714" s="166"/>
      <c r="B1714" s="1111"/>
      <c r="C1714" s="524"/>
      <c r="D1714" s="1110"/>
      <c r="E1714" s="669"/>
      <c r="F1714" s="524"/>
      <c r="G1714" s="165"/>
      <c r="H1714" s="669"/>
      <c r="I1714" s="669"/>
      <c r="J1714" s="352"/>
      <c r="K1714" s="271" t="str">
        <f t="shared" si="74"/>
        <v/>
      </c>
      <c r="L1714" s="297"/>
      <c r="M1714" s="334"/>
      <c r="N1714" s="277"/>
      <c r="O1714" s="315"/>
      <c r="P1714" s="344">
        <f t="shared" si="69"/>
        <v>0</v>
      </c>
      <c r="Q1714" s="321"/>
      <c r="R1714" s="672" t="b">
        <v>0</v>
      </c>
      <c r="S1714" s="318"/>
      <c r="T1714" s="319"/>
      <c r="U1714" s="315"/>
      <c r="V1714" s="162"/>
      <c r="W1714" s="149"/>
      <c r="X1714" s="163"/>
      <c r="Y1714" s="162"/>
      <c r="Z1714" s="164"/>
      <c r="AA1714" s="116"/>
      <c r="AB1714" s="116"/>
      <c r="AC1714" s="165"/>
      <c r="AD1714" s="675" t="str">
        <f t="shared" si="76"/>
        <v/>
      </c>
      <c r="AE1714" s="166"/>
      <c r="AF1714" s="149" t="b">
        <v>0</v>
      </c>
      <c r="AG1714" s="166"/>
      <c r="AH1714" s="149" t="b">
        <v>0</v>
      </c>
      <c r="AI1714" s="162"/>
      <c r="AJ1714" s="143"/>
      <c r="AK1714" s="143"/>
      <c r="AL1714" s="1112"/>
      <c r="AM1714" s="1112"/>
      <c r="AN1714" s="1112"/>
      <c r="AO1714" s="1112"/>
      <c r="AP1714" s="1112"/>
      <c r="AQ1714" s="1112"/>
    </row>
    <row r="1715" ht="22.5" customHeight="1">
      <c r="A1715" s="166"/>
      <c r="B1715" s="1111"/>
      <c r="C1715" s="524"/>
      <c r="D1715" s="1110"/>
      <c r="E1715" s="669"/>
      <c r="F1715" s="524"/>
      <c r="G1715" s="165"/>
      <c r="H1715" s="669"/>
      <c r="I1715" s="669"/>
      <c r="J1715" s="352"/>
      <c r="K1715" s="271" t="str">
        <f t="shared" si="74"/>
        <v/>
      </c>
      <c r="L1715" s="297"/>
      <c r="M1715" s="334"/>
      <c r="N1715" s="277"/>
      <c r="O1715" s="315"/>
      <c r="P1715" s="344">
        <f t="shared" si="69"/>
        <v>0</v>
      </c>
      <c r="Q1715" s="321"/>
      <c r="R1715" s="672" t="b">
        <v>0</v>
      </c>
      <c r="S1715" s="318"/>
      <c r="T1715" s="319"/>
      <c r="U1715" s="315"/>
      <c r="V1715" s="162"/>
      <c r="W1715" s="149"/>
      <c r="X1715" s="163"/>
      <c r="Y1715" s="162"/>
      <c r="Z1715" s="164"/>
      <c r="AA1715" s="116"/>
      <c r="AB1715" s="116"/>
      <c r="AC1715" s="165"/>
      <c r="AD1715" s="675" t="str">
        <f t="shared" si="76"/>
        <v/>
      </c>
      <c r="AE1715" s="166"/>
      <c r="AF1715" s="149" t="b">
        <v>0</v>
      </c>
      <c r="AG1715" s="166"/>
      <c r="AH1715" s="149" t="b">
        <v>0</v>
      </c>
      <c r="AI1715" s="162"/>
      <c r="AJ1715" s="143"/>
      <c r="AK1715" s="143"/>
      <c r="AL1715" s="1112"/>
      <c r="AM1715" s="1112"/>
      <c r="AN1715" s="1112"/>
      <c r="AO1715" s="1112"/>
      <c r="AP1715" s="1112"/>
      <c r="AQ1715" s="1112"/>
    </row>
    <row r="1716" ht="22.5" customHeight="1">
      <c r="A1716" s="166"/>
      <c r="B1716" s="1111"/>
      <c r="C1716" s="524"/>
      <c r="D1716" s="1110"/>
      <c r="E1716" s="669"/>
      <c r="F1716" s="524"/>
      <c r="G1716" s="165"/>
      <c r="H1716" s="669"/>
      <c r="I1716" s="669"/>
      <c r="J1716" s="352"/>
      <c r="K1716" s="271" t="str">
        <f t="shared" si="74"/>
        <v/>
      </c>
      <c r="L1716" s="297"/>
      <c r="M1716" s="334"/>
      <c r="N1716" s="277"/>
      <c r="O1716" s="315"/>
      <c r="P1716" s="344">
        <f t="shared" si="69"/>
        <v>0</v>
      </c>
      <c r="Q1716" s="321"/>
      <c r="R1716" s="672" t="b">
        <v>0</v>
      </c>
      <c r="S1716" s="318"/>
      <c r="T1716" s="319"/>
      <c r="U1716" s="315"/>
      <c r="V1716" s="162"/>
      <c r="W1716" s="149"/>
      <c r="X1716" s="163"/>
      <c r="Y1716" s="162"/>
      <c r="Z1716" s="164"/>
      <c r="AA1716" s="116"/>
      <c r="AB1716" s="116"/>
      <c r="AC1716" s="165"/>
      <c r="AD1716" s="675" t="str">
        <f t="shared" si="76"/>
        <v/>
      </c>
      <c r="AE1716" s="166"/>
      <c r="AF1716" s="149" t="b">
        <v>0</v>
      </c>
      <c r="AG1716" s="166"/>
      <c r="AH1716" s="149" t="b">
        <v>0</v>
      </c>
      <c r="AI1716" s="162"/>
      <c r="AJ1716" s="143"/>
      <c r="AK1716" s="143"/>
      <c r="AL1716" s="1112"/>
      <c r="AM1716" s="1112"/>
      <c r="AN1716" s="1112"/>
      <c r="AO1716" s="1112"/>
      <c r="AP1716" s="1112"/>
      <c r="AQ1716" s="1112"/>
    </row>
    <row r="1717" ht="22.5" customHeight="1">
      <c r="A1717" s="166"/>
      <c r="B1717" s="1111"/>
      <c r="C1717" s="524"/>
      <c r="D1717" s="1110"/>
      <c r="E1717" s="669"/>
      <c r="F1717" s="524"/>
      <c r="G1717" s="165"/>
      <c r="H1717" s="669"/>
      <c r="I1717" s="669"/>
      <c r="J1717" s="352"/>
      <c r="K1717" s="271" t="str">
        <f t="shared" si="74"/>
        <v/>
      </c>
      <c r="L1717" s="297"/>
      <c r="M1717" s="334"/>
      <c r="N1717" s="277"/>
      <c r="O1717" s="315"/>
      <c r="P1717" s="344">
        <f t="shared" si="69"/>
        <v>0</v>
      </c>
      <c r="Q1717" s="321"/>
      <c r="R1717" s="672" t="b">
        <v>0</v>
      </c>
      <c r="S1717" s="318"/>
      <c r="T1717" s="319"/>
      <c r="U1717" s="315"/>
      <c r="V1717" s="162"/>
      <c r="W1717" s="149"/>
      <c r="X1717" s="163"/>
      <c r="Y1717" s="162"/>
      <c r="Z1717" s="164"/>
      <c r="AA1717" s="116"/>
      <c r="AB1717" s="116"/>
      <c r="AC1717" s="165"/>
      <c r="AD1717" s="675" t="str">
        <f t="shared" si="76"/>
        <v/>
      </c>
      <c r="AE1717" s="166"/>
      <c r="AF1717" s="149" t="b">
        <v>0</v>
      </c>
      <c r="AG1717" s="166"/>
      <c r="AH1717" s="149" t="b">
        <v>0</v>
      </c>
      <c r="AI1717" s="162"/>
      <c r="AJ1717" s="143"/>
      <c r="AK1717" s="143"/>
      <c r="AL1717" s="1112"/>
      <c r="AM1717" s="1112"/>
      <c r="AN1717" s="1112"/>
      <c r="AO1717" s="1112"/>
      <c r="AP1717" s="1112"/>
      <c r="AQ1717" s="1112"/>
    </row>
    <row r="1718" ht="22.5" customHeight="1">
      <c r="A1718" s="166"/>
      <c r="B1718" s="1111"/>
      <c r="C1718" s="524"/>
      <c r="D1718" s="1110"/>
      <c r="E1718" s="669"/>
      <c r="F1718" s="524"/>
      <c r="G1718" s="165"/>
      <c r="H1718" s="669"/>
      <c r="I1718" s="669"/>
      <c r="J1718" s="352"/>
      <c r="K1718" s="271" t="str">
        <f t="shared" si="74"/>
        <v/>
      </c>
      <c r="L1718" s="297"/>
      <c r="M1718" s="334"/>
      <c r="N1718" s="277"/>
      <c r="O1718" s="315"/>
      <c r="P1718" s="344">
        <f t="shared" si="69"/>
        <v>0</v>
      </c>
      <c r="Q1718" s="321"/>
      <c r="R1718" s="672" t="b">
        <v>0</v>
      </c>
      <c r="S1718" s="318"/>
      <c r="T1718" s="319"/>
      <c r="U1718" s="315"/>
      <c r="V1718" s="162"/>
      <c r="W1718" s="149"/>
      <c r="X1718" s="163"/>
      <c r="Y1718" s="162"/>
      <c r="Z1718" s="164"/>
      <c r="AA1718" s="116"/>
      <c r="AB1718" s="116"/>
      <c r="AC1718" s="165"/>
      <c r="AD1718" s="675" t="str">
        <f t="shared" si="76"/>
        <v/>
      </c>
      <c r="AE1718" s="166"/>
      <c r="AF1718" s="149" t="b">
        <v>0</v>
      </c>
      <c r="AG1718" s="166"/>
      <c r="AH1718" s="149" t="b">
        <v>0</v>
      </c>
      <c r="AI1718" s="162"/>
      <c r="AJ1718" s="143"/>
      <c r="AK1718" s="143"/>
      <c r="AL1718" s="1112"/>
      <c r="AM1718" s="1112"/>
      <c r="AN1718" s="1112"/>
      <c r="AO1718" s="1112"/>
      <c r="AP1718" s="1112"/>
      <c r="AQ1718" s="1112"/>
    </row>
    <row r="1719" ht="22.5" customHeight="1">
      <c r="A1719" s="166"/>
      <c r="B1719" s="1111"/>
      <c r="C1719" s="524"/>
      <c r="D1719" s="1110"/>
      <c r="E1719" s="669"/>
      <c r="F1719" s="524"/>
      <c r="G1719" s="165"/>
      <c r="H1719" s="669"/>
      <c r="I1719" s="669"/>
      <c r="J1719" s="352"/>
      <c r="K1719" s="271" t="str">
        <f t="shared" si="74"/>
        <v/>
      </c>
      <c r="L1719" s="297"/>
      <c r="M1719" s="334"/>
      <c r="N1719" s="277"/>
      <c r="O1719" s="315"/>
      <c r="P1719" s="344">
        <f t="shared" si="69"/>
        <v>0</v>
      </c>
      <c r="Q1719" s="321"/>
      <c r="R1719" s="672" t="b">
        <v>0</v>
      </c>
      <c r="S1719" s="318"/>
      <c r="T1719" s="319"/>
      <c r="U1719" s="315"/>
      <c r="V1719" s="162"/>
      <c r="W1719" s="149"/>
      <c r="X1719" s="163"/>
      <c r="Y1719" s="162"/>
      <c r="Z1719" s="164"/>
      <c r="AA1719" s="116"/>
      <c r="AB1719" s="116"/>
      <c r="AC1719" s="165"/>
      <c r="AD1719" s="675" t="str">
        <f t="shared" si="76"/>
        <v/>
      </c>
      <c r="AE1719" s="166"/>
      <c r="AF1719" s="149" t="b">
        <v>0</v>
      </c>
      <c r="AG1719" s="166"/>
      <c r="AH1719" s="149" t="b">
        <v>0</v>
      </c>
      <c r="AI1719" s="162"/>
      <c r="AJ1719" s="143"/>
      <c r="AK1719" s="143"/>
      <c r="AL1719" s="1112"/>
      <c r="AM1719" s="1112"/>
      <c r="AN1719" s="1112"/>
      <c r="AO1719" s="1112"/>
      <c r="AP1719" s="1112"/>
      <c r="AQ1719" s="1112"/>
    </row>
    <row r="1720" ht="22.5" customHeight="1">
      <c r="A1720" s="166"/>
      <c r="B1720" s="1111"/>
      <c r="C1720" s="524"/>
      <c r="D1720" s="1110"/>
      <c r="E1720" s="669"/>
      <c r="F1720" s="524"/>
      <c r="G1720" s="165"/>
      <c r="H1720" s="669"/>
      <c r="I1720" s="669"/>
      <c r="J1720" s="352"/>
      <c r="K1720" s="271" t="str">
        <f t="shared" si="74"/>
        <v/>
      </c>
      <c r="L1720" s="297"/>
      <c r="M1720" s="334"/>
      <c r="N1720" s="277"/>
      <c r="O1720" s="315"/>
      <c r="P1720" s="344">
        <f t="shared" si="69"/>
        <v>0</v>
      </c>
      <c r="Q1720" s="321"/>
      <c r="R1720" s="672" t="b">
        <v>0</v>
      </c>
      <c r="S1720" s="318"/>
      <c r="T1720" s="319"/>
      <c r="U1720" s="315"/>
      <c r="V1720" s="162"/>
      <c r="W1720" s="149"/>
      <c r="X1720" s="163"/>
      <c r="Y1720" s="162"/>
      <c r="Z1720" s="164"/>
      <c r="AA1720" s="116"/>
      <c r="AB1720" s="116"/>
      <c r="AC1720" s="165"/>
      <c r="AD1720" s="675" t="str">
        <f t="shared" si="76"/>
        <v/>
      </c>
      <c r="AE1720" s="166"/>
      <c r="AF1720" s="149" t="b">
        <v>0</v>
      </c>
      <c r="AG1720" s="166"/>
      <c r="AH1720" s="149" t="b">
        <v>0</v>
      </c>
      <c r="AI1720" s="162"/>
      <c r="AJ1720" s="143"/>
      <c r="AK1720" s="143"/>
      <c r="AL1720" s="1112"/>
      <c r="AM1720" s="1112"/>
      <c r="AN1720" s="1112"/>
      <c r="AO1720" s="1112"/>
      <c r="AP1720" s="1112"/>
      <c r="AQ1720" s="1112"/>
    </row>
    <row r="1721" ht="22.5" customHeight="1">
      <c r="A1721" s="166"/>
      <c r="B1721" s="1111"/>
      <c r="C1721" s="524"/>
      <c r="D1721" s="1110"/>
      <c r="E1721" s="669"/>
      <c r="F1721" s="524"/>
      <c r="G1721" s="165"/>
      <c r="H1721" s="669"/>
      <c r="I1721" s="669"/>
      <c r="J1721" s="352"/>
      <c r="K1721" s="271" t="str">
        <f t="shared" si="74"/>
        <v/>
      </c>
      <c r="L1721" s="297"/>
      <c r="M1721" s="334"/>
      <c r="N1721" s="277"/>
      <c r="O1721" s="315"/>
      <c r="P1721" s="344">
        <f t="shared" si="69"/>
        <v>0</v>
      </c>
      <c r="Q1721" s="321"/>
      <c r="R1721" s="672" t="b">
        <v>0</v>
      </c>
      <c r="S1721" s="318"/>
      <c r="T1721" s="319"/>
      <c r="U1721" s="315"/>
      <c r="V1721" s="162"/>
      <c r="W1721" s="149"/>
      <c r="X1721" s="163"/>
      <c r="Y1721" s="162"/>
      <c r="Z1721" s="164"/>
      <c r="AA1721" s="116"/>
      <c r="AB1721" s="116"/>
      <c r="AC1721" s="165"/>
      <c r="AD1721" s="675" t="str">
        <f t="shared" si="76"/>
        <v/>
      </c>
      <c r="AE1721" s="166"/>
      <c r="AF1721" s="149" t="b">
        <v>0</v>
      </c>
      <c r="AG1721" s="166"/>
      <c r="AH1721" s="149" t="b">
        <v>0</v>
      </c>
      <c r="AI1721" s="162"/>
      <c r="AJ1721" s="143"/>
      <c r="AK1721" s="143"/>
      <c r="AL1721" s="1112"/>
      <c r="AM1721" s="1112"/>
      <c r="AN1721" s="1112"/>
      <c r="AO1721" s="1112"/>
      <c r="AP1721" s="1112"/>
      <c r="AQ1721" s="1112"/>
    </row>
    <row r="1722" ht="22.5" customHeight="1">
      <c r="A1722" s="166"/>
      <c r="B1722" s="1111"/>
      <c r="C1722" s="524"/>
      <c r="D1722" s="1110"/>
      <c r="E1722" s="669"/>
      <c r="F1722" s="524"/>
      <c r="G1722" s="165"/>
      <c r="H1722" s="669"/>
      <c r="I1722" s="669"/>
      <c r="J1722" s="352"/>
      <c r="K1722" s="271" t="str">
        <f t="shared" si="74"/>
        <v/>
      </c>
      <c r="L1722" s="297"/>
      <c r="M1722" s="334"/>
      <c r="N1722" s="277"/>
      <c r="O1722" s="315"/>
      <c r="P1722" s="344">
        <f t="shared" si="69"/>
        <v>0</v>
      </c>
      <c r="Q1722" s="321"/>
      <c r="R1722" s="672" t="b">
        <v>0</v>
      </c>
      <c r="S1722" s="318"/>
      <c r="T1722" s="319"/>
      <c r="U1722" s="315"/>
      <c r="V1722" s="162"/>
      <c r="W1722" s="149"/>
      <c r="X1722" s="163"/>
      <c r="Y1722" s="162"/>
      <c r="Z1722" s="164"/>
      <c r="AA1722" s="116"/>
      <c r="AB1722" s="116"/>
      <c r="AC1722" s="165"/>
      <c r="AD1722" s="675" t="str">
        <f t="shared" si="76"/>
        <v/>
      </c>
      <c r="AE1722" s="166"/>
      <c r="AF1722" s="149" t="b">
        <v>0</v>
      </c>
      <c r="AG1722" s="166"/>
      <c r="AH1722" s="149" t="b">
        <v>0</v>
      </c>
      <c r="AI1722" s="162"/>
      <c r="AJ1722" s="143"/>
      <c r="AK1722" s="143"/>
      <c r="AL1722" s="1112"/>
      <c r="AM1722" s="1112"/>
      <c r="AN1722" s="1112"/>
      <c r="AO1722" s="1112"/>
      <c r="AP1722" s="1112"/>
      <c r="AQ1722" s="1112"/>
    </row>
    <row r="1723" ht="22.5" customHeight="1">
      <c r="A1723" s="166"/>
      <c r="B1723" s="1111"/>
      <c r="C1723" s="524"/>
      <c r="D1723" s="1110"/>
      <c r="E1723" s="669"/>
      <c r="F1723" s="524"/>
      <c r="G1723" s="165"/>
      <c r="H1723" s="669"/>
      <c r="I1723" s="669"/>
      <c r="J1723" s="352"/>
      <c r="K1723" s="271" t="str">
        <f t="shared" si="74"/>
        <v/>
      </c>
      <c r="L1723" s="297"/>
      <c r="M1723" s="334"/>
      <c r="N1723" s="277"/>
      <c r="O1723" s="315"/>
      <c r="P1723" s="344">
        <f t="shared" si="69"/>
        <v>0</v>
      </c>
      <c r="Q1723" s="321"/>
      <c r="R1723" s="672" t="b">
        <v>0</v>
      </c>
      <c r="S1723" s="318"/>
      <c r="T1723" s="319"/>
      <c r="U1723" s="315"/>
      <c r="V1723" s="162"/>
      <c r="W1723" s="149"/>
      <c r="X1723" s="163"/>
      <c r="Y1723" s="162"/>
      <c r="Z1723" s="164"/>
      <c r="AA1723" s="116"/>
      <c r="AB1723" s="116"/>
      <c r="AC1723" s="165"/>
      <c r="AD1723" s="675" t="str">
        <f t="shared" si="76"/>
        <v/>
      </c>
      <c r="AE1723" s="166"/>
      <c r="AF1723" s="149" t="b">
        <v>0</v>
      </c>
      <c r="AG1723" s="166"/>
      <c r="AH1723" s="149" t="b">
        <v>0</v>
      </c>
      <c r="AI1723" s="162"/>
      <c r="AJ1723" s="143"/>
      <c r="AK1723" s="143"/>
      <c r="AL1723" s="1112"/>
      <c r="AM1723" s="1112"/>
      <c r="AN1723" s="1112"/>
      <c r="AO1723" s="1112"/>
      <c r="AP1723" s="1112"/>
      <c r="AQ1723" s="1112"/>
    </row>
    <row r="1724" ht="22.5" customHeight="1">
      <c r="A1724" s="166"/>
      <c r="B1724" s="1111"/>
      <c r="C1724" s="524"/>
      <c r="D1724" s="1110"/>
      <c r="E1724" s="669"/>
      <c r="F1724" s="524"/>
      <c r="G1724" s="165"/>
      <c r="H1724" s="669"/>
      <c r="I1724" s="669"/>
      <c r="J1724" s="352"/>
      <c r="K1724" s="271" t="str">
        <f t="shared" si="74"/>
        <v/>
      </c>
      <c r="L1724" s="297"/>
      <c r="M1724" s="334"/>
      <c r="N1724" s="277"/>
      <c r="O1724" s="315"/>
      <c r="P1724" s="344">
        <f t="shared" si="69"/>
        <v>0</v>
      </c>
      <c r="Q1724" s="321"/>
      <c r="R1724" s="672" t="b">
        <v>0</v>
      </c>
      <c r="S1724" s="318"/>
      <c r="T1724" s="319"/>
      <c r="U1724" s="315"/>
      <c r="V1724" s="162"/>
      <c r="W1724" s="149"/>
      <c r="X1724" s="163"/>
      <c r="Y1724" s="162"/>
      <c r="Z1724" s="164"/>
      <c r="AA1724" s="116"/>
      <c r="AB1724" s="116"/>
      <c r="AC1724" s="165"/>
      <c r="AD1724" s="675" t="str">
        <f t="shared" si="76"/>
        <v/>
      </c>
      <c r="AE1724" s="166"/>
      <c r="AF1724" s="149" t="b">
        <v>0</v>
      </c>
      <c r="AG1724" s="166"/>
      <c r="AH1724" s="149" t="b">
        <v>0</v>
      </c>
      <c r="AI1724" s="162"/>
      <c r="AJ1724" s="143"/>
      <c r="AK1724" s="143"/>
      <c r="AL1724" s="1112"/>
      <c r="AM1724" s="1112"/>
      <c r="AN1724" s="1112"/>
      <c r="AO1724" s="1112"/>
      <c r="AP1724" s="1112"/>
      <c r="AQ1724" s="1112"/>
    </row>
    <row r="1725" ht="22.5" customHeight="1">
      <c r="A1725" s="166"/>
      <c r="B1725" s="1111"/>
      <c r="C1725" s="524"/>
      <c r="D1725" s="1110"/>
      <c r="E1725" s="669"/>
      <c r="F1725" s="524"/>
      <c r="G1725" s="165"/>
      <c r="H1725" s="669"/>
      <c r="I1725" s="669"/>
      <c r="J1725" s="352"/>
      <c r="K1725" s="271" t="str">
        <f t="shared" si="74"/>
        <v/>
      </c>
      <c r="L1725" s="297"/>
      <c r="M1725" s="334"/>
      <c r="N1725" s="277"/>
      <c r="O1725" s="315"/>
      <c r="P1725" s="344">
        <f t="shared" si="69"/>
        <v>0</v>
      </c>
      <c r="Q1725" s="321"/>
      <c r="R1725" s="672" t="b">
        <v>0</v>
      </c>
      <c r="S1725" s="318"/>
      <c r="T1725" s="319"/>
      <c r="U1725" s="315"/>
      <c r="V1725" s="162"/>
      <c r="W1725" s="149"/>
      <c r="X1725" s="163"/>
      <c r="Y1725" s="162"/>
      <c r="Z1725" s="164"/>
      <c r="AA1725" s="116"/>
      <c r="AB1725" s="116"/>
      <c r="AC1725" s="165"/>
      <c r="AD1725" s="675" t="str">
        <f t="shared" si="76"/>
        <v/>
      </c>
      <c r="AE1725" s="166"/>
      <c r="AF1725" s="149" t="b">
        <v>0</v>
      </c>
      <c r="AG1725" s="166"/>
      <c r="AH1725" s="149" t="b">
        <v>0</v>
      </c>
      <c r="AI1725" s="162"/>
      <c r="AJ1725" s="143"/>
      <c r="AK1725" s="143"/>
      <c r="AL1725" s="1112"/>
      <c r="AM1725" s="1112"/>
      <c r="AN1725" s="1112"/>
      <c r="AO1725" s="1112"/>
      <c r="AP1725" s="1112"/>
      <c r="AQ1725" s="1112"/>
    </row>
    <row r="1726" ht="22.5" customHeight="1">
      <c r="A1726" s="166"/>
      <c r="B1726" s="1111"/>
      <c r="C1726" s="524"/>
      <c r="D1726" s="1110"/>
      <c r="E1726" s="669"/>
      <c r="F1726" s="524"/>
      <c r="G1726" s="165"/>
      <c r="H1726" s="669"/>
      <c r="I1726" s="669"/>
      <c r="J1726" s="352"/>
      <c r="K1726" s="271" t="str">
        <f t="shared" si="74"/>
        <v/>
      </c>
      <c r="L1726" s="297"/>
      <c r="M1726" s="334"/>
      <c r="N1726" s="277"/>
      <c r="O1726" s="315"/>
      <c r="P1726" s="344">
        <f t="shared" si="69"/>
        <v>0</v>
      </c>
      <c r="Q1726" s="321"/>
      <c r="R1726" s="672" t="b">
        <v>0</v>
      </c>
      <c r="S1726" s="318"/>
      <c r="T1726" s="319"/>
      <c r="U1726" s="315"/>
      <c r="V1726" s="162"/>
      <c r="W1726" s="149"/>
      <c r="X1726" s="163"/>
      <c r="Y1726" s="162"/>
      <c r="Z1726" s="164"/>
      <c r="AA1726" s="116"/>
      <c r="AB1726" s="116"/>
      <c r="AC1726" s="165"/>
      <c r="AD1726" s="675" t="str">
        <f t="shared" si="76"/>
        <v/>
      </c>
      <c r="AE1726" s="166"/>
      <c r="AF1726" s="149" t="b">
        <v>0</v>
      </c>
      <c r="AG1726" s="166"/>
      <c r="AH1726" s="149" t="b">
        <v>0</v>
      </c>
      <c r="AI1726" s="162"/>
      <c r="AJ1726" s="143"/>
      <c r="AK1726" s="143"/>
      <c r="AL1726" s="1112"/>
      <c r="AM1726" s="1112"/>
      <c r="AN1726" s="1112"/>
      <c r="AO1726" s="1112"/>
      <c r="AP1726" s="1112"/>
      <c r="AQ1726" s="1112"/>
    </row>
    <row r="1727" ht="22.5" customHeight="1">
      <c r="A1727" s="166"/>
      <c r="B1727" s="1111"/>
      <c r="C1727" s="524"/>
      <c r="D1727" s="1110"/>
      <c r="E1727" s="669"/>
      <c r="F1727" s="524"/>
      <c r="G1727" s="165"/>
      <c r="H1727" s="669"/>
      <c r="I1727" s="669"/>
      <c r="J1727" s="352"/>
      <c r="K1727" s="271" t="str">
        <f t="shared" si="74"/>
        <v/>
      </c>
      <c r="L1727" s="297"/>
      <c r="M1727" s="334"/>
      <c r="N1727" s="277"/>
      <c r="O1727" s="315"/>
      <c r="P1727" s="344">
        <f t="shared" si="69"/>
        <v>0</v>
      </c>
      <c r="Q1727" s="321"/>
      <c r="R1727" s="672" t="b">
        <v>0</v>
      </c>
      <c r="S1727" s="318"/>
      <c r="T1727" s="319"/>
      <c r="U1727" s="315"/>
      <c r="V1727" s="162"/>
      <c r="W1727" s="149"/>
      <c r="X1727" s="163"/>
      <c r="Y1727" s="162"/>
      <c r="Z1727" s="164"/>
      <c r="AA1727" s="116"/>
      <c r="AB1727" s="116"/>
      <c r="AC1727" s="165"/>
      <c r="AD1727" s="675" t="str">
        <f t="shared" si="76"/>
        <v/>
      </c>
      <c r="AE1727" s="166"/>
      <c r="AF1727" s="149" t="b">
        <v>0</v>
      </c>
      <c r="AG1727" s="166"/>
      <c r="AH1727" s="149" t="b">
        <v>0</v>
      </c>
      <c r="AI1727" s="162"/>
      <c r="AJ1727" s="143"/>
      <c r="AK1727" s="143"/>
      <c r="AL1727" s="1112"/>
      <c r="AM1727" s="1112"/>
      <c r="AN1727" s="1112"/>
      <c r="AO1727" s="1112"/>
      <c r="AP1727" s="1112"/>
      <c r="AQ1727" s="1112"/>
    </row>
    <row r="1728" ht="22.5" customHeight="1">
      <c r="A1728" s="166"/>
      <c r="B1728" s="1111"/>
      <c r="C1728" s="524"/>
      <c r="D1728" s="1110"/>
      <c r="E1728" s="669"/>
      <c r="F1728" s="524"/>
      <c r="G1728" s="165"/>
      <c r="H1728" s="669"/>
      <c r="I1728" s="669"/>
      <c r="J1728" s="352"/>
      <c r="K1728" s="271" t="str">
        <f t="shared" si="74"/>
        <v/>
      </c>
      <c r="L1728" s="297"/>
      <c r="M1728" s="334"/>
      <c r="N1728" s="277"/>
      <c r="O1728" s="315"/>
      <c r="P1728" s="344">
        <f t="shared" si="69"/>
        <v>0</v>
      </c>
      <c r="Q1728" s="321"/>
      <c r="R1728" s="672" t="b">
        <v>0</v>
      </c>
      <c r="S1728" s="318"/>
      <c r="T1728" s="319"/>
      <c r="U1728" s="315"/>
      <c r="V1728" s="162"/>
      <c r="W1728" s="149"/>
      <c r="X1728" s="163"/>
      <c r="Y1728" s="162"/>
      <c r="Z1728" s="164"/>
      <c r="AA1728" s="116"/>
      <c r="AB1728" s="116"/>
      <c r="AC1728" s="165"/>
      <c r="AD1728" s="675" t="str">
        <f t="shared" si="76"/>
        <v/>
      </c>
      <c r="AE1728" s="166"/>
      <c r="AF1728" s="149" t="b">
        <v>0</v>
      </c>
      <c r="AG1728" s="166"/>
      <c r="AH1728" s="149" t="b">
        <v>0</v>
      </c>
      <c r="AI1728" s="162"/>
      <c r="AJ1728" s="143"/>
      <c r="AK1728" s="143"/>
      <c r="AL1728" s="1112"/>
      <c r="AM1728" s="1112"/>
      <c r="AN1728" s="1112"/>
      <c r="AO1728" s="1112"/>
      <c r="AP1728" s="1112"/>
      <c r="AQ1728" s="1112"/>
    </row>
    <row r="1729" ht="22.5" customHeight="1">
      <c r="A1729" s="166"/>
      <c r="B1729" s="1111"/>
      <c r="C1729" s="524"/>
      <c r="D1729" s="1110"/>
      <c r="E1729" s="669"/>
      <c r="F1729" s="524"/>
      <c r="G1729" s="165"/>
      <c r="H1729" s="669"/>
      <c r="I1729" s="669"/>
      <c r="J1729" s="352"/>
      <c r="K1729" s="271" t="str">
        <f t="shared" si="74"/>
        <v/>
      </c>
      <c r="L1729" s="297"/>
      <c r="M1729" s="334"/>
      <c r="N1729" s="277"/>
      <c r="O1729" s="315"/>
      <c r="P1729" s="344">
        <f t="shared" si="69"/>
        <v>0</v>
      </c>
      <c r="Q1729" s="321"/>
      <c r="R1729" s="672" t="b">
        <v>0</v>
      </c>
      <c r="S1729" s="318"/>
      <c r="T1729" s="319"/>
      <c r="U1729" s="315"/>
      <c r="V1729" s="162"/>
      <c r="W1729" s="149"/>
      <c r="X1729" s="163"/>
      <c r="Y1729" s="162"/>
      <c r="Z1729" s="164"/>
      <c r="AA1729" s="116"/>
      <c r="AB1729" s="116"/>
      <c r="AC1729" s="165"/>
      <c r="AD1729" s="675" t="str">
        <f t="shared" si="76"/>
        <v/>
      </c>
      <c r="AE1729" s="166"/>
      <c r="AF1729" s="149" t="b">
        <v>0</v>
      </c>
      <c r="AG1729" s="166"/>
      <c r="AH1729" s="149" t="b">
        <v>0</v>
      </c>
      <c r="AI1729" s="162"/>
      <c r="AJ1729" s="143"/>
      <c r="AK1729" s="143"/>
      <c r="AL1729" s="1112"/>
      <c r="AM1729" s="1112"/>
      <c r="AN1729" s="1112"/>
      <c r="AO1729" s="1112"/>
      <c r="AP1729" s="1112"/>
      <c r="AQ1729" s="1112"/>
    </row>
    <row r="1730" ht="22.5" customHeight="1">
      <c r="A1730" s="166"/>
      <c r="B1730" s="1111"/>
      <c r="C1730" s="524"/>
      <c r="D1730" s="1110"/>
      <c r="E1730" s="669"/>
      <c r="F1730" s="524"/>
      <c r="G1730" s="165"/>
      <c r="H1730" s="669"/>
      <c r="I1730" s="669"/>
      <c r="J1730" s="352"/>
      <c r="K1730" s="271" t="str">
        <f t="shared" si="74"/>
        <v/>
      </c>
      <c r="L1730" s="297"/>
      <c r="M1730" s="334"/>
      <c r="N1730" s="277"/>
      <c r="O1730" s="315"/>
      <c r="P1730" s="344">
        <f t="shared" si="69"/>
        <v>0</v>
      </c>
      <c r="Q1730" s="321"/>
      <c r="R1730" s="672" t="b">
        <v>0</v>
      </c>
      <c r="S1730" s="318"/>
      <c r="T1730" s="319"/>
      <c r="U1730" s="315"/>
      <c r="V1730" s="162"/>
      <c r="W1730" s="149"/>
      <c r="X1730" s="163"/>
      <c r="Y1730" s="162"/>
      <c r="Z1730" s="164"/>
      <c r="AA1730" s="116"/>
      <c r="AB1730" s="116"/>
      <c r="AC1730" s="165"/>
      <c r="AD1730" s="675" t="str">
        <f t="shared" si="76"/>
        <v/>
      </c>
      <c r="AE1730" s="166"/>
      <c r="AF1730" s="149" t="b">
        <v>0</v>
      </c>
      <c r="AG1730" s="166"/>
      <c r="AH1730" s="149" t="b">
        <v>0</v>
      </c>
      <c r="AI1730" s="162"/>
      <c r="AJ1730" s="143"/>
      <c r="AK1730" s="143"/>
      <c r="AL1730" s="1112"/>
      <c r="AM1730" s="1112"/>
      <c r="AN1730" s="1112"/>
      <c r="AO1730" s="1112"/>
      <c r="AP1730" s="1112"/>
      <c r="AQ1730" s="1112"/>
    </row>
    <row r="1731" ht="22.5" customHeight="1">
      <c r="A1731" s="166"/>
      <c r="B1731" s="1111"/>
      <c r="C1731" s="524"/>
      <c r="D1731" s="1110"/>
      <c r="E1731" s="669"/>
      <c r="F1731" s="524"/>
      <c r="G1731" s="165"/>
      <c r="H1731" s="669"/>
      <c r="I1731" s="669"/>
      <c r="J1731" s="352"/>
      <c r="K1731" s="271" t="str">
        <f t="shared" si="74"/>
        <v/>
      </c>
      <c r="L1731" s="297"/>
      <c r="M1731" s="334"/>
      <c r="N1731" s="277"/>
      <c r="O1731" s="315"/>
      <c r="P1731" s="344">
        <f t="shared" si="69"/>
        <v>0</v>
      </c>
      <c r="Q1731" s="321"/>
      <c r="R1731" s="672" t="b">
        <v>0</v>
      </c>
      <c r="S1731" s="318"/>
      <c r="T1731" s="319"/>
      <c r="U1731" s="315"/>
      <c r="V1731" s="162"/>
      <c r="W1731" s="149"/>
      <c r="X1731" s="163"/>
      <c r="Y1731" s="162"/>
      <c r="Z1731" s="164"/>
      <c r="AA1731" s="116"/>
      <c r="AB1731" s="116"/>
      <c r="AC1731" s="165"/>
      <c r="AD1731" s="675" t="str">
        <f t="shared" si="76"/>
        <v/>
      </c>
      <c r="AE1731" s="166"/>
      <c r="AF1731" s="149" t="b">
        <v>0</v>
      </c>
      <c r="AG1731" s="166"/>
      <c r="AH1731" s="149" t="b">
        <v>0</v>
      </c>
      <c r="AI1731" s="162"/>
      <c r="AJ1731" s="143"/>
      <c r="AK1731" s="143"/>
      <c r="AL1731" s="1112"/>
      <c r="AM1731" s="1112"/>
      <c r="AN1731" s="1112"/>
      <c r="AO1731" s="1112"/>
      <c r="AP1731" s="1112"/>
      <c r="AQ1731" s="1112"/>
    </row>
    <row r="1732" ht="22.5" customHeight="1">
      <c r="A1732" s="166"/>
      <c r="B1732" s="1111"/>
      <c r="C1732" s="524"/>
      <c r="D1732" s="1110"/>
      <c r="E1732" s="669"/>
      <c r="F1732" s="524"/>
      <c r="G1732" s="165"/>
      <c r="H1732" s="669"/>
      <c r="I1732" s="669"/>
      <c r="J1732" s="352"/>
      <c r="K1732" s="271" t="str">
        <f t="shared" si="74"/>
        <v/>
      </c>
      <c r="L1732" s="297"/>
      <c r="M1732" s="334"/>
      <c r="N1732" s="277"/>
      <c r="O1732" s="315"/>
      <c r="P1732" s="344">
        <f t="shared" si="69"/>
        <v>0</v>
      </c>
      <c r="Q1732" s="321"/>
      <c r="R1732" s="672" t="b">
        <v>0</v>
      </c>
      <c r="S1732" s="318"/>
      <c r="T1732" s="319"/>
      <c r="U1732" s="315"/>
      <c r="V1732" s="162"/>
      <c r="W1732" s="149"/>
      <c r="X1732" s="163"/>
      <c r="Y1732" s="162"/>
      <c r="Z1732" s="164"/>
      <c r="AA1732" s="116"/>
      <c r="AB1732" s="116"/>
      <c r="AC1732" s="165"/>
      <c r="AD1732" s="675" t="str">
        <f t="shared" si="76"/>
        <v/>
      </c>
      <c r="AE1732" s="166"/>
      <c r="AF1732" s="149" t="b">
        <v>0</v>
      </c>
      <c r="AG1732" s="166"/>
      <c r="AH1732" s="149" t="b">
        <v>0</v>
      </c>
      <c r="AI1732" s="162"/>
      <c r="AJ1732" s="143"/>
      <c r="AK1732" s="143"/>
      <c r="AL1732" s="1112"/>
      <c r="AM1732" s="1112"/>
      <c r="AN1732" s="1112"/>
      <c r="AO1732" s="1112"/>
      <c r="AP1732" s="1112"/>
      <c r="AQ1732" s="1112"/>
    </row>
    <row r="1733" ht="22.5" customHeight="1">
      <c r="A1733" s="166"/>
      <c r="B1733" s="1111"/>
      <c r="C1733" s="524"/>
      <c r="D1733" s="1110"/>
      <c r="E1733" s="669"/>
      <c r="F1733" s="524"/>
      <c r="G1733" s="165"/>
      <c r="H1733" s="669"/>
      <c r="I1733" s="669"/>
      <c r="J1733" s="352"/>
      <c r="K1733" s="271" t="str">
        <f t="shared" si="74"/>
        <v/>
      </c>
      <c r="L1733" s="297"/>
      <c r="M1733" s="334"/>
      <c r="N1733" s="277"/>
      <c r="O1733" s="315"/>
      <c r="P1733" s="344">
        <f t="shared" si="69"/>
        <v>0</v>
      </c>
      <c r="Q1733" s="321"/>
      <c r="R1733" s="672" t="b">
        <v>0</v>
      </c>
      <c r="S1733" s="318"/>
      <c r="T1733" s="319"/>
      <c r="U1733" s="315"/>
      <c r="V1733" s="162"/>
      <c r="W1733" s="149"/>
      <c r="X1733" s="163"/>
      <c r="Y1733" s="162"/>
      <c r="Z1733" s="164"/>
      <c r="AA1733" s="116"/>
      <c r="AB1733" s="116"/>
      <c r="AC1733" s="165"/>
      <c r="AD1733" s="675" t="str">
        <f t="shared" si="76"/>
        <v/>
      </c>
      <c r="AE1733" s="166"/>
      <c r="AF1733" s="149" t="b">
        <v>0</v>
      </c>
      <c r="AG1733" s="166"/>
      <c r="AH1733" s="149" t="b">
        <v>0</v>
      </c>
      <c r="AI1733" s="162"/>
      <c r="AJ1733" s="143"/>
      <c r="AK1733" s="143"/>
      <c r="AL1733" s="1112"/>
      <c r="AM1733" s="1112"/>
      <c r="AN1733" s="1112"/>
      <c r="AO1733" s="1112"/>
      <c r="AP1733" s="1112"/>
      <c r="AQ1733" s="1112"/>
    </row>
    <row r="1734" ht="22.5" customHeight="1">
      <c r="A1734" s="166"/>
      <c r="B1734" s="1111"/>
      <c r="C1734" s="524"/>
      <c r="D1734" s="1110"/>
      <c r="E1734" s="669"/>
      <c r="F1734" s="524"/>
      <c r="G1734" s="165"/>
      <c r="H1734" s="669"/>
      <c r="I1734" s="669"/>
      <c r="J1734" s="352"/>
      <c r="K1734" s="271" t="str">
        <f t="shared" si="74"/>
        <v/>
      </c>
      <c r="L1734" s="297"/>
      <c r="M1734" s="334"/>
      <c r="N1734" s="277"/>
      <c r="O1734" s="315"/>
      <c r="P1734" s="344">
        <f t="shared" si="69"/>
        <v>0</v>
      </c>
      <c r="Q1734" s="321"/>
      <c r="R1734" s="672" t="b">
        <v>0</v>
      </c>
      <c r="S1734" s="318"/>
      <c r="T1734" s="319"/>
      <c r="U1734" s="315"/>
      <c r="V1734" s="162"/>
      <c r="W1734" s="149"/>
      <c r="X1734" s="163"/>
      <c r="Y1734" s="162"/>
      <c r="Z1734" s="164"/>
      <c r="AA1734" s="116"/>
      <c r="AB1734" s="116"/>
      <c r="AC1734" s="165"/>
      <c r="AD1734" s="675" t="str">
        <f t="shared" si="76"/>
        <v/>
      </c>
      <c r="AE1734" s="166"/>
      <c r="AF1734" s="149" t="b">
        <v>0</v>
      </c>
      <c r="AG1734" s="166"/>
      <c r="AH1734" s="149" t="b">
        <v>0</v>
      </c>
      <c r="AI1734" s="162"/>
      <c r="AJ1734" s="143"/>
      <c r="AK1734" s="143"/>
      <c r="AL1734" s="1112"/>
      <c r="AM1734" s="1112"/>
      <c r="AN1734" s="1112"/>
      <c r="AO1734" s="1112"/>
      <c r="AP1734" s="1112"/>
      <c r="AQ1734" s="1112"/>
    </row>
    <row r="1735" ht="22.5" customHeight="1">
      <c r="A1735" s="166"/>
      <c r="B1735" s="1111"/>
      <c r="C1735" s="524"/>
      <c r="D1735" s="1110"/>
      <c r="E1735" s="669"/>
      <c r="F1735" s="524"/>
      <c r="G1735" s="165"/>
      <c r="H1735" s="669"/>
      <c r="I1735" s="669"/>
      <c r="J1735" s="352"/>
      <c r="K1735" s="271" t="str">
        <f t="shared" si="74"/>
        <v/>
      </c>
      <c r="L1735" s="297"/>
      <c r="M1735" s="334"/>
      <c r="N1735" s="277"/>
      <c r="O1735" s="315"/>
      <c r="P1735" s="344">
        <f t="shared" si="69"/>
        <v>0</v>
      </c>
      <c r="Q1735" s="321"/>
      <c r="R1735" s="672" t="b">
        <v>0</v>
      </c>
      <c r="S1735" s="318"/>
      <c r="T1735" s="319"/>
      <c r="U1735" s="315"/>
      <c r="V1735" s="162"/>
      <c r="W1735" s="149"/>
      <c r="X1735" s="163"/>
      <c r="Y1735" s="162"/>
      <c r="Z1735" s="164"/>
      <c r="AA1735" s="116"/>
      <c r="AB1735" s="116"/>
      <c r="AC1735" s="165"/>
      <c r="AD1735" s="675" t="str">
        <f t="shared" si="76"/>
        <v/>
      </c>
      <c r="AE1735" s="166"/>
      <c r="AF1735" s="149" t="b">
        <v>0</v>
      </c>
      <c r="AG1735" s="166"/>
      <c r="AH1735" s="149" t="b">
        <v>0</v>
      </c>
      <c r="AI1735" s="162"/>
      <c r="AJ1735" s="143"/>
      <c r="AK1735" s="143"/>
      <c r="AL1735" s="1112"/>
      <c r="AM1735" s="1112"/>
      <c r="AN1735" s="1112"/>
      <c r="AO1735" s="1112"/>
      <c r="AP1735" s="1112"/>
      <c r="AQ1735" s="1112"/>
    </row>
    <row r="1736" ht="22.5" customHeight="1">
      <c r="A1736" s="166"/>
      <c r="B1736" s="1111"/>
      <c r="C1736" s="524"/>
      <c r="D1736" s="1110"/>
      <c r="E1736" s="669"/>
      <c r="F1736" s="524"/>
      <c r="G1736" s="165"/>
      <c r="H1736" s="669"/>
      <c r="I1736" s="669"/>
      <c r="J1736" s="352"/>
      <c r="K1736" s="271" t="str">
        <f t="shared" si="74"/>
        <v/>
      </c>
      <c r="L1736" s="297"/>
      <c r="M1736" s="334"/>
      <c r="N1736" s="277"/>
      <c r="O1736" s="315"/>
      <c r="P1736" s="344">
        <f t="shared" si="69"/>
        <v>0</v>
      </c>
      <c r="Q1736" s="321"/>
      <c r="R1736" s="672" t="b">
        <v>0</v>
      </c>
      <c r="S1736" s="318"/>
      <c r="T1736" s="319"/>
      <c r="U1736" s="315"/>
      <c r="V1736" s="162"/>
      <c r="W1736" s="149"/>
      <c r="X1736" s="163"/>
      <c r="Y1736" s="162"/>
      <c r="Z1736" s="164"/>
      <c r="AA1736" s="116"/>
      <c r="AB1736" s="116"/>
      <c r="AC1736" s="165"/>
      <c r="AD1736" s="675" t="str">
        <f t="shared" si="76"/>
        <v/>
      </c>
      <c r="AE1736" s="166"/>
      <c r="AF1736" s="149" t="b">
        <v>0</v>
      </c>
      <c r="AG1736" s="166"/>
      <c r="AH1736" s="149" t="b">
        <v>0</v>
      </c>
      <c r="AI1736" s="162"/>
      <c r="AJ1736" s="143"/>
      <c r="AK1736" s="143"/>
      <c r="AL1736" s="1112"/>
      <c r="AM1736" s="1112"/>
      <c r="AN1736" s="1112"/>
      <c r="AO1736" s="1112"/>
      <c r="AP1736" s="1112"/>
      <c r="AQ1736" s="1112"/>
    </row>
    <row r="1737" ht="22.5" customHeight="1">
      <c r="A1737" s="166"/>
      <c r="B1737" s="1111"/>
      <c r="C1737" s="524"/>
      <c r="D1737" s="1110"/>
      <c r="E1737" s="669"/>
      <c r="F1737" s="524"/>
      <c r="G1737" s="165"/>
      <c r="H1737" s="669"/>
      <c r="I1737" s="669"/>
      <c r="J1737" s="352"/>
      <c r="K1737" s="271" t="str">
        <f t="shared" si="74"/>
        <v/>
      </c>
      <c r="L1737" s="297"/>
      <c r="M1737" s="334"/>
      <c r="N1737" s="277"/>
      <c r="O1737" s="315"/>
      <c r="P1737" s="344">
        <f t="shared" si="69"/>
        <v>0</v>
      </c>
      <c r="Q1737" s="321"/>
      <c r="R1737" s="672" t="b">
        <v>0</v>
      </c>
      <c r="S1737" s="318"/>
      <c r="T1737" s="319"/>
      <c r="U1737" s="315"/>
      <c r="V1737" s="162"/>
      <c r="W1737" s="149"/>
      <c r="X1737" s="163"/>
      <c r="Y1737" s="162"/>
      <c r="Z1737" s="164"/>
      <c r="AA1737" s="116"/>
      <c r="AB1737" s="116"/>
      <c r="AC1737" s="165"/>
      <c r="AD1737" s="675" t="str">
        <f t="shared" si="76"/>
        <v/>
      </c>
      <c r="AE1737" s="166"/>
      <c r="AF1737" s="149" t="b">
        <v>0</v>
      </c>
      <c r="AG1737" s="166"/>
      <c r="AH1737" s="149" t="b">
        <v>0</v>
      </c>
      <c r="AI1737" s="162"/>
      <c r="AJ1737" s="143"/>
      <c r="AK1737" s="143"/>
      <c r="AL1737" s="1112"/>
      <c r="AM1737" s="1112"/>
      <c r="AN1737" s="1112"/>
      <c r="AO1737" s="1112"/>
      <c r="AP1737" s="1112"/>
      <c r="AQ1737" s="1112"/>
    </row>
    <row r="1738" ht="22.5" customHeight="1">
      <c r="A1738" s="166"/>
      <c r="B1738" s="1111"/>
      <c r="C1738" s="524"/>
      <c r="D1738" s="1110"/>
      <c r="E1738" s="669"/>
      <c r="F1738" s="524"/>
      <c r="G1738" s="165"/>
      <c r="H1738" s="669"/>
      <c r="I1738" s="669"/>
      <c r="J1738" s="352"/>
      <c r="K1738" s="271" t="str">
        <f t="shared" si="74"/>
        <v/>
      </c>
      <c r="L1738" s="297"/>
      <c r="M1738" s="334"/>
      <c r="N1738" s="277"/>
      <c r="O1738" s="315"/>
      <c r="P1738" s="344">
        <f t="shared" si="69"/>
        <v>0</v>
      </c>
      <c r="Q1738" s="321"/>
      <c r="R1738" s="672" t="b">
        <v>0</v>
      </c>
      <c r="S1738" s="318"/>
      <c r="T1738" s="319"/>
      <c r="U1738" s="315"/>
      <c r="V1738" s="162"/>
      <c r="W1738" s="149"/>
      <c r="X1738" s="163"/>
      <c r="Y1738" s="162"/>
      <c r="Z1738" s="164"/>
      <c r="AA1738" s="116"/>
      <c r="AB1738" s="116"/>
      <c r="AC1738" s="165"/>
      <c r="AD1738" s="675" t="str">
        <f t="shared" si="76"/>
        <v/>
      </c>
      <c r="AE1738" s="166"/>
      <c r="AF1738" s="149" t="b">
        <v>0</v>
      </c>
      <c r="AG1738" s="166"/>
      <c r="AH1738" s="149" t="b">
        <v>0</v>
      </c>
      <c r="AI1738" s="162"/>
      <c r="AJ1738" s="143"/>
      <c r="AK1738" s="143"/>
      <c r="AL1738" s="1112"/>
      <c r="AM1738" s="1112"/>
      <c r="AN1738" s="1112"/>
      <c r="AO1738" s="1112"/>
      <c r="AP1738" s="1112"/>
      <c r="AQ1738" s="1112"/>
    </row>
    <row r="1739" ht="22.5" customHeight="1">
      <c r="A1739" s="166"/>
      <c r="B1739" s="1111"/>
      <c r="C1739" s="524"/>
      <c r="D1739" s="1110"/>
      <c r="E1739" s="669"/>
      <c r="F1739" s="524"/>
      <c r="G1739" s="165"/>
      <c r="H1739" s="669"/>
      <c r="I1739" s="669"/>
      <c r="J1739" s="352"/>
      <c r="K1739" s="271" t="str">
        <f t="shared" si="74"/>
        <v/>
      </c>
      <c r="L1739" s="297"/>
      <c r="M1739" s="334"/>
      <c r="N1739" s="277"/>
      <c r="O1739" s="315"/>
      <c r="P1739" s="344">
        <f t="shared" si="69"/>
        <v>0</v>
      </c>
      <c r="Q1739" s="321"/>
      <c r="R1739" s="672" t="b">
        <v>0</v>
      </c>
      <c r="S1739" s="318"/>
      <c r="T1739" s="319"/>
      <c r="U1739" s="315"/>
      <c r="V1739" s="162"/>
      <c r="W1739" s="149"/>
      <c r="X1739" s="163"/>
      <c r="Y1739" s="162"/>
      <c r="Z1739" s="164"/>
      <c r="AA1739" s="116"/>
      <c r="AB1739" s="116"/>
      <c r="AC1739" s="165"/>
      <c r="AD1739" s="675" t="str">
        <f t="shared" si="76"/>
        <v/>
      </c>
      <c r="AE1739" s="166"/>
      <c r="AF1739" s="149" t="b">
        <v>0</v>
      </c>
      <c r="AG1739" s="166"/>
      <c r="AH1739" s="149" t="b">
        <v>0</v>
      </c>
      <c r="AI1739" s="162"/>
      <c r="AJ1739" s="143"/>
      <c r="AK1739" s="143"/>
      <c r="AL1739" s="1112"/>
      <c r="AM1739" s="1112"/>
      <c r="AN1739" s="1112"/>
      <c r="AO1739" s="1112"/>
      <c r="AP1739" s="1112"/>
      <c r="AQ1739" s="1112"/>
    </row>
    <row r="1740" ht="22.5" customHeight="1">
      <c r="A1740" s="166"/>
      <c r="B1740" s="1111"/>
      <c r="C1740" s="524"/>
      <c r="D1740" s="1110"/>
      <c r="E1740" s="669"/>
      <c r="F1740" s="524"/>
      <c r="G1740" s="165"/>
      <c r="H1740" s="669"/>
      <c r="I1740" s="669"/>
      <c r="J1740" s="352"/>
      <c r="K1740" s="271" t="str">
        <f t="shared" si="74"/>
        <v/>
      </c>
      <c r="L1740" s="297"/>
      <c r="M1740" s="334"/>
      <c r="N1740" s="277"/>
      <c r="O1740" s="315"/>
      <c r="P1740" s="344">
        <f t="shared" si="69"/>
        <v>0</v>
      </c>
      <c r="Q1740" s="321"/>
      <c r="R1740" s="672" t="b">
        <v>0</v>
      </c>
      <c r="S1740" s="318"/>
      <c r="T1740" s="319"/>
      <c r="U1740" s="315"/>
      <c r="V1740" s="162"/>
      <c r="W1740" s="149"/>
      <c r="X1740" s="163"/>
      <c r="Y1740" s="162"/>
      <c r="Z1740" s="164"/>
      <c r="AA1740" s="116"/>
      <c r="AB1740" s="116"/>
      <c r="AC1740" s="165"/>
      <c r="AD1740" s="675" t="str">
        <f t="shared" si="76"/>
        <v/>
      </c>
      <c r="AE1740" s="166"/>
      <c r="AF1740" s="149" t="b">
        <v>0</v>
      </c>
      <c r="AG1740" s="166"/>
      <c r="AH1740" s="149" t="b">
        <v>0</v>
      </c>
      <c r="AI1740" s="162"/>
      <c r="AJ1740" s="143"/>
      <c r="AK1740" s="143"/>
      <c r="AL1740" s="1112"/>
      <c r="AM1740" s="1112"/>
      <c r="AN1740" s="1112"/>
      <c r="AO1740" s="1112"/>
      <c r="AP1740" s="1112"/>
      <c r="AQ1740" s="1112"/>
    </row>
    <row r="1741" ht="22.5" customHeight="1">
      <c r="A1741" s="166"/>
      <c r="B1741" s="1111"/>
      <c r="C1741" s="524"/>
      <c r="D1741" s="1110"/>
      <c r="E1741" s="669"/>
      <c r="F1741" s="524"/>
      <c r="G1741" s="165"/>
      <c r="H1741" s="669"/>
      <c r="I1741" s="669"/>
      <c r="J1741" s="352"/>
      <c r="K1741" s="271" t="str">
        <f t="shared" si="74"/>
        <v/>
      </c>
      <c r="L1741" s="297"/>
      <c r="M1741" s="334"/>
      <c r="N1741" s="277"/>
      <c r="O1741" s="315"/>
      <c r="P1741" s="344">
        <f t="shared" si="69"/>
        <v>0</v>
      </c>
      <c r="Q1741" s="321"/>
      <c r="R1741" s="672" t="b">
        <v>0</v>
      </c>
      <c r="S1741" s="318"/>
      <c r="T1741" s="319"/>
      <c r="U1741" s="315"/>
      <c r="V1741" s="162"/>
      <c r="W1741" s="149"/>
      <c r="X1741" s="163"/>
      <c r="Y1741" s="162"/>
      <c r="Z1741" s="164"/>
      <c r="AA1741" s="116"/>
      <c r="AB1741" s="116"/>
      <c r="AC1741" s="165"/>
      <c r="AD1741" s="675" t="str">
        <f t="shared" si="76"/>
        <v/>
      </c>
      <c r="AE1741" s="166"/>
      <c r="AF1741" s="149" t="b">
        <v>0</v>
      </c>
      <c r="AG1741" s="166"/>
      <c r="AH1741" s="149" t="b">
        <v>0</v>
      </c>
      <c r="AI1741" s="162"/>
      <c r="AJ1741" s="143"/>
      <c r="AK1741" s="143"/>
      <c r="AL1741" s="1112"/>
      <c r="AM1741" s="1112"/>
      <c r="AN1741" s="1112"/>
      <c r="AO1741" s="1112"/>
      <c r="AP1741" s="1112"/>
      <c r="AQ1741" s="1112"/>
    </row>
    <row r="1742" ht="22.5" customHeight="1">
      <c r="A1742" s="166"/>
      <c r="B1742" s="1111"/>
      <c r="C1742" s="524"/>
      <c r="D1742" s="1110"/>
      <c r="E1742" s="669"/>
      <c r="F1742" s="524"/>
      <c r="G1742" s="165"/>
      <c r="H1742" s="669"/>
      <c r="I1742" s="669"/>
      <c r="J1742" s="352"/>
      <c r="K1742" s="271" t="str">
        <f t="shared" si="74"/>
        <v/>
      </c>
      <c r="L1742" s="297"/>
      <c r="M1742" s="334"/>
      <c r="N1742" s="277"/>
      <c r="O1742" s="315"/>
      <c r="P1742" s="344">
        <f t="shared" si="69"/>
        <v>0</v>
      </c>
      <c r="Q1742" s="321"/>
      <c r="R1742" s="672" t="b">
        <v>0</v>
      </c>
      <c r="S1742" s="318"/>
      <c r="T1742" s="319"/>
      <c r="U1742" s="315"/>
      <c r="V1742" s="162"/>
      <c r="W1742" s="149"/>
      <c r="X1742" s="163"/>
      <c r="Y1742" s="162"/>
      <c r="Z1742" s="164"/>
      <c r="AA1742" s="116"/>
      <c r="AB1742" s="116"/>
      <c r="AC1742" s="165"/>
      <c r="AD1742" s="675" t="str">
        <f t="shared" si="76"/>
        <v/>
      </c>
      <c r="AE1742" s="166"/>
      <c r="AF1742" s="149" t="b">
        <v>0</v>
      </c>
      <c r="AG1742" s="166"/>
      <c r="AH1742" s="149" t="b">
        <v>0</v>
      </c>
      <c r="AI1742" s="162"/>
      <c r="AJ1742" s="143"/>
      <c r="AK1742" s="143"/>
      <c r="AL1742" s="1112"/>
      <c r="AM1742" s="1112"/>
      <c r="AN1742" s="1112"/>
      <c r="AO1742" s="1112"/>
      <c r="AP1742" s="1112"/>
      <c r="AQ1742" s="1112"/>
    </row>
    <row r="1743" ht="22.5" customHeight="1">
      <c r="A1743" s="166"/>
      <c r="B1743" s="1111"/>
      <c r="C1743" s="524"/>
      <c r="D1743" s="1110"/>
      <c r="E1743" s="669"/>
      <c r="F1743" s="524"/>
      <c r="G1743" s="165"/>
      <c r="H1743" s="669"/>
      <c r="I1743" s="669"/>
      <c r="J1743" s="352"/>
      <c r="K1743" s="271" t="str">
        <f t="shared" si="74"/>
        <v/>
      </c>
      <c r="L1743" s="297"/>
      <c r="M1743" s="334"/>
      <c r="N1743" s="277"/>
      <c r="O1743" s="315"/>
      <c r="P1743" s="344">
        <f t="shared" si="69"/>
        <v>0</v>
      </c>
      <c r="Q1743" s="321"/>
      <c r="R1743" s="672" t="b">
        <v>0</v>
      </c>
      <c r="S1743" s="318"/>
      <c r="T1743" s="319"/>
      <c r="U1743" s="315"/>
      <c r="V1743" s="162"/>
      <c r="W1743" s="149"/>
      <c r="X1743" s="163"/>
      <c r="Y1743" s="162"/>
      <c r="Z1743" s="164"/>
      <c r="AA1743" s="116"/>
      <c r="AB1743" s="116"/>
      <c r="AC1743" s="165"/>
      <c r="AD1743" s="675" t="str">
        <f t="shared" si="76"/>
        <v/>
      </c>
      <c r="AE1743" s="166"/>
      <c r="AF1743" s="149" t="b">
        <v>0</v>
      </c>
      <c r="AG1743" s="166"/>
      <c r="AH1743" s="149" t="b">
        <v>0</v>
      </c>
      <c r="AI1743" s="162"/>
      <c r="AJ1743" s="143"/>
      <c r="AK1743" s="143"/>
      <c r="AL1743" s="1112"/>
      <c r="AM1743" s="1112"/>
      <c r="AN1743" s="1112"/>
      <c r="AO1743" s="1112"/>
      <c r="AP1743" s="1112"/>
      <c r="AQ1743" s="1112"/>
    </row>
    <row r="1744" ht="22.5" customHeight="1">
      <c r="A1744" s="166"/>
      <c r="B1744" s="1111"/>
      <c r="C1744" s="524"/>
      <c r="D1744" s="1110"/>
      <c r="E1744" s="669"/>
      <c r="F1744" s="524"/>
      <c r="G1744" s="165"/>
      <c r="H1744" s="669"/>
      <c r="I1744" s="669"/>
      <c r="J1744" s="352"/>
      <c r="K1744" s="271" t="str">
        <f t="shared" si="74"/>
        <v/>
      </c>
      <c r="L1744" s="297"/>
      <c r="M1744" s="334"/>
      <c r="N1744" s="277"/>
      <c r="O1744" s="315"/>
      <c r="P1744" s="344">
        <f t="shared" si="69"/>
        <v>0</v>
      </c>
      <c r="Q1744" s="321"/>
      <c r="R1744" s="672" t="b">
        <v>0</v>
      </c>
      <c r="S1744" s="318"/>
      <c r="T1744" s="319"/>
      <c r="U1744" s="315"/>
      <c r="V1744" s="162"/>
      <c r="W1744" s="149"/>
      <c r="X1744" s="163"/>
      <c r="Y1744" s="162"/>
      <c r="Z1744" s="164"/>
      <c r="AA1744" s="116"/>
      <c r="AB1744" s="116"/>
      <c r="AC1744" s="165"/>
      <c r="AD1744" s="675" t="str">
        <f t="shared" si="76"/>
        <v/>
      </c>
      <c r="AE1744" s="166"/>
      <c r="AF1744" s="149" t="b">
        <v>0</v>
      </c>
      <c r="AG1744" s="166"/>
      <c r="AH1744" s="149" t="b">
        <v>0</v>
      </c>
      <c r="AI1744" s="162"/>
      <c r="AJ1744" s="143"/>
      <c r="AK1744" s="143"/>
      <c r="AL1744" s="1112"/>
      <c r="AM1744" s="1112"/>
      <c r="AN1744" s="1112"/>
      <c r="AO1744" s="1112"/>
      <c r="AP1744" s="1112"/>
      <c r="AQ1744" s="1112"/>
    </row>
    <row r="1745" ht="22.5" customHeight="1">
      <c r="A1745" s="166"/>
      <c r="B1745" s="1111"/>
      <c r="C1745" s="524"/>
      <c r="D1745" s="1110"/>
      <c r="E1745" s="669"/>
      <c r="F1745" s="524"/>
      <c r="G1745" s="165"/>
      <c r="H1745" s="669"/>
      <c r="I1745" s="669"/>
      <c r="J1745" s="352"/>
      <c r="K1745" s="271" t="str">
        <f t="shared" si="74"/>
        <v/>
      </c>
      <c r="L1745" s="297"/>
      <c r="M1745" s="334"/>
      <c r="N1745" s="277"/>
      <c r="O1745" s="315"/>
      <c r="P1745" s="344">
        <f t="shared" si="69"/>
        <v>0</v>
      </c>
      <c r="Q1745" s="321"/>
      <c r="R1745" s="672" t="b">
        <v>0</v>
      </c>
      <c r="S1745" s="318"/>
      <c r="T1745" s="319"/>
      <c r="U1745" s="315"/>
      <c r="V1745" s="162"/>
      <c r="W1745" s="149"/>
      <c r="X1745" s="163"/>
      <c r="Y1745" s="162"/>
      <c r="Z1745" s="164"/>
      <c r="AA1745" s="116"/>
      <c r="AB1745" s="116"/>
      <c r="AC1745" s="165"/>
      <c r="AD1745" s="675" t="str">
        <f t="shared" si="76"/>
        <v/>
      </c>
      <c r="AE1745" s="166"/>
      <c r="AF1745" s="149" t="b">
        <v>0</v>
      </c>
      <c r="AG1745" s="166"/>
      <c r="AH1745" s="149" t="b">
        <v>0</v>
      </c>
      <c r="AI1745" s="162"/>
      <c r="AJ1745" s="143"/>
      <c r="AK1745" s="143"/>
      <c r="AL1745" s="1112"/>
      <c r="AM1745" s="1112"/>
      <c r="AN1745" s="1112"/>
      <c r="AO1745" s="1112"/>
      <c r="AP1745" s="1112"/>
      <c r="AQ1745" s="1112"/>
    </row>
    <row r="1746" ht="22.5" customHeight="1">
      <c r="A1746" s="166"/>
      <c r="B1746" s="1111"/>
      <c r="C1746" s="524"/>
      <c r="D1746" s="1110"/>
      <c r="E1746" s="669"/>
      <c r="F1746" s="524"/>
      <c r="G1746" s="165"/>
      <c r="H1746" s="669"/>
      <c r="I1746" s="669"/>
      <c r="J1746" s="352"/>
      <c r="K1746" s="271" t="str">
        <f t="shared" si="74"/>
        <v/>
      </c>
      <c r="L1746" s="297"/>
      <c r="M1746" s="334"/>
      <c r="N1746" s="277"/>
      <c r="O1746" s="315"/>
      <c r="P1746" s="344">
        <f t="shared" si="69"/>
        <v>0</v>
      </c>
      <c r="Q1746" s="321"/>
      <c r="R1746" s="672" t="b">
        <v>0</v>
      </c>
      <c r="S1746" s="318"/>
      <c r="T1746" s="319"/>
      <c r="U1746" s="315"/>
      <c r="V1746" s="162"/>
      <c r="W1746" s="149"/>
      <c r="X1746" s="163"/>
      <c r="Y1746" s="162"/>
      <c r="Z1746" s="164"/>
      <c r="AA1746" s="116"/>
      <c r="AB1746" s="116"/>
      <c r="AC1746" s="165"/>
      <c r="AD1746" s="675" t="str">
        <f t="shared" si="76"/>
        <v/>
      </c>
      <c r="AE1746" s="166"/>
      <c r="AF1746" s="149" t="b">
        <v>0</v>
      </c>
      <c r="AG1746" s="166"/>
      <c r="AH1746" s="149" t="b">
        <v>0</v>
      </c>
      <c r="AI1746" s="162"/>
      <c r="AJ1746" s="143"/>
      <c r="AK1746" s="143"/>
      <c r="AL1746" s="1112"/>
      <c r="AM1746" s="1112"/>
      <c r="AN1746" s="1112"/>
      <c r="AO1746" s="1112"/>
      <c r="AP1746" s="1112"/>
      <c r="AQ1746" s="1112"/>
    </row>
    <row r="1747" ht="22.5" customHeight="1">
      <c r="A1747" s="166"/>
      <c r="B1747" s="1111"/>
      <c r="C1747" s="524"/>
      <c r="D1747" s="1110"/>
      <c r="E1747" s="669"/>
      <c r="F1747" s="524"/>
      <c r="G1747" s="165"/>
      <c r="H1747" s="669"/>
      <c r="I1747" s="669"/>
      <c r="J1747" s="352"/>
      <c r="K1747" s="271" t="str">
        <f t="shared" si="74"/>
        <v/>
      </c>
      <c r="L1747" s="297"/>
      <c r="M1747" s="334"/>
      <c r="N1747" s="277"/>
      <c r="O1747" s="315"/>
      <c r="P1747" s="344">
        <f t="shared" si="69"/>
        <v>0</v>
      </c>
      <c r="Q1747" s="321"/>
      <c r="R1747" s="672" t="b">
        <v>0</v>
      </c>
      <c r="S1747" s="318"/>
      <c r="T1747" s="319"/>
      <c r="U1747" s="315"/>
      <c r="V1747" s="162"/>
      <c r="W1747" s="149"/>
      <c r="X1747" s="163"/>
      <c r="Y1747" s="162"/>
      <c r="Z1747" s="164"/>
      <c r="AA1747" s="116"/>
      <c r="AB1747" s="116"/>
      <c r="AC1747" s="165"/>
      <c r="AD1747" s="675" t="str">
        <f t="shared" si="76"/>
        <v/>
      </c>
      <c r="AE1747" s="166"/>
      <c r="AF1747" s="149" t="b">
        <v>0</v>
      </c>
      <c r="AG1747" s="166"/>
      <c r="AH1747" s="149" t="b">
        <v>0</v>
      </c>
      <c r="AI1747" s="162"/>
      <c r="AJ1747" s="143"/>
      <c r="AK1747" s="143"/>
      <c r="AL1747" s="1112"/>
      <c r="AM1747" s="1112"/>
      <c r="AN1747" s="1112"/>
      <c r="AO1747" s="1112"/>
      <c r="AP1747" s="1112"/>
      <c r="AQ1747" s="1112"/>
    </row>
    <row r="1748" ht="22.5" customHeight="1">
      <c r="A1748" s="166"/>
      <c r="B1748" s="1111"/>
      <c r="C1748" s="524"/>
      <c r="D1748" s="1110"/>
      <c r="E1748" s="669"/>
      <c r="F1748" s="524"/>
      <c r="G1748" s="165"/>
      <c r="H1748" s="669"/>
      <c r="I1748" s="669"/>
      <c r="J1748" s="352"/>
      <c r="K1748" s="271" t="str">
        <f t="shared" si="74"/>
        <v/>
      </c>
      <c r="L1748" s="297"/>
      <c r="M1748" s="334"/>
      <c r="N1748" s="277"/>
      <c r="O1748" s="315"/>
      <c r="P1748" s="344">
        <f t="shared" si="69"/>
        <v>0</v>
      </c>
      <c r="Q1748" s="321"/>
      <c r="R1748" s="672" t="b">
        <v>0</v>
      </c>
      <c r="S1748" s="318"/>
      <c r="T1748" s="319"/>
      <c r="U1748" s="315"/>
      <c r="V1748" s="162"/>
      <c r="W1748" s="149"/>
      <c r="X1748" s="163"/>
      <c r="Y1748" s="162"/>
      <c r="Z1748" s="164"/>
      <c r="AA1748" s="116"/>
      <c r="AB1748" s="116"/>
      <c r="AC1748" s="165"/>
      <c r="AD1748" s="675" t="str">
        <f t="shared" si="76"/>
        <v/>
      </c>
      <c r="AE1748" s="166"/>
      <c r="AF1748" s="149" t="b">
        <v>0</v>
      </c>
      <c r="AG1748" s="166"/>
      <c r="AH1748" s="149" t="b">
        <v>0</v>
      </c>
      <c r="AI1748" s="162"/>
      <c r="AJ1748" s="143"/>
      <c r="AK1748" s="143"/>
      <c r="AL1748" s="1112"/>
      <c r="AM1748" s="1112"/>
      <c r="AN1748" s="1112"/>
      <c r="AO1748" s="1112"/>
      <c r="AP1748" s="1112"/>
      <c r="AQ1748" s="1112"/>
    </row>
    <row r="1749" ht="22.5" customHeight="1">
      <c r="A1749" s="166"/>
      <c r="B1749" s="1111"/>
      <c r="C1749" s="524"/>
      <c r="D1749" s="1110"/>
      <c r="E1749" s="669"/>
      <c r="F1749" s="524"/>
      <c r="G1749" s="165"/>
      <c r="H1749" s="669"/>
      <c r="I1749" s="669"/>
      <c r="J1749" s="352"/>
      <c r="K1749" s="271" t="str">
        <f t="shared" si="74"/>
        <v/>
      </c>
      <c r="L1749" s="297"/>
      <c r="M1749" s="334"/>
      <c r="N1749" s="277"/>
      <c r="O1749" s="315"/>
      <c r="P1749" s="344">
        <f t="shared" si="69"/>
        <v>0</v>
      </c>
      <c r="Q1749" s="321"/>
      <c r="R1749" s="672" t="b">
        <v>0</v>
      </c>
      <c r="S1749" s="318"/>
      <c r="T1749" s="319"/>
      <c r="U1749" s="315"/>
      <c r="V1749" s="162"/>
      <c r="W1749" s="149"/>
      <c r="X1749" s="163"/>
      <c r="Y1749" s="162"/>
      <c r="Z1749" s="164"/>
      <c r="AA1749" s="116"/>
      <c r="AB1749" s="116"/>
      <c r="AC1749" s="165"/>
      <c r="AD1749" s="675" t="str">
        <f t="shared" si="76"/>
        <v/>
      </c>
      <c r="AE1749" s="166"/>
      <c r="AF1749" s="149" t="b">
        <v>0</v>
      </c>
      <c r="AG1749" s="166"/>
      <c r="AH1749" s="149" t="b">
        <v>0</v>
      </c>
      <c r="AI1749" s="162"/>
      <c r="AJ1749" s="143"/>
      <c r="AK1749" s="143"/>
      <c r="AL1749" s="1112"/>
      <c r="AM1749" s="1112"/>
      <c r="AN1749" s="1112"/>
      <c r="AO1749" s="1112"/>
      <c r="AP1749" s="1112"/>
      <c r="AQ1749" s="1112"/>
    </row>
    <row r="1750" ht="22.5" customHeight="1">
      <c r="A1750" s="166"/>
      <c r="B1750" s="1111"/>
      <c r="C1750" s="524"/>
      <c r="D1750" s="1110"/>
      <c r="E1750" s="669"/>
      <c r="F1750" s="524"/>
      <c r="G1750" s="165"/>
      <c r="H1750" s="669"/>
      <c r="I1750" s="669"/>
      <c r="J1750" s="352"/>
      <c r="K1750" s="271" t="str">
        <f t="shared" si="74"/>
        <v/>
      </c>
      <c r="L1750" s="297"/>
      <c r="M1750" s="334"/>
      <c r="N1750" s="277"/>
      <c r="O1750" s="315"/>
      <c r="P1750" s="344">
        <f t="shared" si="69"/>
        <v>0</v>
      </c>
      <c r="Q1750" s="321"/>
      <c r="R1750" s="672" t="b">
        <v>0</v>
      </c>
      <c r="S1750" s="318"/>
      <c r="T1750" s="319"/>
      <c r="U1750" s="315"/>
      <c r="V1750" s="162"/>
      <c r="W1750" s="149"/>
      <c r="X1750" s="163"/>
      <c r="Y1750" s="162"/>
      <c r="Z1750" s="164"/>
      <c r="AA1750" s="116"/>
      <c r="AB1750" s="116"/>
      <c r="AC1750" s="165"/>
      <c r="AD1750" s="675" t="str">
        <f t="shared" si="76"/>
        <v/>
      </c>
      <c r="AE1750" s="166"/>
      <c r="AF1750" s="149" t="b">
        <v>0</v>
      </c>
      <c r="AG1750" s="166"/>
      <c r="AH1750" s="149" t="b">
        <v>0</v>
      </c>
      <c r="AI1750" s="162"/>
      <c r="AJ1750" s="143"/>
      <c r="AK1750" s="143"/>
      <c r="AL1750" s="1112"/>
      <c r="AM1750" s="1112"/>
      <c r="AN1750" s="1112"/>
      <c r="AO1750" s="1112"/>
      <c r="AP1750" s="1112"/>
      <c r="AQ1750" s="1112"/>
    </row>
    <row r="1751" ht="22.5" customHeight="1">
      <c r="A1751" s="166"/>
      <c r="B1751" s="1111"/>
      <c r="C1751" s="524"/>
      <c r="D1751" s="1110"/>
      <c r="E1751" s="669"/>
      <c r="F1751" s="524"/>
      <c r="G1751" s="165"/>
      <c r="H1751" s="669"/>
      <c r="I1751" s="669"/>
      <c r="J1751" s="352"/>
      <c r="K1751" s="271" t="str">
        <f t="shared" si="74"/>
        <v/>
      </c>
      <c r="L1751" s="297"/>
      <c r="M1751" s="334"/>
      <c r="N1751" s="277"/>
      <c r="O1751" s="315"/>
      <c r="P1751" s="344">
        <f t="shared" si="69"/>
        <v>0</v>
      </c>
      <c r="Q1751" s="321"/>
      <c r="R1751" s="672" t="b">
        <v>0</v>
      </c>
      <c r="S1751" s="318"/>
      <c r="T1751" s="319"/>
      <c r="U1751" s="315"/>
      <c r="V1751" s="162"/>
      <c r="W1751" s="149"/>
      <c r="X1751" s="163"/>
      <c r="Y1751" s="162"/>
      <c r="Z1751" s="164"/>
      <c r="AA1751" s="116"/>
      <c r="AB1751" s="116"/>
      <c r="AC1751" s="165"/>
      <c r="AD1751" s="675" t="str">
        <f t="shared" si="76"/>
        <v/>
      </c>
      <c r="AE1751" s="166"/>
      <c r="AF1751" s="149" t="b">
        <v>0</v>
      </c>
      <c r="AG1751" s="166"/>
      <c r="AH1751" s="149" t="b">
        <v>0</v>
      </c>
      <c r="AI1751" s="162"/>
      <c r="AJ1751" s="143"/>
      <c r="AK1751" s="143"/>
      <c r="AL1751" s="1112"/>
      <c r="AM1751" s="1112"/>
      <c r="AN1751" s="1112"/>
      <c r="AO1751" s="1112"/>
      <c r="AP1751" s="1112"/>
      <c r="AQ1751" s="1112"/>
    </row>
    <row r="1752" ht="22.5" customHeight="1">
      <c r="A1752" s="166"/>
      <c r="B1752" s="1111"/>
      <c r="C1752" s="524"/>
      <c r="D1752" s="1110"/>
      <c r="E1752" s="669"/>
      <c r="F1752" s="524"/>
      <c r="G1752" s="165"/>
      <c r="H1752" s="669"/>
      <c r="I1752" s="669"/>
      <c r="J1752" s="352"/>
      <c r="K1752" s="271" t="str">
        <f t="shared" si="74"/>
        <v/>
      </c>
      <c r="L1752" s="297"/>
      <c r="M1752" s="334"/>
      <c r="N1752" s="277"/>
      <c r="O1752" s="315"/>
      <c r="P1752" s="344">
        <f t="shared" si="69"/>
        <v>0</v>
      </c>
      <c r="Q1752" s="321"/>
      <c r="R1752" s="672" t="b">
        <v>0</v>
      </c>
      <c r="S1752" s="318"/>
      <c r="T1752" s="319"/>
      <c r="U1752" s="315"/>
      <c r="V1752" s="162"/>
      <c r="W1752" s="149"/>
      <c r="X1752" s="163"/>
      <c r="Y1752" s="162"/>
      <c r="Z1752" s="164"/>
      <c r="AA1752" s="116"/>
      <c r="AB1752" s="116"/>
      <c r="AC1752" s="165"/>
      <c r="AD1752" s="675" t="str">
        <f t="shared" si="76"/>
        <v/>
      </c>
      <c r="AE1752" s="166"/>
      <c r="AF1752" s="149" t="b">
        <v>0</v>
      </c>
      <c r="AG1752" s="166"/>
      <c r="AH1752" s="149" t="b">
        <v>0</v>
      </c>
      <c r="AI1752" s="162"/>
      <c r="AJ1752" s="143"/>
      <c r="AK1752" s="143"/>
      <c r="AL1752" s="1112"/>
      <c r="AM1752" s="1112"/>
      <c r="AN1752" s="1112"/>
      <c r="AO1752" s="1112"/>
      <c r="AP1752" s="1112"/>
      <c r="AQ1752" s="1112"/>
    </row>
    <row r="1753" ht="22.5" customHeight="1">
      <c r="A1753" s="166"/>
      <c r="B1753" s="1111"/>
      <c r="C1753" s="524"/>
      <c r="D1753" s="1110"/>
      <c r="E1753" s="669"/>
      <c r="F1753" s="524"/>
      <c r="G1753" s="165"/>
      <c r="H1753" s="669"/>
      <c r="I1753" s="669"/>
      <c r="J1753" s="352"/>
      <c r="K1753" s="271" t="str">
        <f t="shared" si="74"/>
        <v/>
      </c>
      <c r="L1753" s="297"/>
      <c r="M1753" s="334"/>
      <c r="N1753" s="277"/>
      <c r="O1753" s="315"/>
      <c r="P1753" s="344">
        <f t="shared" si="69"/>
        <v>0</v>
      </c>
      <c r="Q1753" s="321"/>
      <c r="R1753" s="672" t="b">
        <v>0</v>
      </c>
      <c r="S1753" s="318"/>
      <c r="T1753" s="319"/>
      <c r="U1753" s="315"/>
      <c r="V1753" s="162"/>
      <c r="W1753" s="149"/>
      <c r="X1753" s="163"/>
      <c r="Y1753" s="162"/>
      <c r="Z1753" s="164"/>
      <c r="AA1753" s="116"/>
      <c r="AB1753" s="116"/>
      <c r="AC1753" s="165"/>
      <c r="AD1753" s="675" t="str">
        <f t="shared" si="76"/>
        <v/>
      </c>
      <c r="AE1753" s="166"/>
      <c r="AF1753" s="149" t="b">
        <v>0</v>
      </c>
      <c r="AG1753" s="166"/>
      <c r="AH1753" s="149" t="b">
        <v>0</v>
      </c>
      <c r="AI1753" s="162"/>
      <c r="AJ1753" s="143"/>
      <c r="AK1753" s="143"/>
      <c r="AL1753" s="1112"/>
      <c r="AM1753" s="1112"/>
      <c r="AN1753" s="1112"/>
      <c r="AO1753" s="1112"/>
      <c r="AP1753" s="1112"/>
      <c r="AQ1753" s="1112"/>
    </row>
    <row r="1754" ht="22.5" customHeight="1">
      <c r="A1754" s="166"/>
      <c r="B1754" s="1111"/>
      <c r="C1754" s="524"/>
      <c r="D1754" s="1110"/>
      <c r="E1754" s="669"/>
      <c r="F1754" s="524"/>
      <c r="G1754" s="165"/>
      <c r="H1754" s="669"/>
      <c r="I1754" s="669"/>
      <c r="J1754" s="352"/>
      <c r="K1754" s="271" t="str">
        <f t="shared" si="74"/>
        <v/>
      </c>
      <c r="L1754" s="297"/>
      <c r="M1754" s="334"/>
      <c r="N1754" s="277"/>
      <c r="O1754" s="315"/>
      <c r="P1754" s="344">
        <f t="shared" si="69"/>
        <v>0</v>
      </c>
      <c r="Q1754" s="321"/>
      <c r="R1754" s="672" t="b">
        <v>0</v>
      </c>
      <c r="S1754" s="318"/>
      <c r="T1754" s="319"/>
      <c r="U1754" s="315"/>
      <c r="V1754" s="162"/>
      <c r="W1754" s="149"/>
      <c r="X1754" s="163"/>
      <c r="Y1754" s="162"/>
      <c r="Z1754" s="164"/>
      <c r="AA1754" s="116"/>
      <c r="AB1754" s="116"/>
      <c r="AC1754" s="165"/>
      <c r="AD1754" s="675" t="str">
        <f t="shared" si="76"/>
        <v/>
      </c>
      <c r="AE1754" s="166"/>
      <c r="AF1754" s="149" t="b">
        <v>0</v>
      </c>
      <c r="AG1754" s="166"/>
      <c r="AH1754" s="149" t="b">
        <v>0</v>
      </c>
      <c r="AI1754" s="162"/>
      <c r="AJ1754" s="143"/>
      <c r="AK1754" s="143"/>
      <c r="AL1754" s="1112"/>
      <c r="AM1754" s="1112"/>
      <c r="AN1754" s="1112"/>
      <c r="AO1754" s="1112"/>
      <c r="AP1754" s="1112"/>
      <c r="AQ1754" s="1112"/>
    </row>
    <row r="1755" ht="22.5" customHeight="1">
      <c r="A1755" s="166"/>
      <c r="B1755" s="1111"/>
      <c r="C1755" s="524"/>
      <c r="D1755" s="1110"/>
      <c r="E1755" s="669"/>
      <c r="F1755" s="524"/>
      <c r="G1755" s="165"/>
      <c r="H1755" s="669"/>
      <c r="I1755" s="669"/>
      <c r="J1755" s="352"/>
      <c r="K1755" s="271" t="str">
        <f t="shared" si="74"/>
        <v/>
      </c>
      <c r="L1755" s="297"/>
      <c r="M1755" s="334"/>
      <c r="N1755" s="277"/>
      <c r="O1755" s="315"/>
      <c r="P1755" s="344">
        <f t="shared" si="69"/>
        <v>0</v>
      </c>
      <c r="Q1755" s="321"/>
      <c r="R1755" s="672" t="b">
        <v>0</v>
      </c>
      <c r="S1755" s="318"/>
      <c r="T1755" s="319"/>
      <c r="U1755" s="315"/>
      <c r="V1755" s="162"/>
      <c r="W1755" s="149"/>
      <c r="X1755" s="163"/>
      <c r="Y1755" s="162"/>
      <c r="Z1755" s="164"/>
      <c r="AA1755" s="116"/>
      <c r="AB1755" s="116"/>
      <c r="AC1755" s="165"/>
      <c r="AD1755" s="675" t="str">
        <f t="shared" si="76"/>
        <v/>
      </c>
      <c r="AE1755" s="166"/>
      <c r="AF1755" s="149" t="b">
        <v>0</v>
      </c>
      <c r="AG1755" s="166"/>
      <c r="AH1755" s="149" t="b">
        <v>0</v>
      </c>
      <c r="AI1755" s="162"/>
      <c r="AJ1755" s="143"/>
      <c r="AK1755" s="143"/>
      <c r="AL1755" s="1112"/>
      <c r="AM1755" s="1112"/>
      <c r="AN1755" s="1112"/>
      <c r="AO1755" s="1112"/>
      <c r="AP1755" s="1112"/>
      <c r="AQ1755" s="1112"/>
    </row>
    <row r="1756" ht="22.5" customHeight="1">
      <c r="A1756" s="166"/>
      <c r="B1756" s="1111"/>
      <c r="C1756" s="524"/>
      <c r="D1756" s="1110"/>
      <c r="E1756" s="669"/>
      <c r="F1756" s="524"/>
      <c r="G1756" s="165"/>
      <c r="H1756" s="669"/>
      <c r="I1756" s="669"/>
      <c r="J1756" s="352"/>
      <c r="K1756" s="271" t="str">
        <f t="shared" si="74"/>
        <v/>
      </c>
      <c r="L1756" s="297"/>
      <c r="M1756" s="334"/>
      <c r="N1756" s="277"/>
      <c r="O1756" s="315"/>
      <c r="P1756" s="344">
        <f t="shared" si="69"/>
        <v>0</v>
      </c>
      <c r="Q1756" s="321"/>
      <c r="R1756" s="672" t="b">
        <v>0</v>
      </c>
      <c r="S1756" s="318"/>
      <c r="T1756" s="319"/>
      <c r="U1756" s="315"/>
      <c r="V1756" s="162"/>
      <c r="W1756" s="149"/>
      <c r="X1756" s="163"/>
      <c r="Y1756" s="162"/>
      <c r="Z1756" s="164"/>
      <c r="AA1756" s="116"/>
      <c r="AB1756" s="116"/>
      <c r="AC1756" s="165"/>
      <c r="AD1756" s="675" t="str">
        <f t="shared" si="76"/>
        <v/>
      </c>
      <c r="AE1756" s="166"/>
      <c r="AF1756" s="149" t="b">
        <v>0</v>
      </c>
      <c r="AG1756" s="166"/>
      <c r="AH1756" s="149" t="b">
        <v>0</v>
      </c>
      <c r="AI1756" s="162"/>
      <c r="AJ1756" s="143"/>
      <c r="AK1756" s="143"/>
      <c r="AL1756" s="1112"/>
      <c r="AM1756" s="1112"/>
      <c r="AN1756" s="1112"/>
      <c r="AO1756" s="1112"/>
      <c r="AP1756" s="1112"/>
      <c r="AQ1756" s="1112"/>
    </row>
    <row r="1757" ht="22.5" customHeight="1">
      <c r="A1757" s="166"/>
      <c r="B1757" s="1111"/>
      <c r="C1757" s="524"/>
      <c r="D1757" s="1110"/>
      <c r="E1757" s="669"/>
      <c r="F1757" s="524"/>
      <c r="G1757" s="165"/>
      <c r="H1757" s="669"/>
      <c r="I1757" s="669"/>
      <c r="J1757" s="352"/>
      <c r="K1757" s="271" t="str">
        <f t="shared" si="74"/>
        <v/>
      </c>
      <c r="L1757" s="297"/>
      <c r="M1757" s="334"/>
      <c r="N1757" s="277"/>
      <c r="O1757" s="315"/>
      <c r="P1757" s="344">
        <f t="shared" si="69"/>
        <v>0</v>
      </c>
      <c r="Q1757" s="321"/>
      <c r="R1757" s="672" t="b">
        <v>0</v>
      </c>
      <c r="S1757" s="318"/>
      <c r="T1757" s="319"/>
      <c r="U1757" s="315"/>
      <c r="V1757" s="162"/>
      <c r="W1757" s="149"/>
      <c r="X1757" s="163"/>
      <c r="Y1757" s="162"/>
      <c r="Z1757" s="164"/>
      <c r="AA1757" s="116"/>
      <c r="AB1757" s="116"/>
      <c r="AC1757" s="165"/>
      <c r="AD1757" s="675" t="str">
        <f t="shared" si="76"/>
        <v/>
      </c>
      <c r="AE1757" s="166"/>
      <c r="AF1757" s="149" t="b">
        <v>0</v>
      </c>
      <c r="AG1757" s="166"/>
      <c r="AH1757" s="149" t="b">
        <v>0</v>
      </c>
      <c r="AI1757" s="162"/>
      <c r="AJ1757" s="143"/>
      <c r="AK1757" s="143"/>
      <c r="AL1757" s="1112"/>
      <c r="AM1757" s="1112"/>
      <c r="AN1757" s="1112"/>
      <c r="AO1757" s="1112"/>
      <c r="AP1757" s="1112"/>
      <c r="AQ1757" s="1112"/>
    </row>
    <row r="1758" ht="22.5" customHeight="1">
      <c r="A1758" s="166"/>
      <c r="B1758" s="1111"/>
      <c r="C1758" s="524"/>
      <c r="D1758" s="1110"/>
      <c r="E1758" s="669"/>
      <c r="F1758" s="524"/>
      <c r="G1758" s="165"/>
      <c r="H1758" s="669"/>
      <c r="I1758" s="669"/>
      <c r="J1758" s="352"/>
      <c r="K1758" s="271" t="str">
        <f t="shared" si="74"/>
        <v/>
      </c>
      <c r="L1758" s="297"/>
      <c r="M1758" s="334"/>
      <c r="N1758" s="277"/>
      <c r="O1758" s="315"/>
      <c r="P1758" s="344">
        <f t="shared" si="69"/>
        <v>0</v>
      </c>
      <c r="Q1758" s="321"/>
      <c r="R1758" s="672" t="b">
        <v>0</v>
      </c>
      <c r="S1758" s="318"/>
      <c r="T1758" s="319"/>
      <c r="U1758" s="315"/>
      <c r="V1758" s="162"/>
      <c r="W1758" s="149"/>
      <c r="X1758" s="163"/>
      <c r="Y1758" s="162"/>
      <c r="Z1758" s="164"/>
      <c r="AA1758" s="116"/>
      <c r="AB1758" s="116"/>
      <c r="AC1758" s="165"/>
      <c r="AD1758" s="675" t="str">
        <f t="shared" si="76"/>
        <v/>
      </c>
      <c r="AE1758" s="166"/>
      <c r="AF1758" s="149" t="b">
        <v>0</v>
      </c>
      <c r="AG1758" s="166"/>
      <c r="AH1758" s="149" t="b">
        <v>0</v>
      </c>
      <c r="AI1758" s="162"/>
      <c r="AJ1758" s="143"/>
      <c r="AK1758" s="143"/>
      <c r="AL1758" s="1112"/>
      <c r="AM1758" s="1112"/>
      <c r="AN1758" s="1112"/>
      <c r="AO1758" s="1112"/>
      <c r="AP1758" s="1112"/>
      <c r="AQ1758" s="1112"/>
    </row>
    <row r="1759" ht="22.5" customHeight="1">
      <c r="A1759" s="166"/>
      <c r="B1759" s="1111"/>
      <c r="C1759" s="524"/>
      <c r="D1759" s="1110"/>
      <c r="E1759" s="669"/>
      <c r="F1759" s="524"/>
      <c r="G1759" s="165"/>
      <c r="H1759" s="669"/>
      <c r="I1759" s="669"/>
      <c r="J1759" s="352"/>
      <c r="K1759" s="271" t="str">
        <f t="shared" si="74"/>
        <v/>
      </c>
      <c r="L1759" s="297"/>
      <c r="M1759" s="334"/>
      <c r="N1759" s="277"/>
      <c r="O1759" s="315"/>
      <c r="P1759" s="344">
        <f t="shared" si="69"/>
        <v>0</v>
      </c>
      <c r="Q1759" s="321"/>
      <c r="R1759" s="672" t="b">
        <v>0</v>
      </c>
      <c r="S1759" s="318"/>
      <c r="T1759" s="319"/>
      <c r="U1759" s="315"/>
      <c r="V1759" s="162"/>
      <c r="W1759" s="149"/>
      <c r="X1759" s="163"/>
      <c r="Y1759" s="162"/>
      <c r="Z1759" s="164"/>
      <c r="AA1759" s="116"/>
      <c r="AB1759" s="116"/>
      <c r="AC1759" s="165"/>
      <c r="AD1759" s="675" t="str">
        <f t="shared" si="76"/>
        <v/>
      </c>
      <c r="AE1759" s="166"/>
      <c r="AF1759" s="149" t="b">
        <v>0</v>
      </c>
      <c r="AG1759" s="166"/>
      <c r="AH1759" s="149" t="b">
        <v>0</v>
      </c>
      <c r="AI1759" s="162"/>
      <c r="AJ1759" s="143"/>
      <c r="AK1759" s="143"/>
      <c r="AL1759" s="1112"/>
      <c r="AM1759" s="1112"/>
      <c r="AN1759" s="1112"/>
      <c r="AO1759" s="1112"/>
      <c r="AP1759" s="1112"/>
      <c r="AQ1759" s="1112"/>
    </row>
    <row r="1760" ht="22.5" customHeight="1">
      <c r="A1760" s="166"/>
      <c r="B1760" s="1111"/>
      <c r="C1760" s="524"/>
      <c r="D1760" s="1110"/>
      <c r="E1760" s="669"/>
      <c r="F1760" s="524"/>
      <c r="G1760" s="165"/>
      <c r="H1760" s="669"/>
      <c r="I1760" s="669"/>
      <c r="J1760" s="352"/>
      <c r="K1760" s="271" t="str">
        <f t="shared" si="74"/>
        <v/>
      </c>
      <c r="L1760" s="297"/>
      <c r="M1760" s="334"/>
      <c r="N1760" s="277"/>
      <c r="O1760" s="315"/>
      <c r="P1760" s="344">
        <f t="shared" si="69"/>
        <v>0</v>
      </c>
      <c r="Q1760" s="321"/>
      <c r="R1760" s="672" t="b">
        <v>0</v>
      </c>
      <c r="S1760" s="318"/>
      <c r="T1760" s="319"/>
      <c r="U1760" s="315"/>
      <c r="V1760" s="162"/>
      <c r="W1760" s="149"/>
      <c r="X1760" s="163"/>
      <c r="Y1760" s="162"/>
      <c r="Z1760" s="164"/>
      <c r="AA1760" s="116"/>
      <c r="AB1760" s="116"/>
      <c r="AC1760" s="165"/>
      <c r="AD1760" s="675" t="str">
        <f t="shared" si="76"/>
        <v/>
      </c>
      <c r="AE1760" s="166"/>
      <c r="AF1760" s="149" t="b">
        <v>0</v>
      </c>
      <c r="AG1760" s="166"/>
      <c r="AH1760" s="149" t="b">
        <v>0</v>
      </c>
      <c r="AI1760" s="162"/>
      <c r="AJ1760" s="143"/>
      <c r="AK1760" s="143"/>
      <c r="AL1760" s="1112"/>
      <c r="AM1760" s="1112"/>
      <c r="AN1760" s="1112"/>
      <c r="AO1760" s="1112"/>
      <c r="AP1760" s="1112"/>
      <c r="AQ1760" s="1112"/>
    </row>
    <row r="1761" ht="22.5" customHeight="1">
      <c r="A1761" s="166"/>
      <c r="B1761" s="1111"/>
      <c r="C1761" s="524"/>
      <c r="D1761" s="1110"/>
      <c r="E1761" s="669"/>
      <c r="F1761" s="524"/>
      <c r="G1761" s="165"/>
      <c r="H1761" s="669"/>
      <c r="I1761" s="669"/>
      <c r="J1761" s="352"/>
      <c r="K1761" s="271" t="str">
        <f t="shared" si="74"/>
        <v/>
      </c>
      <c r="L1761" s="297"/>
      <c r="M1761" s="334"/>
      <c r="N1761" s="277"/>
      <c r="O1761" s="315"/>
      <c r="P1761" s="344">
        <f t="shared" si="69"/>
        <v>0</v>
      </c>
      <c r="Q1761" s="321"/>
      <c r="R1761" s="672" t="b">
        <v>0</v>
      </c>
      <c r="S1761" s="318"/>
      <c r="T1761" s="319"/>
      <c r="U1761" s="315"/>
      <c r="V1761" s="162"/>
      <c r="W1761" s="149"/>
      <c r="X1761" s="163"/>
      <c r="Y1761" s="162"/>
      <c r="Z1761" s="164"/>
      <c r="AA1761" s="116"/>
      <c r="AB1761" s="116"/>
      <c r="AC1761" s="165"/>
      <c r="AD1761" s="675" t="str">
        <f t="shared" si="76"/>
        <v/>
      </c>
      <c r="AE1761" s="166"/>
      <c r="AF1761" s="149" t="b">
        <v>0</v>
      </c>
      <c r="AG1761" s="166"/>
      <c r="AH1761" s="149" t="b">
        <v>0</v>
      </c>
      <c r="AI1761" s="162"/>
      <c r="AJ1761" s="143"/>
      <c r="AK1761" s="143"/>
      <c r="AL1761" s="1112"/>
      <c r="AM1761" s="1112"/>
      <c r="AN1761" s="1112"/>
      <c r="AO1761" s="1112"/>
      <c r="AP1761" s="1112"/>
      <c r="AQ1761" s="1112"/>
    </row>
    <row r="1762" ht="22.5" customHeight="1">
      <c r="A1762" s="166"/>
      <c r="B1762" s="1111"/>
      <c r="C1762" s="524"/>
      <c r="D1762" s="1110"/>
      <c r="E1762" s="669"/>
      <c r="F1762" s="524"/>
      <c r="G1762" s="165"/>
      <c r="H1762" s="669"/>
      <c r="I1762" s="669"/>
      <c r="J1762" s="352"/>
      <c r="K1762" s="271" t="str">
        <f t="shared" si="74"/>
        <v/>
      </c>
      <c r="L1762" s="297"/>
      <c r="M1762" s="334"/>
      <c r="N1762" s="277"/>
      <c r="O1762" s="315"/>
      <c r="P1762" s="344">
        <f t="shared" si="69"/>
        <v>0</v>
      </c>
      <c r="Q1762" s="321"/>
      <c r="R1762" s="672" t="b">
        <v>0</v>
      </c>
      <c r="S1762" s="318"/>
      <c r="T1762" s="319"/>
      <c r="U1762" s="315"/>
      <c r="V1762" s="162"/>
      <c r="W1762" s="149"/>
      <c r="X1762" s="163"/>
      <c r="Y1762" s="162"/>
      <c r="Z1762" s="164"/>
      <c r="AA1762" s="116"/>
      <c r="AB1762" s="116"/>
      <c r="AC1762" s="165"/>
      <c r="AD1762" s="675" t="str">
        <f t="shared" si="76"/>
        <v/>
      </c>
      <c r="AE1762" s="166"/>
      <c r="AF1762" s="149" t="b">
        <v>0</v>
      </c>
      <c r="AG1762" s="166"/>
      <c r="AH1762" s="149" t="b">
        <v>0</v>
      </c>
      <c r="AI1762" s="162"/>
      <c r="AJ1762" s="143"/>
      <c r="AK1762" s="143"/>
      <c r="AL1762" s="1112"/>
      <c r="AM1762" s="1112"/>
      <c r="AN1762" s="1112"/>
      <c r="AO1762" s="1112"/>
      <c r="AP1762" s="1112"/>
      <c r="AQ1762" s="1112"/>
    </row>
    <row r="1763" ht="22.5" customHeight="1">
      <c r="A1763" s="166"/>
      <c r="B1763" s="1111"/>
      <c r="C1763" s="524"/>
      <c r="D1763" s="1110"/>
      <c r="E1763" s="669"/>
      <c r="F1763" s="524"/>
      <c r="G1763" s="165"/>
      <c r="H1763" s="669"/>
      <c r="I1763" s="669"/>
      <c r="J1763" s="352"/>
      <c r="K1763" s="271" t="str">
        <f t="shared" si="74"/>
        <v/>
      </c>
      <c r="L1763" s="297"/>
      <c r="M1763" s="334"/>
      <c r="N1763" s="277"/>
      <c r="O1763" s="315"/>
      <c r="P1763" s="344">
        <f t="shared" si="69"/>
        <v>0</v>
      </c>
      <c r="Q1763" s="321"/>
      <c r="R1763" s="672" t="b">
        <v>0</v>
      </c>
      <c r="S1763" s="318"/>
      <c r="T1763" s="319"/>
      <c r="U1763" s="315"/>
      <c r="V1763" s="162"/>
      <c r="W1763" s="149"/>
      <c r="X1763" s="163"/>
      <c r="Y1763" s="162"/>
      <c r="Z1763" s="164"/>
      <c r="AA1763" s="116"/>
      <c r="AB1763" s="116"/>
      <c r="AC1763" s="165"/>
      <c r="AD1763" s="675" t="str">
        <f t="shared" si="76"/>
        <v/>
      </c>
      <c r="AE1763" s="166"/>
      <c r="AF1763" s="149" t="b">
        <v>0</v>
      </c>
      <c r="AG1763" s="166"/>
      <c r="AH1763" s="149" t="b">
        <v>0</v>
      </c>
      <c r="AI1763" s="162"/>
      <c r="AJ1763" s="143"/>
      <c r="AK1763" s="143"/>
      <c r="AL1763" s="1112"/>
      <c r="AM1763" s="1112"/>
      <c r="AN1763" s="1112"/>
      <c r="AO1763" s="1112"/>
      <c r="AP1763" s="1112"/>
      <c r="AQ1763" s="1112"/>
    </row>
    <row r="1764" ht="22.5" customHeight="1">
      <c r="A1764" s="166"/>
      <c r="B1764" s="1111"/>
      <c r="C1764" s="524"/>
      <c r="D1764" s="1110"/>
      <c r="E1764" s="669"/>
      <c r="F1764" s="524"/>
      <c r="G1764" s="165"/>
      <c r="H1764" s="669"/>
      <c r="I1764" s="669"/>
      <c r="J1764" s="352"/>
      <c r="K1764" s="271" t="str">
        <f t="shared" si="74"/>
        <v/>
      </c>
      <c r="L1764" s="297"/>
      <c r="M1764" s="334"/>
      <c r="N1764" s="277"/>
      <c r="O1764" s="315"/>
      <c r="P1764" s="344">
        <f t="shared" si="69"/>
        <v>0</v>
      </c>
      <c r="Q1764" s="321"/>
      <c r="R1764" s="672" t="b">
        <v>0</v>
      </c>
      <c r="S1764" s="318"/>
      <c r="T1764" s="319"/>
      <c r="U1764" s="315"/>
      <c r="V1764" s="162"/>
      <c r="W1764" s="149"/>
      <c r="X1764" s="163"/>
      <c r="Y1764" s="162"/>
      <c r="Z1764" s="164"/>
      <c r="AA1764" s="116"/>
      <c r="AB1764" s="116"/>
      <c r="AC1764" s="165"/>
      <c r="AD1764" s="675" t="str">
        <f t="shared" si="76"/>
        <v/>
      </c>
      <c r="AE1764" s="166"/>
      <c r="AF1764" s="149" t="b">
        <v>0</v>
      </c>
      <c r="AG1764" s="166"/>
      <c r="AH1764" s="149" t="b">
        <v>0</v>
      </c>
      <c r="AI1764" s="162"/>
      <c r="AJ1764" s="143"/>
      <c r="AK1764" s="143"/>
      <c r="AL1764" s="1112"/>
      <c r="AM1764" s="1112"/>
      <c r="AN1764" s="1112"/>
      <c r="AO1764" s="1112"/>
      <c r="AP1764" s="1112"/>
      <c r="AQ1764" s="1112"/>
    </row>
    <row r="1765" ht="22.5" customHeight="1">
      <c r="A1765" s="166"/>
      <c r="B1765" s="1111"/>
      <c r="C1765" s="524"/>
      <c r="D1765" s="1110"/>
      <c r="E1765" s="669"/>
      <c r="F1765" s="524"/>
      <c r="G1765" s="165"/>
      <c r="H1765" s="669"/>
      <c r="I1765" s="669"/>
      <c r="J1765" s="352"/>
      <c r="K1765" s="271" t="str">
        <f t="shared" si="74"/>
        <v/>
      </c>
      <c r="L1765" s="297"/>
      <c r="M1765" s="334"/>
      <c r="N1765" s="277"/>
      <c r="O1765" s="315"/>
      <c r="P1765" s="344">
        <f t="shared" si="69"/>
        <v>0</v>
      </c>
      <c r="Q1765" s="321"/>
      <c r="R1765" s="672" t="b">
        <v>0</v>
      </c>
      <c r="S1765" s="318"/>
      <c r="T1765" s="319"/>
      <c r="U1765" s="315"/>
      <c r="V1765" s="162"/>
      <c r="W1765" s="149"/>
      <c r="X1765" s="163"/>
      <c r="Y1765" s="162"/>
      <c r="Z1765" s="164"/>
      <c r="AA1765" s="116"/>
      <c r="AB1765" s="116"/>
      <c r="AC1765" s="165"/>
      <c r="AD1765" s="675" t="str">
        <f t="shared" si="76"/>
        <v/>
      </c>
      <c r="AE1765" s="166"/>
      <c r="AF1765" s="149" t="b">
        <v>0</v>
      </c>
      <c r="AG1765" s="166"/>
      <c r="AH1765" s="149" t="b">
        <v>0</v>
      </c>
      <c r="AI1765" s="162"/>
      <c r="AJ1765" s="143"/>
      <c r="AK1765" s="143"/>
      <c r="AL1765" s="1112"/>
      <c r="AM1765" s="1112"/>
      <c r="AN1765" s="1112"/>
      <c r="AO1765" s="1112"/>
      <c r="AP1765" s="1112"/>
      <c r="AQ1765" s="1112"/>
    </row>
    <row r="1766" ht="22.5" customHeight="1">
      <c r="A1766" s="166"/>
      <c r="B1766" s="1111"/>
      <c r="C1766" s="524"/>
      <c r="D1766" s="1110"/>
      <c r="E1766" s="669"/>
      <c r="F1766" s="524"/>
      <c r="G1766" s="165"/>
      <c r="H1766" s="669"/>
      <c r="I1766" s="669"/>
      <c r="J1766" s="352"/>
      <c r="K1766" s="271" t="str">
        <f t="shared" si="74"/>
        <v/>
      </c>
      <c r="L1766" s="297"/>
      <c r="M1766" s="334"/>
      <c r="N1766" s="277"/>
      <c r="O1766" s="315"/>
      <c r="P1766" s="344">
        <f t="shared" si="69"/>
        <v>0</v>
      </c>
      <c r="Q1766" s="321"/>
      <c r="R1766" s="672" t="b">
        <v>0</v>
      </c>
      <c r="S1766" s="318"/>
      <c r="T1766" s="319"/>
      <c r="U1766" s="315"/>
      <c r="V1766" s="162"/>
      <c r="W1766" s="149"/>
      <c r="X1766" s="163"/>
      <c r="Y1766" s="162"/>
      <c r="Z1766" s="164"/>
      <c r="AA1766" s="116"/>
      <c r="AB1766" s="116"/>
      <c r="AC1766" s="165"/>
      <c r="AD1766" s="675" t="str">
        <f t="shared" si="76"/>
        <v/>
      </c>
      <c r="AE1766" s="166"/>
      <c r="AF1766" s="149" t="b">
        <v>0</v>
      </c>
      <c r="AG1766" s="166"/>
      <c r="AH1766" s="149" t="b">
        <v>0</v>
      </c>
      <c r="AI1766" s="162"/>
      <c r="AJ1766" s="143"/>
      <c r="AK1766" s="143"/>
      <c r="AL1766" s="1112"/>
      <c r="AM1766" s="1112"/>
      <c r="AN1766" s="1112"/>
      <c r="AO1766" s="1112"/>
      <c r="AP1766" s="1112"/>
      <c r="AQ1766" s="1112"/>
    </row>
    <row r="1767" ht="22.5" customHeight="1">
      <c r="A1767" s="166"/>
      <c r="B1767" s="1111"/>
      <c r="C1767" s="524"/>
      <c r="D1767" s="1110"/>
      <c r="E1767" s="669"/>
      <c r="F1767" s="524"/>
      <c r="G1767" s="165"/>
      <c r="H1767" s="669"/>
      <c r="I1767" s="669"/>
      <c r="J1767" s="352"/>
      <c r="K1767" s="271" t="str">
        <f t="shared" si="74"/>
        <v/>
      </c>
      <c r="L1767" s="297"/>
      <c r="M1767" s="334"/>
      <c r="N1767" s="277"/>
      <c r="O1767" s="315"/>
      <c r="P1767" s="344">
        <f t="shared" si="69"/>
        <v>0</v>
      </c>
      <c r="Q1767" s="321"/>
      <c r="R1767" s="672" t="b">
        <v>0</v>
      </c>
      <c r="S1767" s="318"/>
      <c r="T1767" s="319"/>
      <c r="U1767" s="315"/>
      <c r="V1767" s="162"/>
      <c r="W1767" s="149"/>
      <c r="X1767" s="163"/>
      <c r="Y1767" s="162"/>
      <c r="Z1767" s="164"/>
      <c r="AA1767" s="116"/>
      <c r="AB1767" s="116"/>
      <c r="AC1767" s="165"/>
      <c r="AD1767" s="675" t="str">
        <f t="shared" si="76"/>
        <v/>
      </c>
      <c r="AE1767" s="166"/>
      <c r="AF1767" s="149" t="b">
        <v>0</v>
      </c>
      <c r="AG1767" s="166"/>
      <c r="AH1767" s="149" t="b">
        <v>0</v>
      </c>
      <c r="AI1767" s="162"/>
      <c r="AJ1767" s="143"/>
      <c r="AK1767" s="143"/>
      <c r="AL1767" s="1112"/>
      <c r="AM1767" s="1112"/>
      <c r="AN1767" s="1112"/>
      <c r="AO1767" s="1112"/>
      <c r="AP1767" s="1112"/>
      <c r="AQ1767" s="1112"/>
    </row>
    <row r="1768" ht="22.5" customHeight="1">
      <c r="A1768" s="166"/>
      <c r="B1768" s="1111"/>
      <c r="C1768" s="524"/>
      <c r="D1768" s="1110"/>
      <c r="E1768" s="669"/>
      <c r="F1768" s="524"/>
      <c r="G1768" s="165"/>
      <c r="H1768" s="669"/>
      <c r="I1768" s="669"/>
      <c r="J1768" s="352"/>
      <c r="K1768" s="271" t="str">
        <f t="shared" si="74"/>
        <v/>
      </c>
      <c r="L1768" s="297"/>
      <c r="M1768" s="334"/>
      <c r="N1768" s="277"/>
      <c r="O1768" s="315"/>
      <c r="P1768" s="344">
        <f t="shared" si="69"/>
        <v>0</v>
      </c>
      <c r="Q1768" s="321"/>
      <c r="R1768" s="672" t="b">
        <v>0</v>
      </c>
      <c r="S1768" s="318"/>
      <c r="T1768" s="319"/>
      <c r="U1768" s="315"/>
      <c r="V1768" s="162"/>
      <c r="W1768" s="149"/>
      <c r="X1768" s="163"/>
      <c r="Y1768" s="162"/>
      <c r="Z1768" s="164"/>
      <c r="AA1768" s="116"/>
      <c r="AB1768" s="116"/>
      <c r="AC1768" s="165"/>
      <c r="AD1768" s="675" t="str">
        <f t="shared" si="76"/>
        <v/>
      </c>
      <c r="AE1768" s="166"/>
      <c r="AF1768" s="149" t="b">
        <v>0</v>
      </c>
      <c r="AG1768" s="166"/>
      <c r="AH1768" s="149" t="b">
        <v>0</v>
      </c>
      <c r="AI1768" s="162"/>
      <c r="AJ1768" s="143"/>
      <c r="AK1768" s="143"/>
      <c r="AL1768" s="1112"/>
      <c r="AM1768" s="1112"/>
      <c r="AN1768" s="1112"/>
      <c r="AO1768" s="1112"/>
      <c r="AP1768" s="1112"/>
      <c r="AQ1768" s="1112"/>
    </row>
    <row r="1769" ht="22.5" customHeight="1">
      <c r="A1769" s="166"/>
      <c r="B1769" s="1111"/>
      <c r="C1769" s="524"/>
      <c r="D1769" s="1110"/>
      <c r="E1769" s="669"/>
      <c r="F1769" s="524"/>
      <c r="G1769" s="165"/>
      <c r="H1769" s="669"/>
      <c r="I1769" s="669"/>
      <c r="J1769" s="352"/>
      <c r="K1769" s="271" t="str">
        <f t="shared" si="74"/>
        <v/>
      </c>
      <c r="L1769" s="297"/>
      <c r="M1769" s="334"/>
      <c r="N1769" s="277"/>
      <c r="O1769" s="315"/>
      <c r="P1769" s="344">
        <f t="shared" si="69"/>
        <v>0</v>
      </c>
      <c r="Q1769" s="321"/>
      <c r="R1769" s="672" t="b">
        <v>0</v>
      </c>
      <c r="S1769" s="318"/>
      <c r="T1769" s="319"/>
      <c r="U1769" s="315"/>
      <c r="V1769" s="162"/>
      <c r="W1769" s="149"/>
      <c r="X1769" s="163"/>
      <c r="Y1769" s="162"/>
      <c r="Z1769" s="164"/>
      <c r="AA1769" s="116"/>
      <c r="AB1769" s="116"/>
      <c r="AC1769" s="165"/>
      <c r="AD1769" s="675" t="str">
        <f t="shared" si="76"/>
        <v/>
      </c>
      <c r="AE1769" s="166"/>
      <c r="AF1769" s="149" t="b">
        <v>0</v>
      </c>
      <c r="AG1769" s="166"/>
      <c r="AH1769" s="149" t="b">
        <v>0</v>
      </c>
      <c r="AI1769" s="162"/>
      <c r="AJ1769" s="143"/>
      <c r="AK1769" s="143"/>
      <c r="AL1769" s="1112"/>
      <c r="AM1769" s="1112"/>
      <c r="AN1769" s="1112"/>
      <c r="AO1769" s="1112"/>
      <c r="AP1769" s="1112"/>
      <c r="AQ1769" s="1112"/>
    </row>
    <row r="1770" ht="22.5" customHeight="1">
      <c r="A1770" s="166"/>
      <c r="B1770" s="1111"/>
      <c r="C1770" s="524"/>
      <c r="D1770" s="1110"/>
      <c r="E1770" s="669"/>
      <c r="F1770" s="524"/>
      <c r="G1770" s="165"/>
      <c r="H1770" s="669"/>
      <c r="I1770" s="669"/>
      <c r="J1770" s="352"/>
      <c r="K1770" s="271" t="str">
        <f t="shared" si="74"/>
        <v/>
      </c>
      <c r="L1770" s="297"/>
      <c r="M1770" s="334"/>
      <c r="N1770" s="277"/>
      <c r="O1770" s="315"/>
      <c r="P1770" s="344">
        <f t="shared" si="69"/>
        <v>0</v>
      </c>
      <c r="Q1770" s="321"/>
      <c r="R1770" s="672" t="b">
        <v>0</v>
      </c>
      <c r="S1770" s="318"/>
      <c r="T1770" s="319"/>
      <c r="U1770" s="315"/>
      <c r="V1770" s="162"/>
      <c r="W1770" s="149"/>
      <c r="X1770" s="163"/>
      <c r="Y1770" s="162"/>
      <c r="Z1770" s="164"/>
      <c r="AA1770" s="116"/>
      <c r="AB1770" s="116"/>
      <c r="AC1770" s="165"/>
      <c r="AD1770" s="675" t="str">
        <f t="shared" si="76"/>
        <v/>
      </c>
      <c r="AE1770" s="166"/>
      <c r="AF1770" s="149" t="b">
        <v>0</v>
      </c>
      <c r="AG1770" s="166"/>
      <c r="AH1770" s="149" t="b">
        <v>0</v>
      </c>
      <c r="AI1770" s="162"/>
      <c r="AJ1770" s="143"/>
      <c r="AK1770" s="143"/>
      <c r="AL1770" s="1112"/>
      <c r="AM1770" s="1112"/>
      <c r="AN1770" s="1112"/>
      <c r="AO1770" s="1112"/>
      <c r="AP1770" s="1112"/>
      <c r="AQ1770" s="1112"/>
    </row>
    <row r="1771" ht="22.5" customHeight="1">
      <c r="A1771" s="166"/>
      <c r="B1771" s="1111"/>
      <c r="C1771" s="524"/>
      <c r="D1771" s="1110"/>
      <c r="E1771" s="669"/>
      <c r="F1771" s="524"/>
      <c r="G1771" s="165"/>
      <c r="H1771" s="669"/>
      <c r="I1771" s="669"/>
      <c r="J1771" s="352"/>
      <c r="K1771" s="271" t="str">
        <f t="shared" si="74"/>
        <v/>
      </c>
      <c r="L1771" s="297"/>
      <c r="M1771" s="334"/>
      <c r="N1771" s="277"/>
      <c r="O1771" s="315"/>
      <c r="P1771" s="344">
        <f t="shared" si="69"/>
        <v>0</v>
      </c>
      <c r="Q1771" s="321"/>
      <c r="R1771" s="672" t="b">
        <v>0</v>
      </c>
      <c r="S1771" s="318"/>
      <c r="T1771" s="319"/>
      <c r="U1771" s="315"/>
      <c r="V1771" s="162"/>
      <c r="W1771" s="149"/>
      <c r="X1771" s="163"/>
      <c r="Y1771" s="162"/>
      <c r="Z1771" s="164"/>
      <c r="AA1771" s="116"/>
      <c r="AB1771" s="116"/>
      <c r="AC1771" s="165"/>
      <c r="AD1771" s="675" t="str">
        <f t="shared" si="76"/>
        <v/>
      </c>
      <c r="AE1771" s="166"/>
      <c r="AF1771" s="149" t="b">
        <v>0</v>
      </c>
      <c r="AG1771" s="166"/>
      <c r="AH1771" s="149" t="b">
        <v>0</v>
      </c>
      <c r="AI1771" s="162"/>
      <c r="AJ1771" s="143"/>
      <c r="AK1771" s="143"/>
      <c r="AL1771" s="1112"/>
      <c r="AM1771" s="1112"/>
      <c r="AN1771" s="1112"/>
      <c r="AO1771" s="1112"/>
      <c r="AP1771" s="1112"/>
      <c r="AQ1771" s="1112"/>
    </row>
    <row r="1772" ht="22.5" customHeight="1">
      <c r="A1772" s="166"/>
      <c r="B1772" s="1111"/>
      <c r="C1772" s="524"/>
      <c r="D1772" s="1110"/>
      <c r="E1772" s="669"/>
      <c r="F1772" s="524"/>
      <c r="G1772" s="165"/>
      <c r="H1772" s="669"/>
      <c r="I1772" s="669"/>
      <c r="J1772" s="352"/>
      <c r="K1772" s="271" t="str">
        <f t="shared" si="74"/>
        <v/>
      </c>
      <c r="L1772" s="297"/>
      <c r="M1772" s="334"/>
      <c r="N1772" s="277"/>
      <c r="O1772" s="315"/>
      <c r="P1772" s="344">
        <f t="shared" si="69"/>
        <v>0</v>
      </c>
      <c r="Q1772" s="321"/>
      <c r="R1772" s="672" t="b">
        <v>0</v>
      </c>
      <c r="S1772" s="318"/>
      <c r="T1772" s="319"/>
      <c r="U1772" s="315"/>
      <c r="V1772" s="162"/>
      <c r="W1772" s="149"/>
      <c r="X1772" s="163"/>
      <c r="Y1772" s="162"/>
      <c r="Z1772" s="164"/>
      <c r="AA1772" s="116"/>
      <c r="AB1772" s="116"/>
      <c r="AC1772" s="165"/>
      <c r="AD1772" s="675" t="str">
        <f t="shared" si="76"/>
        <v/>
      </c>
      <c r="AE1772" s="166"/>
      <c r="AF1772" s="149" t="b">
        <v>0</v>
      </c>
      <c r="AG1772" s="166"/>
      <c r="AH1772" s="149" t="b">
        <v>0</v>
      </c>
      <c r="AI1772" s="162"/>
      <c r="AJ1772" s="143"/>
      <c r="AK1772" s="143"/>
      <c r="AL1772" s="1112"/>
      <c r="AM1772" s="1112"/>
      <c r="AN1772" s="1112"/>
      <c r="AO1772" s="1112"/>
      <c r="AP1772" s="1112"/>
      <c r="AQ1772" s="1112"/>
    </row>
    <row r="1773" ht="22.5" customHeight="1">
      <c r="A1773" s="166"/>
      <c r="B1773" s="1111"/>
      <c r="C1773" s="524"/>
      <c r="D1773" s="1110"/>
      <c r="E1773" s="669"/>
      <c r="F1773" s="524"/>
      <c r="G1773" s="165"/>
      <c r="H1773" s="669"/>
      <c r="I1773" s="669"/>
      <c r="J1773" s="352"/>
      <c r="K1773" s="271" t="str">
        <f t="shared" si="74"/>
        <v/>
      </c>
      <c r="L1773" s="297"/>
      <c r="M1773" s="334"/>
      <c r="N1773" s="277"/>
      <c r="O1773" s="315"/>
      <c r="P1773" s="344">
        <f t="shared" si="69"/>
        <v>0</v>
      </c>
      <c r="Q1773" s="321"/>
      <c r="R1773" s="672" t="b">
        <v>0</v>
      </c>
      <c r="S1773" s="318"/>
      <c r="T1773" s="319"/>
      <c r="U1773" s="315"/>
      <c r="V1773" s="162"/>
      <c r="W1773" s="149"/>
      <c r="X1773" s="163"/>
      <c r="Y1773" s="162"/>
      <c r="Z1773" s="164"/>
      <c r="AA1773" s="116"/>
      <c r="AB1773" s="116"/>
      <c r="AC1773" s="165"/>
      <c r="AD1773" s="675" t="str">
        <f t="shared" si="76"/>
        <v/>
      </c>
      <c r="AE1773" s="166"/>
      <c r="AF1773" s="149" t="b">
        <v>0</v>
      </c>
      <c r="AG1773" s="166"/>
      <c r="AH1773" s="149" t="b">
        <v>0</v>
      </c>
      <c r="AI1773" s="162"/>
      <c r="AJ1773" s="143"/>
      <c r="AK1773" s="143"/>
      <c r="AL1773" s="1112"/>
      <c r="AM1773" s="1112"/>
      <c r="AN1773" s="1112"/>
      <c r="AO1773" s="1112"/>
      <c r="AP1773" s="1112"/>
      <c r="AQ1773" s="1112"/>
    </row>
    <row r="1774" ht="22.5" customHeight="1">
      <c r="A1774" s="166"/>
      <c r="B1774" s="1111"/>
      <c r="C1774" s="524"/>
      <c r="D1774" s="1110"/>
      <c r="E1774" s="669"/>
      <c r="F1774" s="524"/>
      <c r="G1774" s="165"/>
      <c r="H1774" s="669"/>
      <c r="I1774" s="669"/>
      <c r="J1774" s="352"/>
      <c r="K1774" s="271" t="str">
        <f t="shared" si="74"/>
        <v/>
      </c>
      <c r="L1774" s="297"/>
      <c r="M1774" s="334"/>
      <c r="N1774" s="277"/>
      <c r="O1774" s="315"/>
      <c r="P1774" s="344">
        <f t="shared" si="69"/>
        <v>0</v>
      </c>
      <c r="Q1774" s="321"/>
      <c r="R1774" s="672" t="b">
        <v>0</v>
      </c>
      <c r="S1774" s="318"/>
      <c r="T1774" s="319"/>
      <c r="U1774" s="315"/>
      <c r="V1774" s="162"/>
      <c r="W1774" s="149"/>
      <c r="X1774" s="163"/>
      <c r="Y1774" s="162"/>
      <c r="Z1774" s="164"/>
      <c r="AA1774" s="116"/>
      <c r="AB1774" s="116"/>
      <c r="AC1774" s="165"/>
      <c r="AD1774" s="675" t="str">
        <f t="shared" si="76"/>
        <v/>
      </c>
      <c r="AE1774" s="166"/>
      <c r="AF1774" s="149" t="b">
        <v>0</v>
      </c>
      <c r="AG1774" s="166"/>
      <c r="AH1774" s="149" t="b">
        <v>0</v>
      </c>
      <c r="AI1774" s="162"/>
      <c r="AJ1774" s="143"/>
      <c r="AK1774" s="143"/>
      <c r="AL1774" s="1112"/>
      <c r="AM1774" s="1112"/>
      <c r="AN1774" s="1112"/>
      <c r="AO1774" s="1112"/>
      <c r="AP1774" s="1112"/>
      <c r="AQ1774" s="1112"/>
    </row>
    <row r="1775" ht="22.5" customHeight="1">
      <c r="A1775" s="166"/>
      <c r="B1775" s="1111"/>
      <c r="C1775" s="524"/>
      <c r="D1775" s="1110"/>
      <c r="E1775" s="669"/>
      <c r="F1775" s="524"/>
      <c r="G1775" s="165"/>
      <c r="H1775" s="669"/>
      <c r="I1775" s="669"/>
      <c r="J1775" s="352"/>
      <c r="K1775" s="271" t="str">
        <f t="shared" si="74"/>
        <v/>
      </c>
      <c r="L1775" s="297"/>
      <c r="M1775" s="334"/>
      <c r="N1775" s="277"/>
      <c r="O1775" s="315"/>
      <c r="P1775" s="344">
        <f t="shared" si="69"/>
        <v>0</v>
      </c>
      <c r="Q1775" s="321"/>
      <c r="R1775" s="672" t="b">
        <v>0</v>
      </c>
      <c r="S1775" s="318"/>
      <c r="T1775" s="319"/>
      <c r="U1775" s="315"/>
      <c r="V1775" s="162"/>
      <c r="W1775" s="149"/>
      <c r="X1775" s="163"/>
      <c r="Y1775" s="162"/>
      <c r="Z1775" s="164"/>
      <c r="AA1775" s="116"/>
      <c r="AB1775" s="116"/>
      <c r="AC1775" s="165"/>
      <c r="AD1775" s="675" t="str">
        <f t="shared" si="76"/>
        <v/>
      </c>
      <c r="AE1775" s="166"/>
      <c r="AF1775" s="149" t="b">
        <v>0</v>
      </c>
      <c r="AG1775" s="166"/>
      <c r="AH1775" s="149" t="b">
        <v>0</v>
      </c>
      <c r="AI1775" s="162"/>
      <c r="AJ1775" s="143"/>
      <c r="AK1775" s="143"/>
      <c r="AL1775" s="1112"/>
      <c r="AM1775" s="1112"/>
      <c r="AN1775" s="1112"/>
      <c r="AO1775" s="1112"/>
      <c r="AP1775" s="1112"/>
      <c r="AQ1775" s="1112"/>
    </row>
    <row r="1776" ht="22.5" customHeight="1">
      <c r="A1776" s="166"/>
      <c r="B1776" s="1111"/>
      <c r="C1776" s="524"/>
      <c r="D1776" s="1110"/>
      <c r="E1776" s="669"/>
      <c r="F1776" s="524"/>
      <c r="G1776" s="165"/>
      <c r="H1776" s="669"/>
      <c r="I1776" s="669"/>
      <c r="J1776" s="352"/>
      <c r="K1776" s="271" t="str">
        <f t="shared" si="74"/>
        <v/>
      </c>
      <c r="L1776" s="297"/>
      <c r="M1776" s="334"/>
      <c r="N1776" s="277"/>
      <c r="O1776" s="315"/>
      <c r="P1776" s="344">
        <f t="shared" si="69"/>
        <v>0</v>
      </c>
      <c r="Q1776" s="321"/>
      <c r="R1776" s="672" t="b">
        <v>0</v>
      </c>
      <c r="S1776" s="318"/>
      <c r="T1776" s="319"/>
      <c r="U1776" s="315"/>
      <c r="V1776" s="162"/>
      <c r="W1776" s="149"/>
      <c r="X1776" s="163"/>
      <c r="Y1776" s="162"/>
      <c r="Z1776" s="164"/>
      <c r="AA1776" s="116"/>
      <c r="AB1776" s="116"/>
      <c r="AC1776" s="165"/>
      <c r="AD1776" s="675" t="str">
        <f t="shared" si="76"/>
        <v/>
      </c>
      <c r="AE1776" s="166"/>
      <c r="AF1776" s="149" t="b">
        <v>0</v>
      </c>
      <c r="AG1776" s="166"/>
      <c r="AH1776" s="149" t="b">
        <v>0</v>
      </c>
      <c r="AI1776" s="162"/>
      <c r="AJ1776" s="143"/>
      <c r="AK1776" s="143"/>
      <c r="AL1776" s="1112"/>
      <c r="AM1776" s="1112"/>
      <c r="AN1776" s="1112"/>
      <c r="AO1776" s="1112"/>
      <c r="AP1776" s="1112"/>
      <c r="AQ1776" s="1112"/>
    </row>
    <row r="1777" ht="22.5" customHeight="1">
      <c r="A1777" s="166"/>
      <c r="B1777" s="1111"/>
      <c r="C1777" s="524"/>
      <c r="D1777" s="1110"/>
      <c r="E1777" s="669"/>
      <c r="F1777" s="524"/>
      <c r="G1777" s="165"/>
      <c r="H1777" s="669"/>
      <c r="I1777" s="669"/>
      <c r="J1777" s="352"/>
      <c r="K1777" s="271" t="str">
        <f t="shared" si="74"/>
        <v/>
      </c>
      <c r="L1777" s="297"/>
      <c r="M1777" s="334"/>
      <c r="N1777" s="277"/>
      <c r="O1777" s="315"/>
      <c r="P1777" s="344">
        <f t="shared" si="69"/>
        <v>0</v>
      </c>
      <c r="Q1777" s="321"/>
      <c r="R1777" s="672" t="b">
        <v>0</v>
      </c>
      <c r="S1777" s="318"/>
      <c r="T1777" s="319"/>
      <c r="U1777" s="315"/>
      <c r="V1777" s="162"/>
      <c r="W1777" s="149"/>
      <c r="X1777" s="163"/>
      <c r="Y1777" s="162"/>
      <c r="Z1777" s="164"/>
      <c r="AA1777" s="116"/>
      <c r="AB1777" s="116"/>
      <c r="AC1777" s="165"/>
      <c r="AD1777" s="675" t="str">
        <f t="shared" si="76"/>
        <v/>
      </c>
      <c r="AE1777" s="166"/>
      <c r="AF1777" s="149" t="b">
        <v>0</v>
      </c>
      <c r="AG1777" s="166"/>
      <c r="AH1777" s="149" t="b">
        <v>0</v>
      </c>
      <c r="AI1777" s="162"/>
      <c r="AJ1777" s="143"/>
      <c r="AK1777" s="143"/>
      <c r="AL1777" s="1112"/>
      <c r="AM1777" s="1112"/>
      <c r="AN1777" s="1112"/>
      <c r="AO1777" s="1112"/>
      <c r="AP1777" s="1112"/>
      <c r="AQ1777" s="1112"/>
    </row>
    <row r="1778" ht="22.5" customHeight="1">
      <c r="A1778" s="166"/>
      <c r="B1778" s="1111"/>
      <c r="C1778" s="524"/>
      <c r="D1778" s="1110"/>
      <c r="E1778" s="669"/>
      <c r="F1778" s="524"/>
      <c r="G1778" s="165"/>
      <c r="H1778" s="669"/>
      <c r="I1778" s="669"/>
      <c r="J1778" s="352"/>
      <c r="K1778" s="271" t="str">
        <f t="shared" si="74"/>
        <v/>
      </c>
      <c r="L1778" s="297"/>
      <c r="M1778" s="334"/>
      <c r="N1778" s="277"/>
      <c r="O1778" s="315"/>
      <c r="P1778" s="344">
        <f t="shared" si="69"/>
        <v>0</v>
      </c>
      <c r="Q1778" s="321"/>
      <c r="R1778" s="672" t="b">
        <v>0</v>
      </c>
      <c r="S1778" s="318"/>
      <c r="T1778" s="319"/>
      <c r="U1778" s="315"/>
      <c r="V1778" s="162"/>
      <c r="W1778" s="149"/>
      <c r="X1778" s="163"/>
      <c r="Y1778" s="162"/>
      <c r="Z1778" s="164"/>
      <c r="AA1778" s="116"/>
      <c r="AB1778" s="116"/>
      <c r="AC1778" s="165"/>
      <c r="AD1778" s="675" t="str">
        <f t="shared" si="76"/>
        <v/>
      </c>
      <c r="AE1778" s="166"/>
      <c r="AF1778" s="149" t="b">
        <v>0</v>
      </c>
      <c r="AG1778" s="166"/>
      <c r="AH1778" s="149" t="b">
        <v>0</v>
      </c>
      <c r="AI1778" s="162"/>
      <c r="AJ1778" s="143"/>
      <c r="AK1778" s="143"/>
      <c r="AL1778" s="1112"/>
      <c r="AM1778" s="1112"/>
      <c r="AN1778" s="1112"/>
      <c r="AO1778" s="1112"/>
      <c r="AP1778" s="1112"/>
      <c r="AQ1778" s="1112"/>
    </row>
    <row r="1779" ht="22.5" customHeight="1">
      <c r="A1779" s="166"/>
      <c r="B1779" s="1111"/>
      <c r="C1779" s="524"/>
      <c r="D1779" s="1110"/>
      <c r="E1779" s="669"/>
      <c r="F1779" s="524"/>
      <c r="G1779" s="165"/>
      <c r="H1779" s="669"/>
      <c r="I1779" s="669"/>
      <c r="J1779" s="352"/>
      <c r="K1779" s="271" t="str">
        <f t="shared" si="74"/>
        <v/>
      </c>
      <c r="L1779" s="297"/>
      <c r="M1779" s="334"/>
      <c r="N1779" s="277"/>
      <c r="O1779" s="315"/>
      <c r="P1779" s="344">
        <f t="shared" si="69"/>
        <v>0</v>
      </c>
      <c r="Q1779" s="321"/>
      <c r="R1779" s="672" t="b">
        <v>0</v>
      </c>
      <c r="S1779" s="318"/>
      <c r="T1779" s="319"/>
      <c r="U1779" s="315"/>
      <c r="V1779" s="162"/>
      <c r="W1779" s="149"/>
      <c r="X1779" s="163"/>
      <c r="Y1779" s="162"/>
      <c r="Z1779" s="164"/>
      <c r="AA1779" s="116"/>
      <c r="AB1779" s="116"/>
      <c r="AC1779" s="165"/>
      <c r="AD1779" s="675" t="str">
        <f t="shared" si="76"/>
        <v/>
      </c>
      <c r="AE1779" s="166"/>
      <c r="AF1779" s="149" t="b">
        <v>0</v>
      </c>
      <c r="AG1779" s="166"/>
      <c r="AH1779" s="149" t="b">
        <v>0</v>
      </c>
      <c r="AI1779" s="162"/>
      <c r="AJ1779" s="143"/>
      <c r="AK1779" s="143"/>
      <c r="AL1779" s="1112"/>
      <c r="AM1779" s="1112"/>
      <c r="AN1779" s="1112"/>
      <c r="AO1779" s="1112"/>
      <c r="AP1779" s="1112"/>
      <c r="AQ1779" s="1112"/>
    </row>
    <row r="1780" ht="22.5" customHeight="1">
      <c r="A1780" s="166"/>
      <c r="B1780" s="1111"/>
      <c r="C1780" s="524"/>
      <c r="D1780" s="1110"/>
      <c r="E1780" s="669"/>
      <c r="F1780" s="524"/>
      <c r="G1780" s="165"/>
      <c r="H1780" s="669"/>
      <c r="I1780" s="669"/>
      <c r="J1780" s="352"/>
      <c r="K1780" s="271" t="str">
        <f t="shared" si="74"/>
        <v/>
      </c>
      <c r="L1780" s="297"/>
      <c r="M1780" s="334"/>
      <c r="N1780" s="277"/>
      <c r="O1780" s="315"/>
      <c r="P1780" s="344">
        <f t="shared" si="69"/>
        <v>0</v>
      </c>
      <c r="Q1780" s="321"/>
      <c r="R1780" s="672" t="b">
        <v>0</v>
      </c>
      <c r="S1780" s="318"/>
      <c r="T1780" s="319"/>
      <c r="U1780" s="315"/>
      <c r="V1780" s="162"/>
      <c r="W1780" s="149"/>
      <c r="X1780" s="163"/>
      <c r="Y1780" s="162"/>
      <c r="Z1780" s="164"/>
      <c r="AA1780" s="116"/>
      <c r="AB1780" s="116"/>
      <c r="AC1780" s="165"/>
      <c r="AD1780" s="675" t="str">
        <f t="shared" si="76"/>
        <v/>
      </c>
      <c r="AE1780" s="166"/>
      <c r="AF1780" s="149" t="b">
        <v>0</v>
      </c>
      <c r="AG1780" s="166"/>
      <c r="AH1780" s="149" t="b">
        <v>0</v>
      </c>
      <c r="AI1780" s="162"/>
      <c r="AJ1780" s="143"/>
      <c r="AK1780" s="143"/>
      <c r="AL1780" s="1112"/>
      <c r="AM1780" s="1112"/>
      <c r="AN1780" s="1112"/>
      <c r="AO1780" s="1112"/>
      <c r="AP1780" s="1112"/>
      <c r="AQ1780" s="1112"/>
    </row>
    <row r="1781" ht="22.5" customHeight="1">
      <c r="A1781" s="166"/>
      <c r="B1781" s="1111"/>
      <c r="C1781" s="524"/>
      <c r="D1781" s="1110"/>
      <c r="E1781" s="669"/>
      <c r="F1781" s="524"/>
      <c r="G1781" s="165"/>
      <c r="H1781" s="669"/>
      <c r="I1781" s="669"/>
      <c r="J1781" s="352"/>
      <c r="K1781" s="271" t="str">
        <f t="shared" si="74"/>
        <v/>
      </c>
      <c r="L1781" s="297"/>
      <c r="M1781" s="334"/>
      <c r="N1781" s="277"/>
      <c r="O1781" s="315"/>
      <c r="P1781" s="344">
        <f t="shared" si="69"/>
        <v>0</v>
      </c>
      <c r="Q1781" s="321"/>
      <c r="R1781" s="672" t="b">
        <v>0</v>
      </c>
      <c r="S1781" s="318"/>
      <c r="T1781" s="319"/>
      <c r="U1781" s="315"/>
      <c r="V1781" s="162"/>
      <c r="W1781" s="149"/>
      <c r="X1781" s="163"/>
      <c r="Y1781" s="162"/>
      <c r="Z1781" s="164"/>
      <c r="AA1781" s="116"/>
      <c r="AB1781" s="116"/>
      <c r="AC1781" s="165"/>
      <c r="AD1781" s="675" t="str">
        <f t="shared" si="76"/>
        <v/>
      </c>
      <c r="AE1781" s="166"/>
      <c r="AF1781" s="149" t="b">
        <v>0</v>
      </c>
      <c r="AG1781" s="166"/>
      <c r="AH1781" s="149" t="b">
        <v>0</v>
      </c>
      <c r="AI1781" s="162"/>
      <c r="AJ1781" s="143"/>
      <c r="AK1781" s="143"/>
      <c r="AL1781" s="1112"/>
      <c r="AM1781" s="1112"/>
      <c r="AN1781" s="1112"/>
      <c r="AO1781" s="1112"/>
      <c r="AP1781" s="1112"/>
      <c r="AQ1781" s="1112"/>
    </row>
    <row r="1782" ht="22.5" customHeight="1">
      <c r="A1782" s="166"/>
      <c r="B1782" s="1111"/>
      <c r="C1782" s="524"/>
      <c r="D1782" s="1110"/>
      <c r="E1782" s="669"/>
      <c r="F1782" s="524"/>
      <c r="G1782" s="165"/>
      <c r="H1782" s="669"/>
      <c r="I1782" s="669"/>
      <c r="J1782" s="352"/>
      <c r="K1782" s="271" t="str">
        <f t="shared" si="74"/>
        <v/>
      </c>
      <c r="L1782" s="297"/>
      <c r="M1782" s="334"/>
      <c r="N1782" s="277"/>
      <c r="O1782" s="315"/>
      <c r="P1782" s="344">
        <f t="shared" si="69"/>
        <v>0</v>
      </c>
      <c r="Q1782" s="321"/>
      <c r="R1782" s="672" t="b">
        <v>0</v>
      </c>
      <c r="S1782" s="318"/>
      <c r="T1782" s="319"/>
      <c r="U1782" s="315"/>
      <c r="V1782" s="162"/>
      <c r="W1782" s="149"/>
      <c r="X1782" s="163"/>
      <c r="Y1782" s="162"/>
      <c r="Z1782" s="164"/>
      <c r="AA1782" s="116"/>
      <c r="AB1782" s="116"/>
      <c r="AC1782" s="165"/>
      <c r="AD1782" s="675" t="str">
        <f t="shared" si="76"/>
        <v/>
      </c>
      <c r="AE1782" s="166"/>
      <c r="AF1782" s="149" t="b">
        <v>0</v>
      </c>
      <c r="AG1782" s="166"/>
      <c r="AH1782" s="149" t="b">
        <v>0</v>
      </c>
      <c r="AI1782" s="162"/>
      <c r="AJ1782" s="143"/>
      <c r="AK1782" s="143"/>
      <c r="AL1782" s="1112"/>
      <c r="AM1782" s="1112"/>
      <c r="AN1782" s="1112"/>
      <c r="AO1782" s="1112"/>
      <c r="AP1782" s="1112"/>
      <c r="AQ1782" s="1112"/>
    </row>
    <row r="1783" ht="22.5" customHeight="1">
      <c r="A1783" s="166"/>
      <c r="B1783" s="1111"/>
      <c r="C1783" s="524"/>
      <c r="D1783" s="1110"/>
      <c r="E1783" s="669"/>
      <c r="F1783" s="524"/>
      <c r="G1783" s="165"/>
      <c r="H1783" s="669"/>
      <c r="I1783" s="669"/>
      <c r="J1783" s="352"/>
      <c r="K1783" s="271" t="str">
        <f t="shared" si="74"/>
        <v/>
      </c>
      <c r="L1783" s="297"/>
      <c r="M1783" s="334"/>
      <c r="N1783" s="277"/>
      <c r="O1783" s="315"/>
      <c r="P1783" s="344">
        <f t="shared" si="69"/>
        <v>0</v>
      </c>
      <c r="Q1783" s="321"/>
      <c r="R1783" s="672" t="b">
        <v>0</v>
      </c>
      <c r="S1783" s="318"/>
      <c r="T1783" s="319"/>
      <c r="U1783" s="315"/>
      <c r="V1783" s="162"/>
      <c r="W1783" s="149"/>
      <c r="X1783" s="163"/>
      <c r="Y1783" s="162"/>
      <c r="Z1783" s="164"/>
      <c r="AA1783" s="116"/>
      <c r="AB1783" s="116"/>
      <c r="AC1783" s="165"/>
      <c r="AD1783" s="675" t="str">
        <f t="shared" si="76"/>
        <v/>
      </c>
      <c r="AE1783" s="166"/>
      <c r="AF1783" s="149" t="b">
        <v>0</v>
      </c>
      <c r="AG1783" s="166"/>
      <c r="AH1783" s="149" t="b">
        <v>0</v>
      </c>
      <c r="AI1783" s="162"/>
      <c r="AJ1783" s="143"/>
      <c r="AK1783" s="143"/>
      <c r="AL1783" s="1112"/>
      <c r="AM1783" s="1112"/>
      <c r="AN1783" s="1112"/>
      <c r="AO1783" s="1112"/>
      <c r="AP1783" s="1112"/>
      <c r="AQ1783" s="1112"/>
    </row>
    <row r="1784" ht="22.5" customHeight="1">
      <c r="A1784" s="166"/>
      <c r="B1784" s="1111"/>
      <c r="C1784" s="524"/>
      <c r="D1784" s="1110"/>
      <c r="E1784" s="669"/>
      <c r="F1784" s="524"/>
      <c r="G1784" s="165"/>
      <c r="H1784" s="669"/>
      <c r="I1784" s="669"/>
      <c r="J1784" s="352"/>
      <c r="K1784" s="271" t="str">
        <f t="shared" si="74"/>
        <v/>
      </c>
      <c r="L1784" s="297"/>
      <c r="M1784" s="334"/>
      <c r="N1784" s="277"/>
      <c r="O1784" s="315"/>
      <c r="P1784" s="344">
        <f t="shared" si="69"/>
        <v>0</v>
      </c>
      <c r="Q1784" s="321"/>
      <c r="R1784" s="672" t="b">
        <v>0</v>
      </c>
      <c r="S1784" s="318"/>
      <c r="T1784" s="319"/>
      <c r="U1784" s="315"/>
      <c r="V1784" s="162"/>
      <c r="W1784" s="149"/>
      <c r="X1784" s="163"/>
      <c r="Y1784" s="162"/>
      <c r="Z1784" s="164"/>
      <c r="AA1784" s="116"/>
      <c r="AB1784" s="116"/>
      <c r="AC1784" s="165"/>
      <c r="AD1784" s="675" t="str">
        <f t="shared" si="76"/>
        <v/>
      </c>
      <c r="AE1784" s="166"/>
      <c r="AF1784" s="149" t="b">
        <v>0</v>
      </c>
      <c r="AG1784" s="166"/>
      <c r="AH1784" s="149" t="b">
        <v>0</v>
      </c>
      <c r="AI1784" s="162"/>
      <c r="AJ1784" s="143"/>
      <c r="AK1784" s="143"/>
      <c r="AL1784" s="1112"/>
      <c r="AM1784" s="1112"/>
      <c r="AN1784" s="1112"/>
      <c r="AO1784" s="1112"/>
      <c r="AP1784" s="1112"/>
      <c r="AQ1784" s="1112"/>
    </row>
    <row r="1785" ht="22.5" customHeight="1">
      <c r="A1785" s="166"/>
      <c r="B1785" s="1111"/>
      <c r="C1785" s="524"/>
      <c r="D1785" s="1110"/>
      <c r="E1785" s="669"/>
      <c r="F1785" s="524"/>
      <c r="G1785" s="165"/>
      <c r="H1785" s="669"/>
      <c r="I1785" s="669"/>
      <c r="J1785" s="352"/>
      <c r="K1785" s="271" t="str">
        <f t="shared" si="74"/>
        <v/>
      </c>
      <c r="L1785" s="297"/>
      <c r="M1785" s="334"/>
      <c r="N1785" s="277"/>
      <c r="O1785" s="315"/>
      <c r="P1785" s="344">
        <f t="shared" si="69"/>
        <v>0</v>
      </c>
      <c r="Q1785" s="321"/>
      <c r="R1785" s="672" t="b">
        <v>0</v>
      </c>
      <c r="S1785" s="318"/>
      <c r="T1785" s="319"/>
      <c r="U1785" s="315"/>
      <c r="V1785" s="162"/>
      <c r="W1785" s="149"/>
      <c r="X1785" s="163"/>
      <c r="Y1785" s="162"/>
      <c r="Z1785" s="164"/>
      <c r="AA1785" s="116"/>
      <c r="AB1785" s="116"/>
      <c r="AC1785" s="165"/>
      <c r="AD1785" s="675" t="str">
        <f t="shared" si="76"/>
        <v/>
      </c>
      <c r="AE1785" s="166"/>
      <c r="AF1785" s="149" t="b">
        <v>0</v>
      </c>
      <c r="AG1785" s="166"/>
      <c r="AH1785" s="149" t="b">
        <v>0</v>
      </c>
      <c r="AI1785" s="162"/>
      <c r="AJ1785" s="143"/>
      <c r="AK1785" s="143"/>
      <c r="AL1785" s="1112"/>
      <c r="AM1785" s="1112"/>
      <c r="AN1785" s="1112"/>
      <c r="AO1785" s="1112"/>
      <c r="AP1785" s="1112"/>
      <c r="AQ1785" s="1112"/>
    </row>
    <row r="1786" ht="22.5" customHeight="1">
      <c r="A1786" s="166"/>
      <c r="B1786" s="1111"/>
      <c r="C1786" s="524"/>
      <c r="D1786" s="1110"/>
      <c r="E1786" s="669"/>
      <c r="F1786" s="524"/>
      <c r="G1786" s="165"/>
      <c r="H1786" s="669"/>
      <c r="I1786" s="669"/>
      <c r="J1786" s="352"/>
      <c r="K1786" s="271" t="str">
        <f t="shared" si="74"/>
        <v/>
      </c>
      <c r="L1786" s="297"/>
      <c r="M1786" s="334"/>
      <c r="N1786" s="277"/>
      <c r="O1786" s="315"/>
      <c r="P1786" s="344">
        <f t="shared" si="69"/>
        <v>0</v>
      </c>
      <c r="Q1786" s="321"/>
      <c r="R1786" s="672" t="b">
        <v>0</v>
      </c>
      <c r="S1786" s="318"/>
      <c r="T1786" s="319"/>
      <c r="U1786" s="315"/>
      <c r="V1786" s="162"/>
      <c r="W1786" s="149"/>
      <c r="X1786" s="163"/>
      <c r="Y1786" s="162"/>
      <c r="Z1786" s="164"/>
      <c r="AA1786" s="116"/>
      <c r="AB1786" s="116"/>
      <c r="AC1786" s="165"/>
      <c r="AD1786" s="675" t="str">
        <f t="shared" si="76"/>
        <v/>
      </c>
      <c r="AE1786" s="166"/>
      <c r="AF1786" s="149" t="b">
        <v>0</v>
      </c>
      <c r="AG1786" s="166"/>
      <c r="AH1786" s="149" t="b">
        <v>0</v>
      </c>
      <c r="AI1786" s="162"/>
      <c r="AJ1786" s="143"/>
      <c r="AK1786" s="143"/>
      <c r="AL1786" s="1112"/>
      <c r="AM1786" s="1112"/>
      <c r="AN1786" s="1112"/>
      <c r="AO1786" s="1112"/>
      <c r="AP1786" s="1112"/>
      <c r="AQ1786" s="1112"/>
    </row>
    <row r="1787" ht="22.5" customHeight="1">
      <c r="A1787" s="166"/>
      <c r="B1787" s="1111"/>
      <c r="C1787" s="524"/>
      <c r="D1787" s="1110"/>
      <c r="E1787" s="669"/>
      <c r="F1787" s="524"/>
      <c r="G1787" s="165"/>
      <c r="H1787" s="669"/>
      <c r="I1787" s="669"/>
      <c r="J1787" s="352"/>
      <c r="K1787" s="271" t="str">
        <f t="shared" si="74"/>
        <v/>
      </c>
      <c r="L1787" s="297"/>
      <c r="M1787" s="334"/>
      <c r="N1787" s="277"/>
      <c r="O1787" s="315"/>
      <c r="P1787" s="344">
        <f t="shared" si="69"/>
        <v>0</v>
      </c>
      <c r="Q1787" s="321"/>
      <c r="R1787" s="672" t="b">
        <v>0</v>
      </c>
      <c r="S1787" s="318"/>
      <c r="T1787" s="319"/>
      <c r="U1787" s="315"/>
      <c r="V1787" s="162"/>
      <c r="W1787" s="149"/>
      <c r="X1787" s="163"/>
      <c r="Y1787" s="162"/>
      <c r="Z1787" s="164"/>
      <c r="AA1787" s="116"/>
      <c r="AB1787" s="116"/>
      <c r="AC1787" s="165"/>
      <c r="AD1787" s="675" t="str">
        <f t="shared" si="76"/>
        <v/>
      </c>
      <c r="AE1787" s="166"/>
      <c r="AF1787" s="149" t="b">
        <v>0</v>
      </c>
      <c r="AG1787" s="166"/>
      <c r="AH1787" s="149" t="b">
        <v>0</v>
      </c>
      <c r="AI1787" s="162"/>
      <c r="AJ1787" s="143"/>
      <c r="AK1787" s="143"/>
      <c r="AL1787" s="1112"/>
      <c r="AM1787" s="1112"/>
      <c r="AN1787" s="1112"/>
      <c r="AO1787" s="1112"/>
      <c r="AP1787" s="1112"/>
      <c r="AQ1787" s="1112"/>
    </row>
    <row r="1788" ht="22.5" customHeight="1">
      <c r="A1788" s="166"/>
      <c r="B1788" s="1111"/>
      <c r="C1788" s="524"/>
      <c r="D1788" s="1110"/>
      <c r="E1788" s="669"/>
      <c r="F1788" s="524"/>
      <c r="G1788" s="165"/>
      <c r="H1788" s="669"/>
      <c r="I1788" s="669"/>
      <c r="J1788" s="352"/>
      <c r="K1788" s="271" t="str">
        <f t="shared" si="74"/>
        <v/>
      </c>
      <c r="L1788" s="297"/>
      <c r="M1788" s="334"/>
      <c r="N1788" s="277"/>
      <c r="O1788" s="315"/>
      <c r="P1788" s="344">
        <f t="shared" si="69"/>
        <v>0</v>
      </c>
      <c r="Q1788" s="321"/>
      <c r="R1788" s="672" t="b">
        <v>0</v>
      </c>
      <c r="S1788" s="318"/>
      <c r="T1788" s="319"/>
      <c r="U1788" s="315"/>
      <c r="V1788" s="162"/>
      <c r="W1788" s="149"/>
      <c r="X1788" s="163"/>
      <c r="Y1788" s="162"/>
      <c r="Z1788" s="164"/>
      <c r="AA1788" s="116"/>
      <c r="AB1788" s="116"/>
      <c r="AC1788" s="165"/>
      <c r="AD1788" s="675" t="str">
        <f t="shared" si="76"/>
        <v/>
      </c>
      <c r="AE1788" s="166"/>
      <c r="AF1788" s="149" t="b">
        <v>0</v>
      </c>
      <c r="AG1788" s="166"/>
      <c r="AH1788" s="149" t="b">
        <v>0</v>
      </c>
      <c r="AI1788" s="162"/>
      <c r="AJ1788" s="143"/>
      <c r="AK1788" s="143"/>
      <c r="AL1788" s="1112"/>
      <c r="AM1788" s="1112"/>
      <c r="AN1788" s="1112"/>
      <c r="AO1788" s="1112"/>
      <c r="AP1788" s="1112"/>
      <c r="AQ1788" s="1112"/>
    </row>
    <row r="1789" ht="22.5" customHeight="1">
      <c r="A1789" s="166"/>
      <c r="B1789" s="1111"/>
      <c r="C1789" s="524"/>
      <c r="D1789" s="1110"/>
      <c r="E1789" s="669"/>
      <c r="F1789" s="524"/>
      <c r="G1789" s="165"/>
      <c r="H1789" s="669"/>
      <c r="I1789" s="669"/>
      <c r="J1789" s="352"/>
      <c r="K1789" s="271" t="str">
        <f t="shared" si="74"/>
        <v/>
      </c>
      <c r="L1789" s="297"/>
      <c r="M1789" s="334"/>
      <c r="N1789" s="277"/>
      <c r="O1789" s="315"/>
      <c r="P1789" s="344">
        <f t="shared" si="69"/>
        <v>0</v>
      </c>
      <c r="Q1789" s="321"/>
      <c r="R1789" s="672" t="b">
        <v>0</v>
      </c>
      <c r="S1789" s="318"/>
      <c r="T1789" s="319"/>
      <c r="U1789" s="315"/>
      <c r="V1789" s="162"/>
      <c r="W1789" s="149"/>
      <c r="X1789" s="163"/>
      <c r="Y1789" s="162"/>
      <c r="Z1789" s="164"/>
      <c r="AA1789" s="116"/>
      <c r="AB1789" s="116"/>
      <c r="AC1789" s="165"/>
      <c r="AD1789" s="675" t="str">
        <f t="shared" si="76"/>
        <v/>
      </c>
      <c r="AE1789" s="166"/>
      <c r="AF1789" s="149" t="b">
        <v>0</v>
      </c>
      <c r="AG1789" s="166"/>
      <c r="AH1789" s="149" t="b">
        <v>0</v>
      </c>
      <c r="AI1789" s="162"/>
      <c r="AJ1789" s="143"/>
      <c r="AK1789" s="143"/>
      <c r="AL1789" s="1112"/>
      <c r="AM1789" s="1112"/>
      <c r="AN1789" s="1112"/>
      <c r="AO1789" s="1112"/>
      <c r="AP1789" s="1112"/>
      <c r="AQ1789" s="1112"/>
    </row>
    <row r="1790" ht="22.5" customHeight="1">
      <c r="A1790" s="166"/>
      <c r="B1790" s="1111"/>
      <c r="C1790" s="524"/>
      <c r="D1790" s="1110"/>
      <c r="E1790" s="669"/>
      <c r="F1790" s="524"/>
      <c r="G1790" s="165"/>
      <c r="H1790" s="669"/>
      <c r="I1790" s="669"/>
      <c r="J1790" s="352"/>
      <c r="K1790" s="271" t="str">
        <f t="shared" si="74"/>
        <v/>
      </c>
      <c r="L1790" s="297"/>
      <c r="M1790" s="334"/>
      <c r="N1790" s="277"/>
      <c r="O1790" s="315"/>
      <c r="P1790" s="344">
        <f t="shared" si="69"/>
        <v>0</v>
      </c>
      <c r="Q1790" s="321"/>
      <c r="R1790" s="672" t="b">
        <v>0</v>
      </c>
      <c r="S1790" s="318"/>
      <c r="T1790" s="319"/>
      <c r="U1790" s="315"/>
      <c r="V1790" s="162"/>
      <c r="W1790" s="149"/>
      <c r="X1790" s="163"/>
      <c r="Y1790" s="162"/>
      <c r="Z1790" s="164"/>
      <c r="AA1790" s="116"/>
      <c r="AB1790" s="116"/>
      <c r="AC1790" s="165"/>
      <c r="AD1790" s="675" t="str">
        <f t="shared" si="76"/>
        <v/>
      </c>
      <c r="AE1790" s="166"/>
      <c r="AF1790" s="149" t="b">
        <v>0</v>
      </c>
      <c r="AG1790" s="166"/>
      <c r="AH1790" s="149" t="b">
        <v>0</v>
      </c>
      <c r="AI1790" s="162"/>
      <c r="AJ1790" s="143"/>
      <c r="AK1790" s="143"/>
      <c r="AL1790" s="1112"/>
      <c r="AM1790" s="1112"/>
      <c r="AN1790" s="1112"/>
      <c r="AO1790" s="1112"/>
      <c r="AP1790" s="1112"/>
      <c r="AQ1790" s="1112"/>
    </row>
    <row r="1791" ht="22.5" customHeight="1">
      <c r="A1791" s="166"/>
      <c r="B1791" s="1111"/>
      <c r="C1791" s="524"/>
      <c r="D1791" s="1110"/>
      <c r="E1791" s="669"/>
      <c r="F1791" s="524"/>
      <c r="G1791" s="165"/>
      <c r="H1791" s="669"/>
      <c r="I1791" s="669"/>
      <c r="J1791" s="352"/>
      <c r="K1791" s="271" t="str">
        <f t="shared" si="74"/>
        <v/>
      </c>
      <c r="L1791" s="297"/>
      <c r="M1791" s="334"/>
      <c r="N1791" s="277"/>
      <c r="O1791" s="315"/>
      <c r="P1791" s="344">
        <f t="shared" si="69"/>
        <v>0</v>
      </c>
      <c r="Q1791" s="321"/>
      <c r="R1791" s="672" t="b">
        <v>0</v>
      </c>
      <c r="S1791" s="318"/>
      <c r="T1791" s="319"/>
      <c r="U1791" s="315"/>
      <c r="V1791" s="162"/>
      <c r="W1791" s="149"/>
      <c r="X1791" s="163"/>
      <c r="Y1791" s="162"/>
      <c r="Z1791" s="164"/>
      <c r="AA1791" s="116"/>
      <c r="AB1791" s="116"/>
      <c r="AC1791" s="165"/>
      <c r="AD1791" s="675" t="str">
        <f t="shared" si="76"/>
        <v/>
      </c>
      <c r="AE1791" s="166"/>
      <c r="AF1791" s="149" t="b">
        <v>0</v>
      </c>
      <c r="AG1791" s="166"/>
      <c r="AH1791" s="149" t="b">
        <v>0</v>
      </c>
      <c r="AI1791" s="162"/>
      <c r="AJ1791" s="143"/>
      <c r="AK1791" s="143"/>
      <c r="AL1791" s="1112"/>
      <c r="AM1791" s="1112"/>
      <c r="AN1791" s="1112"/>
      <c r="AO1791" s="1112"/>
      <c r="AP1791" s="1112"/>
      <c r="AQ1791" s="1112"/>
    </row>
    <row r="1792" ht="22.5" customHeight="1">
      <c r="A1792" s="166"/>
      <c r="B1792" s="1111"/>
      <c r="C1792" s="524"/>
      <c r="D1792" s="1110"/>
      <c r="E1792" s="669"/>
      <c r="F1792" s="524"/>
      <c r="G1792" s="165"/>
      <c r="H1792" s="669"/>
      <c r="I1792" s="669"/>
      <c r="J1792" s="352"/>
      <c r="K1792" s="271" t="str">
        <f t="shared" si="74"/>
        <v/>
      </c>
      <c r="L1792" s="297"/>
      <c r="M1792" s="334"/>
      <c r="N1792" s="277"/>
      <c r="O1792" s="315"/>
      <c r="P1792" s="344">
        <f t="shared" si="69"/>
        <v>0</v>
      </c>
      <c r="Q1792" s="321"/>
      <c r="R1792" s="672" t="b">
        <v>0</v>
      </c>
      <c r="S1792" s="318"/>
      <c r="T1792" s="319"/>
      <c r="U1792" s="315"/>
      <c r="V1792" s="162"/>
      <c r="W1792" s="149"/>
      <c r="X1792" s="163"/>
      <c r="Y1792" s="162"/>
      <c r="Z1792" s="164"/>
      <c r="AA1792" s="116"/>
      <c r="AB1792" s="116"/>
      <c r="AC1792" s="165"/>
      <c r="AD1792" s="675" t="str">
        <f t="shared" si="76"/>
        <v/>
      </c>
      <c r="AE1792" s="166"/>
      <c r="AF1792" s="149" t="b">
        <v>0</v>
      </c>
      <c r="AG1792" s="166"/>
      <c r="AH1792" s="149" t="b">
        <v>0</v>
      </c>
      <c r="AI1792" s="162"/>
      <c r="AJ1792" s="143"/>
      <c r="AK1792" s="143"/>
      <c r="AL1792" s="1112"/>
      <c r="AM1792" s="1112"/>
      <c r="AN1792" s="1112"/>
      <c r="AO1792" s="1112"/>
      <c r="AP1792" s="1112"/>
      <c r="AQ1792" s="1112"/>
    </row>
    <row r="1793" ht="22.5" customHeight="1">
      <c r="A1793" s="166"/>
      <c r="B1793" s="1111"/>
      <c r="C1793" s="524"/>
      <c r="D1793" s="1110"/>
      <c r="E1793" s="669"/>
      <c r="F1793" s="524"/>
      <c r="G1793" s="165"/>
      <c r="H1793" s="669"/>
      <c r="I1793" s="669"/>
      <c r="J1793" s="352"/>
      <c r="K1793" s="271" t="str">
        <f t="shared" si="74"/>
        <v/>
      </c>
      <c r="L1793" s="297"/>
      <c r="M1793" s="334"/>
      <c r="N1793" s="277"/>
      <c r="O1793" s="315"/>
      <c r="P1793" s="344">
        <f t="shared" si="69"/>
        <v>0</v>
      </c>
      <c r="Q1793" s="321"/>
      <c r="R1793" s="672" t="b">
        <v>0</v>
      </c>
      <c r="S1793" s="318"/>
      <c r="T1793" s="319"/>
      <c r="U1793" s="315"/>
      <c r="V1793" s="162"/>
      <c r="W1793" s="149"/>
      <c r="X1793" s="163"/>
      <c r="Y1793" s="162"/>
      <c r="Z1793" s="164"/>
      <c r="AA1793" s="116"/>
      <c r="AB1793" s="116"/>
      <c r="AC1793" s="165"/>
      <c r="AD1793" s="675" t="str">
        <f t="shared" si="76"/>
        <v/>
      </c>
      <c r="AE1793" s="166"/>
      <c r="AF1793" s="149" t="b">
        <v>0</v>
      </c>
      <c r="AG1793" s="166"/>
      <c r="AH1793" s="149" t="b">
        <v>0</v>
      </c>
      <c r="AI1793" s="162"/>
      <c r="AJ1793" s="143"/>
      <c r="AK1793" s="143"/>
      <c r="AL1793" s="1112"/>
      <c r="AM1793" s="1112"/>
      <c r="AN1793" s="1112"/>
      <c r="AO1793" s="1112"/>
      <c r="AP1793" s="1112"/>
      <c r="AQ1793" s="1112"/>
    </row>
    <row r="1794" ht="22.5" customHeight="1">
      <c r="A1794" s="166"/>
      <c r="B1794" s="1111"/>
      <c r="C1794" s="524"/>
      <c r="D1794" s="1110"/>
      <c r="E1794" s="669"/>
      <c r="F1794" s="524"/>
      <c r="G1794" s="165"/>
      <c r="H1794" s="669"/>
      <c r="I1794" s="669"/>
      <c r="J1794" s="352"/>
      <c r="K1794" s="271" t="str">
        <f t="shared" si="74"/>
        <v/>
      </c>
      <c r="L1794" s="297"/>
      <c r="M1794" s="334"/>
      <c r="N1794" s="277"/>
      <c r="O1794" s="315"/>
      <c r="P1794" s="344">
        <f t="shared" si="69"/>
        <v>0</v>
      </c>
      <c r="Q1794" s="321"/>
      <c r="R1794" s="672" t="b">
        <v>0</v>
      </c>
      <c r="S1794" s="318"/>
      <c r="T1794" s="319"/>
      <c r="U1794" s="315"/>
      <c r="V1794" s="162"/>
      <c r="W1794" s="149"/>
      <c r="X1794" s="163"/>
      <c r="Y1794" s="162"/>
      <c r="Z1794" s="164"/>
      <c r="AA1794" s="116"/>
      <c r="AB1794" s="116"/>
      <c r="AC1794" s="165"/>
      <c r="AD1794" s="675" t="str">
        <f t="shared" si="76"/>
        <v/>
      </c>
      <c r="AE1794" s="166"/>
      <c r="AF1794" s="149" t="b">
        <v>0</v>
      </c>
      <c r="AG1794" s="166"/>
      <c r="AH1794" s="149" t="b">
        <v>0</v>
      </c>
      <c r="AI1794" s="162"/>
      <c r="AJ1794" s="143"/>
      <c r="AK1794" s="143"/>
      <c r="AL1794" s="1112"/>
      <c r="AM1794" s="1112"/>
      <c r="AN1794" s="1112"/>
      <c r="AO1794" s="1112"/>
      <c r="AP1794" s="1112"/>
      <c r="AQ1794" s="1112"/>
    </row>
    <row r="1795" ht="22.5" customHeight="1">
      <c r="A1795" s="166"/>
      <c r="B1795" s="1111"/>
      <c r="C1795" s="524"/>
      <c r="D1795" s="1110"/>
      <c r="E1795" s="669"/>
      <c r="F1795" s="524"/>
      <c r="G1795" s="165"/>
      <c r="H1795" s="669"/>
      <c r="I1795" s="669"/>
      <c r="J1795" s="352"/>
      <c r="K1795" s="271" t="str">
        <f t="shared" si="74"/>
        <v/>
      </c>
      <c r="L1795" s="297"/>
      <c r="M1795" s="334"/>
      <c r="N1795" s="277"/>
      <c r="O1795" s="315"/>
      <c r="P1795" s="344">
        <f t="shared" si="69"/>
        <v>0</v>
      </c>
      <c r="Q1795" s="321"/>
      <c r="R1795" s="672" t="b">
        <v>0</v>
      </c>
      <c r="S1795" s="318"/>
      <c r="T1795" s="319"/>
      <c r="U1795" s="315"/>
      <c r="V1795" s="162"/>
      <c r="W1795" s="149"/>
      <c r="X1795" s="163"/>
      <c r="Y1795" s="162"/>
      <c r="Z1795" s="164"/>
      <c r="AA1795" s="116"/>
      <c r="AB1795" s="116"/>
      <c r="AC1795" s="165"/>
      <c r="AD1795" s="675" t="str">
        <f t="shared" si="76"/>
        <v/>
      </c>
      <c r="AE1795" s="166"/>
      <c r="AF1795" s="149" t="b">
        <v>0</v>
      </c>
      <c r="AG1795" s="166"/>
      <c r="AH1795" s="149" t="b">
        <v>0</v>
      </c>
      <c r="AI1795" s="162"/>
      <c r="AJ1795" s="143"/>
      <c r="AK1795" s="143"/>
      <c r="AL1795" s="1112"/>
      <c r="AM1795" s="1112"/>
      <c r="AN1795" s="1112"/>
      <c r="AO1795" s="1112"/>
      <c r="AP1795" s="1112"/>
      <c r="AQ1795" s="1112"/>
    </row>
    <row r="1796" ht="22.5" customHeight="1">
      <c r="A1796" s="166"/>
      <c r="B1796" s="1111"/>
      <c r="C1796" s="524"/>
      <c r="D1796" s="1110"/>
      <c r="E1796" s="669"/>
      <c r="F1796" s="524"/>
      <c r="G1796" s="165"/>
      <c r="H1796" s="669"/>
      <c r="I1796" s="669"/>
      <c r="J1796" s="352"/>
      <c r="K1796" s="271" t="str">
        <f t="shared" si="74"/>
        <v/>
      </c>
      <c r="L1796" s="297"/>
      <c r="M1796" s="334"/>
      <c r="N1796" s="277"/>
      <c r="O1796" s="315"/>
      <c r="P1796" s="344">
        <f t="shared" si="69"/>
        <v>0</v>
      </c>
      <c r="Q1796" s="321"/>
      <c r="R1796" s="672" t="b">
        <v>0</v>
      </c>
      <c r="S1796" s="318"/>
      <c r="T1796" s="319"/>
      <c r="U1796" s="315"/>
      <c r="V1796" s="162"/>
      <c r="W1796" s="149"/>
      <c r="X1796" s="163"/>
      <c r="Y1796" s="162"/>
      <c r="Z1796" s="164"/>
      <c r="AA1796" s="116"/>
      <c r="AB1796" s="116"/>
      <c r="AC1796" s="165"/>
      <c r="AD1796" s="675" t="str">
        <f t="shared" si="76"/>
        <v/>
      </c>
      <c r="AE1796" s="166"/>
      <c r="AF1796" s="149" t="b">
        <v>0</v>
      </c>
      <c r="AG1796" s="166"/>
      <c r="AH1796" s="149" t="b">
        <v>0</v>
      </c>
      <c r="AI1796" s="162"/>
      <c r="AJ1796" s="143"/>
      <c r="AK1796" s="143"/>
      <c r="AL1796" s="1112"/>
      <c r="AM1796" s="1112"/>
      <c r="AN1796" s="1112"/>
      <c r="AO1796" s="1112"/>
      <c r="AP1796" s="1112"/>
      <c r="AQ1796" s="1112"/>
    </row>
    <row r="1797" ht="22.5" customHeight="1">
      <c r="A1797" s="166"/>
      <c r="B1797" s="1111"/>
      <c r="C1797" s="524"/>
      <c r="D1797" s="1110"/>
      <c r="E1797" s="669"/>
      <c r="F1797" s="524"/>
      <c r="G1797" s="165"/>
      <c r="H1797" s="669"/>
      <c r="I1797" s="669"/>
      <c r="J1797" s="352"/>
      <c r="K1797" s="271" t="str">
        <f t="shared" si="74"/>
        <v/>
      </c>
      <c r="L1797" s="297"/>
      <c r="M1797" s="334"/>
      <c r="N1797" s="277"/>
      <c r="O1797" s="315"/>
      <c r="P1797" s="344">
        <f t="shared" si="69"/>
        <v>0</v>
      </c>
      <c r="Q1797" s="321"/>
      <c r="R1797" s="672" t="b">
        <v>0</v>
      </c>
      <c r="S1797" s="318"/>
      <c r="T1797" s="319"/>
      <c r="U1797" s="315"/>
      <c r="V1797" s="162"/>
      <c r="W1797" s="149"/>
      <c r="X1797" s="163"/>
      <c r="Y1797" s="162"/>
      <c r="Z1797" s="164"/>
      <c r="AA1797" s="116"/>
      <c r="AB1797" s="116"/>
      <c r="AC1797" s="165"/>
      <c r="AD1797" s="675" t="str">
        <f t="shared" si="76"/>
        <v/>
      </c>
      <c r="AE1797" s="166"/>
      <c r="AF1797" s="149" t="b">
        <v>0</v>
      </c>
      <c r="AG1797" s="166"/>
      <c r="AH1797" s="149" t="b">
        <v>0</v>
      </c>
      <c r="AI1797" s="162"/>
      <c r="AJ1797" s="143"/>
      <c r="AK1797" s="143"/>
      <c r="AL1797" s="1112"/>
      <c r="AM1797" s="1112"/>
      <c r="AN1797" s="1112"/>
      <c r="AO1797" s="1112"/>
      <c r="AP1797" s="1112"/>
      <c r="AQ1797" s="1112"/>
    </row>
    <row r="1798" ht="22.5" customHeight="1">
      <c r="A1798" s="166"/>
      <c r="B1798" s="1111"/>
      <c r="C1798" s="524"/>
      <c r="D1798" s="1110"/>
      <c r="E1798" s="669"/>
      <c r="F1798" s="524"/>
      <c r="G1798" s="165"/>
      <c r="H1798" s="669"/>
      <c r="I1798" s="669"/>
      <c r="J1798" s="352"/>
      <c r="K1798" s="271" t="str">
        <f t="shared" si="74"/>
        <v/>
      </c>
      <c r="L1798" s="297"/>
      <c r="M1798" s="334"/>
      <c r="N1798" s="277"/>
      <c r="O1798" s="315"/>
      <c r="P1798" s="344">
        <f t="shared" si="69"/>
        <v>0</v>
      </c>
      <c r="Q1798" s="321"/>
      <c r="R1798" s="672" t="b">
        <v>0</v>
      </c>
      <c r="S1798" s="318"/>
      <c r="T1798" s="319"/>
      <c r="U1798" s="315"/>
      <c r="V1798" s="162"/>
      <c r="W1798" s="149"/>
      <c r="X1798" s="163"/>
      <c r="Y1798" s="162"/>
      <c r="Z1798" s="164"/>
      <c r="AA1798" s="116"/>
      <c r="AB1798" s="116"/>
      <c r="AC1798" s="165"/>
      <c r="AD1798" s="675" t="str">
        <f t="shared" si="76"/>
        <v/>
      </c>
      <c r="AE1798" s="166"/>
      <c r="AF1798" s="149" t="b">
        <v>0</v>
      </c>
      <c r="AG1798" s="166"/>
      <c r="AH1798" s="149" t="b">
        <v>0</v>
      </c>
      <c r="AI1798" s="162"/>
      <c r="AJ1798" s="143"/>
      <c r="AK1798" s="143"/>
      <c r="AL1798" s="1112"/>
      <c r="AM1798" s="1112"/>
      <c r="AN1798" s="1112"/>
      <c r="AO1798" s="1112"/>
      <c r="AP1798" s="1112"/>
      <c r="AQ1798" s="1112"/>
    </row>
    <row r="1799" ht="22.5" customHeight="1">
      <c r="A1799" s="166"/>
      <c r="B1799" s="1111"/>
      <c r="C1799" s="524"/>
      <c r="D1799" s="1110"/>
      <c r="E1799" s="669"/>
      <c r="F1799" s="524"/>
      <c r="G1799" s="165"/>
      <c r="H1799" s="669"/>
      <c r="I1799" s="669"/>
      <c r="J1799" s="352"/>
      <c r="K1799" s="271" t="str">
        <f t="shared" si="74"/>
        <v/>
      </c>
      <c r="L1799" s="297"/>
      <c r="M1799" s="334"/>
      <c r="N1799" s="277"/>
      <c r="O1799" s="315"/>
      <c r="P1799" s="344">
        <f t="shared" si="69"/>
        <v>0</v>
      </c>
      <c r="Q1799" s="321"/>
      <c r="R1799" s="672" t="b">
        <v>0</v>
      </c>
      <c r="S1799" s="318"/>
      <c r="T1799" s="319"/>
      <c r="U1799" s="315"/>
      <c r="V1799" s="162"/>
      <c r="W1799" s="149"/>
      <c r="X1799" s="163"/>
      <c r="Y1799" s="162"/>
      <c r="Z1799" s="164"/>
      <c r="AA1799" s="116"/>
      <c r="AB1799" s="116"/>
      <c r="AC1799" s="165"/>
      <c r="AD1799" s="675" t="str">
        <f t="shared" si="76"/>
        <v/>
      </c>
      <c r="AE1799" s="166"/>
      <c r="AF1799" s="149" t="b">
        <v>0</v>
      </c>
      <c r="AG1799" s="166"/>
      <c r="AH1799" s="149" t="b">
        <v>0</v>
      </c>
      <c r="AI1799" s="162"/>
      <c r="AJ1799" s="143"/>
      <c r="AK1799" s="143"/>
      <c r="AL1799" s="1112"/>
      <c r="AM1799" s="1112"/>
      <c r="AN1799" s="1112"/>
      <c r="AO1799" s="1112"/>
      <c r="AP1799" s="1112"/>
      <c r="AQ1799" s="1112"/>
    </row>
    <row r="1800" ht="22.5" customHeight="1">
      <c r="A1800" s="166"/>
      <c r="B1800" s="1111"/>
      <c r="C1800" s="524"/>
      <c r="D1800" s="1110"/>
      <c r="E1800" s="669"/>
      <c r="F1800" s="524"/>
      <c r="G1800" s="165"/>
      <c r="H1800" s="669"/>
      <c r="I1800" s="669"/>
      <c r="J1800" s="352"/>
      <c r="K1800" s="271" t="str">
        <f t="shared" si="74"/>
        <v/>
      </c>
      <c r="L1800" s="297"/>
      <c r="M1800" s="334"/>
      <c r="N1800" s="277"/>
      <c r="O1800" s="315"/>
      <c r="P1800" s="344">
        <f t="shared" si="69"/>
        <v>0</v>
      </c>
      <c r="Q1800" s="321"/>
      <c r="R1800" s="672" t="b">
        <v>0</v>
      </c>
      <c r="S1800" s="318"/>
      <c r="T1800" s="319"/>
      <c r="U1800" s="315"/>
      <c r="V1800" s="162"/>
      <c r="W1800" s="149"/>
      <c r="X1800" s="163"/>
      <c r="Y1800" s="162"/>
      <c r="Z1800" s="164"/>
      <c r="AA1800" s="116"/>
      <c r="AB1800" s="116"/>
      <c r="AC1800" s="165"/>
      <c r="AD1800" s="675" t="str">
        <f t="shared" si="76"/>
        <v/>
      </c>
      <c r="AE1800" s="166"/>
      <c r="AF1800" s="149" t="b">
        <v>0</v>
      </c>
      <c r="AG1800" s="166"/>
      <c r="AH1800" s="149" t="b">
        <v>0</v>
      </c>
      <c r="AI1800" s="162"/>
      <c r="AJ1800" s="143"/>
      <c r="AK1800" s="143"/>
      <c r="AL1800" s="1112"/>
      <c r="AM1800" s="1112"/>
      <c r="AN1800" s="1112"/>
      <c r="AO1800" s="1112"/>
      <c r="AP1800" s="1112"/>
      <c r="AQ1800" s="1112"/>
    </row>
    <row r="1801" ht="22.5" customHeight="1">
      <c r="A1801" s="166"/>
      <c r="B1801" s="1111"/>
      <c r="C1801" s="524"/>
      <c r="D1801" s="1110"/>
      <c r="E1801" s="669"/>
      <c r="F1801" s="524"/>
      <c r="G1801" s="165"/>
      <c r="H1801" s="669"/>
      <c r="I1801" s="669"/>
      <c r="J1801" s="352"/>
      <c r="K1801" s="271" t="str">
        <f t="shared" si="74"/>
        <v/>
      </c>
      <c r="L1801" s="297"/>
      <c r="M1801" s="334"/>
      <c r="N1801" s="277"/>
      <c r="O1801" s="315"/>
      <c r="P1801" s="344">
        <f t="shared" si="69"/>
        <v>0</v>
      </c>
      <c r="Q1801" s="321"/>
      <c r="R1801" s="672" t="b">
        <v>0</v>
      </c>
      <c r="S1801" s="318"/>
      <c r="T1801" s="319"/>
      <c r="U1801" s="315"/>
      <c r="V1801" s="162"/>
      <c r="W1801" s="149"/>
      <c r="X1801" s="163"/>
      <c r="Y1801" s="162"/>
      <c r="Z1801" s="164"/>
      <c r="AA1801" s="116"/>
      <c r="AB1801" s="116"/>
      <c r="AC1801" s="165"/>
      <c r="AD1801" s="675" t="str">
        <f t="shared" si="76"/>
        <v/>
      </c>
      <c r="AE1801" s="166"/>
      <c r="AF1801" s="149" t="b">
        <v>0</v>
      </c>
      <c r="AG1801" s="166"/>
      <c r="AH1801" s="149" t="b">
        <v>0</v>
      </c>
      <c r="AI1801" s="162"/>
      <c r="AJ1801" s="143"/>
      <c r="AK1801" s="143"/>
      <c r="AL1801" s="1112"/>
      <c r="AM1801" s="1112"/>
      <c r="AN1801" s="1112"/>
      <c r="AO1801" s="1112"/>
      <c r="AP1801" s="1112"/>
      <c r="AQ1801" s="1112"/>
    </row>
    <row r="1802" ht="22.5" customHeight="1">
      <c r="A1802" s="166"/>
      <c r="B1802" s="1111"/>
      <c r="C1802" s="524"/>
      <c r="D1802" s="1110"/>
      <c r="E1802" s="669"/>
      <c r="F1802" s="524"/>
      <c r="G1802" s="165"/>
      <c r="H1802" s="669"/>
      <c r="I1802" s="669"/>
      <c r="J1802" s="352"/>
      <c r="K1802" s="271" t="str">
        <f t="shared" si="74"/>
        <v/>
      </c>
      <c r="L1802" s="297"/>
      <c r="M1802" s="334"/>
      <c r="N1802" s="277"/>
      <c r="O1802" s="315"/>
      <c r="P1802" s="344">
        <f t="shared" si="69"/>
        <v>0</v>
      </c>
      <c r="Q1802" s="321"/>
      <c r="R1802" s="672" t="b">
        <v>0</v>
      </c>
      <c r="S1802" s="318"/>
      <c r="T1802" s="319"/>
      <c r="U1802" s="315"/>
      <c r="V1802" s="162"/>
      <c r="W1802" s="149"/>
      <c r="X1802" s="163"/>
      <c r="Y1802" s="162"/>
      <c r="Z1802" s="164"/>
      <c r="AA1802" s="116"/>
      <c r="AB1802" s="116"/>
      <c r="AC1802" s="165"/>
      <c r="AD1802" s="675" t="str">
        <f t="shared" si="76"/>
        <v/>
      </c>
      <c r="AE1802" s="166"/>
      <c r="AF1802" s="149" t="b">
        <v>0</v>
      </c>
      <c r="AG1802" s="166"/>
      <c r="AH1802" s="149" t="b">
        <v>0</v>
      </c>
      <c r="AI1802" s="162"/>
      <c r="AJ1802" s="143"/>
      <c r="AK1802" s="143"/>
      <c r="AL1802" s="1112"/>
      <c r="AM1802" s="1112"/>
      <c r="AN1802" s="1112"/>
      <c r="AO1802" s="1112"/>
      <c r="AP1802" s="1112"/>
      <c r="AQ1802" s="1112"/>
    </row>
    <row r="1803" ht="22.5" customHeight="1">
      <c r="A1803" s="166"/>
      <c r="B1803" s="1111"/>
      <c r="C1803" s="524"/>
      <c r="D1803" s="1110"/>
      <c r="E1803" s="669"/>
      <c r="F1803" s="524"/>
      <c r="G1803" s="165"/>
      <c r="H1803" s="669"/>
      <c r="I1803" s="669"/>
      <c r="J1803" s="352"/>
      <c r="K1803" s="271" t="str">
        <f t="shared" si="74"/>
        <v/>
      </c>
      <c r="L1803" s="297"/>
      <c r="M1803" s="334"/>
      <c r="N1803" s="277"/>
      <c r="O1803" s="315"/>
      <c r="P1803" s="344">
        <f t="shared" si="69"/>
        <v>0</v>
      </c>
      <c r="Q1803" s="321"/>
      <c r="R1803" s="672" t="b">
        <v>0</v>
      </c>
      <c r="S1803" s="318"/>
      <c r="T1803" s="319"/>
      <c r="U1803" s="315"/>
      <c r="V1803" s="162"/>
      <c r="W1803" s="149"/>
      <c r="X1803" s="163"/>
      <c r="Y1803" s="162"/>
      <c r="Z1803" s="164"/>
      <c r="AA1803" s="116"/>
      <c r="AB1803" s="116"/>
      <c r="AC1803" s="165"/>
      <c r="AD1803" s="675" t="str">
        <f t="shared" si="76"/>
        <v/>
      </c>
      <c r="AE1803" s="166"/>
      <c r="AF1803" s="149" t="b">
        <v>0</v>
      </c>
      <c r="AG1803" s="166"/>
      <c r="AH1803" s="149" t="b">
        <v>0</v>
      </c>
      <c r="AI1803" s="162"/>
      <c r="AJ1803" s="143"/>
      <c r="AK1803" s="143"/>
      <c r="AL1803" s="1112"/>
      <c r="AM1803" s="1112"/>
      <c r="AN1803" s="1112"/>
      <c r="AO1803" s="1112"/>
      <c r="AP1803" s="1112"/>
      <c r="AQ1803" s="1112"/>
    </row>
    <row r="1804" ht="22.5" customHeight="1">
      <c r="A1804" s="166"/>
      <c r="B1804" s="1111"/>
      <c r="C1804" s="524"/>
      <c r="D1804" s="1110"/>
      <c r="E1804" s="669"/>
      <c r="F1804" s="524"/>
      <c r="G1804" s="165"/>
      <c r="H1804" s="669"/>
      <c r="I1804" s="669"/>
      <c r="J1804" s="352"/>
      <c r="K1804" s="271" t="str">
        <f t="shared" si="74"/>
        <v/>
      </c>
      <c r="L1804" s="297"/>
      <c r="M1804" s="334"/>
      <c r="N1804" s="277"/>
      <c r="O1804" s="315"/>
      <c r="P1804" s="344">
        <f t="shared" si="69"/>
        <v>0</v>
      </c>
      <c r="Q1804" s="321"/>
      <c r="R1804" s="672" t="b">
        <v>0</v>
      </c>
      <c r="S1804" s="318"/>
      <c r="T1804" s="319"/>
      <c r="U1804" s="315"/>
      <c r="V1804" s="162"/>
      <c r="W1804" s="149"/>
      <c r="X1804" s="163"/>
      <c r="Y1804" s="162"/>
      <c r="Z1804" s="164"/>
      <c r="AA1804" s="116"/>
      <c r="AB1804" s="116"/>
      <c r="AC1804" s="165"/>
      <c r="AD1804" s="675" t="str">
        <f t="shared" si="76"/>
        <v/>
      </c>
      <c r="AE1804" s="166"/>
      <c r="AF1804" s="149" t="b">
        <v>0</v>
      </c>
      <c r="AG1804" s="166"/>
      <c r="AH1804" s="149" t="b">
        <v>0</v>
      </c>
      <c r="AI1804" s="162"/>
      <c r="AJ1804" s="143"/>
      <c r="AK1804" s="143"/>
      <c r="AL1804" s="1112"/>
      <c r="AM1804" s="1112"/>
      <c r="AN1804" s="1112"/>
      <c r="AO1804" s="1112"/>
      <c r="AP1804" s="1112"/>
      <c r="AQ1804" s="1112"/>
    </row>
    <row r="1805" ht="22.5" customHeight="1">
      <c r="A1805" s="166"/>
      <c r="B1805" s="1111"/>
      <c r="C1805" s="524"/>
      <c r="D1805" s="1110"/>
      <c r="E1805" s="669"/>
      <c r="F1805" s="524"/>
      <c r="G1805" s="165"/>
      <c r="H1805" s="669"/>
      <c r="I1805" s="669"/>
      <c r="J1805" s="352"/>
      <c r="K1805" s="271" t="str">
        <f t="shared" si="74"/>
        <v/>
      </c>
      <c r="L1805" s="297"/>
      <c r="M1805" s="334"/>
      <c r="N1805" s="277"/>
      <c r="O1805" s="315"/>
      <c r="P1805" s="344">
        <f t="shared" si="69"/>
        <v>0</v>
      </c>
      <c r="Q1805" s="321"/>
      <c r="R1805" s="672" t="b">
        <v>0</v>
      </c>
      <c r="S1805" s="318"/>
      <c r="T1805" s="319"/>
      <c r="U1805" s="315"/>
      <c r="V1805" s="162"/>
      <c r="W1805" s="149"/>
      <c r="X1805" s="163"/>
      <c r="Y1805" s="162"/>
      <c r="Z1805" s="164"/>
      <c r="AA1805" s="116"/>
      <c r="AB1805" s="116"/>
      <c r="AC1805" s="165"/>
      <c r="AD1805" s="675" t="str">
        <f t="shared" si="76"/>
        <v/>
      </c>
      <c r="AE1805" s="166"/>
      <c r="AF1805" s="149" t="b">
        <v>0</v>
      </c>
      <c r="AG1805" s="166"/>
      <c r="AH1805" s="149" t="b">
        <v>0</v>
      </c>
      <c r="AI1805" s="162"/>
      <c r="AJ1805" s="143"/>
      <c r="AK1805" s="143"/>
      <c r="AL1805" s="1112"/>
      <c r="AM1805" s="1112"/>
      <c r="AN1805" s="1112"/>
      <c r="AO1805" s="1112"/>
      <c r="AP1805" s="1112"/>
      <c r="AQ1805" s="1112"/>
    </row>
    <row r="1806" ht="22.5" customHeight="1">
      <c r="A1806" s="166"/>
      <c r="B1806" s="1111"/>
      <c r="C1806" s="524"/>
      <c r="D1806" s="1110"/>
      <c r="E1806" s="669"/>
      <c r="F1806" s="524"/>
      <c r="G1806" s="165"/>
      <c r="H1806" s="669"/>
      <c r="I1806" s="669"/>
      <c r="J1806" s="352"/>
      <c r="K1806" s="271" t="str">
        <f t="shared" si="74"/>
        <v/>
      </c>
      <c r="L1806" s="297"/>
      <c r="M1806" s="334"/>
      <c r="N1806" s="277"/>
      <c r="O1806" s="315"/>
      <c r="P1806" s="344">
        <f t="shared" si="69"/>
        <v>0</v>
      </c>
      <c r="Q1806" s="321"/>
      <c r="R1806" s="672" t="b">
        <v>0</v>
      </c>
      <c r="S1806" s="318"/>
      <c r="T1806" s="319"/>
      <c r="U1806" s="315"/>
      <c r="V1806" s="162"/>
      <c r="W1806" s="149"/>
      <c r="X1806" s="163"/>
      <c r="Y1806" s="162"/>
      <c r="Z1806" s="164"/>
      <c r="AA1806" s="116"/>
      <c r="AB1806" s="116"/>
      <c r="AC1806" s="165"/>
      <c r="AD1806" s="675" t="str">
        <f t="shared" si="76"/>
        <v/>
      </c>
      <c r="AE1806" s="166"/>
      <c r="AF1806" s="149" t="b">
        <v>0</v>
      </c>
      <c r="AG1806" s="166"/>
      <c r="AH1806" s="149" t="b">
        <v>0</v>
      </c>
      <c r="AI1806" s="162"/>
      <c r="AJ1806" s="143"/>
      <c r="AK1806" s="143"/>
      <c r="AL1806" s="1112"/>
      <c r="AM1806" s="1112"/>
      <c r="AN1806" s="1112"/>
      <c r="AO1806" s="1112"/>
      <c r="AP1806" s="1112"/>
      <c r="AQ1806" s="1112"/>
    </row>
    <row r="1807" ht="22.5" customHeight="1">
      <c r="A1807" s="166"/>
      <c r="B1807" s="1111"/>
      <c r="C1807" s="524"/>
      <c r="D1807" s="1110"/>
      <c r="E1807" s="669"/>
      <c r="F1807" s="524"/>
      <c r="G1807" s="165"/>
      <c r="H1807" s="669"/>
      <c r="I1807" s="669"/>
      <c r="J1807" s="352"/>
      <c r="K1807" s="271" t="str">
        <f t="shared" si="74"/>
        <v/>
      </c>
      <c r="L1807" s="297"/>
      <c r="M1807" s="334"/>
      <c r="N1807" s="277"/>
      <c r="O1807" s="315"/>
      <c r="P1807" s="344">
        <f t="shared" si="69"/>
        <v>0</v>
      </c>
      <c r="Q1807" s="321"/>
      <c r="R1807" s="672" t="b">
        <v>0</v>
      </c>
      <c r="S1807" s="318"/>
      <c r="T1807" s="319"/>
      <c r="U1807" s="315"/>
      <c r="V1807" s="162"/>
      <c r="W1807" s="149"/>
      <c r="X1807" s="163"/>
      <c r="Y1807" s="162"/>
      <c r="Z1807" s="164"/>
      <c r="AA1807" s="116"/>
      <c r="AB1807" s="116"/>
      <c r="AC1807" s="165"/>
      <c r="AD1807" s="675" t="str">
        <f t="shared" si="76"/>
        <v/>
      </c>
      <c r="AE1807" s="166"/>
      <c r="AF1807" s="149" t="b">
        <v>0</v>
      </c>
      <c r="AG1807" s="166"/>
      <c r="AH1807" s="149" t="b">
        <v>0</v>
      </c>
      <c r="AI1807" s="162"/>
      <c r="AJ1807" s="143"/>
      <c r="AK1807" s="143"/>
      <c r="AL1807" s="1112"/>
      <c r="AM1807" s="1112"/>
      <c r="AN1807" s="1112"/>
      <c r="AO1807" s="1112"/>
      <c r="AP1807" s="1112"/>
      <c r="AQ1807" s="1112"/>
    </row>
    <row r="1808" ht="22.5" customHeight="1">
      <c r="A1808" s="166"/>
      <c r="B1808" s="1111"/>
      <c r="C1808" s="524"/>
      <c r="D1808" s="1110"/>
      <c r="E1808" s="669"/>
      <c r="F1808" s="524"/>
      <c r="G1808" s="165"/>
      <c r="H1808" s="669"/>
      <c r="I1808" s="669"/>
      <c r="J1808" s="352"/>
      <c r="K1808" s="271" t="str">
        <f t="shared" si="74"/>
        <v/>
      </c>
      <c r="L1808" s="297"/>
      <c r="M1808" s="334"/>
      <c r="N1808" s="277"/>
      <c r="O1808" s="315"/>
      <c r="P1808" s="344">
        <f t="shared" si="69"/>
        <v>0</v>
      </c>
      <c r="Q1808" s="321"/>
      <c r="R1808" s="672" t="b">
        <v>0</v>
      </c>
      <c r="S1808" s="318"/>
      <c r="T1808" s="319"/>
      <c r="U1808" s="315"/>
      <c r="V1808" s="162"/>
      <c r="W1808" s="149"/>
      <c r="X1808" s="163"/>
      <c r="Y1808" s="162"/>
      <c r="Z1808" s="164"/>
      <c r="AA1808" s="116"/>
      <c r="AB1808" s="116"/>
      <c r="AC1808" s="165"/>
      <c r="AD1808" s="675" t="str">
        <f t="shared" si="76"/>
        <v/>
      </c>
      <c r="AE1808" s="166"/>
      <c r="AF1808" s="149" t="b">
        <v>0</v>
      </c>
      <c r="AG1808" s="166"/>
      <c r="AH1808" s="149" t="b">
        <v>0</v>
      </c>
      <c r="AI1808" s="162"/>
      <c r="AJ1808" s="143"/>
      <c r="AK1808" s="143"/>
      <c r="AL1808" s="1112"/>
      <c r="AM1808" s="1112"/>
      <c r="AN1808" s="1112"/>
      <c r="AO1808" s="1112"/>
      <c r="AP1808" s="1112"/>
      <c r="AQ1808" s="1112"/>
    </row>
    <row r="1809" ht="22.5" customHeight="1">
      <c r="A1809" s="166"/>
      <c r="B1809" s="1111"/>
      <c r="C1809" s="524"/>
      <c r="D1809" s="1110"/>
      <c r="E1809" s="669"/>
      <c r="F1809" s="524"/>
      <c r="G1809" s="165"/>
      <c r="H1809" s="669"/>
      <c r="I1809" s="669"/>
      <c r="J1809" s="352"/>
      <c r="K1809" s="271" t="str">
        <f t="shared" si="74"/>
        <v/>
      </c>
      <c r="L1809" s="297"/>
      <c r="M1809" s="334"/>
      <c r="N1809" s="277"/>
      <c r="O1809" s="315"/>
      <c r="P1809" s="344">
        <f t="shared" si="69"/>
        <v>0</v>
      </c>
      <c r="Q1809" s="321"/>
      <c r="R1809" s="672" t="b">
        <v>0</v>
      </c>
      <c r="S1809" s="318"/>
      <c r="T1809" s="319"/>
      <c r="U1809" s="315"/>
      <c r="V1809" s="162"/>
      <c r="W1809" s="149"/>
      <c r="X1809" s="163"/>
      <c r="Y1809" s="162"/>
      <c r="Z1809" s="164"/>
      <c r="AA1809" s="116"/>
      <c r="AB1809" s="116"/>
      <c r="AC1809" s="165"/>
      <c r="AD1809" s="675" t="str">
        <f t="shared" si="76"/>
        <v/>
      </c>
      <c r="AE1809" s="166"/>
      <c r="AF1809" s="149" t="b">
        <v>0</v>
      </c>
      <c r="AG1809" s="166"/>
      <c r="AH1809" s="149" t="b">
        <v>0</v>
      </c>
      <c r="AI1809" s="162"/>
      <c r="AJ1809" s="143"/>
      <c r="AK1809" s="143"/>
      <c r="AL1809" s="1112"/>
      <c r="AM1809" s="1112"/>
      <c r="AN1809" s="1112"/>
      <c r="AO1809" s="1112"/>
      <c r="AP1809" s="1112"/>
      <c r="AQ1809" s="1112"/>
    </row>
    <row r="1810" ht="22.5" customHeight="1">
      <c r="A1810" s="166"/>
      <c r="B1810" s="1111"/>
      <c r="C1810" s="524"/>
      <c r="D1810" s="1110"/>
      <c r="E1810" s="669"/>
      <c r="F1810" s="524"/>
      <c r="G1810" s="165"/>
      <c r="H1810" s="669"/>
      <c r="I1810" s="669"/>
      <c r="J1810" s="352"/>
      <c r="K1810" s="271" t="str">
        <f t="shared" si="74"/>
        <v/>
      </c>
      <c r="L1810" s="297"/>
      <c r="M1810" s="334"/>
      <c r="N1810" s="277"/>
      <c r="O1810" s="315"/>
      <c r="P1810" s="344">
        <f t="shared" si="69"/>
        <v>0</v>
      </c>
      <c r="Q1810" s="321"/>
      <c r="R1810" s="672" t="b">
        <v>0</v>
      </c>
      <c r="S1810" s="318"/>
      <c r="T1810" s="319"/>
      <c r="U1810" s="315"/>
      <c r="V1810" s="162"/>
      <c r="W1810" s="149"/>
      <c r="X1810" s="163"/>
      <c r="Y1810" s="162"/>
      <c r="Z1810" s="164"/>
      <c r="AA1810" s="116"/>
      <c r="AB1810" s="116"/>
      <c r="AC1810" s="165"/>
      <c r="AD1810" s="675" t="str">
        <f t="shared" si="76"/>
        <v/>
      </c>
      <c r="AE1810" s="166"/>
      <c r="AF1810" s="149" t="b">
        <v>0</v>
      </c>
      <c r="AG1810" s="166"/>
      <c r="AH1810" s="149" t="b">
        <v>0</v>
      </c>
      <c r="AI1810" s="162"/>
      <c r="AJ1810" s="143"/>
      <c r="AK1810" s="143"/>
      <c r="AL1810" s="1112"/>
      <c r="AM1810" s="1112"/>
      <c r="AN1810" s="1112"/>
      <c r="AO1810" s="1112"/>
      <c r="AP1810" s="1112"/>
      <c r="AQ1810" s="1112"/>
    </row>
    <row r="1811" ht="22.5" customHeight="1">
      <c r="A1811" s="166"/>
      <c r="B1811" s="1111"/>
      <c r="C1811" s="524"/>
      <c r="D1811" s="1110"/>
      <c r="E1811" s="669"/>
      <c r="F1811" s="524"/>
      <c r="G1811" s="165"/>
      <c r="H1811" s="669"/>
      <c r="I1811" s="669"/>
      <c r="J1811" s="352"/>
      <c r="K1811" s="271" t="str">
        <f t="shared" si="74"/>
        <v/>
      </c>
      <c r="L1811" s="297"/>
      <c r="M1811" s="334"/>
      <c r="N1811" s="277"/>
      <c r="O1811" s="315"/>
      <c r="P1811" s="344">
        <f t="shared" si="69"/>
        <v>0</v>
      </c>
      <c r="Q1811" s="321"/>
      <c r="R1811" s="672" t="b">
        <v>0</v>
      </c>
      <c r="S1811" s="318"/>
      <c r="T1811" s="319"/>
      <c r="U1811" s="315"/>
      <c r="V1811" s="162"/>
      <c r="W1811" s="149"/>
      <c r="X1811" s="163"/>
      <c r="Y1811" s="162"/>
      <c r="Z1811" s="164"/>
      <c r="AA1811" s="116"/>
      <c r="AB1811" s="116"/>
      <c r="AC1811" s="165"/>
      <c r="AD1811" s="675" t="str">
        <f t="shared" si="76"/>
        <v/>
      </c>
      <c r="AE1811" s="166"/>
      <c r="AF1811" s="149" t="b">
        <v>0</v>
      </c>
      <c r="AG1811" s="166"/>
      <c r="AH1811" s="149" t="b">
        <v>0</v>
      </c>
      <c r="AI1811" s="162"/>
      <c r="AJ1811" s="143"/>
      <c r="AK1811" s="143"/>
      <c r="AL1811" s="1112"/>
      <c r="AM1811" s="1112"/>
      <c r="AN1811" s="1112"/>
      <c r="AO1811" s="1112"/>
      <c r="AP1811" s="1112"/>
      <c r="AQ1811" s="1112"/>
    </row>
    <row r="1812" ht="22.5" customHeight="1">
      <c r="A1812" s="166"/>
      <c r="B1812" s="1111"/>
      <c r="C1812" s="524"/>
      <c r="D1812" s="1110"/>
      <c r="E1812" s="669"/>
      <c r="F1812" s="524"/>
      <c r="G1812" s="165"/>
      <c r="H1812" s="669"/>
      <c r="I1812" s="669"/>
      <c r="J1812" s="352"/>
      <c r="K1812" s="271" t="str">
        <f t="shared" si="74"/>
        <v/>
      </c>
      <c r="L1812" s="297"/>
      <c r="M1812" s="334"/>
      <c r="N1812" s="277"/>
      <c r="O1812" s="315"/>
      <c r="P1812" s="344">
        <f t="shared" si="69"/>
        <v>0</v>
      </c>
      <c r="Q1812" s="321"/>
      <c r="R1812" s="672" t="b">
        <v>0</v>
      </c>
      <c r="S1812" s="318"/>
      <c r="T1812" s="319"/>
      <c r="U1812" s="315"/>
      <c r="V1812" s="162"/>
      <c r="W1812" s="149"/>
      <c r="X1812" s="163"/>
      <c r="Y1812" s="162"/>
      <c r="Z1812" s="164"/>
      <c r="AA1812" s="116"/>
      <c r="AB1812" s="116"/>
      <c r="AC1812" s="165"/>
      <c r="AD1812" s="675" t="str">
        <f t="shared" si="76"/>
        <v/>
      </c>
      <c r="AE1812" s="166"/>
      <c r="AF1812" s="149" t="b">
        <v>0</v>
      </c>
      <c r="AG1812" s="166"/>
      <c r="AH1812" s="149" t="b">
        <v>0</v>
      </c>
      <c r="AI1812" s="162"/>
      <c r="AJ1812" s="143"/>
      <c r="AK1812" s="143"/>
      <c r="AL1812" s="1112"/>
      <c r="AM1812" s="1112"/>
      <c r="AN1812" s="1112"/>
      <c r="AO1812" s="1112"/>
      <c r="AP1812" s="1112"/>
      <c r="AQ1812" s="1112"/>
    </row>
    <row r="1813" ht="22.5" customHeight="1">
      <c r="A1813" s="166"/>
      <c r="B1813" s="1111"/>
      <c r="C1813" s="524"/>
      <c r="D1813" s="1110"/>
      <c r="E1813" s="669"/>
      <c r="F1813" s="524"/>
      <c r="G1813" s="165"/>
      <c r="H1813" s="669"/>
      <c r="I1813" s="669"/>
      <c r="J1813" s="352"/>
      <c r="K1813" s="271" t="str">
        <f t="shared" si="74"/>
        <v/>
      </c>
      <c r="L1813" s="297"/>
      <c r="M1813" s="334"/>
      <c r="N1813" s="277"/>
      <c r="O1813" s="315"/>
      <c r="P1813" s="344">
        <f t="shared" si="69"/>
        <v>0</v>
      </c>
      <c r="Q1813" s="321"/>
      <c r="R1813" s="672" t="b">
        <v>0</v>
      </c>
      <c r="S1813" s="318"/>
      <c r="T1813" s="319"/>
      <c r="U1813" s="315"/>
      <c r="V1813" s="162"/>
      <c r="W1813" s="149"/>
      <c r="X1813" s="163"/>
      <c r="Y1813" s="162"/>
      <c r="Z1813" s="164"/>
      <c r="AA1813" s="116"/>
      <c r="AB1813" s="116"/>
      <c r="AC1813" s="165"/>
      <c r="AD1813" s="675" t="str">
        <f t="shared" si="76"/>
        <v/>
      </c>
      <c r="AE1813" s="166"/>
      <c r="AF1813" s="149" t="b">
        <v>0</v>
      </c>
      <c r="AG1813" s="166"/>
      <c r="AH1813" s="149" t="b">
        <v>0</v>
      </c>
      <c r="AI1813" s="162"/>
      <c r="AJ1813" s="143"/>
      <c r="AK1813" s="143"/>
      <c r="AL1813" s="1112"/>
      <c r="AM1813" s="1112"/>
      <c r="AN1813" s="1112"/>
      <c r="AO1813" s="1112"/>
      <c r="AP1813" s="1112"/>
      <c r="AQ1813" s="1112"/>
    </row>
    <row r="1814" ht="22.5" customHeight="1">
      <c r="A1814" s="166"/>
      <c r="B1814" s="1111"/>
      <c r="C1814" s="524"/>
      <c r="D1814" s="1110"/>
      <c r="E1814" s="669"/>
      <c r="F1814" s="524"/>
      <c r="G1814" s="165"/>
      <c r="H1814" s="669"/>
      <c r="I1814" s="669"/>
      <c r="J1814" s="352"/>
      <c r="K1814" s="271" t="str">
        <f t="shared" si="74"/>
        <v/>
      </c>
      <c r="L1814" s="297"/>
      <c r="M1814" s="334"/>
      <c r="N1814" s="277"/>
      <c r="O1814" s="315"/>
      <c r="P1814" s="344">
        <f t="shared" si="69"/>
        <v>0</v>
      </c>
      <c r="Q1814" s="321"/>
      <c r="R1814" s="672" t="b">
        <v>0</v>
      </c>
      <c r="S1814" s="318"/>
      <c r="T1814" s="319"/>
      <c r="U1814" s="315"/>
      <c r="V1814" s="162"/>
      <c r="W1814" s="149"/>
      <c r="X1814" s="163"/>
      <c r="Y1814" s="162"/>
      <c r="Z1814" s="164"/>
      <c r="AA1814" s="116"/>
      <c r="AB1814" s="116"/>
      <c r="AC1814" s="165"/>
      <c r="AD1814" s="675" t="str">
        <f t="shared" si="76"/>
        <v/>
      </c>
      <c r="AE1814" s="166"/>
      <c r="AF1814" s="149" t="b">
        <v>0</v>
      </c>
      <c r="AG1814" s="166"/>
      <c r="AH1814" s="149" t="b">
        <v>0</v>
      </c>
      <c r="AI1814" s="162"/>
      <c r="AJ1814" s="143"/>
      <c r="AK1814" s="143"/>
      <c r="AL1814" s="1112"/>
      <c r="AM1814" s="1112"/>
      <c r="AN1814" s="1112"/>
      <c r="AO1814" s="1112"/>
      <c r="AP1814" s="1112"/>
      <c r="AQ1814" s="1112"/>
    </row>
    <row r="1815" ht="22.5" customHeight="1">
      <c r="A1815" s="166"/>
      <c r="B1815" s="1111"/>
      <c r="C1815" s="524"/>
      <c r="D1815" s="1110"/>
      <c r="E1815" s="669"/>
      <c r="F1815" s="524"/>
      <c r="G1815" s="165"/>
      <c r="H1815" s="669"/>
      <c r="I1815" s="669"/>
      <c r="J1815" s="352"/>
      <c r="K1815" s="271" t="str">
        <f t="shared" si="74"/>
        <v/>
      </c>
      <c r="L1815" s="297"/>
      <c r="M1815" s="334"/>
      <c r="N1815" s="277"/>
      <c r="O1815" s="315"/>
      <c r="P1815" s="344">
        <f t="shared" si="69"/>
        <v>0</v>
      </c>
      <c r="Q1815" s="321"/>
      <c r="R1815" s="672" t="b">
        <v>0</v>
      </c>
      <c r="S1815" s="318"/>
      <c r="T1815" s="319"/>
      <c r="U1815" s="315"/>
      <c r="V1815" s="162"/>
      <c r="W1815" s="149"/>
      <c r="X1815" s="163"/>
      <c r="Y1815" s="162"/>
      <c r="Z1815" s="164"/>
      <c r="AA1815" s="116"/>
      <c r="AB1815" s="116"/>
      <c r="AC1815" s="165"/>
      <c r="AD1815" s="675" t="str">
        <f t="shared" si="76"/>
        <v/>
      </c>
      <c r="AE1815" s="166"/>
      <c r="AF1815" s="149" t="b">
        <v>0</v>
      </c>
      <c r="AG1815" s="166"/>
      <c r="AH1815" s="149" t="b">
        <v>0</v>
      </c>
      <c r="AI1815" s="162"/>
      <c r="AJ1815" s="143"/>
      <c r="AK1815" s="143"/>
      <c r="AL1815" s="1112"/>
      <c r="AM1815" s="1112"/>
      <c r="AN1815" s="1112"/>
      <c r="AO1815" s="1112"/>
      <c r="AP1815" s="1112"/>
      <c r="AQ1815" s="1112"/>
    </row>
    <row r="1816" ht="22.5" customHeight="1">
      <c r="A1816" s="166"/>
      <c r="B1816" s="1111"/>
      <c r="C1816" s="524"/>
      <c r="D1816" s="1110"/>
      <c r="E1816" s="669"/>
      <c r="F1816" s="524"/>
      <c r="G1816" s="165"/>
      <c r="H1816" s="669"/>
      <c r="I1816" s="669"/>
      <c r="J1816" s="352"/>
      <c r="K1816" s="271" t="str">
        <f t="shared" si="74"/>
        <v/>
      </c>
      <c r="L1816" s="297"/>
      <c r="M1816" s="334"/>
      <c r="N1816" s="277"/>
      <c r="O1816" s="315"/>
      <c r="P1816" s="344">
        <f t="shared" si="69"/>
        <v>0</v>
      </c>
      <c r="Q1816" s="321"/>
      <c r="R1816" s="672" t="b">
        <v>0</v>
      </c>
      <c r="S1816" s="318"/>
      <c r="T1816" s="319"/>
      <c r="U1816" s="315"/>
      <c r="V1816" s="162"/>
      <c r="W1816" s="149"/>
      <c r="X1816" s="163"/>
      <c r="Y1816" s="162"/>
      <c r="Z1816" s="164"/>
      <c r="AA1816" s="116"/>
      <c r="AB1816" s="116"/>
      <c r="AC1816" s="165"/>
      <c r="AD1816" s="675" t="str">
        <f t="shared" si="76"/>
        <v/>
      </c>
      <c r="AE1816" s="166"/>
      <c r="AF1816" s="149" t="b">
        <v>0</v>
      </c>
      <c r="AG1816" s="166"/>
      <c r="AH1816" s="149" t="b">
        <v>0</v>
      </c>
      <c r="AI1816" s="162"/>
      <c r="AJ1816" s="143"/>
      <c r="AK1816" s="143"/>
      <c r="AL1816" s="1112"/>
      <c r="AM1816" s="1112"/>
      <c r="AN1816" s="1112"/>
      <c r="AO1816" s="1112"/>
      <c r="AP1816" s="1112"/>
      <c r="AQ1816" s="1112"/>
    </row>
    <row r="1817" ht="22.5" customHeight="1">
      <c r="A1817" s="166"/>
      <c r="B1817" s="1111"/>
      <c r="C1817" s="524"/>
      <c r="D1817" s="1110"/>
      <c r="E1817" s="669"/>
      <c r="F1817" s="524"/>
      <c r="G1817" s="165"/>
      <c r="H1817" s="669"/>
      <c r="I1817" s="669"/>
      <c r="J1817" s="352"/>
      <c r="K1817" s="271" t="str">
        <f t="shared" si="74"/>
        <v/>
      </c>
      <c r="L1817" s="297"/>
      <c r="M1817" s="334"/>
      <c r="N1817" s="277"/>
      <c r="O1817" s="315"/>
      <c r="P1817" s="344">
        <f t="shared" si="69"/>
        <v>0</v>
      </c>
      <c r="Q1817" s="321"/>
      <c r="R1817" s="672" t="b">
        <v>0</v>
      </c>
      <c r="S1817" s="318"/>
      <c r="T1817" s="319"/>
      <c r="U1817" s="315"/>
      <c r="V1817" s="162"/>
      <c r="W1817" s="149"/>
      <c r="X1817" s="163"/>
      <c r="Y1817" s="162"/>
      <c r="Z1817" s="164"/>
      <c r="AA1817" s="116"/>
      <c r="AB1817" s="116"/>
      <c r="AC1817" s="165"/>
      <c r="AD1817" s="675" t="str">
        <f t="shared" si="76"/>
        <v/>
      </c>
      <c r="AE1817" s="166"/>
      <c r="AF1817" s="149" t="b">
        <v>0</v>
      </c>
      <c r="AG1817" s="166"/>
      <c r="AH1817" s="149" t="b">
        <v>0</v>
      </c>
      <c r="AI1817" s="162"/>
      <c r="AJ1817" s="143"/>
      <c r="AK1817" s="143"/>
      <c r="AL1817" s="1112"/>
      <c r="AM1817" s="1112"/>
      <c r="AN1817" s="1112"/>
      <c r="AO1817" s="1112"/>
      <c r="AP1817" s="1112"/>
      <c r="AQ1817" s="1112"/>
    </row>
    <row r="1818" ht="22.5" customHeight="1">
      <c r="A1818" s="166"/>
      <c r="B1818" s="1111"/>
      <c r="C1818" s="524"/>
      <c r="D1818" s="1110"/>
      <c r="E1818" s="669"/>
      <c r="F1818" s="524"/>
      <c r="G1818" s="165"/>
      <c r="H1818" s="669"/>
      <c r="I1818" s="669"/>
      <c r="J1818" s="352"/>
      <c r="K1818" s="271" t="str">
        <f t="shared" si="74"/>
        <v/>
      </c>
      <c r="L1818" s="297"/>
      <c r="M1818" s="334"/>
      <c r="N1818" s="277"/>
      <c r="O1818" s="315"/>
      <c r="P1818" s="344">
        <f t="shared" si="69"/>
        <v>0</v>
      </c>
      <c r="Q1818" s="321"/>
      <c r="R1818" s="672" t="b">
        <v>0</v>
      </c>
      <c r="S1818" s="318"/>
      <c r="T1818" s="319"/>
      <c r="U1818" s="315"/>
      <c r="V1818" s="162"/>
      <c r="W1818" s="149"/>
      <c r="X1818" s="163"/>
      <c r="Y1818" s="162"/>
      <c r="Z1818" s="164"/>
      <c r="AA1818" s="116"/>
      <c r="AB1818" s="116"/>
      <c r="AC1818" s="165"/>
      <c r="AD1818" s="675" t="str">
        <f t="shared" si="76"/>
        <v/>
      </c>
      <c r="AE1818" s="166"/>
      <c r="AF1818" s="149" t="b">
        <v>0</v>
      </c>
      <c r="AG1818" s="166"/>
      <c r="AH1818" s="149" t="b">
        <v>0</v>
      </c>
      <c r="AI1818" s="162"/>
      <c r="AJ1818" s="143"/>
      <c r="AK1818" s="143"/>
      <c r="AL1818" s="1112"/>
      <c r="AM1818" s="1112"/>
      <c r="AN1818" s="1112"/>
      <c r="AO1818" s="1112"/>
      <c r="AP1818" s="1112"/>
      <c r="AQ1818" s="1112"/>
    </row>
    <row r="1819" ht="22.5" customHeight="1">
      <c r="A1819" s="166"/>
      <c r="B1819" s="1111"/>
      <c r="C1819" s="524"/>
      <c r="D1819" s="1110"/>
      <c r="E1819" s="669"/>
      <c r="F1819" s="524"/>
      <c r="G1819" s="165"/>
      <c r="H1819" s="669"/>
      <c r="I1819" s="669"/>
      <c r="J1819" s="352"/>
      <c r="K1819" s="271" t="str">
        <f t="shared" si="74"/>
        <v/>
      </c>
      <c r="L1819" s="297"/>
      <c r="M1819" s="334"/>
      <c r="N1819" s="277"/>
      <c r="O1819" s="315"/>
      <c r="P1819" s="344">
        <f t="shared" si="69"/>
        <v>0</v>
      </c>
      <c r="Q1819" s="321"/>
      <c r="R1819" s="672" t="b">
        <v>0</v>
      </c>
      <c r="S1819" s="318"/>
      <c r="T1819" s="319"/>
      <c r="U1819" s="315"/>
      <c r="V1819" s="162"/>
      <c r="W1819" s="149"/>
      <c r="X1819" s="163"/>
      <c r="Y1819" s="162"/>
      <c r="Z1819" s="164"/>
      <c r="AA1819" s="116"/>
      <c r="AB1819" s="116"/>
      <c r="AC1819" s="165"/>
      <c r="AD1819" s="675" t="str">
        <f t="shared" si="76"/>
        <v/>
      </c>
      <c r="AE1819" s="166"/>
      <c r="AF1819" s="149" t="b">
        <v>0</v>
      </c>
      <c r="AG1819" s="166"/>
      <c r="AH1819" s="149" t="b">
        <v>0</v>
      </c>
      <c r="AI1819" s="162"/>
      <c r="AJ1819" s="143"/>
      <c r="AK1819" s="143"/>
      <c r="AL1819" s="1112"/>
      <c r="AM1819" s="1112"/>
      <c r="AN1819" s="1112"/>
      <c r="AO1819" s="1112"/>
      <c r="AP1819" s="1112"/>
      <c r="AQ1819" s="1112"/>
    </row>
    <row r="1820" ht="22.5" customHeight="1">
      <c r="A1820" s="166"/>
      <c r="B1820" s="1111"/>
      <c r="C1820" s="524"/>
      <c r="D1820" s="1110"/>
      <c r="E1820" s="669"/>
      <c r="F1820" s="524"/>
      <c r="G1820" s="165"/>
      <c r="H1820" s="669"/>
      <c r="I1820" s="669"/>
      <c r="J1820" s="352"/>
      <c r="K1820" s="271" t="str">
        <f t="shared" si="74"/>
        <v/>
      </c>
      <c r="L1820" s="297"/>
      <c r="M1820" s="334"/>
      <c r="N1820" s="277"/>
      <c r="O1820" s="315"/>
      <c r="P1820" s="344">
        <f t="shared" si="69"/>
        <v>0</v>
      </c>
      <c r="Q1820" s="321"/>
      <c r="R1820" s="672" t="b">
        <v>0</v>
      </c>
      <c r="S1820" s="318"/>
      <c r="T1820" s="319"/>
      <c r="U1820" s="315"/>
      <c r="V1820" s="162"/>
      <c r="W1820" s="149"/>
      <c r="X1820" s="163"/>
      <c r="Y1820" s="162"/>
      <c r="Z1820" s="164"/>
      <c r="AA1820" s="116"/>
      <c r="AB1820" s="116"/>
      <c r="AC1820" s="165"/>
      <c r="AD1820" s="675" t="str">
        <f t="shared" si="76"/>
        <v/>
      </c>
      <c r="AE1820" s="166"/>
      <c r="AF1820" s="149" t="b">
        <v>0</v>
      </c>
      <c r="AG1820" s="166"/>
      <c r="AH1820" s="149" t="b">
        <v>0</v>
      </c>
      <c r="AI1820" s="162"/>
      <c r="AJ1820" s="143"/>
      <c r="AK1820" s="143"/>
      <c r="AL1820" s="1112"/>
      <c r="AM1820" s="1112"/>
      <c r="AN1820" s="1112"/>
      <c r="AO1820" s="1112"/>
      <c r="AP1820" s="1112"/>
      <c r="AQ1820" s="1112"/>
    </row>
    <row r="1821" ht="22.5" customHeight="1">
      <c r="A1821" s="166"/>
      <c r="B1821" s="1111"/>
      <c r="C1821" s="524"/>
      <c r="D1821" s="1110"/>
      <c r="E1821" s="669"/>
      <c r="F1821" s="524"/>
      <c r="G1821" s="165"/>
      <c r="H1821" s="669"/>
      <c r="I1821" s="669"/>
      <c r="J1821" s="352"/>
      <c r="K1821" s="271" t="str">
        <f t="shared" si="74"/>
        <v/>
      </c>
      <c r="L1821" s="297"/>
      <c r="M1821" s="334"/>
      <c r="N1821" s="277"/>
      <c r="O1821" s="315"/>
      <c r="P1821" s="344">
        <f t="shared" si="69"/>
        <v>0</v>
      </c>
      <c r="Q1821" s="321"/>
      <c r="R1821" s="672" t="b">
        <v>0</v>
      </c>
      <c r="S1821" s="318"/>
      <c r="T1821" s="319"/>
      <c r="U1821" s="315"/>
      <c r="V1821" s="162"/>
      <c r="W1821" s="149"/>
      <c r="X1821" s="163"/>
      <c r="Y1821" s="162"/>
      <c r="Z1821" s="164"/>
      <c r="AA1821" s="116"/>
      <c r="AB1821" s="116"/>
      <c r="AC1821" s="165"/>
      <c r="AD1821" s="675" t="str">
        <f t="shared" si="76"/>
        <v/>
      </c>
      <c r="AE1821" s="166"/>
      <c r="AF1821" s="149" t="b">
        <v>0</v>
      </c>
      <c r="AG1821" s="166"/>
      <c r="AH1821" s="149" t="b">
        <v>0</v>
      </c>
      <c r="AI1821" s="162"/>
      <c r="AJ1821" s="143"/>
      <c r="AK1821" s="143"/>
      <c r="AL1821" s="1112"/>
      <c r="AM1821" s="1112"/>
      <c r="AN1821" s="1112"/>
      <c r="AO1821" s="1112"/>
      <c r="AP1821" s="1112"/>
      <c r="AQ1821" s="1112"/>
    </row>
    <row r="1822" ht="22.5" customHeight="1">
      <c r="A1822" s="166"/>
      <c r="B1822" s="1111"/>
      <c r="C1822" s="524"/>
      <c r="D1822" s="1110"/>
      <c r="E1822" s="669"/>
      <c r="F1822" s="524"/>
      <c r="G1822" s="165"/>
      <c r="H1822" s="669"/>
      <c r="I1822" s="669"/>
      <c r="J1822" s="352"/>
      <c r="K1822" s="271" t="str">
        <f t="shared" si="74"/>
        <v/>
      </c>
      <c r="L1822" s="297"/>
      <c r="M1822" s="334"/>
      <c r="N1822" s="277"/>
      <c r="O1822" s="315"/>
      <c r="P1822" s="344">
        <f t="shared" si="69"/>
        <v>0</v>
      </c>
      <c r="Q1822" s="321"/>
      <c r="R1822" s="672" t="b">
        <v>0</v>
      </c>
      <c r="S1822" s="318"/>
      <c r="T1822" s="319"/>
      <c r="U1822" s="315"/>
      <c r="V1822" s="162"/>
      <c r="W1822" s="149"/>
      <c r="X1822" s="163"/>
      <c r="Y1822" s="162"/>
      <c r="Z1822" s="164"/>
      <c r="AA1822" s="116"/>
      <c r="AB1822" s="116"/>
      <c r="AC1822" s="165"/>
      <c r="AD1822" s="675" t="str">
        <f t="shared" si="76"/>
        <v/>
      </c>
      <c r="AE1822" s="166"/>
      <c r="AF1822" s="149" t="b">
        <v>0</v>
      </c>
      <c r="AG1822" s="166"/>
      <c r="AH1822" s="149" t="b">
        <v>0</v>
      </c>
      <c r="AI1822" s="162"/>
      <c r="AJ1822" s="143"/>
      <c r="AK1822" s="143"/>
      <c r="AL1822" s="1112"/>
      <c r="AM1822" s="1112"/>
      <c r="AN1822" s="1112"/>
      <c r="AO1822" s="1112"/>
      <c r="AP1822" s="1112"/>
      <c r="AQ1822" s="1112"/>
    </row>
    <row r="1823" ht="22.5" customHeight="1">
      <c r="A1823" s="166"/>
      <c r="B1823" s="1111"/>
      <c r="C1823" s="524"/>
      <c r="D1823" s="1110"/>
      <c r="E1823" s="669"/>
      <c r="F1823" s="524"/>
      <c r="G1823" s="165"/>
      <c r="H1823" s="669"/>
      <c r="I1823" s="669"/>
      <c r="J1823" s="352"/>
      <c r="K1823" s="271" t="str">
        <f t="shared" si="74"/>
        <v/>
      </c>
      <c r="L1823" s="297"/>
      <c r="M1823" s="334"/>
      <c r="N1823" s="277"/>
      <c r="O1823" s="315"/>
      <c r="P1823" s="344">
        <f t="shared" si="69"/>
        <v>0</v>
      </c>
      <c r="Q1823" s="321"/>
      <c r="R1823" s="672" t="b">
        <v>0</v>
      </c>
      <c r="S1823" s="318"/>
      <c r="T1823" s="319"/>
      <c r="U1823" s="315"/>
      <c r="V1823" s="162"/>
      <c r="W1823" s="149"/>
      <c r="X1823" s="163"/>
      <c r="Y1823" s="162"/>
      <c r="Z1823" s="164"/>
      <c r="AA1823" s="116"/>
      <c r="AB1823" s="116"/>
      <c r="AC1823" s="165"/>
      <c r="AD1823" s="675" t="str">
        <f t="shared" si="76"/>
        <v/>
      </c>
      <c r="AE1823" s="166"/>
      <c r="AF1823" s="149" t="b">
        <v>0</v>
      </c>
      <c r="AG1823" s="166"/>
      <c r="AH1823" s="149" t="b">
        <v>0</v>
      </c>
      <c r="AI1823" s="162"/>
      <c r="AJ1823" s="143"/>
      <c r="AK1823" s="143"/>
      <c r="AL1823" s="1112"/>
      <c r="AM1823" s="1112"/>
      <c r="AN1823" s="1112"/>
      <c r="AO1823" s="1112"/>
      <c r="AP1823" s="1112"/>
      <c r="AQ1823" s="1112"/>
    </row>
    <row r="1824" ht="22.5" customHeight="1">
      <c r="A1824" s="166"/>
      <c r="B1824" s="1111"/>
      <c r="C1824" s="524"/>
      <c r="D1824" s="1110"/>
      <c r="E1824" s="669"/>
      <c r="F1824" s="524"/>
      <c r="G1824" s="165"/>
      <c r="H1824" s="669"/>
      <c r="I1824" s="669"/>
      <c r="J1824" s="352"/>
      <c r="K1824" s="271" t="str">
        <f t="shared" si="74"/>
        <v/>
      </c>
      <c r="L1824" s="297"/>
      <c r="M1824" s="334"/>
      <c r="N1824" s="277"/>
      <c r="O1824" s="315"/>
      <c r="P1824" s="344">
        <f t="shared" si="69"/>
        <v>0</v>
      </c>
      <c r="Q1824" s="321"/>
      <c r="R1824" s="672" t="b">
        <v>0</v>
      </c>
      <c r="S1824" s="318"/>
      <c r="T1824" s="319"/>
      <c r="U1824" s="315"/>
      <c r="V1824" s="162"/>
      <c r="W1824" s="149"/>
      <c r="X1824" s="163"/>
      <c r="Y1824" s="162"/>
      <c r="Z1824" s="164"/>
      <c r="AA1824" s="116"/>
      <c r="AB1824" s="116"/>
      <c r="AC1824" s="165"/>
      <c r="AD1824" s="675" t="str">
        <f t="shared" si="76"/>
        <v/>
      </c>
      <c r="AE1824" s="166"/>
      <c r="AF1824" s="149" t="b">
        <v>0</v>
      </c>
      <c r="AG1824" s="166"/>
      <c r="AH1824" s="149" t="b">
        <v>0</v>
      </c>
      <c r="AI1824" s="162"/>
      <c r="AJ1824" s="143"/>
      <c r="AK1824" s="143"/>
      <c r="AL1824" s="1112"/>
      <c r="AM1824" s="1112"/>
      <c r="AN1824" s="1112"/>
      <c r="AO1824" s="1112"/>
      <c r="AP1824" s="1112"/>
      <c r="AQ1824" s="1112"/>
    </row>
    <row r="1825" ht="22.5" customHeight="1">
      <c r="A1825" s="166"/>
      <c r="B1825" s="1111"/>
      <c r="C1825" s="524"/>
      <c r="D1825" s="1110"/>
      <c r="E1825" s="669"/>
      <c r="F1825" s="524"/>
      <c r="G1825" s="165"/>
      <c r="H1825" s="669"/>
      <c r="I1825" s="669"/>
      <c r="J1825" s="352"/>
      <c r="K1825" s="271" t="str">
        <f t="shared" si="74"/>
        <v/>
      </c>
      <c r="L1825" s="297"/>
      <c r="M1825" s="334"/>
      <c r="N1825" s="277"/>
      <c r="O1825" s="315"/>
      <c r="P1825" s="344">
        <f t="shared" si="69"/>
        <v>0</v>
      </c>
      <c r="Q1825" s="321"/>
      <c r="R1825" s="672" t="b">
        <v>0</v>
      </c>
      <c r="S1825" s="318"/>
      <c r="T1825" s="319"/>
      <c r="U1825" s="315"/>
      <c r="V1825" s="162"/>
      <c r="W1825" s="149"/>
      <c r="X1825" s="163"/>
      <c r="Y1825" s="162"/>
      <c r="Z1825" s="164"/>
      <c r="AA1825" s="116"/>
      <c r="AB1825" s="116"/>
      <c r="AC1825" s="165"/>
      <c r="AD1825" s="675" t="str">
        <f t="shared" si="76"/>
        <v/>
      </c>
      <c r="AE1825" s="166"/>
      <c r="AF1825" s="149" t="b">
        <v>0</v>
      </c>
      <c r="AG1825" s="166"/>
      <c r="AH1825" s="149" t="b">
        <v>0</v>
      </c>
      <c r="AI1825" s="162"/>
      <c r="AJ1825" s="143"/>
      <c r="AK1825" s="143"/>
      <c r="AL1825" s="1112"/>
      <c r="AM1825" s="1112"/>
      <c r="AN1825" s="1112"/>
      <c r="AO1825" s="1112"/>
      <c r="AP1825" s="1112"/>
      <c r="AQ1825" s="1112"/>
    </row>
    <row r="1826" ht="22.5" customHeight="1">
      <c r="A1826" s="166"/>
      <c r="B1826" s="1111"/>
      <c r="C1826" s="524"/>
      <c r="D1826" s="1110"/>
      <c r="E1826" s="669"/>
      <c r="F1826" s="524"/>
      <c r="G1826" s="165"/>
      <c r="H1826" s="669"/>
      <c r="I1826" s="669"/>
      <c r="J1826" s="352"/>
      <c r="K1826" s="271" t="str">
        <f t="shared" si="74"/>
        <v/>
      </c>
      <c r="L1826" s="297"/>
      <c r="M1826" s="334"/>
      <c r="N1826" s="277"/>
      <c r="O1826" s="315"/>
      <c r="P1826" s="344">
        <f t="shared" si="69"/>
        <v>0</v>
      </c>
      <c r="Q1826" s="321"/>
      <c r="R1826" s="672" t="b">
        <v>0</v>
      </c>
      <c r="S1826" s="318"/>
      <c r="T1826" s="319"/>
      <c r="U1826" s="315"/>
      <c r="V1826" s="162"/>
      <c r="W1826" s="149"/>
      <c r="X1826" s="163"/>
      <c r="Y1826" s="162"/>
      <c r="Z1826" s="164"/>
      <c r="AA1826" s="116"/>
      <c r="AB1826" s="116"/>
      <c r="AC1826" s="165"/>
      <c r="AD1826" s="675" t="str">
        <f t="shared" si="76"/>
        <v/>
      </c>
      <c r="AE1826" s="166"/>
      <c r="AF1826" s="149" t="b">
        <v>0</v>
      </c>
      <c r="AG1826" s="166"/>
      <c r="AH1826" s="149" t="b">
        <v>0</v>
      </c>
      <c r="AI1826" s="162"/>
      <c r="AJ1826" s="143"/>
      <c r="AK1826" s="143"/>
      <c r="AL1826" s="1112"/>
      <c r="AM1826" s="1112"/>
      <c r="AN1826" s="1112"/>
      <c r="AO1826" s="1112"/>
      <c r="AP1826" s="1112"/>
      <c r="AQ1826" s="1112"/>
    </row>
    <row r="1827" ht="22.5" customHeight="1">
      <c r="A1827" s="166"/>
      <c r="B1827" s="1111"/>
      <c r="C1827" s="524"/>
      <c r="D1827" s="1110"/>
      <c r="E1827" s="669"/>
      <c r="F1827" s="524"/>
      <c r="G1827" s="165"/>
      <c r="H1827" s="669"/>
      <c r="I1827" s="669"/>
      <c r="J1827" s="352"/>
      <c r="K1827" s="271" t="str">
        <f t="shared" si="74"/>
        <v/>
      </c>
      <c r="L1827" s="297"/>
      <c r="M1827" s="334"/>
      <c r="N1827" s="277"/>
      <c r="O1827" s="315"/>
      <c r="P1827" s="344">
        <f t="shared" si="69"/>
        <v>0</v>
      </c>
      <c r="Q1827" s="321"/>
      <c r="R1827" s="672" t="b">
        <v>0</v>
      </c>
      <c r="S1827" s="318"/>
      <c r="T1827" s="319"/>
      <c r="U1827" s="315"/>
      <c r="V1827" s="162"/>
      <c r="W1827" s="149"/>
      <c r="X1827" s="163"/>
      <c r="Y1827" s="162"/>
      <c r="Z1827" s="164"/>
      <c r="AA1827" s="116"/>
      <c r="AB1827" s="116"/>
      <c r="AC1827" s="165"/>
      <c r="AD1827" s="675" t="str">
        <f t="shared" si="76"/>
        <v/>
      </c>
      <c r="AE1827" s="166"/>
      <c r="AF1827" s="149" t="b">
        <v>0</v>
      </c>
      <c r="AG1827" s="166"/>
      <c r="AH1827" s="149" t="b">
        <v>0</v>
      </c>
      <c r="AI1827" s="162"/>
      <c r="AJ1827" s="143"/>
      <c r="AK1827" s="143"/>
      <c r="AL1827" s="1112"/>
      <c r="AM1827" s="1112"/>
      <c r="AN1827" s="1112"/>
      <c r="AO1827" s="1112"/>
      <c r="AP1827" s="1112"/>
      <c r="AQ1827" s="1112"/>
    </row>
    <row r="1828" ht="22.5" customHeight="1">
      <c r="A1828" s="166"/>
      <c r="B1828" s="1111"/>
      <c r="C1828" s="524"/>
      <c r="D1828" s="1110"/>
      <c r="E1828" s="669"/>
      <c r="F1828" s="524"/>
      <c r="G1828" s="165"/>
      <c r="H1828" s="669"/>
      <c r="I1828" s="669"/>
      <c r="J1828" s="352"/>
      <c r="K1828" s="271" t="str">
        <f t="shared" si="74"/>
        <v/>
      </c>
      <c r="L1828" s="297"/>
      <c r="M1828" s="334"/>
      <c r="N1828" s="277"/>
      <c r="O1828" s="315"/>
      <c r="P1828" s="344">
        <f t="shared" si="69"/>
        <v>0</v>
      </c>
      <c r="Q1828" s="321"/>
      <c r="R1828" s="672" t="b">
        <v>0</v>
      </c>
      <c r="S1828" s="318"/>
      <c r="T1828" s="319"/>
      <c r="U1828" s="315"/>
      <c r="V1828" s="162"/>
      <c r="W1828" s="149"/>
      <c r="X1828" s="163"/>
      <c r="Y1828" s="162"/>
      <c r="Z1828" s="164"/>
      <c r="AA1828" s="116"/>
      <c r="AB1828" s="116"/>
      <c r="AC1828" s="165"/>
      <c r="AD1828" s="675" t="str">
        <f t="shared" si="76"/>
        <v/>
      </c>
      <c r="AE1828" s="166"/>
      <c r="AF1828" s="149" t="b">
        <v>0</v>
      </c>
      <c r="AG1828" s="166"/>
      <c r="AH1828" s="149" t="b">
        <v>0</v>
      </c>
      <c r="AI1828" s="162"/>
      <c r="AJ1828" s="143"/>
      <c r="AK1828" s="143"/>
      <c r="AL1828" s="1112"/>
      <c r="AM1828" s="1112"/>
      <c r="AN1828" s="1112"/>
      <c r="AO1828" s="1112"/>
      <c r="AP1828" s="1112"/>
      <c r="AQ1828" s="1112"/>
    </row>
    <row r="1829" ht="22.5" customHeight="1">
      <c r="A1829" s="166"/>
      <c r="B1829" s="1111"/>
      <c r="C1829" s="524"/>
      <c r="D1829" s="1110"/>
      <c r="E1829" s="669"/>
      <c r="F1829" s="524"/>
      <c r="G1829" s="165"/>
      <c r="H1829" s="669"/>
      <c r="I1829" s="669"/>
      <c r="J1829" s="352"/>
      <c r="K1829" s="271" t="str">
        <f t="shared" si="74"/>
        <v/>
      </c>
      <c r="L1829" s="297"/>
      <c r="M1829" s="334"/>
      <c r="N1829" s="277"/>
      <c r="O1829" s="315"/>
      <c r="P1829" s="344">
        <f t="shared" si="69"/>
        <v>0</v>
      </c>
      <c r="Q1829" s="321"/>
      <c r="R1829" s="672" t="b">
        <v>0</v>
      </c>
      <c r="S1829" s="318"/>
      <c r="T1829" s="319"/>
      <c r="U1829" s="315"/>
      <c r="V1829" s="162"/>
      <c r="W1829" s="149"/>
      <c r="X1829" s="163"/>
      <c r="Y1829" s="162"/>
      <c r="Z1829" s="164"/>
      <c r="AA1829" s="116"/>
      <c r="AB1829" s="116"/>
      <c r="AC1829" s="165"/>
      <c r="AD1829" s="675" t="str">
        <f t="shared" si="76"/>
        <v/>
      </c>
      <c r="AE1829" s="166"/>
      <c r="AF1829" s="149" t="b">
        <v>0</v>
      </c>
      <c r="AG1829" s="166"/>
      <c r="AH1829" s="149" t="b">
        <v>0</v>
      </c>
      <c r="AI1829" s="162"/>
      <c r="AJ1829" s="143"/>
      <c r="AK1829" s="143"/>
      <c r="AL1829" s="1112"/>
      <c r="AM1829" s="1112"/>
      <c r="AN1829" s="1112"/>
      <c r="AO1829" s="1112"/>
      <c r="AP1829" s="1112"/>
      <c r="AQ1829" s="1112"/>
    </row>
    <row r="1830" ht="22.5" customHeight="1">
      <c r="A1830" s="166"/>
      <c r="B1830" s="1111"/>
      <c r="C1830" s="524"/>
      <c r="D1830" s="1110"/>
      <c r="E1830" s="669"/>
      <c r="F1830" s="524"/>
      <c r="G1830" s="165"/>
      <c r="H1830" s="669"/>
      <c r="I1830" s="669"/>
      <c r="J1830" s="352"/>
      <c r="K1830" s="271" t="str">
        <f t="shared" si="74"/>
        <v/>
      </c>
      <c r="L1830" s="297"/>
      <c r="M1830" s="334"/>
      <c r="N1830" s="277"/>
      <c r="O1830" s="315"/>
      <c r="P1830" s="344">
        <f t="shared" si="69"/>
        <v>0</v>
      </c>
      <c r="Q1830" s="321"/>
      <c r="R1830" s="672" t="b">
        <v>0</v>
      </c>
      <c r="S1830" s="318"/>
      <c r="T1830" s="319"/>
      <c r="U1830" s="315"/>
      <c r="V1830" s="162"/>
      <c r="W1830" s="149"/>
      <c r="X1830" s="163"/>
      <c r="Y1830" s="162"/>
      <c r="Z1830" s="164"/>
      <c r="AA1830" s="116"/>
      <c r="AB1830" s="116"/>
      <c r="AC1830" s="165"/>
      <c r="AD1830" s="675" t="str">
        <f t="shared" si="76"/>
        <v/>
      </c>
      <c r="AE1830" s="166"/>
      <c r="AF1830" s="149" t="b">
        <v>0</v>
      </c>
      <c r="AG1830" s="166"/>
      <c r="AH1830" s="149" t="b">
        <v>0</v>
      </c>
      <c r="AI1830" s="162"/>
      <c r="AJ1830" s="143"/>
      <c r="AK1830" s="143"/>
      <c r="AL1830" s="1112"/>
      <c r="AM1830" s="1112"/>
      <c r="AN1830" s="1112"/>
      <c r="AO1830" s="1112"/>
      <c r="AP1830" s="1112"/>
      <c r="AQ1830" s="1112"/>
    </row>
    <row r="1831" ht="22.5" customHeight="1">
      <c r="A1831" s="166"/>
      <c r="B1831" s="1111"/>
      <c r="C1831" s="524"/>
      <c r="D1831" s="1110"/>
      <c r="E1831" s="669"/>
      <c r="F1831" s="524"/>
      <c r="G1831" s="165"/>
      <c r="H1831" s="669"/>
      <c r="I1831" s="669"/>
      <c r="J1831" s="352"/>
      <c r="K1831" s="271" t="str">
        <f t="shared" si="74"/>
        <v/>
      </c>
      <c r="L1831" s="297"/>
      <c r="M1831" s="334"/>
      <c r="N1831" s="277"/>
      <c r="O1831" s="315"/>
      <c r="P1831" s="344">
        <f t="shared" si="69"/>
        <v>0</v>
      </c>
      <c r="Q1831" s="321"/>
      <c r="R1831" s="672" t="b">
        <v>0</v>
      </c>
      <c r="S1831" s="318"/>
      <c r="T1831" s="319"/>
      <c r="U1831" s="315"/>
      <c r="V1831" s="162"/>
      <c r="W1831" s="149"/>
      <c r="X1831" s="163"/>
      <c r="Y1831" s="162"/>
      <c r="Z1831" s="164"/>
      <c r="AA1831" s="116"/>
      <c r="AB1831" s="116"/>
      <c r="AC1831" s="165"/>
      <c r="AD1831" s="675" t="str">
        <f t="shared" si="76"/>
        <v/>
      </c>
      <c r="AE1831" s="166"/>
      <c r="AF1831" s="149" t="b">
        <v>0</v>
      </c>
      <c r="AG1831" s="166"/>
      <c r="AH1831" s="149" t="b">
        <v>0</v>
      </c>
      <c r="AI1831" s="162"/>
      <c r="AJ1831" s="143"/>
      <c r="AK1831" s="143"/>
      <c r="AL1831" s="1112"/>
      <c r="AM1831" s="1112"/>
      <c r="AN1831" s="1112"/>
      <c r="AO1831" s="1112"/>
      <c r="AP1831" s="1112"/>
      <c r="AQ1831" s="1112"/>
    </row>
    <row r="1832" ht="22.5" customHeight="1">
      <c r="A1832" s="166"/>
      <c r="B1832" s="1111"/>
      <c r="C1832" s="524"/>
      <c r="D1832" s="1110"/>
      <c r="E1832" s="669"/>
      <c r="F1832" s="524"/>
      <c r="G1832" s="165"/>
      <c r="H1832" s="669"/>
      <c r="I1832" s="669"/>
      <c r="J1832" s="352"/>
      <c r="K1832" s="271" t="str">
        <f t="shared" si="74"/>
        <v/>
      </c>
      <c r="L1832" s="297"/>
      <c r="M1832" s="334"/>
      <c r="N1832" s="277"/>
      <c r="O1832" s="315"/>
      <c r="P1832" s="344">
        <f t="shared" si="69"/>
        <v>0</v>
      </c>
      <c r="Q1832" s="321"/>
      <c r="R1832" s="672" t="b">
        <v>0</v>
      </c>
      <c r="S1832" s="318"/>
      <c r="T1832" s="319"/>
      <c r="U1832" s="315"/>
      <c r="V1832" s="162"/>
      <c r="W1832" s="149"/>
      <c r="X1832" s="163"/>
      <c r="Y1832" s="162"/>
      <c r="Z1832" s="164"/>
      <c r="AA1832" s="116"/>
      <c r="AB1832" s="116"/>
      <c r="AC1832" s="165"/>
      <c r="AD1832" s="675" t="str">
        <f t="shared" si="76"/>
        <v/>
      </c>
      <c r="AE1832" s="166"/>
      <c r="AF1832" s="149" t="b">
        <v>0</v>
      </c>
      <c r="AG1832" s="166"/>
      <c r="AH1832" s="149" t="b">
        <v>0</v>
      </c>
      <c r="AI1832" s="162"/>
      <c r="AJ1832" s="143"/>
      <c r="AK1832" s="143"/>
      <c r="AL1832" s="1112"/>
      <c r="AM1832" s="1112"/>
      <c r="AN1832" s="1112"/>
      <c r="AO1832" s="1112"/>
      <c r="AP1832" s="1112"/>
      <c r="AQ1832" s="1112"/>
    </row>
    <row r="1833" ht="22.5" customHeight="1">
      <c r="A1833" s="166"/>
      <c r="B1833" s="1111"/>
      <c r="C1833" s="524"/>
      <c r="D1833" s="1110"/>
      <c r="E1833" s="669"/>
      <c r="F1833" s="524"/>
      <c r="G1833" s="165"/>
      <c r="H1833" s="669"/>
      <c r="I1833" s="669"/>
      <c r="J1833" s="352"/>
      <c r="K1833" s="271" t="str">
        <f t="shared" si="74"/>
        <v/>
      </c>
      <c r="L1833" s="297"/>
      <c r="M1833" s="334"/>
      <c r="N1833" s="277"/>
      <c r="O1833" s="315"/>
      <c r="P1833" s="344">
        <f t="shared" si="69"/>
        <v>0</v>
      </c>
      <c r="Q1833" s="321"/>
      <c r="R1833" s="672" t="b">
        <v>0</v>
      </c>
      <c r="S1833" s="318"/>
      <c r="T1833" s="319"/>
      <c r="U1833" s="315"/>
      <c r="V1833" s="162"/>
      <c r="W1833" s="149"/>
      <c r="X1833" s="163"/>
      <c r="Y1833" s="162"/>
      <c r="Z1833" s="164"/>
      <c r="AA1833" s="116"/>
      <c r="AB1833" s="116"/>
      <c r="AC1833" s="165"/>
      <c r="AD1833" s="675" t="str">
        <f t="shared" si="76"/>
        <v/>
      </c>
      <c r="AE1833" s="166"/>
      <c r="AF1833" s="149" t="b">
        <v>0</v>
      </c>
      <c r="AG1833" s="166"/>
      <c r="AH1833" s="149" t="b">
        <v>0</v>
      </c>
      <c r="AI1833" s="162"/>
      <c r="AJ1833" s="143"/>
      <c r="AK1833" s="143"/>
      <c r="AL1833" s="1112"/>
      <c r="AM1833" s="1112"/>
      <c r="AN1833" s="1112"/>
      <c r="AO1833" s="1112"/>
      <c r="AP1833" s="1112"/>
      <c r="AQ1833" s="1112"/>
    </row>
    <row r="1834" ht="22.5" customHeight="1">
      <c r="A1834" s="166"/>
      <c r="B1834" s="1111"/>
      <c r="C1834" s="524"/>
      <c r="D1834" s="1110"/>
      <c r="E1834" s="669"/>
      <c r="F1834" s="524"/>
      <c r="G1834" s="165"/>
      <c r="H1834" s="669"/>
      <c r="I1834" s="669"/>
      <c r="J1834" s="352"/>
      <c r="K1834" s="271" t="str">
        <f t="shared" si="74"/>
        <v/>
      </c>
      <c r="L1834" s="297"/>
      <c r="M1834" s="334"/>
      <c r="N1834" s="277"/>
      <c r="O1834" s="315"/>
      <c r="P1834" s="344">
        <f t="shared" si="69"/>
        <v>0</v>
      </c>
      <c r="Q1834" s="321"/>
      <c r="R1834" s="672" t="b">
        <v>0</v>
      </c>
      <c r="S1834" s="318"/>
      <c r="T1834" s="319"/>
      <c r="U1834" s="315"/>
      <c r="V1834" s="162"/>
      <c r="W1834" s="149"/>
      <c r="X1834" s="163"/>
      <c r="Y1834" s="162"/>
      <c r="Z1834" s="164"/>
      <c r="AA1834" s="116"/>
      <c r="AB1834" s="116"/>
      <c r="AC1834" s="165"/>
      <c r="AD1834" s="675" t="str">
        <f t="shared" si="76"/>
        <v/>
      </c>
      <c r="AE1834" s="166"/>
      <c r="AF1834" s="149" t="b">
        <v>0</v>
      </c>
      <c r="AG1834" s="166"/>
      <c r="AH1834" s="149" t="b">
        <v>0</v>
      </c>
      <c r="AI1834" s="162"/>
      <c r="AJ1834" s="143"/>
      <c r="AK1834" s="143"/>
      <c r="AL1834" s="1112"/>
      <c r="AM1834" s="1112"/>
      <c r="AN1834" s="1112"/>
      <c r="AO1834" s="1112"/>
      <c r="AP1834" s="1112"/>
      <c r="AQ1834" s="1112"/>
    </row>
    <row r="1835" ht="22.5" customHeight="1">
      <c r="A1835" s="166"/>
      <c r="B1835" s="1111"/>
      <c r="C1835" s="524"/>
      <c r="D1835" s="1110"/>
      <c r="E1835" s="669"/>
      <c r="F1835" s="524"/>
      <c r="G1835" s="165"/>
      <c r="H1835" s="669"/>
      <c r="I1835" s="669"/>
      <c r="J1835" s="352"/>
      <c r="K1835" s="271" t="str">
        <f t="shared" si="74"/>
        <v/>
      </c>
      <c r="L1835" s="297"/>
      <c r="M1835" s="334"/>
      <c r="N1835" s="277"/>
      <c r="O1835" s="315"/>
      <c r="P1835" s="344">
        <f t="shared" si="69"/>
        <v>0</v>
      </c>
      <c r="Q1835" s="321"/>
      <c r="R1835" s="672" t="b">
        <v>0</v>
      </c>
      <c r="S1835" s="318"/>
      <c r="T1835" s="319"/>
      <c r="U1835" s="315"/>
      <c r="V1835" s="162"/>
      <c r="W1835" s="149"/>
      <c r="X1835" s="163"/>
      <c r="Y1835" s="162"/>
      <c r="Z1835" s="164"/>
      <c r="AA1835" s="116"/>
      <c r="AB1835" s="116"/>
      <c r="AC1835" s="165"/>
      <c r="AD1835" s="675" t="str">
        <f t="shared" si="76"/>
        <v/>
      </c>
      <c r="AE1835" s="166"/>
      <c r="AF1835" s="149" t="b">
        <v>0</v>
      </c>
      <c r="AG1835" s="166"/>
      <c r="AH1835" s="149" t="b">
        <v>0</v>
      </c>
      <c r="AI1835" s="162"/>
      <c r="AJ1835" s="143"/>
      <c r="AK1835" s="143"/>
      <c r="AL1835" s="1112"/>
      <c r="AM1835" s="1112"/>
      <c r="AN1835" s="1112"/>
      <c r="AO1835" s="1112"/>
      <c r="AP1835" s="1112"/>
      <c r="AQ1835" s="1112"/>
    </row>
    <row r="1836" ht="22.5" customHeight="1">
      <c r="A1836" s="166"/>
      <c r="B1836" s="1111"/>
      <c r="C1836" s="524"/>
      <c r="D1836" s="1110"/>
      <c r="E1836" s="669"/>
      <c r="F1836" s="524"/>
      <c r="G1836" s="165"/>
      <c r="H1836" s="669"/>
      <c r="I1836" s="669"/>
      <c r="J1836" s="352"/>
      <c r="K1836" s="271" t="str">
        <f t="shared" si="74"/>
        <v/>
      </c>
      <c r="L1836" s="297"/>
      <c r="M1836" s="334"/>
      <c r="N1836" s="277"/>
      <c r="O1836" s="315"/>
      <c r="P1836" s="344">
        <f t="shared" si="69"/>
        <v>0</v>
      </c>
      <c r="Q1836" s="321"/>
      <c r="R1836" s="672" t="b">
        <v>0</v>
      </c>
      <c r="S1836" s="318"/>
      <c r="T1836" s="319"/>
      <c r="U1836" s="315"/>
      <c r="V1836" s="162"/>
      <c r="W1836" s="149"/>
      <c r="X1836" s="163"/>
      <c r="Y1836" s="162"/>
      <c r="Z1836" s="164"/>
      <c r="AA1836" s="116"/>
      <c r="AB1836" s="116"/>
      <c r="AC1836" s="165"/>
      <c r="AD1836" s="675" t="str">
        <f t="shared" si="76"/>
        <v/>
      </c>
      <c r="AE1836" s="166"/>
      <c r="AF1836" s="149" t="b">
        <v>0</v>
      </c>
      <c r="AG1836" s="166"/>
      <c r="AH1836" s="149" t="b">
        <v>0</v>
      </c>
      <c r="AI1836" s="162"/>
      <c r="AJ1836" s="143"/>
      <c r="AK1836" s="143"/>
      <c r="AL1836" s="1112"/>
      <c r="AM1836" s="1112"/>
      <c r="AN1836" s="1112"/>
      <c r="AO1836" s="1112"/>
      <c r="AP1836" s="1112"/>
      <c r="AQ1836" s="1112"/>
    </row>
    <row r="1837" ht="22.5" customHeight="1">
      <c r="A1837" s="166"/>
      <c r="B1837" s="1111"/>
      <c r="C1837" s="524"/>
      <c r="D1837" s="1110"/>
      <c r="E1837" s="669"/>
      <c r="F1837" s="524"/>
      <c r="G1837" s="165"/>
      <c r="H1837" s="669"/>
      <c r="I1837" s="669"/>
      <c r="J1837" s="352"/>
      <c r="K1837" s="271" t="str">
        <f t="shared" si="74"/>
        <v/>
      </c>
      <c r="L1837" s="297"/>
      <c r="M1837" s="334"/>
      <c r="N1837" s="277"/>
      <c r="O1837" s="315"/>
      <c r="P1837" s="344">
        <f t="shared" si="69"/>
        <v>0</v>
      </c>
      <c r="Q1837" s="321"/>
      <c r="R1837" s="672" t="b">
        <v>0</v>
      </c>
      <c r="S1837" s="318"/>
      <c r="T1837" s="319"/>
      <c r="U1837" s="315"/>
      <c r="V1837" s="162"/>
      <c r="W1837" s="149"/>
      <c r="X1837" s="163"/>
      <c r="Y1837" s="162"/>
      <c r="Z1837" s="164"/>
      <c r="AA1837" s="116"/>
      <c r="AB1837" s="116"/>
      <c r="AC1837" s="165"/>
      <c r="AD1837" s="675" t="str">
        <f t="shared" si="76"/>
        <v/>
      </c>
      <c r="AE1837" s="166"/>
      <c r="AF1837" s="149" t="b">
        <v>0</v>
      </c>
      <c r="AG1837" s="166"/>
      <c r="AH1837" s="149" t="b">
        <v>0</v>
      </c>
      <c r="AI1837" s="162"/>
      <c r="AJ1837" s="143"/>
      <c r="AK1837" s="143"/>
      <c r="AL1837" s="1112"/>
      <c r="AM1837" s="1112"/>
      <c r="AN1837" s="1112"/>
      <c r="AO1837" s="1112"/>
      <c r="AP1837" s="1112"/>
      <c r="AQ1837" s="1112"/>
    </row>
    <row r="1838" ht="22.5" customHeight="1">
      <c r="A1838" s="166"/>
      <c r="B1838" s="1111"/>
      <c r="C1838" s="524"/>
      <c r="D1838" s="1110"/>
      <c r="E1838" s="669"/>
      <c r="F1838" s="524"/>
      <c r="G1838" s="165"/>
      <c r="H1838" s="669"/>
      <c r="I1838" s="669"/>
      <c r="J1838" s="352"/>
      <c r="K1838" s="271" t="str">
        <f t="shared" si="74"/>
        <v/>
      </c>
      <c r="L1838" s="297"/>
      <c r="M1838" s="334"/>
      <c r="N1838" s="277"/>
      <c r="O1838" s="315"/>
      <c r="P1838" s="344">
        <f t="shared" si="69"/>
        <v>0</v>
      </c>
      <c r="Q1838" s="321"/>
      <c r="R1838" s="672" t="b">
        <v>0</v>
      </c>
      <c r="S1838" s="318"/>
      <c r="T1838" s="319"/>
      <c r="U1838" s="315"/>
      <c r="V1838" s="162"/>
      <c r="W1838" s="149"/>
      <c r="X1838" s="163"/>
      <c r="Y1838" s="162"/>
      <c r="Z1838" s="164"/>
      <c r="AA1838" s="116"/>
      <c r="AB1838" s="116"/>
      <c r="AC1838" s="165"/>
      <c r="AD1838" s="675" t="str">
        <f t="shared" si="76"/>
        <v/>
      </c>
      <c r="AE1838" s="166"/>
      <c r="AF1838" s="149" t="b">
        <v>0</v>
      </c>
      <c r="AG1838" s="166"/>
      <c r="AH1838" s="149" t="b">
        <v>0</v>
      </c>
      <c r="AI1838" s="162"/>
      <c r="AJ1838" s="143"/>
      <c r="AK1838" s="143"/>
      <c r="AL1838" s="1112"/>
      <c r="AM1838" s="1112"/>
      <c r="AN1838" s="1112"/>
      <c r="AO1838" s="1112"/>
      <c r="AP1838" s="1112"/>
      <c r="AQ1838" s="1112"/>
    </row>
    <row r="1839" ht="22.5" customHeight="1">
      <c r="A1839" s="166"/>
      <c r="B1839" s="1111"/>
      <c r="C1839" s="524"/>
      <c r="D1839" s="1110"/>
      <c r="E1839" s="669"/>
      <c r="F1839" s="524"/>
      <c r="G1839" s="165"/>
      <c r="H1839" s="669"/>
      <c r="I1839" s="669"/>
      <c r="J1839" s="352"/>
      <c r="K1839" s="271" t="str">
        <f t="shared" si="74"/>
        <v/>
      </c>
      <c r="L1839" s="297"/>
      <c r="M1839" s="334"/>
      <c r="N1839" s="277"/>
      <c r="O1839" s="315"/>
      <c r="P1839" s="344">
        <f t="shared" si="69"/>
        <v>0</v>
      </c>
      <c r="Q1839" s="321"/>
      <c r="R1839" s="672" t="b">
        <v>0</v>
      </c>
      <c r="S1839" s="318"/>
      <c r="T1839" s="319"/>
      <c r="U1839" s="315"/>
      <c r="V1839" s="162"/>
      <c r="W1839" s="149"/>
      <c r="X1839" s="163"/>
      <c r="Y1839" s="162"/>
      <c r="Z1839" s="164"/>
      <c r="AA1839" s="116"/>
      <c r="AB1839" s="116"/>
      <c r="AC1839" s="165"/>
      <c r="AD1839" s="675" t="str">
        <f t="shared" si="76"/>
        <v/>
      </c>
      <c r="AE1839" s="166"/>
      <c r="AF1839" s="149" t="b">
        <v>0</v>
      </c>
      <c r="AG1839" s="166"/>
      <c r="AH1839" s="149" t="b">
        <v>0</v>
      </c>
      <c r="AI1839" s="162"/>
      <c r="AJ1839" s="143"/>
      <c r="AK1839" s="143"/>
      <c r="AL1839" s="1112"/>
      <c r="AM1839" s="1112"/>
      <c r="AN1839" s="1112"/>
      <c r="AO1839" s="1112"/>
      <c r="AP1839" s="1112"/>
      <c r="AQ1839" s="1112"/>
    </row>
    <row r="1840" ht="22.5" customHeight="1">
      <c r="A1840" s="166"/>
      <c r="B1840" s="1111"/>
      <c r="C1840" s="524"/>
      <c r="D1840" s="1110"/>
      <c r="E1840" s="669"/>
      <c r="F1840" s="524"/>
      <c r="G1840" s="165"/>
      <c r="H1840" s="669"/>
      <c r="I1840" s="669"/>
      <c r="J1840" s="352"/>
      <c r="K1840" s="271" t="str">
        <f t="shared" si="74"/>
        <v/>
      </c>
      <c r="L1840" s="297"/>
      <c r="M1840" s="334"/>
      <c r="N1840" s="277"/>
      <c r="O1840" s="315"/>
      <c r="P1840" s="344">
        <f t="shared" si="69"/>
        <v>0</v>
      </c>
      <c r="Q1840" s="321"/>
      <c r="R1840" s="672" t="b">
        <v>0</v>
      </c>
      <c r="S1840" s="318"/>
      <c r="T1840" s="319"/>
      <c r="U1840" s="315"/>
      <c r="V1840" s="162"/>
      <c r="W1840" s="149"/>
      <c r="X1840" s="163"/>
      <c r="Y1840" s="162"/>
      <c r="Z1840" s="164"/>
      <c r="AA1840" s="116"/>
      <c r="AB1840" s="116"/>
      <c r="AC1840" s="165"/>
      <c r="AD1840" s="675" t="str">
        <f t="shared" si="76"/>
        <v/>
      </c>
      <c r="AE1840" s="166"/>
      <c r="AF1840" s="149" t="b">
        <v>0</v>
      </c>
      <c r="AG1840" s="166"/>
      <c r="AH1840" s="149" t="b">
        <v>0</v>
      </c>
      <c r="AI1840" s="162"/>
      <c r="AJ1840" s="143"/>
      <c r="AK1840" s="143"/>
      <c r="AL1840" s="1112"/>
      <c r="AM1840" s="1112"/>
      <c r="AN1840" s="1112"/>
      <c r="AO1840" s="1112"/>
      <c r="AP1840" s="1112"/>
      <c r="AQ1840" s="1112"/>
    </row>
    <row r="1841" ht="22.5" customHeight="1">
      <c r="A1841" s="166"/>
      <c r="B1841" s="1111"/>
      <c r="C1841" s="524"/>
      <c r="D1841" s="1110"/>
      <c r="E1841" s="669"/>
      <c r="F1841" s="524"/>
      <c r="G1841" s="165"/>
      <c r="H1841" s="669"/>
      <c r="I1841" s="669"/>
      <c r="J1841" s="352"/>
      <c r="K1841" s="271" t="str">
        <f t="shared" si="74"/>
        <v/>
      </c>
      <c r="L1841" s="297"/>
      <c r="M1841" s="334"/>
      <c r="N1841" s="277"/>
      <c r="O1841" s="315"/>
      <c r="P1841" s="344">
        <f t="shared" si="69"/>
        <v>0</v>
      </c>
      <c r="Q1841" s="321"/>
      <c r="R1841" s="672" t="b">
        <v>0</v>
      </c>
      <c r="S1841" s="318"/>
      <c r="T1841" s="319"/>
      <c r="U1841" s="315"/>
      <c r="V1841" s="162"/>
      <c r="W1841" s="149"/>
      <c r="X1841" s="163"/>
      <c r="Y1841" s="162"/>
      <c r="Z1841" s="164"/>
      <c r="AA1841" s="116"/>
      <c r="AB1841" s="116"/>
      <c r="AC1841" s="165"/>
      <c r="AD1841" s="675" t="str">
        <f t="shared" si="76"/>
        <v/>
      </c>
      <c r="AE1841" s="166"/>
      <c r="AF1841" s="149" t="b">
        <v>0</v>
      </c>
      <c r="AG1841" s="166"/>
      <c r="AH1841" s="149" t="b">
        <v>0</v>
      </c>
      <c r="AI1841" s="162"/>
      <c r="AJ1841" s="143"/>
      <c r="AK1841" s="143"/>
      <c r="AL1841" s="1112"/>
      <c r="AM1841" s="1112"/>
      <c r="AN1841" s="1112"/>
      <c r="AO1841" s="1112"/>
      <c r="AP1841" s="1112"/>
      <c r="AQ1841" s="1112"/>
    </row>
    <row r="1842" ht="22.5" customHeight="1">
      <c r="A1842" s="166"/>
      <c r="B1842" s="1111"/>
      <c r="C1842" s="524"/>
      <c r="D1842" s="1110"/>
      <c r="E1842" s="669"/>
      <c r="F1842" s="524"/>
      <c r="G1842" s="165"/>
      <c r="H1842" s="669"/>
      <c r="I1842" s="669"/>
      <c r="J1842" s="352"/>
      <c r="K1842" s="271" t="str">
        <f t="shared" si="74"/>
        <v/>
      </c>
      <c r="L1842" s="297"/>
      <c r="M1842" s="334"/>
      <c r="N1842" s="277"/>
      <c r="O1842" s="315"/>
      <c r="P1842" s="344">
        <f t="shared" si="69"/>
        <v>0</v>
      </c>
      <c r="Q1842" s="321"/>
      <c r="R1842" s="672" t="b">
        <v>0</v>
      </c>
      <c r="S1842" s="318"/>
      <c r="T1842" s="319"/>
      <c r="U1842" s="315"/>
      <c r="V1842" s="162"/>
      <c r="W1842" s="149"/>
      <c r="X1842" s="163"/>
      <c r="Y1842" s="162"/>
      <c r="Z1842" s="164"/>
      <c r="AA1842" s="116"/>
      <c r="AB1842" s="116"/>
      <c r="AC1842" s="165"/>
      <c r="AD1842" s="675" t="str">
        <f t="shared" si="76"/>
        <v/>
      </c>
      <c r="AE1842" s="166"/>
      <c r="AF1842" s="149" t="b">
        <v>0</v>
      </c>
      <c r="AG1842" s="166"/>
      <c r="AH1842" s="149" t="b">
        <v>0</v>
      </c>
      <c r="AI1842" s="162"/>
      <c r="AJ1842" s="143"/>
      <c r="AK1842" s="143"/>
      <c r="AL1842" s="1112"/>
      <c r="AM1842" s="1112"/>
      <c r="AN1842" s="1112"/>
      <c r="AO1842" s="1112"/>
      <c r="AP1842" s="1112"/>
      <c r="AQ1842" s="1112"/>
    </row>
    <row r="1843" ht="22.5" customHeight="1">
      <c r="A1843" s="166"/>
      <c r="B1843" s="1111"/>
      <c r="C1843" s="524"/>
      <c r="D1843" s="1110"/>
      <c r="E1843" s="669"/>
      <c r="F1843" s="524"/>
      <c r="G1843" s="165"/>
      <c r="H1843" s="669"/>
      <c r="I1843" s="669"/>
      <c r="J1843" s="352"/>
      <c r="K1843" s="271" t="str">
        <f t="shared" si="74"/>
        <v/>
      </c>
      <c r="L1843" s="297"/>
      <c r="M1843" s="334"/>
      <c r="N1843" s="277"/>
      <c r="O1843" s="315"/>
      <c r="P1843" s="344">
        <f t="shared" si="69"/>
        <v>0</v>
      </c>
      <c r="Q1843" s="321"/>
      <c r="R1843" s="672" t="b">
        <v>0</v>
      </c>
      <c r="S1843" s="318"/>
      <c r="T1843" s="319"/>
      <c r="U1843" s="315"/>
      <c r="V1843" s="162"/>
      <c r="W1843" s="149"/>
      <c r="X1843" s="163"/>
      <c r="Y1843" s="162"/>
      <c r="Z1843" s="164"/>
      <c r="AA1843" s="116"/>
      <c r="AB1843" s="116"/>
      <c r="AC1843" s="165"/>
      <c r="AD1843" s="675" t="str">
        <f t="shared" si="76"/>
        <v/>
      </c>
      <c r="AE1843" s="166"/>
      <c r="AF1843" s="149" t="b">
        <v>0</v>
      </c>
      <c r="AG1843" s="166"/>
      <c r="AH1843" s="149" t="b">
        <v>0</v>
      </c>
      <c r="AI1843" s="162"/>
      <c r="AJ1843" s="143"/>
      <c r="AK1843" s="143"/>
      <c r="AL1843" s="1112"/>
      <c r="AM1843" s="1112"/>
      <c r="AN1843" s="1112"/>
      <c r="AO1843" s="1112"/>
      <c r="AP1843" s="1112"/>
      <c r="AQ1843" s="1112"/>
    </row>
    <row r="1844" ht="22.5" customHeight="1">
      <c r="A1844" s="166"/>
      <c r="B1844" s="1111"/>
      <c r="C1844" s="524"/>
      <c r="D1844" s="1110"/>
      <c r="E1844" s="669"/>
      <c r="F1844" s="524"/>
      <c r="G1844" s="165"/>
      <c r="H1844" s="669"/>
      <c r="I1844" s="669"/>
      <c r="J1844" s="352"/>
      <c r="K1844" s="271" t="str">
        <f t="shared" si="74"/>
        <v/>
      </c>
      <c r="L1844" s="297"/>
      <c r="M1844" s="334"/>
      <c r="N1844" s="277"/>
      <c r="O1844" s="315"/>
      <c r="P1844" s="344">
        <f t="shared" si="69"/>
        <v>0</v>
      </c>
      <c r="Q1844" s="321"/>
      <c r="R1844" s="672" t="b">
        <v>0</v>
      </c>
      <c r="S1844" s="318"/>
      <c r="T1844" s="319"/>
      <c r="U1844" s="315"/>
      <c r="V1844" s="162"/>
      <c r="W1844" s="149"/>
      <c r="X1844" s="163"/>
      <c r="Y1844" s="162"/>
      <c r="Z1844" s="164"/>
      <c r="AA1844" s="116"/>
      <c r="AB1844" s="116"/>
      <c r="AC1844" s="165"/>
      <c r="AD1844" s="675" t="str">
        <f t="shared" si="76"/>
        <v/>
      </c>
      <c r="AE1844" s="166"/>
      <c r="AF1844" s="149" t="b">
        <v>0</v>
      </c>
      <c r="AG1844" s="166"/>
      <c r="AH1844" s="149" t="b">
        <v>0</v>
      </c>
      <c r="AI1844" s="162"/>
      <c r="AJ1844" s="143"/>
      <c r="AK1844" s="143"/>
      <c r="AL1844" s="1112"/>
      <c r="AM1844" s="1112"/>
      <c r="AN1844" s="1112"/>
      <c r="AO1844" s="1112"/>
      <c r="AP1844" s="1112"/>
      <c r="AQ1844" s="1112"/>
    </row>
    <row r="1845" ht="22.5" customHeight="1">
      <c r="A1845" s="166"/>
      <c r="B1845" s="1111"/>
      <c r="C1845" s="524"/>
      <c r="D1845" s="1110"/>
      <c r="E1845" s="669"/>
      <c r="F1845" s="524"/>
      <c r="G1845" s="165"/>
      <c r="H1845" s="669"/>
      <c r="I1845" s="669"/>
      <c r="J1845" s="352"/>
      <c r="K1845" s="271" t="str">
        <f t="shared" si="74"/>
        <v/>
      </c>
      <c r="L1845" s="297"/>
      <c r="M1845" s="334"/>
      <c r="N1845" s="277"/>
      <c r="O1845" s="315"/>
      <c r="P1845" s="344">
        <f t="shared" si="69"/>
        <v>0</v>
      </c>
      <c r="Q1845" s="321"/>
      <c r="R1845" s="672" t="b">
        <v>0</v>
      </c>
      <c r="S1845" s="318"/>
      <c r="T1845" s="319"/>
      <c r="U1845" s="315"/>
      <c r="V1845" s="162"/>
      <c r="W1845" s="149"/>
      <c r="X1845" s="163"/>
      <c r="Y1845" s="162"/>
      <c r="Z1845" s="164"/>
      <c r="AA1845" s="116"/>
      <c r="AB1845" s="116"/>
      <c r="AC1845" s="165"/>
      <c r="AD1845" s="675" t="str">
        <f t="shared" si="76"/>
        <v/>
      </c>
      <c r="AE1845" s="166"/>
      <c r="AF1845" s="149" t="b">
        <v>0</v>
      </c>
      <c r="AG1845" s="166"/>
      <c r="AH1845" s="149" t="b">
        <v>0</v>
      </c>
      <c r="AI1845" s="162"/>
      <c r="AJ1845" s="143"/>
      <c r="AK1845" s="143"/>
      <c r="AL1845" s="1112"/>
      <c r="AM1845" s="1112"/>
      <c r="AN1845" s="1112"/>
      <c r="AO1845" s="1112"/>
      <c r="AP1845" s="1112"/>
      <c r="AQ1845" s="1112"/>
    </row>
    <row r="1846" ht="22.5" customHeight="1">
      <c r="A1846" s="166"/>
      <c r="B1846" s="1111"/>
      <c r="C1846" s="524"/>
      <c r="D1846" s="1110"/>
      <c r="E1846" s="669"/>
      <c r="F1846" s="524"/>
      <c r="G1846" s="165"/>
      <c r="H1846" s="669"/>
      <c r="I1846" s="669"/>
      <c r="J1846" s="352"/>
      <c r="K1846" s="271" t="str">
        <f t="shared" si="74"/>
        <v/>
      </c>
      <c r="L1846" s="297"/>
      <c r="M1846" s="334"/>
      <c r="N1846" s="277"/>
      <c r="O1846" s="315"/>
      <c r="P1846" s="344">
        <f t="shared" si="69"/>
        <v>0</v>
      </c>
      <c r="Q1846" s="321"/>
      <c r="R1846" s="672" t="b">
        <v>0</v>
      </c>
      <c r="S1846" s="318"/>
      <c r="T1846" s="319"/>
      <c r="U1846" s="315"/>
      <c r="V1846" s="162"/>
      <c r="W1846" s="149"/>
      <c r="X1846" s="163"/>
      <c r="Y1846" s="162"/>
      <c r="Z1846" s="164"/>
      <c r="AA1846" s="116"/>
      <c r="AB1846" s="116"/>
      <c r="AC1846" s="165"/>
      <c r="AD1846" s="675" t="str">
        <f t="shared" si="76"/>
        <v/>
      </c>
      <c r="AE1846" s="166"/>
      <c r="AF1846" s="149" t="b">
        <v>0</v>
      </c>
      <c r="AG1846" s="166"/>
      <c r="AH1846" s="149" t="b">
        <v>0</v>
      </c>
      <c r="AI1846" s="162"/>
      <c r="AJ1846" s="143"/>
      <c r="AK1846" s="143"/>
      <c r="AL1846" s="1112"/>
      <c r="AM1846" s="1112"/>
      <c r="AN1846" s="1112"/>
      <c r="AO1846" s="1112"/>
      <c r="AP1846" s="1112"/>
      <c r="AQ1846" s="1112"/>
    </row>
    <row r="1847" ht="22.5" customHeight="1">
      <c r="A1847" s="166"/>
      <c r="B1847" s="1111"/>
      <c r="C1847" s="524"/>
      <c r="D1847" s="1110"/>
      <c r="E1847" s="669"/>
      <c r="F1847" s="524"/>
      <c r="G1847" s="165"/>
      <c r="H1847" s="669"/>
      <c r="I1847" s="669"/>
      <c r="J1847" s="352"/>
      <c r="K1847" s="271" t="str">
        <f t="shared" si="74"/>
        <v/>
      </c>
      <c r="L1847" s="297"/>
      <c r="M1847" s="334"/>
      <c r="N1847" s="277"/>
      <c r="O1847" s="315"/>
      <c r="P1847" s="344">
        <f t="shared" si="69"/>
        <v>0</v>
      </c>
      <c r="Q1847" s="321"/>
      <c r="R1847" s="672" t="b">
        <v>0</v>
      </c>
      <c r="S1847" s="318"/>
      <c r="T1847" s="319"/>
      <c r="U1847" s="315"/>
      <c r="V1847" s="162"/>
      <c r="W1847" s="149"/>
      <c r="X1847" s="163"/>
      <c r="Y1847" s="162"/>
      <c r="Z1847" s="164"/>
      <c r="AA1847" s="116"/>
      <c r="AB1847" s="116"/>
      <c r="AC1847" s="165"/>
      <c r="AD1847" s="675" t="str">
        <f t="shared" si="76"/>
        <v/>
      </c>
      <c r="AE1847" s="166"/>
      <c r="AF1847" s="149" t="b">
        <v>0</v>
      </c>
      <c r="AG1847" s="166"/>
      <c r="AH1847" s="149" t="b">
        <v>0</v>
      </c>
      <c r="AI1847" s="162"/>
      <c r="AJ1847" s="143"/>
      <c r="AK1847" s="143"/>
      <c r="AL1847" s="1112"/>
      <c r="AM1847" s="1112"/>
      <c r="AN1847" s="1112"/>
      <c r="AO1847" s="1112"/>
      <c r="AP1847" s="1112"/>
      <c r="AQ1847" s="1112"/>
    </row>
    <row r="1848" ht="22.5" customHeight="1">
      <c r="A1848" s="166"/>
      <c r="B1848" s="1111"/>
      <c r="C1848" s="524"/>
      <c r="D1848" s="1110"/>
      <c r="E1848" s="669"/>
      <c r="F1848" s="524"/>
      <c r="G1848" s="165"/>
      <c r="H1848" s="669"/>
      <c r="I1848" s="669"/>
      <c r="J1848" s="352"/>
      <c r="K1848" s="271" t="str">
        <f t="shared" si="74"/>
        <v/>
      </c>
      <c r="L1848" s="297"/>
      <c r="M1848" s="334"/>
      <c r="N1848" s="277"/>
      <c r="O1848" s="315"/>
      <c r="P1848" s="344">
        <f t="shared" si="69"/>
        <v>0</v>
      </c>
      <c r="Q1848" s="321"/>
      <c r="R1848" s="672" t="b">
        <v>0</v>
      </c>
      <c r="S1848" s="318"/>
      <c r="T1848" s="319"/>
      <c r="U1848" s="315"/>
      <c r="V1848" s="162"/>
      <c r="W1848" s="149"/>
      <c r="X1848" s="163"/>
      <c r="Y1848" s="162"/>
      <c r="Z1848" s="164"/>
      <c r="AA1848" s="116"/>
      <c r="AB1848" s="116"/>
      <c r="AC1848" s="165"/>
      <c r="AD1848" s="675" t="str">
        <f t="shared" si="76"/>
        <v/>
      </c>
      <c r="AE1848" s="166"/>
      <c r="AF1848" s="149" t="b">
        <v>0</v>
      </c>
      <c r="AG1848" s="166"/>
      <c r="AH1848" s="149" t="b">
        <v>0</v>
      </c>
      <c r="AI1848" s="162"/>
      <c r="AJ1848" s="143"/>
      <c r="AK1848" s="143"/>
      <c r="AL1848" s="1112"/>
      <c r="AM1848" s="1112"/>
      <c r="AN1848" s="1112"/>
      <c r="AO1848" s="1112"/>
      <c r="AP1848" s="1112"/>
      <c r="AQ1848" s="1112"/>
    </row>
    <row r="1849" ht="22.5" customHeight="1">
      <c r="A1849" s="166"/>
      <c r="B1849" s="1111"/>
      <c r="C1849" s="524"/>
      <c r="D1849" s="1110"/>
      <c r="E1849" s="669"/>
      <c r="F1849" s="524"/>
      <c r="G1849" s="165"/>
      <c r="H1849" s="669"/>
      <c r="I1849" s="669"/>
      <c r="J1849" s="352"/>
      <c r="K1849" s="271" t="str">
        <f t="shared" si="74"/>
        <v/>
      </c>
      <c r="L1849" s="297"/>
      <c r="M1849" s="334"/>
      <c r="N1849" s="277"/>
      <c r="O1849" s="315"/>
      <c r="P1849" s="344">
        <f t="shared" si="69"/>
        <v>0</v>
      </c>
      <c r="Q1849" s="321"/>
      <c r="R1849" s="672" t="b">
        <v>0</v>
      </c>
      <c r="S1849" s="318"/>
      <c r="T1849" s="319"/>
      <c r="U1849" s="315"/>
      <c r="V1849" s="162"/>
      <c r="W1849" s="149"/>
      <c r="X1849" s="163"/>
      <c r="Y1849" s="162"/>
      <c r="Z1849" s="164"/>
      <c r="AA1849" s="116"/>
      <c r="AB1849" s="116"/>
      <c r="AC1849" s="165"/>
      <c r="AD1849" s="675" t="str">
        <f t="shared" si="76"/>
        <v/>
      </c>
      <c r="AE1849" s="166"/>
      <c r="AF1849" s="149" t="b">
        <v>0</v>
      </c>
      <c r="AG1849" s="166"/>
      <c r="AH1849" s="149" t="b">
        <v>0</v>
      </c>
      <c r="AI1849" s="162"/>
      <c r="AJ1849" s="143"/>
      <c r="AK1849" s="143"/>
      <c r="AL1849" s="1112"/>
      <c r="AM1849" s="1112"/>
      <c r="AN1849" s="1112"/>
      <c r="AO1849" s="1112"/>
      <c r="AP1849" s="1112"/>
      <c r="AQ1849" s="1112"/>
    </row>
    <row r="1850" ht="22.5" customHeight="1">
      <c r="A1850" s="166"/>
      <c r="B1850" s="1111"/>
      <c r="C1850" s="524"/>
      <c r="D1850" s="1110"/>
      <c r="E1850" s="669"/>
      <c r="F1850" s="524"/>
      <c r="G1850" s="165"/>
      <c r="H1850" s="669"/>
      <c r="I1850" s="669"/>
      <c r="J1850" s="352"/>
      <c r="K1850" s="271" t="str">
        <f t="shared" si="74"/>
        <v/>
      </c>
      <c r="L1850" s="297"/>
      <c r="M1850" s="334"/>
      <c r="N1850" s="277"/>
      <c r="O1850" s="315"/>
      <c r="P1850" s="344">
        <f t="shared" si="69"/>
        <v>0</v>
      </c>
      <c r="Q1850" s="321"/>
      <c r="R1850" s="672" t="b">
        <v>0</v>
      </c>
      <c r="S1850" s="318"/>
      <c r="T1850" s="319"/>
      <c r="U1850" s="315"/>
      <c r="V1850" s="162"/>
      <c r="W1850" s="149"/>
      <c r="X1850" s="163"/>
      <c r="Y1850" s="162"/>
      <c r="Z1850" s="164"/>
      <c r="AA1850" s="116"/>
      <c r="AB1850" s="116"/>
      <c r="AC1850" s="165"/>
      <c r="AD1850" s="675" t="str">
        <f t="shared" si="76"/>
        <v/>
      </c>
      <c r="AE1850" s="166"/>
      <c r="AF1850" s="149" t="b">
        <v>0</v>
      </c>
      <c r="AG1850" s="166"/>
      <c r="AH1850" s="149" t="b">
        <v>0</v>
      </c>
      <c r="AI1850" s="162"/>
      <c r="AJ1850" s="143"/>
      <c r="AK1850" s="143"/>
      <c r="AL1850" s="1112"/>
      <c r="AM1850" s="1112"/>
      <c r="AN1850" s="1112"/>
      <c r="AO1850" s="1112"/>
      <c r="AP1850" s="1112"/>
      <c r="AQ1850" s="1112"/>
    </row>
    <row r="1851" ht="22.5" customHeight="1">
      <c r="A1851" s="166"/>
      <c r="B1851" s="1111"/>
      <c r="C1851" s="524"/>
      <c r="D1851" s="1110"/>
      <c r="E1851" s="669"/>
      <c r="F1851" s="524"/>
      <c r="G1851" s="165"/>
      <c r="H1851" s="669"/>
      <c r="I1851" s="669"/>
      <c r="J1851" s="352"/>
      <c r="K1851" s="271" t="str">
        <f t="shared" si="74"/>
        <v/>
      </c>
      <c r="L1851" s="297"/>
      <c r="M1851" s="334"/>
      <c r="N1851" s="277"/>
      <c r="O1851" s="315"/>
      <c r="P1851" s="344">
        <f t="shared" si="69"/>
        <v>0</v>
      </c>
      <c r="Q1851" s="321"/>
      <c r="R1851" s="672" t="b">
        <v>0</v>
      </c>
      <c r="S1851" s="318"/>
      <c r="T1851" s="319"/>
      <c r="U1851" s="315"/>
      <c r="V1851" s="162"/>
      <c r="W1851" s="149"/>
      <c r="X1851" s="163"/>
      <c r="Y1851" s="162"/>
      <c r="Z1851" s="164"/>
      <c r="AA1851" s="116"/>
      <c r="AB1851" s="116"/>
      <c r="AC1851" s="165"/>
      <c r="AD1851" s="675" t="str">
        <f t="shared" si="76"/>
        <v/>
      </c>
      <c r="AE1851" s="166"/>
      <c r="AF1851" s="149" t="b">
        <v>0</v>
      </c>
      <c r="AG1851" s="166"/>
      <c r="AH1851" s="149" t="b">
        <v>0</v>
      </c>
      <c r="AI1851" s="162"/>
      <c r="AJ1851" s="143"/>
      <c r="AK1851" s="143"/>
      <c r="AL1851" s="1112"/>
      <c r="AM1851" s="1112"/>
      <c r="AN1851" s="1112"/>
      <c r="AO1851" s="1112"/>
      <c r="AP1851" s="1112"/>
      <c r="AQ1851" s="1112"/>
    </row>
    <row r="1852" ht="22.5" customHeight="1">
      <c r="A1852" s="166"/>
      <c r="B1852" s="1111"/>
      <c r="C1852" s="524"/>
      <c r="D1852" s="1110"/>
      <c r="E1852" s="669"/>
      <c r="F1852" s="524"/>
      <c r="G1852" s="165"/>
      <c r="H1852" s="669"/>
      <c r="I1852" s="669"/>
      <c r="J1852" s="352"/>
      <c r="K1852" s="271" t="str">
        <f t="shared" si="74"/>
        <v/>
      </c>
      <c r="L1852" s="297"/>
      <c r="M1852" s="334"/>
      <c r="N1852" s="277"/>
      <c r="O1852" s="315"/>
      <c r="P1852" s="344">
        <f t="shared" si="69"/>
        <v>0</v>
      </c>
      <c r="Q1852" s="321"/>
      <c r="R1852" s="672" t="b">
        <v>0</v>
      </c>
      <c r="S1852" s="318"/>
      <c r="T1852" s="319"/>
      <c r="U1852" s="315"/>
      <c r="V1852" s="162"/>
      <c r="W1852" s="149"/>
      <c r="X1852" s="163"/>
      <c r="Y1852" s="162"/>
      <c r="Z1852" s="164"/>
      <c r="AA1852" s="116"/>
      <c r="AB1852" s="116"/>
      <c r="AC1852" s="165"/>
      <c r="AD1852" s="675" t="str">
        <f t="shared" si="76"/>
        <v/>
      </c>
      <c r="AE1852" s="166"/>
      <c r="AF1852" s="149" t="b">
        <v>0</v>
      </c>
      <c r="AG1852" s="166"/>
      <c r="AH1852" s="149" t="b">
        <v>0</v>
      </c>
      <c r="AI1852" s="162"/>
      <c r="AJ1852" s="143"/>
      <c r="AK1852" s="143"/>
      <c r="AL1852" s="1112"/>
      <c r="AM1852" s="1112"/>
      <c r="AN1852" s="1112"/>
      <c r="AO1852" s="1112"/>
      <c r="AP1852" s="1112"/>
      <c r="AQ1852" s="1112"/>
    </row>
    <row r="1853" ht="22.5" customHeight="1">
      <c r="A1853" s="166"/>
      <c r="B1853" s="1111"/>
      <c r="C1853" s="524"/>
      <c r="D1853" s="1110"/>
      <c r="E1853" s="669"/>
      <c r="F1853" s="524"/>
      <c r="G1853" s="165"/>
      <c r="H1853" s="669"/>
      <c r="I1853" s="669"/>
      <c r="J1853" s="352"/>
      <c r="K1853" s="271" t="str">
        <f t="shared" si="74"/>
        <v/>
      </c>
      <c r="L1853" s="297"/>
      <c r="M1853" s="334"/>
      <c r="N1853" s="277"/>
      <c r="O1853" s="315"/>
      <c r="P1853" s="344">
        <f t="shared" si="69"/>
        <v>0</v>
      </c>
      <c r="Q1853" s="321"/>
      <c r="R1853" s="672" t="b">
        <v>0</v>
      </c>
      <c r="S1853" s="318"/>
      <c r="T1853" s="319"/>
      <c r="U1853" s="315"/>
      <c r="V1853" s="162"/>
      <c r="W1853" s="149"/>
      <c r="X1853" s="163"/>
      <c r="Y1853" s="162"/>
      <c r="Z1853" s="164"/>
      <c r="AA1853" s="116"/>
      <c r="AB1853" s="116"/>
      <c r="AC1853" s="165"/>
      <c r="AD1853" s="675" t="str">
        <f t="shared" si="76"/>
        <v/>
      </c>
      <c r="AE1853" s="166"/>
      <c r="AF1853" s="149" t="b">
        <v>0</v>
      </c>
      <c r="AG1853" s="166"/>
      <c r="AH1853" s="149" t="b">
        <v>0</v>
      </c>
      <c r="AI1853" s="162"/>
      <c r="AJ1853" s="143"/>
      <c r="AK1853" s="143"/>
      <c r="AL1853" s="1112"/>
      <c r="AM1853" s="1112"/>
      <c r="AN1853" s="1112"/>
      <c r="AO1853" s="1112"/>
      <c r="AP1853" s="1112"/>
      <c r="AQ1853" s="1112"/>
    </row>
    <row r="1854" ht="22.5" customHeight="1">
      <c r="A1854" s="166"/>
      <c r="B1854" s="1111"/>
      <c r="C1854" s="524"/>
      <c r="D1854" s="1110"/>
      <c r="E1854" s="669"/>
      <c r="F1854" s="524"/>
      <c r="G1854" s="165"/>
      <c r="H1854" s="669"/>
      <c r="I1854" s="669"/>
      <c r="J1854" s="352"/>
      <c r="K1854" s="271" t="str">
        <f t="shared" si="74"/>
        <v/>
      </c>
      <c r="L1854" s="297"/>
      <c r="M1854" s="334"/>
      <c r="N1854" s="277"/>
      <c r="O1854" s="315"/>
      <c r="P1854" s="344">
        <f t="shared" si="69"/>
        <v>0</v>
      </c>
      <c r="Q1854" s="321"/>
      <c r="R1854" s="672" t="b">
        <v>0</v>
      </c>
      <c r="S1854" s="318"/>
      <c r="T1854" s="319"/>
      <c r="U1854" s="315"/>
      <c r="V1854" s="162"/>
      <c r="W1854" s="149"/>
      <c r="X1854" s="163"/>
      <c r="Y1854" s="162"/>
      <c r="Z1854" s="164"/>
      <c r="AA1854" s="116"/>
      <c r="AB1854" s="116"/>
      <c r="AC1854" s="165"/>
      <c r="AD1854" s="675" t="str">
        <f t="shared" si="76"/>
        <v/>
      </c>
      <c r="AE1854" s="166"/>
      <c r="AF1854" s="149" t="b">
        <v>0</v>
      </c>
      <c r="AG1854" s="166"/>
      <c r="AH1854" s="149" t="b">
        <v>0</v>
      </c>
      <c r="AI1854" s="162"/>
      <c r="AJ1854" s="143"/>
      <c r="AK1854" s="143"/>
      <c r="AL1854" s="1112"/>
      <c r="AM1854" s="1112"/>
      <c r="AN1854" s="1112"/>
      <c r="AO1854" s="1112"/>
      <c r="AP1854" s="1112"/>
      <c r="AQ1854" s="1112"/>
    </row>
    <row r="1855" ht="22.5" customHeight="1">
      <c r="A1855" s="166"/>
      <c r="B1855" s="1111"/>
      <c r="C1855" s="524"/>
      <c r="D1855" s="1110"/>
      <c r="E1855" s="669"/>
      <c r="F1855" s="524"/>
      <c r="G1855" s="165"/>
      <c r="H1855" s="669"/>
      <c r="I1855" s="669"/>
      <c r="J1855" s="352"/>
      <c r="K1855" s="271" t="str">
        <f t="shared" si="74"/>
        <v/>
      </c>
      <c r="L1855" s="297"/>
      <c r="M1855" s="334"/>
      <c r="N1855" s="277"/>
      <c r="O1855" s="315"/>
      <c r="P1855" s="344">
        <f t="shared" si="69"/>
        <v>0</v>
      </c>
      <c r="Q1855" s="321"/>
      <c r="R1855" s="672" t="b">
        <v>0</v>
      </c>
      <c r="S1855" s="318"/>
      <c r="T1855" s="319"/>
      <c r="U1855" s="315"/>
      <c r="V1855" s="162"/>
      <c r="W1855" s="149"/>
      <c r="X1855" s="163"/>
      <c r="Y1855" s="162"/>
      <c r="Z1855" s="164"/>
      <c r="AA1855" s="116"/>
      <c r="AB1855" s="116"/>
      <c r="AC1855" s="165"/>
      <c r="AD1855" s="675" t="str">
        <f t="shared" si="76"/>
        <v/>
      </c>
      <c r="AE1855" s="166"/>
      <c r="AF1855" s="149" t="b">
        <v>0</v>
      </c>
      <c r="AG1855" s="166"/>
      <c r="AH1855" s="149" t="b">
        <v>0</v>
      </c>
      <c r="AI1855" s="162"/>
      <c r="AJ1855" s="143"/>
      <c r="AK1855" s="143"/>
      <c r="AL1855" s="1112"/>
      <c r="AM1855" s="1112"/>
      <c r="AN1855" s="1112"/>
      <c r="AO1855" s="1112"/>
      <c r="AP1855" s="1112"/>
      <c r="AQ1855" s="1112"/>
    </row>
    <row r="1856" ht="22.5" customHeight="1">
      <c r="A1856" s="166"/>
      <c r="B1856" s="1111"/>
      <c r="C1856" s="524"/>
      <c r="D1856" s="1110"/>
      <c r="E1856" s="669"/>
      <c r="F1856" s="524"/>
      <c r="G1856" s="165"/>
      <c r="H1856" s="669"/>
      <c r="I1856" s="669"/>
      <c r="J1856" s="352"/>
      <c r="K1856" s="271" t="str">
        <f t="shared" si="74"/>
        <v/>
      </c>
      <c r="L1856" s="297"/>
      <c r="M1856" s="334"/>
      <c r="N1856" s="277"/>
      <c r="O1856" s="315"/>
      <c r="P1856" s="344">
        <f t="shared" si="69"/>
        <v>0</v>
      </c>
      <c r="Q1856" s="321"/>
      <c r="R1856" s="672" t="b">
        <v>0</v>
      </c>
      <c r="S1856" s="318"/>
      <c r="T1856" s="319"/>
      <c r="U1856" s="315"/>
      <c r="V1856" s="162"/>
      <c r="W1856" s="149"/>
      <c r="X1856" s="163"/>
      <c r="Y1856" s="162"/>
      <c r="Z1856" s="164"/>
      <c r="AA1856" s="116"/>
      <c r="AB1856" s="116"/>
      <c r="AC1856" s="165"/>
      <c r="AD1856" s="675" t="str">
        <f t="shared" si="76"/>
        <v/>
      </c>
      <c r="AE1856" s="166"/>
      <c r="AF1856" s="149" t="b">
        <v>0</v>
      </c>
      <c r="AG1856" s="166"/>
      <c r="AH1856" s="149" t="b">
        <v>0</v>
      </c>
      <c r="AI1856" s="162"/>
      <c r="AJ1856" s="143"/>
      <c r="AK1856" s="143"/>
      <c r="AL1856" s="1112"/>
      <c r="AM1856" s="1112"/>
      <c r="AN1856" s="1112"/>
      <c r="AO1856" s="1112"/>
      <c r="AP1856" s="1112"/>
      <c r="AQ1856" s="1112"/>
    </row>
    <row r="1857" ht="22.5" customHeight="1">
      <c r="A1857" s="166"/>
      <c r="B1857" s="1111"/>
      <c r="C1857" s="524"/>
      <c r="D1857" s="1110"/>
      <c r="E1857" s="669"/>
      <c r="F1857" s="524"/>
      <c r="G1857" s="165"/>
      <c r="H1857" s="669"/>
      <c r="I1857" s="669"/>
      <c r="J1857" s="352"/>
      <c r="K1857" s="271" t="str">
        <f t="shared" si="74"/>
        <v/>
      </c>
      <c r="L1857" s="297"/>
      <c r="M1857" s="334"/>
      <c r="N1857" s="277"/>
      <c r="O1857" s="315"/>
      <c r="P1857" s="344">
        <f t="shared" si="69"/>
        <v>0</v>
      </c>
      <c r="Q1857" s="321"/>
      <c r="R1857" s="672" t="b">
        <v>0</v>
      </c>
      <c r="S1857" s="318"/>
      <c r="T1857" s="319"/>
      <c r="U1857" s="315"/>
      <c r="V1857" s="162"/>
      <c r="W1857" s="149"/>
      <c r="X1857" s="163"/>
      <c r="Y1857" s="162"/>
      <c r="Z1857" s="164"/>
      <c r="AA1857" s="116"/>
      <c r="AB1857" s="116"/>
      <c r="AC1857" s="165"/>
      <c r="AD1857" s="675" t="str">
        <f t="shared" si="76"/>
        <v/>
      </c>
      <c r="AE1857" s="166"/>
      <c r="AF1857" s="149" t="b">
        <v>0</v>
      </c>
      <c r="AG1857" s="166"/>
      <c r="AH1857" s="149" t="b">
        <v>0</v>
      </c>
      <c r="AI1857" s="162"/>
      <c r="AJ1857" s="143"/>
      <c r="AK1857" s="143"/>
      <c r="AL1857" s="1112"/>
      <c r="AM1857" s="1112"/>
      <c r="AN1857" s="1112"/>
      <c r="AO1857" s="1112"/>
      <c r="AP1857" s="1112"/>
      <c r="AQ1857" s="1112"/>
    </row>
    <row r="1858" ht="22.5" customHeight="1">
      <c r="A1858" s="166"/>
      <c r="B1858" s="1111"/>
      <c r="C1858" s="524"/>
      <c r="D1858" s="1110"/>
      <c r="E1858" s="669"/>
      <c r="F1858" s="524"/>
      <c r="G1858" s="165"/>
      <c r="H1858" s="669"/>
      <c r="I1858" s="669"/>
      <c r="J1858" s="352"/>
      <c r="K1858" s="271" t="str">
        <f t="shared" si="74"/>
        <v/>
      </c>
      <c r="L1858" s="297"/>
      <c r="M1858" s="334"/>
      <c r="N1858" s="277"/>
      <c r="O1858" s="315"/>
      <c r="P1858" s="344">
        <f t="shared" si="69"/>
        <v>0</v>
      </c>
      <c r="Q1858" s="321"/>
      <c r="R1858" s="672" t="b">
        <v>0</v>
      </c>
      <c r="S1858" s="318"/>
      <c r="T1858" s="319"/>
      <c r="U1858" s="315"/>
      <c r="V1858" s="162"/>
      <c r="W1858" s="149"/>
      <c r="X1858" s="163"/>
      <c r="Y1858" s="162"/>
      <c r="Z1858" s="164"/>
      <c r="AA1858" s="116"/>
      <c r="AB1858" s="116"/>
      <c r="AC1858" s="165"/>
      <c r="AD1858" s="675" t="str">
        <f t="shared" si="76"/>
        <v/>
      </c>
      <c r="AE1858" s="166"/>
      <c r="AF1858" s="149" t="b">
        <v>0</v>
      </c>
      <c r="AG1858" s="166"/>
      <c r="AH1858" s="149" t="b">
        <v>0</v>
      </c>
      <c r="AI1858" s="162"/>
      <c r="AJ1858" s="143"/>
      <c r="AK1858" s="143"/>
      <c r="AL1858" s="1112"/>
      <c r="AM1858" s="1112"/>
      <c r="AN1858" s="1112"/>
      <c r="AO1858" s="1112"/>
      <c r="AP1858" s="1112"/>
      <c r="AQ1858" s="1112"/>
    </row>
    <row r="1859" ht="22.5" customHeight="1">
      <c r="A1859" s="166"/>
      <c r="B1859" s="1111"/>
      <c r="C1859" s="524"/>
      <c r="D1859" s="1110"/>
      <c r="E1859" s="669"/>
      <c r="F1859" s="524"/>
      <c r="G1859" s="165"/>
      <c r="H1859" s="669"/>
      <c r="I1859" s="669"/>
      <c r="J1859" s="352"/>
      <c r="K1859" s="271" t="str">
        <f t="shared" si="74"/>
        <v/>
      </c>
      <c r="L1859" s="297"/>
      <c r="M1859" s="334"/>
      <c r="N1859" s="277"/>
      <c r="O1859" s="315"/>
      <c r="P1859" s="344">
        <f t="shared" si="69"/>
        <v>0</v>
      </c>
      <c r="Q1859" s="321"/>
      <c r="R1859" s="672" t="b">
        <v>0</v>
      </c>
      <c r="S1859" s="318"/>
      <c r="T1859" s="319"/>
      <c r="U1859" s="315"/>
      <c r="V1859" s="162"/>
      <c r="W1859" s="149"/>
      <c r="X1859" s="163"/>
      <c r="Y1859" s="162"/>
      <c r="Z1859" s="164"/>
      <c r="AA1859" s="116"/>
      <c r="AB1859" s="116"/>
      <c r="AC1859" s="165"/>
      <c r="AD1859" s="675" t="str">
        <f t="shared" si="76"/>
        <v/>
      </c>
      <c r="AE1859" s="166"/>
      <c r="AF1859" s="149" t="b">
        <v>0</v>
      </c>
      <c r="AG1859" s="166"/>
      <c r="AH1859" s="149" t="b">
        <v>0</v>
      </c>
      <c r="AI1859" s="162"/>
      <c r="AJ1859" s="143"/>
      <c r="AK1859" s="143"/>
      <c r="AL1859" s="1112"/>
      <c r="AM1859" s="1112"/>
      <c r="AN1859" s="1112"/>
      <c r="AO1859" s="1112"/>
      <c r="AP1859" s="1112"/>
      <c r="AQ1859" s="1112"/>
    </row>
    <row r="1860" ht="22.5" customHeight="1">
      <c r="A1860" s="166"/>
      <c r="B1860" s="1111"/>
      <c r="C1860" s="524"/>
      <c r="D1860" s="1110"/>
      <c r="E1860" s="669"/>
      <c r="F1860" s="524"/>
      <c r="G1860" s="165"/>
      <c r="H1860" s="669"/>
      <c r="I1860" s="669"/>
      <c r="J1860" s="352"/>
      <c r="K1860" s="271" t="str">
        <f t="shared" si="74"/>
        <v/>
      </c>
      <c r="L1860" s="297"/>
      <c r="M1860" s="334"/>
      <c r="N1860" s="277"/>
      <c r="O1860" s="315"/>
      <c r="P1860" s="344">
        <f t="shared" si="69"/>
        <v>0</v>
      </c>
      <c r="Q1860" s="321"/>
      <c r="R1860" s="672" t="b">
        <v>0</v>
      </c>
      <c r="S1860" s="318"/>
      <c r="T1860" s="319"/>
      <c r="U1860" s="315"/>
      <c r="V1860" s="162"/>
      <c r="W1860" s="149"/>
      <c r="X1860" s="163"/>
      <c r="Y1860" s="162"/>
      <c r="Z1860" s="164"/>
      <c r="AA1860" s="116"/>
      <c r="AB1860" s="116"/>
      <c r="AC1860" s="165"/>
      <c r="AD1860" s="675" t="str">
        <f t="shared" si="76"/>
        <v/>
      </c>
      <c r="AE1860" s="166"/>
      <c r="AF1860" s="149" t="b">
        <v>0</v>
      </c>
      <c r="AG1860" s="166"/>
      <c r="AH1860" s="149" t="b">
        <v>0</v>
      </c>
      <c r="AI1860" s="162"/>
      <c r="AJ1860" s="143"/>
      <c r="AK1860" s="143"/>
      <c r="AL1860" s="1112"/>
      <c r="AM1860" s="1112"/>
      <c r="AN1860" s="1112"/>
      <c r="AO1860" s="1112"/>
      <c r="AP1860" s="1112"/>
      <c r="AQ1860" s="1112"/>
    </row>
    <row r="1861" ht="22.5" customHeight="1">
      <c r="A1861" s="166"/>
      <c r="B1861" s="1111"/>
      <c r="C1861" s="524"/>
      <c r="D1861" s="1110"/>
      <c r="E1861" s="669"/>
      <c r="F1861" s="524"/>
      <c r="G1861" s="165"/>
      <c r="H1861" s="669"/>
      <c r="I1861" s="669"/>
      <c r="J1861" s="352"/>
      <c r="K1861" s="271" t="str">
        <f t="shared" si="74"/>
        <v/>
      </c>
      <c r="L1861" s="297"/>
      <c r="M1861" s="334"/>
      <c r="N1861" s="277"/>
      <c r="O1861" s="315"/>
      <c r="P1861" s="344">
        <f t="shared" si="69"/>
        <v>0</v>
      </c>
      <c r="Q1861" s="321"/>
      <c r="R1861" s="672" t="b">
        <v>0</v>
      </c>
      <c r="S1861" s="318"/>
      <c r="T1861" s="319"/>
      <c r="U1861" s="315"/>
      <c r="V1861" s="162"/>
      <c r="W1861" s="149"/>
      <c r="X1861" s="163"/>
      <c r="Y1861" s="162"/>
      <c r="Z1861" s="164"/>
      <c r="AA1861" s="116"/>
      <c r="AB1861" s="116"/>
      <c r="AC1861" s="165"/>
      <c r="AD1861" s="675" t="str">
        <f t="shared" si="76"/>
        <v/>
      </c>
      <c r="AE1861" s="166"/>
      <c r="AF1861" s="149" t="b">
        <v>0</v>
      </c>
      <c r="AG1861" s="166"/>
      <c r="AH1861" s="149" t="b">
        <v>0</v>
      </c>
      <c r="AI1861" s="162"/>
      <c r="AJ1861" s="143"/>
      <c r="AK1861" s="143"/>
      <c r="AL1861" s="1112"/>
      <c r="AM1861" s="1112"/>
      <c r="AN1861" s="1112"/>
      <c r="AO1861" s="1112"/>
      <c r="AP1861" s="1112"/>
      <c r="AQ1861" s="1112"/>
    </row>
    <row r="1862" ht="22.5" customHeight="1">
      <c r="A1862" s="166"/>
      <c r="B1862" s="1111"/>
      <c r="C1862" s="524"/>
      <c r="D1862" s="1110"/>
      <c r="E1862" s="669"/>
      <c r="F1862" s="524"/>
      <c r="G1862" s="165"/>
      <c r="H1862" s="669"/>
      <c r="I1862" s="669"/>
      <c r="J1862" s="352"/>
      <c r="K1862" s="271" t="str">
        <f t="shared" si="74"/>
        <v/>
      </c>
      <c r="L1862" s="297"/>
      <c r="M1862" s="334"/>
      <c r="N1862" s="277"/>
      <c r="O1862" s="315"/>
      <c r="P1862" s="344">
        <f t="shared" si="69"/>
        <v>0</v>
      </c>
      <c r="Q1862" s="321"/>
      <c r="R1862" s="672" t="b">
        <v>0</v>
      </c>
      <c r="S1862" s="318"/>
      <c r="T1862" s="319"/>
      <c r="U1862" s="315"/>
      <c r="V1862" s="162"/>
      <c r="W1862" s="149"/>
      <c r="X1862" s="163"/>
      <c r="Y1862" s="162"/>
      <c r="Z1862" s="164"/>
      <c r="AA1862" s="116"/>
      <c r="AB1862" s="116"/>
      <c r="AC1862" s="165"/>
      <c r="AD1862" s="675" t="str">
        <f t="shared" si="76"/>
        <v/>
      </c>
      <c r="AE1862" s="166"/>
      <c r="AF1862" s="149" t="b">
        <v>0</v>
      </c>
      <c r="AG1862" s="166"/>
      <c r="AH1862" s="149" t="b">
        <v>0</v>
      </c>
      <c r="AI1862" s="162"/>
      <c r="AJ1862" s="143"/>
      <c r="AK1862" s="143"/>
      <c r="AL1862" s="1112"/>
      <c r="AM1862" s="1112"/>
      <c r="AN1862" s="1112"/>
      <c r="AO1862" s="1112"/>
      <c r="AP1862" s="1112"/>
      <c r="AQ1862" s="1112"/>
    </row>
    <row r="1863" ht="22.5" customHeight="1">
      <c r="A1863" s="166"/>
      <c r="B1863" s="1111"/>
      <c r="C1863" s="524"/>
      <c r="D1863" s="1110"/>
      <c r="E1863" s="669"/>
      <c r="F1863" s="524"/>
      <c r="G1863" s="165"/>
      <c r="H1863" s="669"/>
      <c r="I1863" s="669"/>
      <c r="J1863" s="352"/>
      <c r="K1863" s="271" t="str">
        <f t="shared" si="74"/>
        <v/>
      </c>
      <c r="L1863" s="297"/>
      <c r="M1863" s="334"/>
      <c r="N1863" s="277"/>
      <c r="O1863" s="315"/>
      <c r="P1863" s="344">
        <f t="shared" si="69"/>
        <v>0</v>
      </c>
      <c r="Q1863" s="321"/>
      <c r="R1863" s="672" t="b">
        <v>0</v>
      </c>
      <c r="S1863" s="318"/>
      <c r="T1863" s="319"/>
      <c r="U1863" s="315"/>
      <c r="V1863" s="162"/>
      <c r="W1863" s="149"/>
      <c r="X1863" s="163"/>
      <c r="Y1863" s="162"/>
      <c r="Z1863" s="164"/>
      <c r="AA1863" s="116"/>
      <c r="AB1863" s="116"/>
      <c r="AC1863" s="165"/>
      <c r="AD1863" s="675" t="str">
        <f t="shared" si="76"/>
        <v/>
      </c>
      <c r="AE1863" s="166"/>
      <c r="AF1863" s="149" t="b">
        <v>0</v>
      </c>
      <c r="AG1863" s="166"/>
      <c r="AH1863" s="149" t="b">
        <v>0</v>
      </c>
      <c r="AI1863" s="162"/>
      <c r="AJ1863" s="143"/>
      <c r="AK1863" s="143"/>
      <c r="AL1863" s="1112"/>
      <c r="AM1863" s="1112"/>
      <c r="AN1863" s="1112"/>
      <c r="AO1863" s="1112"/>
      <c r="AP1863" s="1112"/>
      <c r="AQ1863" s="1112"/>
    </row>
    <row r="1864" ht="22.5" customHeight="1">
      <c r="A1864" s="166"/>
      <c r="B1864" s="1111"/>
      <c r="C1864" s="524"/>
      <c r="D1864" s="1110"/>
      <c r="E1864" s="669"/>
      <c r="F1864" s="524"/>
      <c r="G1864" s="165"/>
      <c r="H1864" s="669"/>
      <c r="I1864" s="669"/>
      <c r="J1864" s="352"/>
      <c r="K1864" s="271" t="str">
        <f t="shared" si="74"/>
        <v/>
      </c>
      <c r="L1864" s="297"/>
      <c r="M1864" s="334"/>
      <c r="N1864" s="277"/>
      <c r="O1864" s="315"/>
      <c r="P1864" s="344">
        <f t="shared" si="69"/>
        <v>0</v>
      </c>
      <c r="Q1864" s="321"/>
      <c r="R1864" s="672" t="b">
        <v>0</v>
      </c>
      <c r="S1864" s="318"/>
      <c r="T1864" s="319"/>
      <c r="U1864" s="315"/>
      <c r="V1864" s="162"/>
      <c r="W1864" s="149"/>
      <c r="X1864" s="163"/>
      <c r="Y1864" s="162"/>
      <c r="Z1864" s="164"/>
      <c r="AA1864" s="116"/>
      <c r="AB1864" s="116"/>
      <c r="AC1864" s="165"/>
      <c r="AD1864" s="675" t="str">
        <f t="shared" si="76"/>
        <v/>
      </c>
      <c r="AE1864" s="166"/>
      <c r="AF1864" s="149" t="b">
        <v>0</v>
      </c>
      <c r="AG1864" s="166"/>
      <c r="AH1864" s="149" t="b">
        <v>0</v>
      </c>
      <c r="AI1864" s="162"/>
      <c r="AJ1864" s="143"/>
      <c r="AK1864" s="143"/>
      <c r="AL1864" s="1112"/>
      <c r="AM1864" s="1112"/>
      <c r="AN1864" s="1112"/>
      <c r="AO1864" s="1112"/>
      <c r="AP1864" s="1112"/>
      <c r="AQ1864" s="1112"/>
    </row>
    <row r="1865" ht="22.5" customHeight="1">
      <c r="A1865" s="166"/>
      <c r="B1865" s="1111"/>
      <c r="C1865" s="524"/>
      <c r="D1865" s="1110"/>
      <c r="E1865" s="669"/>
      <c r="F1865" s="524"/>
      <c r="G1865" s="165"/>
      <c r="H1865" s="669"/>
      <c r="I1865" s="669"/>
      <c r="J1865" s="352"/>
      <c r="K1865" s="271" t="str">
        <f t="shared" si="74"/>
        <v/>
      </c>
      <c r="L1865" s="297"/>
      <c r="M1865" s="334"/>
      <c r="N1865" s="277"/>
      <c r="O1865" s="315"/>
      <c r="P1865" s="344">
        <f t="shared" si="69"/>
        <v>0</v>
      </c>
      <c r="Q1865" s="321"/>
      <c r="R1865" s="672" t="b">
        <v>0</v>
      </c>
      <c r="S1865" s="318"/>
      <c r="T1865" s="319"/>
      <c r="U1865" s="315"/>
      <c r="V1865" s="162"/>
      <c r="W1865" s="149"/>
      <c r="X1865" s="163"/>
      <c r="Y1865" s="162"/>
      <c r="Z1865" s="164"/>
      <c r="AA1865" s="116"/>
      <c r="AB1865" s="116"/>
      <c r="AC1865" s="165"/>
      <c r="AD1865" s="675" t="str">
        <f t="shared" si="76"/>
        <v/>
      </c>
      <c r="AE1865" s="166"/>
      <c r="AF1865" s="149" t="b">
        <v>0</v>
      </c>
      <c r="AG1865" s="166"/>
      <c r="AH1865" s="149" t="b">
        <v>0</v>
      </c>
      <c r="AI1865" s="162"/>
      <c r="AJ1865" s="143"/>
      <c r="AK1865" s="143"/>
      <c r="AL1865" s="1112"/>
      <c r="AM1865" s="1112"/>
      <c r="AN1865" s="1112"/>
      <c r="AO1865" s="1112"/>
      <c r="AP1865" s="1112"/>
      <c r="AQ1865" s="1112"/>
    </row>
    <row r="1866" ht="22.5" customHeight="1">
      <c r="A1866" s="166"/>
      <c r="B1866" s="1111"/>
      <c r="C1866" s="524"/>
      <c r="D1866" s="1110"/>
      <c r="E1866" s="669"/>
      <c r="F1866" s="524"/>
      <c r="G1866" s="165"/>
      <c r="H1866" s="669"/>
      <c r="I1866" s="669"/>
      <c r="J1866" s="352"/>
      <c r="K1866" s="271" t="str">
        <f t="shared" si="74"/>
        <v/>
      </c>
      <c r="L1866" s="297"/>
      <c r="M1866" s="334"/>
      <c r="N1866" s="277"/>
      <c r="O1866" s="315"/>
      <c r="P1866" s="344">
        <f t="shared" si="69"/>
        <v>0</v>
      </c>
      <c r="Q1866" s="321"/>
      <c r="R1866" s="672" t="b">
        <v>0</v>
      </c>
      <c r="S1866" s="318"/>
      <c r="T1866" s="319"/>
      <c r="U1866" s="315"/>
      <c r="V1866" s="162"/>
      <c r="W1866" s="149"/>
      <c r="X1866" s="163"/>
      <c r="Y1866" s="162"/>
      <c r="Z1866" s="164"/>
      <c r="AA1866" s="116"/>
      <c r="AB1866" s="116"/>
      <c r="AC1866" s="165"/>
      <c r="AD1866" s="675" t="str">
        <f t="shared" si="76"/>
        <v/>
      </c>
      <c r="AE1866" s="166"/>
      <c r="AF1866" s="149" t="b">
        <v>0</v>
      </c>
      <c r="AG1866" s="166"/>
      <c r="AH1866" s="149" t="b">
        <v>0</v>
      </c>
      <c r="AI1866" s="162"/>
      <c r="AJ1866" s="143"/>
      <c r="AK1866" s="143"/>
      <c r="AL1866" s="1112"/>
      <c r="AM1866" s="1112"/>
      <c r="AN1866" s="1112"/>
      <c r="AO1866" s="1112"/>
      <c r="AP1866" s="1112"/>
      <c r="AQ1866" s="1112"/>
    </row>
    <row r="1867" ht="22.5" customHeight="1">
      <c r="A1867" s="166"/>
      <c r="B1867" s="1111"/>
      <c r="C1867" s="524"/>
      <c r="D1867" s="1110"/>
      <c r="E1867" s="669"/>
      <c r="F1867" s="524"/>
      <c r="G1867" s="165"/>
      <c r="H1867" s="669"/>
      <c r="I1867" s="669"/>
      <c r="J1867" s="352"/>
      <c r="K1867" s="271" t="str">
        <f t="shared" si="74"/>
        <v/>
      </c>
      <c r="L1867" s="297"/>
      <c r="M1867" s="334"/>
      <c r="N1867" s="277"/>
      <c r="O1867" s="315"/>
      <c r="P1867" s="344">
        <f t="shared" si="69"/>
        <v>0</v>
      </c>
      <c r="Q1867" s="321"/>
      <c r="R1867" s="672" t="b">
        <v>0</v>
      </c>
      <c r="S1867" s="318"/>
      <c r="T1867" s="319"/>
      <c r="U1867" s="315"/>
      <c r="V1867" s="162"/>
      <c r="W1867" s="149"/>
      <c r="X1867" s="163"/>
      <c r="Y1867" s="162"/>
      <c r="Z1867" s="164"/>
      <c r="AA1867" s="116"/>
      <c r="AB1867" s="116"/>
      <c r="AC1867" s="165"/>
      <c r="AD1867" s="675" t="str">
        <f t="shared" si="76"/>
        <v/>
      </c>
      <c r="AE1867" s="166"/>
      <c r="AF1867" s="149" t="b">
        <v>0</v>
      </c>
      <c r="AG1867" s="166"/>
      <c r="AH1867" s="149" t="b">
        <v>0</v>
      </c>
      <c r="AI1867" s="162"/>
      <c r="AJ1867" s="143"/>
      <c r="AK1867" s="143"/>
      <c r="AL1867" s="1112"/>
      <c r="AM1867" s="1112"/>
      <c r="AN1867" s="1112"/>
      <c r="AO1867" s="1112"/>
      <c r="AP1867" s="1112"/>
      <c r="AQ1867" s="1112"/>
    </row>
    <row r="1868" ht="22.5" customHeight="1">
      <c r="A1868" s="166"/>
      <c r="B1868" s="1111"/>
      <c r="C1868" s="524"/>
      <c r="D1868" s="1110"/>
      <c r="E1868" s="669"/>
      <c r="F1868" s="524"/>
      <c r="G1868" s="165"/>
      <c r="H1868" s="669"/>
      <c r="I1868" s="669"/>
      <c r="J1868" s="352"/>
      <c r="K1868" s="271" t="str">
        <f t="shared" si="74"/>
        <v/>
      </c>
      <c r="L1868" s="297"/>
      <c r="M1868" s="334"/>
      <c r="N1868" s="277"/>
      <c r="O1868" s="315"/>
      <c r="P1868" s="344">
        <f t="shared" si="69"/>
        <v>0</v>
      </c>
      <c r="Q1868" s="321"/>
      <c r="R1868" s="672" t="b">
        <v>0</v>
      </c>
      <c r="S1868" s="318"/>
      <c r="T1868" s="319"/>
      <c r="U1868" s="315"/>
      <c r="V1868" s="162"/>
      <c r="W1868" s="149"/>
      <c r="X1868" s="163"/>
      <c r="Y1868" s="162"/>
      <c r="Z1868" s="164"/>
      <c r="AA1868" s="116"/>
      <c r="AB1868" s="116"/>
      <c r="AC1868" s="165"/>
      <c r="AD1868" s="675" t="str">
        <f t="shared" si="76"/>
        <v/>
      </c>
      <c r="AE1868" s="166"/>
      <c r="AF1868" s="149" t="b">
        <v>0</v>
      </c>
      <c r="AG1868" s="166"/>
      <c r="AH1868" s="149" t="b">
        <v>0</v>
      </c>
      <c r="AI1868" s="162"/>
      <c r="AJ1868" s="143"/>
      <c r="AK1868" s="143"/>
      <c r="AL1868" s="1112"/>
      <c r="AM1868" s="1112"/>
      <c r="AN1868" s="1112"/>
      <c r="AO1868" s="1112"/>
      <c r="AP1868" s="1112"/>
      <c r="AQ1868" s="1112"/>
    </row>
    <row r="1869" ht="22.5" customHeight="1">
      <c r="A1869" s="166"/>
      <c r="B1869" s="1111"/>
      <c r="C1869" s="524"/>
      <c r="D1869" s="1110"/>
      <c r="E1869" s="669"/>
      <c r="F1869" s="524"/>
      <c r="G1869" s="165"/>
      <c r="H1869" s="669"/>
      <c r="I1869" s="669"/>
      <c r="J1869" s="352"/>
      <c r="K1869" s="271" t="str">
        <f t="shared" si="74"/>
        <v/>
      </c>
      <c r="L1869" s="297"/>
      <c r="M1869" s="334"/>
      <c r="N1869" s="277"/>
      <c r="O1869" s="315"/>
      <c r="P1869" s="344">
        <f t="shared" si="69"/>
        <v>0</v>
      </c>
      <c r="Q1869" s="321"/>
      <c r="R1869" s="672" t="b">
        <v>0</v>
      </c>
      <c r="S1869" s="318"/>
      <c r="T1869" s="319"/>
      <c r="U1869" s="315"/>
      <c r="V1869" s="162"/>
      <c r="W1869" s="149"/>
      <c r="X1869" s="163"/>
      <c r="Y1869" s="162"/>
      <c r="Z1869" s="164"/>
      <c r="AA1869" s="116"/>
      <c r="AB1869" s="116"/>
      <c r="AC1869" s="165"/>
      <c r="AD1869" s="675" t="str">
        <f t="shared" si="76"/>
        <v/>
      </c>
      <c r="AE1869" s="166"/>
      <c r="AF1869" s="149" t="b">
        <v>0</v>
      </c>
      <c r="AG1869" s="166"/>
      <c r="AH1869" s="149" t="b">
        <v>0</v>
      </c>
      <c r="AI1869" s="162"/>
      <c r="AJ1869" s="143"/>
      <c r="AK1869" s="143"/>
      <c r="AL1869" s="1112"/>
      <c r="AM1869" s="1112"/>
      <c r="AN1869" s="1112"/>
      <c r="AO1869" s="1112"/>
      <c r="AP1869" s="1112"/>
      <c r="AQ1869" s="1112"/>
    </row>
    <row r="1870" ht="22.5" customHeight="1">
      <c r="A1870" s="166"/>
      <c r="B1870" s="1111"/>
      <c r="C1870" s="524"/>
      <c r="D1870" s="1110"/>
      <c r="E1870" s="669"/>
      <c r="F1870" s="524"/>
      <c r="G1870" s="165"/>
      <c r="H1870" s="669"/>
      <c r="I1870" s="669"/>
      <c r="J1870" s="352"/>
      <c r="K1870" s="271" t="str">
        <f t="shared" si="74"/>
        <v/>
      </c>
      <c r="L1870" s="297"/>
      <c r="M1870" s="334"/>
      <c r="N1870" s="277"/>
      <c r="O1870" s="315"/>
      <c r="P1870" s="344">
        <f t="shared" si="69"/>
        <v>0</v>
      </c>
      <c r="Q1870" s="321"/>
      <c r="R1870" s="672" t="b">
        <v>0</v>
      </c>
      <c r="S1870" s="318"/>
      <c r="T1870" s="319"/>
      <c r="U1870" s="315"/>
      <c r="V1870" s="162"/>
      <c r="W1870" s="149"/>
      <c r="X1870" s="163"/>
      <c r="Y1870" s="162"/>
      <c r="Z1870" s="164"/>
      <c r="AA1870" s="116"/>
      <c r="AB1870" s="116"/>
      <c r="AC1870" s="165"/>
      <c r="AD1870" s="675" t="str">
        <f t="shared" si="76"/>
        <v/>
      </c>
      <c r="AE1870" s="166"/>
      <c r="AF1870" s="149" t="b">
        <v>0</v>
      </c>
      <c r="AG1870" s="166"/>
      <c r="AH1870" s="149" t="b">
        <v>0</v>
      </c>
      <c r="AI1870" s="162"/>
      <c r="AJ1870" s="143"/>
      <c r="AK1870" s="143"/>
      <c r="AL1870" s="1112"/>
      <c r="AM1870" s="1112"/>
      <c r="AN1870" s="1112"/>
      <c r="AO1870" s="1112"/>
      <c r="AP1870" s="1112"/>
      <c r="AQ1870" s="1112"/>
    </row>
    <row r="1871" ht="22.5" customHeight="1">
      <c r="A1871" s="166"/>
      <c r="B1871" s="1111"/>
      <c r="C1871" s="524"/>
      <c r="D1871" s="1110"/>
      <c r="E1871" s="669"/>
      <c r="F1871" s="524"/>
      <c r="G1871" s="165"/>
      <c r="H1871" s="669"/>
      <c r="I1871" s="669"/>
      <c r="J1871" s="352"/>
      <c r="K1871" s="271" t="str">
        <f t="shared" si="74"/>
        <v/>
      </c>
      <c r="L1871" s="297"/>
      <c r="M1871" s="334"/>
      <c r="N1871" s="277"/>
      <c r="O1871" s="315"/>
      <c r="P1871" s="344">
        <f t="shared" si="69"/>
        <v>0</v>
      </c>
      <c r="Q1871" s="321"/>
      <c r="R1871" s="672" t="b">
        <v>0</v>
      </c>
      <c r="S1871" s="318"/>
      <c r="T1871" s="319"/>
      <c r="U1871" s="315"/>
      <c r="V1871" s="162"/>
      <c r="W1871" s="149"/>
      <c r="X1871" s="163"/>
      <c r="Y1871" s="162"/>
      <c r="Z1871" s="164"/>
      <c r="AA1871" s="116"/>
      <c r="AB1871" s="116"/>
      <c r="AC1871" s="165"/>
      <c r="AD1871" s="675" t="str">
        <f t="shared" si="76"/>
        <v/>
      </c>
      <c r="AE1871" s="166"/>
      <c r="AF1871" s="149" t="b">
        <v>0</v>
      </c>
      <c r="AG1871" s="166"/>
      <c r="AH1871" s="149" t="b">
        <v>0</v>
      </c>
      <c r="AI1871" s="162"/>
      <c r="AJ1871" s="143"/>
      <c r="AK1871" s="143"/>
      <c r="AL1871" s="1112"/>
      <c r="AM1871" s="1112"/>
      <c r="AN1871" s="1112"/>
      <c r="AO1871" s="1112"/>
      <c r="AP1871" s="1112"/>
      <c r="AQ1871" s="1112"/>
    </row>
    <row r="1872" ht="22.5" customHeight="1">
      <c r="A1872" s="166"/>
      <c r="B1872" s="1111"/>
      <c r="C1872" s="524"/>
      <c r="D1872" s="1110"/>
      <c r="E1872" s="669"/>
      <c r="F1872" s="524"/>
      <c r="G1872" s="165"/>
      <c r="H1872" s="669"/>
      <c r="I1872" s="669"/>
      <c r="J1872" s="352"/>
      <c r="K1872" s="271" t="str">
        <f t="shared" si="74"/>
        <v/>
      </c>
      <c r="L1872" s="297"/>
      <c r="M1872" s="334"/>
      <c r="N1872" s="277"/>
      <c r="O1872" s="315"/>
      <c r="P1872" s="344">
        <f t="shared" si="69"/>
        <v>0</v>
      </c>
      <c r="Q1872" s="321"/>
      <c r="R1872" s="672" t="b">
        <v>0</v>
      </c>
      <c r="S1872" s="318"/>
      <c r="T1872" s="319"/>
      <c r="U1872" s="315"/>
      <c r="V1872" s="162"/>
      <c r="W1872" s="149"/>
      <c r="X1872" s="163"/>
      <c r="Y1872" s="162"/>
      <c r="Z1872" s="164"/>
      <c r="AA1872" s="116"/>
      <c r="AB1872" s="116"/>
      <c r="AC1872" s="165"/>
      <c r="AD1872" s="675" t="str">
        <f t="shared" si="76"/>
        <v/>
      </c>
      <c r="AE1872" s="166"/>
      <c r="AF1872" s="149" t="b">
        <v>0</v>
      </c>
      <c r="AG1872" s="166"/>
      <c r="AH1872" s="149" t="b">
        <v>0</v>
      </c>
      <c r="AI1872" s="162"/>
      <c r="AJ1872" s="143"/>
      <c r="AK1872" s="143"/>
      <c r="AL1872" s="1112"/>
      <c r="AM1872" s="1112"/>
      <c r="AN1872" s="1112"/>
      <c r="AO1872" s="1112"/>
      <c r="AP1872" s="1112"/>
      <c r="AQ1872" s="1112"/>
    </row>
    <row r="1873" ht="22.5" customHeight="1">
      <c r="A1873" s="166"/>
      <c r="B1873" s="1111"/>
      <c r="C1873" s="524"/>
      <c r="D1873" s="1110"/>
      <c r="E1873" s="669"/>
      <c r="F1873" s="524"/>
      <c r="G1873" s="165"/>
      <c r="H1873" s="669"/>
      <c r="I1873" s="669"/>
      <c r="J1873" s="352"/>
      <c r="K1873" s="271" t="str">
        <f t="shared" si="74"/>
        <v/>
      </c>
      <c r="L1873" s="297"/>
      <c r="M1873" s="334"/>
      <c r="N1873" s="277"/>
      <c r="O1873" s="315"/>
      <c r="P1873" s="344">
        <f t="shared" si="69"/>
        <v>0</v>
      </c>
      <c r="Q1873" s="321"/>
      <c r="R1873" s="672" t="b">
        <v>0</v>
      </c>
      <c r="S1873" s="318"/>
      <c r="T1873" s="319"/>
      <c r="U1873" s="315"/>
      <c r="V1873" s="162"/>
      <c r="W1873" s="149"/>
      <c r="X1873" s="163"/>
      <c r="Y1873" s="162"/>
      <c r="Z1873" s="164"/>
      <c r="AA1873" s="116"/>
      <c r="AB1873" s="116"/>
      <c r="AC1873" s="165"/>
      <c r="AD1873" s="675" t="str">
        <f t="shared" si="76"/>
        <v/>
      </c>
      <c r="AE1873" s="166"/>
      <c r="AF1873" s="149" t="b">
        <v>0</v>
      </c>
      <c r="AG1873" s="166"/>
      <c r="AH1873" s="149" t="b">
        <v>0</v>
      </c>
      <c r="AI1873" s="162"/>
      <c r="AJ1873" s="143"/>
      <c r="AK1873" s="143"/>
      <c r="AL1873" s="1112"/>
      <c r="AM1873" s="1112"/>
      <c r="AN1873" s="1112"/>
      <c r="AO1873" s="1112"/>
      <c r="AP1873" s="1112"/>
      <c r="AQ1873" s="1112"/>
    </row>
    <row r="1874" ht="22.5" customHeight="1">
      <c r="A1874" s="166"/>
      <c r="B1874" s="1111"/>
      <c r="C1874" s="524"/>
      <c r="D1874" s="1110"/>
      <c r="E1874" s="669"/>
      <c r="F1874" s="524"/>
      <c r="G1874" s="165"/>
      <c r="H1874" s="669"/>
      <c r="I1874" s="669"/>
      <c r="J1874" s="352"/>
      <c r="K1874" s="271" t="str">
        <f t="shared" si="74"/>
        <v/>
      </c>
      <c r="L1874" s="297"/>
      <c r="M1874" s="334"/>
      <c r="N1874" s="277"/>
      <c r="O1874" s="315"/>
      <c r="P1874" s="344">
        <f t="shared" si="69"/>
        <v>0</v>
      </c>
      <c r="Q1874" s="321"/>
      <c r="R1874" s="672" t="b">
        <v>0</v>
      </c>
      <c r="S1874" s="318"/>
      <c r="T1874" s="319"/>
      <c r="U1874" s="315"/>
      <c r="V1874" s="162"/>
      <c r="W1874" s="149"/>
      <c r="X1874" s="163"/>
      <c r="Y1874" s="162"/>
      <c r="Z1874" s="164"/>
      <c r="AA1874" s="116"/>
      <c r="AB1874" s="116"/>
      <c r="AC1874" s="165"/>
      <c r="AD1874" s="675" t="str">
        <f t="shared" si="76"/>
        <v/>
      </c>
      <c r="AE1874" s="166"/>
      <c r="AF1874" s="149" t="b">
        <v>0</v>
      </c>
      <c r="AG1874" s="166"/>
      <c r="AH1874" s="149" t="b">
        <v>0</v>
      </c>
      <c r="AI1874" s="162"/>
      <c r="AJ1874" s="143"/>
      <c r="AK1874" s="143"/>
      <c r="AL1874" s="1112"/>
      <c r="AM1874" s="1112"/>
      <c r="AN1874" s="1112"/>
      <c r="AO1874" s="1112"/>
      <c r="AP1874" s="1112"/>
      <c r="AQ1874" s="1112"/>
    </row>
    <row r="1875" ht="22.5" customHeight="1">
      <c r="A1875" s="166"/>
      <c r="B1875" s="1111"/>
      <c r="C1875" s="524"/>
      <c r="D1875" s="1110"/>
      <c r="E1875" s="669"/>
      <c r="F1875" s="524"/>
      <c r="G1875" s="165"/>
      <c r="H1875" s="669"/>
      <c r="I1875" s="669"/>
      <c r="J1875" s="352"/>
      <c r="K1875" s="271" t="str">
        <f t="shared" si="74"/>
        <v/>
      </c>
      <c r="L1875" s="297"/>
      <c r="M1875" s="334"/>
      <c r="N1875" s="277"/>
      <c r="O1875" s="315"/>
      <c r="P1875" s="344">
        <f t="shared" si="69"/>
        <v>0</v>
      </c>
      <c r="Q1875" s="321"/>
      <c r="R1875" s="672" t="b">
        <v>0</v>
      </c>
      <c r="S1875" s="318"/>
      <c r="T1875" s="319"/>
      <c r="U1875" s="315"/>
      <c r="V1875" s="162"/>
      <c r="W1875" s="149"/>
      <c r="X1875" s="163"/>
      <c r="Y1875" s="162"/>
      <c r="Z1875" s="164"/>
      <c r="AA1875" s="116"/>
      <c r="AB1875" s="116"/>
      <c r="AC1875" s="165"/>
      <c r="AD1875" s="675" t="str">
        <f t="shared" si="76"/>
        <v/>
      </c>
      <c r="AE1875" s="166"/>
      <c r="AF1875" s="149" t="b">
        <v>0</v>
      </c>
      <c r="AG1875" s="166"/>
      <c r="AH1875" s="149" t="b">
        <v>0</v>
      </c>
      <c r="AI1875" s="162"/>
      <c r="AJ1875" s="143"/>
      <c r="AK1875" s="143"/>
      <c r="AL1875" s="1112"/>
      <c r="AM1875" s="1112"/>
      <c r="AN1875" s="1112"/>
      <c r="AO1875" s="1112"/>
      <c r="AP1875" s="1112"/>
      <c r="AQ1875" s="1112"/>
    </row>
    <row r="1876" ht="22.5" customHeight="1">
      <c r="A1876" s="166"/>
      <c r="B1876" s="1111"/>
      <c r="C1876" s="524"/>
      <c r="D1876" s="1110"/>
      <c r="E1876" s="669"/>
      <c r="F1876" s="524"/>
      <c r="G1876" s="165"/>
      <c r="H1876" s="669"/>
      <c r="I1876" s="669"/>
      <c r="J1876" s="352"/>
      <c r="K1876" s="271" t="str">
        <f t="shared" si="74"/>
        <v/>
      </c>
      <c r="L1876" s="297"/>
      <c r="M1876" s="334"/>
      <c r="N1876" s="277"/>
      <c r="O1876" s="315"/>
      <c r="P1876" s="344">
        <f t="shared" si="69"/>
        <v>0</v>
      </c>
      <c r="Q1876" s="321"/>
      <c r="R1876" s="672" t="b">
        <v>0</v>
      </c>
      <c r="S1876" s="318"/>
      <c r="T1876" s="319"/>
      <c r="U1876" s="315"/>
      <c r="V1876" s="162"/>
      <c r="W1876" s="149"/>
      <c r="X1876" s="163"/>
      <c r="Y1876" s="162"/>
      <c r="Z1876" s="164"/>
      <c r="AA1876" s="116"/>
      <c r="AB1876" s="116"/>
      <c r="AC1876" s="165"/>
      <c r="AD1876" s="675" t="str">
        <f t="shared" si="76"/>
        <v/>
      </c>
      <c r="AE1876" s="166"/>
      <c r="AF1876" s="149" t="b">
        <v>0</v>
      </c>
      <c r="AG1876" s="166"/>
      <c r="AH1876" s="149" t="b">
        <v>0</v>
      </c>
      <c r="AI1876" s="162"/>
      <c r="AJ1876" s="143"/>
      <c r="AK1876" s="143"/>
      <c r="AL1876" s="1112"/>
      <c r="AM1876" s="1112"/>
      <c r="AN1876" s="1112"/>
      <c r="AO1876" s="1112"/>
      <c r="AP1876" s="1112"/>
      <c r="AQ1876" s="1112"/>
    </row>
    <row r="1877" ht="22.5" customHeight="1">
      <c r="A1877" s="166"/>
      <c r="B1877" s="1111"/>
      <c r="C1877" s="524"/>
      <c r="D1877" s="1110"/>
      <c r="E1877" s="669"/>
      <c r="F1877" s="524"/>
      <c r="G1877" s="165"/>
      <c r="H1877" s="669"/>
      <c r="I1877" s="669"/>
      <c r="J1877" s="352"/>
      <c r="K1877" s="271" t="str">
        <f t="shared" si="74"/>
        <v/>
      </c>
      <c r="L1877" s="297"/>
      <c r="M1877" s="334"/>
      <c r="N1877" s="277"/>
      <c r="O1877" s="315"/>
      <c r="P1877" s="344">
        <f t="shared" si="69"/>
        <v>0</v>
      </c>
      <c r="Q1877" s="321"/>
      <c r="R1877" s="672" t="b">
        <v>0</v>
      </c>
      <c r="S1877" s="318"/>
      <c r="T1877" s="319"/>
      <c r="U1877" s="315"/>
      <c r="V1877" s="162"/>
      <c r="W1877" s="149"/>
      <c r="X1877" s="163"/>
      <c r="Y1877" s="162"/>
      <c r="Z1877" s="164"/>
      <c r="AA1877" s="116"/>
      <c r="AB1877" s="116"/>
      <c r="AC1877" s="165"/>
      <c r="AD1877" s="675" t="str">
        <f t="shared" si="76"/>
        <v/>
      </c>
      <c r="AE1877" s="166"/>
      <c r="AF1877" s="149" t="b">
        <v>0</v>
      </c>
      <c r="AG1877" s="166"/>
      <c r="AH1877" s="149" t="b">
        <v>0</v>
      </c>
      <c r="AI1877" s="162"/>
      <c r="AJ1877" s="143"/>
      <c r="AK1877" s="143"/>
      <c r="AL1877" s="1112"/>
      <c r="AM1877" s="1112"/>
      <c r="AN1877" s="1112"/>
      <c r="AO1877" s="1112"/>
      <c r="AP1877" s="1112"/>
      <c r="AQ1877" s="1112"/>
    </row>
    <row r="1878" ht="22.5" customHeight="1">
      <c r="A1878" s="166"/>
      <c r="B1878" s="1111"/>
      <c r="C1878" s="524"/>
      <c r="D1878" s="1110"/>
      <c r="E1878" s="669"/>
      <c r="F1878" s="524"/>
      <c r="G1878" s="165"/>
      <c r="H1878" s="669"/>
      <c r="I1878" s="669"/>
      <c r="J1878" s="352"/>
      <c r="K1878" s="271" t="str">
        <f t="shared" si="74"/>
        <v/>
      </c>
      <c r="L1878" s="297"/>
      <c r="M1878" s="334"/>
      <c r="N1878" s="277"/>
      <c r="O1878" s="315"/>
      <c r="P1878" s="344">
        <f t="shared" si="69"/>
        <v>0</v>
      </c>
      <c r="Q1878" s="321"/>
      <c r="R1878" s="672" t="b">
        <v>0</v>
      </c>
      <c r="S1878" s="318"/>
      <c r="T1878" s="319"/>
      <c r="U1878" s="315"/>
      <c r="V1878" s="162"/>
      <c r="W1878" s="149"/>
      <c r="X1878" s="163"/>
      <c r="Y1878" s="162"/>
      <c r="Z1878" s="164"/>
      <c r="AA1878" s="116"/>
      <c r="AB1878" s="116"/>
      <c r="AC1878" s="165"/>
      <c r="AD1878" s="675" t="str">
        <f t="shared" si="76"/>
        <v/>
      </c>
      <c r="AE1878" s="166"/>
      <c r="AF1878" s="149" t="b">
        <v>0</v>
      </c>
      <c r="AG1878" s="166"/>
      <c r="AH1878" s="149" t="b">
        <v>0</v>
      </c>
      <c r="AI1878" s="162"/>
      <c r="AJ1878" s="143"/>
      <c r="AK1878" s="143"/>
      <c r="AL1878" s="1112"/>
      <c r="AM1878" s="1112"/>
      <c r="AN1878" s="1112"/>
      <c r="AO1878" s="1112"/>
      <c r="AP1878" s="1112"/>
      <c r="AQ1878" s="1112"/>
    </row>
    <row r="1879" ht="22.5" customHeight="1">
      <c r="A1879" s="166"/>
      <c r="B1879" s="1111"/>
      <c r="C1879" s="524"/>
      <c r="D1879" s="1110"/>
      <c r="E1879" s="669"/>
      <c r="F1879" s="524"/>
      <c r="G1879" s="165"/>
      <c r="H1879" s="669"/>
      <c r="I1879" s="669"/>
      <c r="J1879" s="352"/>
      <c r="K1879" s="271" t="str">
        <f t="shared" si="74"/>
        <v/>
      </c>
      <c r="L1879" s="297"/>
      <c r="M1879" s="334"/>
      <c r="N1879" s="277"/>
      <c r="O1879" s="315"/>
      <c r="P1879" s="344">
        <f t="shared" si="69"/>
        <v>0</v>
      </c>
      <c r="Q1879" s="321"/>
      <c r="R1879" s="672" t="b">
        <v>0</v>
      </c>
      <c r="S1879" s="318"/>
      <c r="T1879" s="319"/>
      <c r="U1879" s="315"/>
      <c r="V1879" s="162"/>
      <c r="W1879" s="149"/>
      <c r="X1879" s="163"/>
      <c r="Y1879" s="162"/>
      <c r="Z1879" s="164"/>
      <c r="AA1879" s="116"/>
      <c r="AB1879" s="116"/>
      <c r="AC1879" s="165"/>
      <c r="AD1879" s="675" t="str">
        <f t="shared" si="76"/>
        <v/>
      </c>
      <c r="AE1879" s="166"/>
      <c r="AF1879" s="149" t="b">
        <v>0</v>
      </c>
      <c r="AG1879" s="166"/>
      <c r="AH1879" s="149" t="b">
        <v>0</v>
      </c>
      <c r="AI1879" s="162"/>
      <c r="AJ1879" s="143"/>
      <c r="AK1879" s="143"/>
      <c r="AL1879" s="1112"/>
      <c r="AM1879" s="1112"/>
      <c r="AN1879" s="1112"/>
      <c r="AO1879" s="1112"/>
      <c r="AP1879" s="1112"/>
      <c r="AQ1879" s="1112"/>
    </row>
    <row r="1880" ht="22.5" customHeight="1">
      <c r="A1880" s="166"/>
      <c r="B1880" s="1111"/>
      <c r="C1880" s="524"/>
      <c r="D1880" s="1110"/>
      <c r="E1880" s="669"/>
      <c r="F1880" s="524"/>
      <c r="G1880" s="165"/>
      <c r="H1880" s="669"/>
      <c r="I1880" s="669"/>
      <c r="J1880" s="352"/>
      <c r="K1880" s="271" t="str">
        <f t="shared" si="74"/>
        <v/>
      </c>
      <c r="L1880" s="297"/>
      <c r="M1880" s="334"/>
      <c r="N1880" s="277"/>
      <c r="O1880" s="315"/>
      <c r="P1880" s="344">
        <f t="shared" si="69"/>
        <v>0</v>
      </c>
      <c r="Q1880" s="321"/>
      <c r="R1880" s="672" t="b">
        <v>0</v>
      </c>
      <c r="S1880" s="318"/>
      <c r="T1880" s="319"/>
      <c r="U1880" s="315"/>
      <c r="V1880" s="162"/>
      <c r="W1880" s="149"/>
      <c r="X1880" s="163"/>
      <c r="Y1880" s="162"/>
      <c r="Z1880" s="164"/>
      <c r="AA1880" s="116"/>
      <c r="AB1880" s="116"/>
      <c r="AC1880" s="165"/>
      <c r="AD1880" s="675" t="str">
        <f t="shared" si="76"/>
        <v/>
      </c>
      <c r="AE1880" s="166"/>
      <c r="AF1880" s="149" t="b">
        <v>0</v>
      </c>
      <c r="AG1880" s="166"/>
      <c r="AH1880" s="149" t="b">
        <v>0</v>
      </c>
      <c r="AI1880" s="162"/>
      <c r="AJ1880" s="143"/>
      <c r="AK1880" s="143"/>
      <c r="AL1880" s="1112"/>
      <c r="AM1880" s="1112"/>
      <c r="AN1880" s="1112"/>
      <c r="AO1880" s="1112"/>
      <c r="AP1880" s="1112"/>
      <c r="AQ1880" s="1112"/>
    </row>
    <row r="1881" ht="22.5" customHeight="1">
      <c r="A1881" s="166"/>
      <c r="B1881" s="1111"/>
      <c r="C1881" s="524"/>
      <c r="D1881" s="1110"/>
      <c r="E1881" s="669"/>
      <c r="F1881" s="524"/>
      <c r="G1881" s="165"/>
      <c r="H1881" s="669"/>
      <c r="I1881" s="669"/>
      <c r="J1881" s="352"/>
      <c r="K1881" s="271" t="str">
        <f t="shared" si="74"/>
        <v/>
      </c>
      <c r="L1881" s="297"/>
      <c r="M1881" s="334"/>
      <c r="N1881" s="277"/>
      <c r="O1881" s="315"/>
      <c r="P1881" s="344">
        <f t="shared" si="69"/>
        <v>0</v>
      </c>
      <c r="Q1881" s="321"/>
      <c r="R1881" s="672" t="b">
        <v>0</v>
      </c>
      <c r="S1881" s="318"/>
      <c r="T1881" s="319"/>
      <c r="U1881" s="315"/>
      <c r="V1881" s="162"/>
      <c r="W1881" s="149"/>
      <c r="X1881" s="163"/>
      <c r="Y1881" s="162"/>
      <c r="Z1881" s="164"/>
      <c r="AA1881" s="116"/>
      <c r="AB1881" s="116"/>
      <c r="AC1881" s="165"/>
      <c r="AD1881" s="675" t="str">
        <f t="shared" si="76"/>
        <v/>
      </c>
      <c r="AE1881" s="166"/>
      <c r="AF1881" s="149" t="b">
        <v>0</v>
      </c>
      <c r="AG1881" s="166"/>
      <c r="AH1881" s="149" t="b">
        <v>0</v>
      </c>
      <c r="AI1881" s="162"/>
      <c r="AJ1881" s="143"/>
      <c r="AK1881" s="143"/>
      <c r="AL1881" s="1112"/>
      <c r="AM1881" s="1112"/>
      <c r="AN1881" s="1112"/>
      <c r="AO1881" s="1112"/>
      <c r="AP1881" s="1112"/>
      <c r="AQ1881" s="1112"/>
    </row>
    <row r="1882" ht="22.5" customHeight="1">
      <c r="A1882" s="166"/>
      <c r="B1882" s="1111"/>
      <c r="C1882" s="524"/>
      <c r="D1882" s="1110"/>
      <c r="E1882" s="669"/>
      <c r="F1882" s="524"/>
      <c r="G1882" s="165"/>
      <c r="H1882" s="669"/>
      <c r="I1882" s="669"/>
      <c r="J1882" s="352"/>
      <c r="K1882" s="271" t="str">
        <f t="shared" si="74"/>
        <v/>
      </c>
      <c r="L1882" s="297"/>
      <c r="M1882" s="334"/>
      <c r="N1882" s="277"/>
      <c r="O1882" s="315"/>
      <c r="P1882" s="344">
        <f t="shared" si="69"/>
        <v>0</v>
      </c>
      <c r="Q1882" s="321"/>
      <c r="R1882" s="672" t="b">
        <v>0</v>
      </c>
      <c r="S1882" s="318"/>
      <c r="T1882" s="319"/>
      <c r="U1882" s="315"/>
      <c r="V1882" s="162"/>
      <c r="W1882" s="149"/>
      <c r="X1882" s="163"/>
      <c r="Y1882" s="162"/>
      <c r="Z1882" s="164"/>
      <c r="AA1882" s="116"/>
      <c r="AB1882" s="116"/>
      <c r="AC1882" s="165"/>
      <c r="AD1882" s="675" t="str">
        <f t="shared" si="76"/>
        <v/>
      </c>
      <c r="AE1882" s="166"/>
      <c r="AF1882" s="149" t="b">
        <v>0</v>
      </c>
      <c r="AG1882" s="166"/>
      <c r="AH1882" s="149" t="b">
        <v>0</v>
      </c>
      <c r="AI1882" s="162"/>
      <c r="AJ1882" s="143"/>
      <c r="AK1882" s="143"/>
      <c r="AL1882" s="1112"/>
      <c r="AM1882" s="1112"/>
      <c r="AN1882" s="1112"/>
      <c r="AO1882" s="1112"/>
      <c r="AP1882" s="1112"/>
      <c r="AQ1882" s="1112"/>
    </row>
    <row r="1883" ht="22.5" customHeight="1">
      <c r="A1883" s="166"/>
      <c r="B1883" s="1111"/>
      <c r="C1883" s="524"/>
      <c r="D1883" s="1110"/>
      <c r="E1883" s="669"/>
      <c r="F1883" s="524"/>
      <c r="G1883" s="165"/>
      <c r="H1883" s="669"/>
      <c r="I1883" s="669"/>
      <c r="J1883" s="352"/>
      <c r="K1883" s="271" t="str">
        <f t="shared" si="74"/>
        <v/>
      </c>
      <c r="L1883" s="297"/>
      <c r="M1883" s="334"/>
      <c r="N1883" s="277"/>
      <c r="O1883" s="315"/>
      <c r="P1883" s="344">
        <f t="shared" si="69"/>
        <v>0</v>
      </c>
      <c r="Q1883" s="321"/>
      <c r="R1883" s="672" t="b">
        <v>0</v>
      </c>
      <c r="S1883" s="318"/>
      <c r="T1883" s="319"/>
      <c r="U1883" s="315"/>
      <c r="V1883" s="162"/>
      <c r="W1883" s="149"/>
      <c r="X1883" s="163"/>
      <c r="Y1883" s="162"/>
      <c r="Z1883" s="164"/>
      <c r="AA1883" s="116"/>
      <c r="AB1883" s="116"/>
      <c r="AC1883" s="165"/>
      <c r="AD1883" s="675" t="str">
        <f t="shared" si="76"/>
        <v/>
      </c>
      <c r="AE1883" s="166"/>
      <c r="AF1883" s="149" t="b">
        <v>0</v>
      </c>
      <c r="AG1883" s="166"/>
      <c r="AH1883" s="149" t="b">
        <v>0</v>
      </c>
      <c r="AI1883" s="162"/>
      <c r="AJ1883" s="143"/>
      <c r="AK1883" s="143"/>
      <c r="AL1883" s="1112"/>
      <c r="AM1883" s="1112"/>
      <c r="AN1883" s="1112"/>
      <c r="AO1883" s="1112"/>
      <c r="AP1883" s="1112"/>
      <c r="AQ1883" s="1112"/>
    </row>
    <row r="1884" ht="22.5" customHeight="1">
      <c r="A1884" s="166"/>
      <c r="B1884" s="1111"/>
      <c r="C1884" s="524"/>
      <c r="D1884" s="1110"/>
      <c r="E1884" s="669"/>
      <c r="F1884" s="524"/>
      <c r="G1884" s="165"/>
      <c r="H1884" s="669"/>
      <c r="I1884" s="669"/>
      <c r="J1884" s="352"/>
      <c r="K1884" s="271" t="str">
        <f t="shared" si="74"/>
        <v/>
      </c>
      <c r="L1884" s="297"/>
      <c r="M1884" s="334"/>
      <c r="N1884" s="277"/>
      <c r="O1884" s="315"/>
      <c r="P1884" s="344">
        <f t="shared" si="69"/>
        <v>0</v>
      </c>
      <c r="Q1884" s="321"/>
      <c r="R1884" s="672" t="b">
        <v>0</v>
      </c>
      <c r="S1884" s="318"/>
      <c r="T1884" s="319"/>
      <c r="U1884" s="315"/>
      <c r="V1884" s="162"/>
      <c r="W1884" s="149"/>
      <c r="X1884" s="163"/>
      <c r="Y1884" s="162"/>
      <c r="Z1884" s="164"/>
      <c r="AA1884" s="116"/>
      <c r="AB1884" s="116"/>
      <c r="AC1884" s="165"/>
      <c r="AD1884" s="675" t="str">
        <f t="shared" si="76"/>
        <v/>
      </c>
      <c r="AE1884" s="166"/>
      <c r="AF1884" s="149" t="b">
        <v>0</v>
      </c>
      <c r="AG1884" s="166"/>
      <c r="AH1884" s="149" t="b">
        <v>0</v>
      </c>
      <c r="AI1884" s="162"/>
      <c r="AJ1884" s="143"/>
      <c r="AK1884" s="143"/>
      <c r="AL1884" s="1112"/>
      <c r="AM1884" s="1112"/>
      <c r="AN1884" s="1112"/>
      <c r="AO1884" s="1112"/>
      <c r="AP1884" s="1112"/>
      <c r="AQ1884" s="1112"/>
    </row>
    <row r="1885" ht="22.5" customHeight="1">
      <c r="A1885" s="166"/>
      <c r="B1885" s="1111"/>
      <c r="C1885" s="524"/>
      <c r="D1885" s="1110"/>
      <c r="E1885" s="669"/>
      <c r="F1885" s="524"/>
      <c r="G1885" s="165"/>
      <c r="H1885" s="669"/>
      <c r="I1885" s="669"/>
      <c r="J1885" s="352"/>
      <c r="K1885" s="271" t="str">
        <f t="shared" si="74"/>
        <v/>
      </c>
      <c r="L1885" s="297"/>
      <c r="M1885" s="334"/>
      <c r="N1885" s="277"/>
      <c r="O1885" s="315"/>
      <c r="P1885" s="344">
        <f t="shared" si="69"/>
        <v>0</v>
      </c>
      <c r="Q1885" s="321"/>
      <c r="R1885" s="672" t="b">
        <v>0</v>
      </c>
      <c r="S1885" s="318"/>
      <c r="T1885" s="319"/>
      <c r="U1885" s="315"/>
      <c r="V1885" s="162"/>
      <c r="W1885" s="149"/>
      <c r="X1885" s="163"/>
      <c r="Y1885" s="162"/>
      <c r="Z1885" s="164"/>
      <c r="AA1885" s="116"/>
      <c r="AB1885" s="116"/>
      <c r="AC1885" s="165"/>
      <c r="AD1885" s="675" t="str">
        <f t="shared" si="76"/>
        <v/>
      </c>
      <c r="AE1885" s="166"/>
      <c r="AF1885" s="149" t="b">
        <v>0</v>
      </c>
      <c r="AG1885" s="166"/>
      <c r="AH1885" s="149" t="b">
        <v>0</v>
      </c>
      <c r="AI1885" s="162"/>
      <c r="AJ1885" s="143"/>
      <c r="AK1885" s="143"/>
      <c r="AL1885" s="1112"/>
      <c r="AM1885" s="1112"/>
      <c r="AN1885" s="1112"/>
      <c r="AO1885" s="1112"/>
      <c r="AP1885" s="1112"/>
      <c r="AQ1885" s="1112"/>
    </row>
    <row r="1886" ht="22.5" customHeight="1">
      <c r="A1886" s="166"/>
      <c r="B1886" s="1111"/>
      <c r="C1886" s="524"/>
      <c r="D1886" s="1110"/>
      <c r="E1886" s="669"/>
      <c r="F1886" s="524"/>
      <c r="G1886" s="165"/>
      <c r="H1886" s="669"/>
      <c r="I1886" s="669"/>
      <c r="J1886" s="352"/>
      <c r="K1886" s="271" t="str">
        <f t="shared" si="74"/>
        <v/>
      </c>
      <c r="L1886" s="297"/>
      <c r="M1886" s="334"/>
      <c r="N1886" s="277"/>
      <c r="O1886" s="315"/>
      <c r="P1886" s="344">
        <f t="shared" si="69"/>
        <v>0</v>
      </c>
      <c r="Q1886" s="321"/>
      <c r="R1886" s="672" t="b">
        <v>0</v>
      </c>
      <c r="S1886" s="318"/>
      <c r="T1886" s="319"/>
      <c r="U1886" s="315"/>
      <c r="V1886" s="162"/>
      <c r="W1886" s="149"/>
      <c r="X1886" s="163"/>
      <c r="Y1886" s="162"/>
      <c r="Z1886" s="164"/>
      <c r="AA1886" s="116"/>
      <c r="AB1886" s="116"/>
      <c r="AC1886" s="165"/>
      <c r="AD1886" s="675" t="str">
        <f t="shared" si="76"/>
        <v/>
      </c>
      <c r="AE1886" s="166"/>
      <c r="AF1886" s="149" t="b">
        <v>0</v>
      </c>
      <c r="AG1886" s="166"/>
      <c r="AH1886" s="149" t="b">
        <v>0</v>
      </c>
      <c r="AI1886" s="162"/>
      <c r="AJ1886" s="143"/>
      <c r="AK1886" s="143"/>
      <c r="AL1886" s="1112"/>
      <c r="AM1886" s="1112"/>
      <c r="AN1886" s="1112"/>
      <c r="AO1886" s="1112"/>
      <c r="AP1886" s="1112"/>
      <c r="AQ1886" s="1112"/>
    </row>
    <row r="1887" ht="22.5" customHeight="1">
      <c r="A1887" s="166"/>
      <c r="B1887" s="1111"/>
      <c r="C1887" s="524"/>
      <c r="D1887" s="1110"/>
      <c r="E1887" s="669"/>
      <c r="F1887" s="524"/>
      <c r="G1887" s="165"/>
      <c r="H1887" s="669"/>
      <c r="I1887" s="669"/>
      <c r="J1887" s="352"/>
      <c r="K1887" s="271" t="str">
        <f t="shared" si="74"/>
        <v/>
      </c>
      <c r="L1887" s="297"/>
      <c r="M1887" s="334"/>
      <c r="N1887" s="277"/>
      <c r="O1887" s="315"/>
      <c r="P1887" s="344">
        <f t="shared" si="69"/>
        <v>0</v>
      </c>
      <c r="Q1887" s="321"/>
      <c r="R1887" s="672" t="b">
        <v>0</v>
      </c>
      <c r="S1887" s="318"/>
      <c r="T1887" s="319"/>
      <c r="U1887" s="315"/>
      <c r="V1887" s="162"/>
      <c r="W1887" s="149"/>
      <c r="X1887" s="163"/>
      <c r="Y1887" s="162"/>
      <c r="Z1887" s="164"/>
      <c r="AA1887" s="116"/>
      <c r="AB1887" s="116"/>
      <c r="AC1887" s="165"/>
      <c r="AD1887" s="675" t="str">
        <f t="shared" si="76"/>
        <v/>
      </c>
      <c r="AE1887" s="166"/>
      <c r="AF1887" s="149" t="b">
        <v>0</v>
      </c>
      <c r="AG1887" s="166"/>
      <c r="AH1887" s="149" t="b">
        <v>0</v>
      </c>
      <c r="AI1887" s="162"/>
      <c r="AJ1887" s="143"/>
      <c r="AK1887" s="143"/>
      <c r="AL1887" s="1112"/>
      <c r="AM1887" s="1112"/>
      <c r="AN1887" s="1112"/>
      <c r="AO1887" s="1112"/>
      <c r="AP1887" s="1112"/>
      <c r="AQ1887" s="1112"/>
    </row>
    <row r="1888" ht="22.5" customHeight="1">
      <c r="A1888" s="166"/>
      <c r="B1888" s="1111"/>
      <c r="C1888" s="524"/>
      <c r="D1888" s="1110"/>
      <c r="E1888" s="669"/>
      <c r="F1888" s="524"/>
      <c r="G1888" s="165"/>
      <c r="H1888" s="669"/>
      <c r="I1888" s="669"/>
      <c r="J1888" s="352"/>
      <c r="K1888" s="271" t="str">
        <f t="shared" si="74"/>
        <v/>
      </c>
      <c r="L1888" s="297"/>
      <c r="M1888" s="334"/>
      <c r="N1888" s="277"/>
      <c r="O1888" s="315"/>
      <c r="P1888" s="344">
        <f t="shared" si="69"/>
        <v>0</v>
      </c>
      <c r="Q1888" s="321"/>
      <c r="R1888" s="672" t="b">
        <v>0</v>
      </c>
      <c r="S1888" s="318"/>
      <c r="T1888" s="319"/>
      <c r="U1888" s="315"/>
      <c r="V1888" s="162"/>
      <c r="W1888" s="149"/>
      <c r="X1888" s="163"/>
      <c r="Y1888" s="162"/>
      <c r="Z1888" s="164"/>
      <c r="AA1888" s="116"/>
      <c r="AB1888" s="116"/>
      <c r="AC1888" s="165"/>
      <c r="AD1888" s="675" t="str">
        <f t="shared" si="76"/>
        <v/>
      </c>
      <c r="AE1888" s="166"/>
      <c r="AF1888" s="149" t="b">
        <v>0</v>
      </c>
      <c r="AG1888" s="166"/>
      <c r="AH1888" s="149" t="b">
        <v>0</v>
      </c>
      <c r="AI1888" s="162"/>
      <c r="AJ1888" s="143"/>
      <c r="AK1888" s="143"/>
      <c r="AL1888" s="1112"/>
      <c r="AM1888" s="1112"/>
      <c r="AN1888" s="1112"/>
      <c r="AO1888" s="1112"/>
      <c r="AP1888" s="1112"/>
      <c r="AQ1888" s="1112"/>
    </row>
    <row r="1889" ht="22.5" customHeight="1">
      <c r="A1889" s="166"/>
      <c r="B1889" s="1111"/>
      <c r="C1889" s="524"/>
      <c r="D1889" s="1110"/>
      <c r="E1889" s="669"/>
      <c r="F1889" s="524"/>
      <c r="G1889" s="165"/>
      <c r="H1889" s="669"/>
      <c r="I1889" s="669"/>
      <c r="J1889" s="352"/>
      <c r="K1889" s="271" t="str">
        <f t="shared" si="74"/>
        <v/>
      </c>
      <c r="L1889" s="297"/>
      <c r="M1889" s="334"/>
      <c r="N1889" s="277"/>
      <c r="O1889" s="315"/>
      <c r="P1889" s="344">
        <f t="shared" si="69"/>
        <v>0</v>
      </c>
      <c r="Q1889" s="321"/>
      <c r="R1889" s="672" t="b">
        <v>0</v>
      </c>
      <c r="S1889" s="318"/>
      <c r="T1889" s="319"/>
      <c r="U1889" s="315"/>
      <c r="V1889" s="162"/>
      <c r="W1889" s="149"/>
      <c r="X1889" s="163"/>
      <c r="Y1889" s="162"/>
      <c r="Z1889" s="164"/>
      <c r="AA1889" s="116"/>
      <c r="AB1889" s="116"/>
      <c r="AC1889" s="165"/>
      <c r="AD1889" s="675" t="str">
        <f t="shared" si="76"/>
        <v/>
      </c>
      <c r="AE1889" s="166"/>
      <c r="AF1889" s="149" t="b">
        <v>0</v>
      </c>
      <c r="AG1889" s="166"/>
      <c r="AH1889" s="149" t="b">
        <v>0</v>
      </c>
      <c r="AI1889" s="162"/>
      <c r="AJ1889" s="143"/>
      <c r="AK1889" s="143"/>
      <c r="AL1889" s="1112"/>
      <c r="AM1889" s="1112"/>
      <c r="AN1889" s="1112"/>
      <c r="AO1889" s="1112"/>
      <c r="AP1889" s="1112"/>
      <c r="AQ1889" s="1112"/>
    </row>
    <row r="1890" ht="22.5" customHeight="1">
      <c r="A1890" s="166"/>
      <c r="B1890" s="1111"/>
      <c r="C1890" s="524"/>
      <c r="D1890" s="1110"/>
      <c r="E1890" s="669"/>
      <c r="F1890" s="524"/>
      <c r="G1890" s="165"/>
      <c r="H1890" s="669"/>
      <c r="I1890" s="669"/>
      <c r="J1890" s="352"/>
      <c r="K1890" s="271" t="str">
        <f t="shared" si="74"/>
        <v/>
      </c>
      <c r="L1890" s="297"/>
      <c r="M1890" s="334"/>
      <c r="N1890" s="277"/>
      <c r="O1890" s="315"/>
      <c r="P1890" s="344">
        <f t="shared" si="69"/>
        <v>0</v>
      </c>
      <c r="Q1890" s="321"/>
      <c r="R1890" s="672" t="b">
        <v>0</v>
      </c>
      <c r="S1890" s="318"/>
      <c r="T1890" s="319"/>
      <c r="U1890" s="315"/>
      <c r="V1890" s="162"/>
      <c r="W1890" s="149"/>
      <c r="X1890" s="163"/>
      <c r="Y1890" s="162"/>
      <c r="Z1890" s="164"/>
      <c r="AA1890" s="116"/>
      <c r="AB1890" s="116"/>
      <c r="AC1890" s="165"/>
      <c r="AD1890" s="675" t="str">
        <f t="shared" si="76"/>
        <v/>
      </c>
      <c r="AE1890" s="166"/>
      <c r="AF1890" s="149" t="b">
        <v>0</v>
      </c>
      <c r="AG1890" s="166"/>
      <c r="AH1890" s="149" t="b">
        <v>0</v>
      </c>
      <c r="AI1890" s="162"/>
      <c r="AJ1890" s="143"/>
      <c r="AK1890" s="143"/>
      <c r="AL1890" s="1112"/>
      <c r="AM1890" s="1112"/>
      <c r="AN1890" s="1112"/>
      <c r="AO1890" s="1112"/>
      <c r="AP1890" s="1112"/>
      <c r="AQ1890" s="1112"/>
    </row>
    <row r="1891" ht="22.5" customHeight="1">
      <c r="A1891" s="166"/>
      <c r="B1891" s="1111"/>
      <c r="C1891" s="524"/>
      <c r="D1891" s="1110"/>
      <c r="E1891" s="669"/>
      <c r="F1891" s="524"/>
      <c r="G1891" s="165"/>
      <c r="H1891" s="669"/>
      <c r="I1891" s="669"/>
      <c r="J1891" s="352"/>
      <c r="K1891" s="271" t="str">
        <f t="shared" si="74"/>
        <v/>
      </c>
      <c r="L1891" s="297"/>
      <c r="M1891" s="334"/>
      <c r="N1891" s="277"/>
      <c r="O1891" s="315"/>
      <c r="P1891" s="344">
        <f t="shared" si="69"/>
        <v>0</v>
      </c>
      <c r="Q1891" s="321"/>
      <c r="R1891" s="672" t="b">
        <v>0</v>
      </c>
      <c r="S1891" s="318"/>
      <c r="T1891" s="319"/>
      <c r="U1891" s="315"/>
      <c r="V1891" s="162"/>
      <c r="W1891" s="149"/>
      <c r="X1891" s="163"/>
      <c r="Y1891" s="162"/>
      <c r="Z1891" s="164"/>
      <c r="AA1891" s="116"/>
      <c r="AB1891" s="116"/>
      <c r="AC1891" s="165"/>
      <c r="AD1891" s="675" t="str">
        <f t="shared" si="76"/>
        <v/>
      </c>
      <c r="AE1891" s="166"/>
      <c r="AF1891" s="149" t="b">
        <v>0</v>
      </c>
      <c r="AG1891" s="166"/>
      <c r="AH1891" s="149" t="b">
        <v>0</v>
      </c>
      <c r="AI1891" s="162"/>
      <c r="AJ1891" s="143"/>
      <c r="AK1891" s="143"/>
      <c r="AL1891" s="1112"/>
      <c r="AM1891" s="1112"/>
      <c r="AN1891" s="1112"/>
      <c r="AO1891" s="1112"/>
      <c r="AP1891" s="1112"/>
      <c r="AQ1891" s="1112"/>
    </row>
    <row r="1892" ht="22.5" customHeight="1">
      <c r="A1892" s="166"/>
      <c r="B1892" s="1111"/>
      <c r="C1892" s="524"/>
      <c r="D1892" s="1110"/>
      <c r="E1892" s="669"/>
      <c r="F1892" s="524"/>
      <c r="G1892" s="165"/>
      <c r="H1892" s="669"/>
      <c r="I1892" s="669"/>
      <c r="J1892" s="352"/>
      <c r="K1892" s="271" t="str">
        <f t="shared" si="74"/>
        <v/>
      </c>
      <c r="L1892" s="297"/>
      <c r="M1892" s="334"/>
      <c r="N1892" s="277"/>
      <c r="O1892" s="315"/>
      <c r="P1892" s="344">
        <f t="shared" si="69"/>
        <v>0</v>
      </c>
      <c r="Q1892" s="321"/>
      <c r="R1892" s="672" t="b">
        <v>0</v>
      </c>
      <c r="S1892" s="318"/>
      <c r="T1892" s="319"/>
      <c r="U1892" s="315"/>
      <c r="V1892" s="162"/>
      <c r="W1892" s="149"/>
      <c r="X1892" s="163"/>
      <c r="Y1892" s="162"/>
      <c r="Z1892" s="164"/>
      <c r="AA1892" s="116"/>
      <c r="AB1892" s="116"/>
      <c r="AC1892" s="165"/>
      <c r="AD1892" s="675" t="str">
        <f t="shared" si="76"/>
        <v/>
      </c>
      <c r="AE1892" s="166"/>
      <c r="AF1892" s="149" t="b">
        <v>0</v>
      </c>
      <c r="AG1892" s="166"/>
      <c r="AH1892" s="149" t="b">
        <v>0</v>
      </c>
      <c r="AI1892" s="162"/>
      <c r="AJ1892" s="143"/>
      <c r="AK1892" s="143"/>
      <c r="AL1892" s="1112"/>
      <c r="AM1892" s="1112"/>
      <c r="AN1892" s="1112"/>
      <c r="AO1892" s="1112"/>
      <c r="AP1892" s="1112"/>
      <c r="AQ1892" s="1112"/>
    </row>
    <row r="1893" ht="22.5" customHeight="1">
      <c r="A1893" s="166"/>
      <c r="B1893" s="1111"/>
      <c r="C1893" s="524"/>
      <c r="D1893" s="1110"/>
      <c r="E1893" s="669"/>
      <c r="F1893" s="524"/>
      <c r="G1893" s="165"/>
      <c r="H1893" s="669"/>
      <c r="I1893" s="669"/>
      <c r="J1893" s="352"/>
      <c r="K1893" s="271" t="str">
        <f t="shared" si="74"/>
        <v/>
      </c>
      <c r="L1893" s="297"/>
      <c r="M1893" s="334"/>
      <c r="N1893" s="277"/>
      <c r="O1893" s="315"/>
      <c r="P1893" s="344">
        <f t="shared" si="69"/>
        <v>0</v>
      </c>
      <c r="Q1893" s="321"/>
      <c r="R1893" s="672" t="b">
        <v>0</v>
      </c>
      <c r="S1893" s="318"/>
      <c r="T1893" s="319"/>
      <c r="U1893" s="315"/>
      <c r="V1893" s="162"/>
      <c r="W1893" s="149"/>
      <c r="X1893" s="163"/>
      <c r="Y1893" s="162"/>
      <c r="Z1893" s="164"/>
      <c r="AA1893" s="116"/>
      <c r="AB1893" s="116"/>
      <c r="AC1893" s="165"/>
      <c r="AD1893" s="675" t="str">
        <f t="shared" si="76"/>
        <v/>
      </c>
      <c r="AE1893" s="166"/>
      <c r="AF1893" s="149" t="b">
        <v>0</v>
      </c>
      <c r="AG1893" s="166"/>
      <c r="AH1893" s="149" t="b">
        <v>0</v>
      </c>
      <c r="AI1893" s="162"/>
      <c r="AJ1893" s="143"/>
      <c r="AK1893" s="143"/>
      <c r="AL1893" s="1112"/>
      <c r="AM1893" s="1112"/>
      <c r="AN1893" s="1112"/>
      <c r="AO1893" s="1112"/>
      <c r="AP1893" s="1112"/>
      <c r="AQ1893" s="1112"/>
    </row>
    <row r="1894" ht="22.5" customHeight="1">
      <c r="A1894" s="166"/>
      <c r="B1894" s="1111"/>
      <c r="C1894" s="524"/>
      <c r="D1894" s="1110"/>
      <c r="E1894" s="669"/>
      <c r="F1894" s="524"/>
      <c r="G1894" s="165"/>
      <c r="H1894" s="669"/>
      <c r="I1894" s="669"/>
      <c r="J1894" s="352"/>
      <c r="K1894" s="271" t="str">
        <f t="shared" si="74"/>
        <v/>
      </c>
      <c r="L1894" s="297"/>
      <c r="M1894" s="334"/>
      <c r="N1894" s="277"/>
      <c r="O1894" s="315"/>
      <c r="P1894" s="344">
        <f t="shared" si="69"/>
        <v>0</v>
      </c>
      <c r="Q1894" s="321"/>
      <c r="R1894" s="672" t="b">
        <v>0</v>
      </c>
      <c r="S1894" s="318"/>
      <c r="T1894" s="319"/>
      <c r="U1894" s="315"/>
      <c r="V1894" s="162"/>
      <c r="W1894" s="149"/>
      <c r="X1894" s="163"/>
      <c r="Y1894" s="162"/>
      <c r="Z1894" s="164"/>
      <c r="AA1894" s="116"/>
      <c r="AB1894" s="116"/>
      <c r="AC1894" s="165"/>
      <c r="AD1894" s="675" t="str">
        <f t="shared" si="76"/>
        <v/>
      </c>
      <c r="AE1894" s="166"/>
      <c r="AF1894" s="149" t="b">
        <v>0</v>
      </c>
      <c r="AG1894" s="166"/>
      <c r="AH1894" s="149" t="b">
        <v>0</v>
      </c>
      <c r="AI1894" s="162"/>
      <c r="AJ1894" s="143"/>
      <c r="AK1894" s="143"/>
      <c r="AL1894" s="1112"/>
      <c r="AM1894" s="1112"/>
      <c r="AN1894" s="1112"/>
      <c r="AO1894" s="1112"/>
      <c r="AP1894" s="1112"/>
      <c r="AQ1894" s="1112"/>
    </row>
    <row r="1895" ht="22.5" customHeight="1">
      <c r="A1895" s="166"/>
      <c r="B1895" s="1111"/>
      <c r="C1895" s="524"/>
      <c r="D1895" s="1110"/>
      <c r="E1895" s="669"/>
      <c r="F1895" s="524"/>
      <c r="G1895" s="165"/>
      <c r="H1895" s="669"/>
      <c r="I1895" s="669"/>
      <c r="J1895" s="352"/>
      <c r="K1895" s="271" t="str">
        <f t="shared" si="74"/>
        <v/>
      </c>
      <c r="L1895" s="297"/>
      <c r="M1895" s="334"/>
      <c r="N1895" s="277"/>
      <c r="O1895" s="315"/>
      <c r="P1895" s="344">
        <f t="shared" si="69"/>
        <v>0</v>
      </c>
      <c r="Q1895" s="321"/>
      <c r="R1895" s="672" t="b">
        <v>0</v>
      </c>
      <c r="S1895" s="318"/>
      <c r="T1895" s="319"/>
      <c r="U1895" s="315"/>
      <c r="V1895" s="162"/>
      <c r="W1895" s="149"/>
      <c r="X1895" s="163"/>
      <c r="Y1895" s="162"/>
      <c r="Z1895" s="164"/>
      <c r="AA1895" s="116"/>
      <c r="AB1895" s="116"/>
      <c r="AC1895" s="165"/>
      <c r="AD1895" s="675" t="str">
        <f t="shared" si="76"/>
        <v/>
      </c>
      <c r="AE1895" s="166"/>
      <c r="AF1895" s="149" t="b">
        <v>0</v>
      </c>
      <c r="AG1895" s="166"/>
      <c r="AH1895" s="149" t="b">
        <v>0</v>
      </c>
      <c r="AI1895" s="162"/>
      <c r="AJ1895" s="143"/>
      <c r="AK1895" s="143"/>
      <c r="AL1895" s="1112"/>
      <c r="AM1895" s="1112"/>
      <c r="AN1895" s="1112"/>
      <c r="AO1895" s="1112"/>
      <c r="AP1895" s="1112"/>
      <c r="AQ1895" s="1112"/>
    </row>
    <row r="1896" ht="22.5" customHeight="1">
      <c r="A1896" s="166"/>
      <c r="B1896" s="1111"/>
      <c r="C1896" s="524"/>
      <c r="D1896" s="1110"/>
      <c r="E1896" s="669"/>
      <c r="F1896" s="524"/>
      <c r="G1896" s="165"/>
      <c r="H1896" s="669"/>
      <c r="I1896" s="669"/>
      <c r="J1896" s="352"/>
      <c r="K1896" s="271" t="str">
        <f t="shared" si="74"/>
        <v/>
      </c>
      <c r="L1896" s="297"/>
      <c r="M1896" s="334"/>
      <c r="N1896" s="277"/>
      <c r="O1896" s="315"/>
      <c r="P1896" s="344">
        <f t="shared" si="69"/>
        <v>0</v>
      </c>
      <c r="Q1896" s="321"/>
      <c r="R1896" s="672" t="b">
        <v>0</v>
      </c>
      <c r="S1896" s="318"/>
      <c r="T1896" s="319"/>
      <c r="U1896" s="315"/>
      <c r="V1896" s="162"/>
      <c r="W1896" s="149"/>
      <c r="X1896" s="163"/>
      <c r="Y1896" s="162"/>
      <c r="Z1896" s="164"/>
      <c r="AA1896" s="116"/>
      <c r="AB1896" s="116"/>
      <c r="AC1896" s="165"/>
      <c r="AD1896" s="675" t="str">
        <f t="shared" si="76"/>
        <v/>
      </c>
      <c r="AE1896" s="166"/>
      <c r="AF1896" s="149" t="b">
        <v>0</v>
      </c>
      <c r="AG1896" s="166"/>
      <c r="AH1896" s="149" t="b">
        <v>0</v>
      </c>
      <c r="AI1896" s="162"/>
      <c r="AJ1896" s="143"/>
      <c r="AK1896" s="143"/>
      <c r="AL1896" s="1112"/>
      <c r="AM1896" s="1112"/>
      <c r="AN1896" s="1112"/>
      <c r="AO1896" s="1112"/>
      <c r="AP1896" s="1112"/>
      <c r="AQ1896" s="1112"/>
    </row>
    <row r="1897" ht="22.5" customHeight="1">
      <c r="A1897" s="166"/>
      <c r="B1897" s="1111"/>
      <c r="C1897" s="524"/>
      <c r="D1897" s="1110"/>
      <c r="E1897" s="669"/>
      <c r="F1897" s="524"/>
      <c r="G1897" s="165"/>
      <c r="H1897" s="669"/>
      <c r="I1897" s="669"/>
      <c r="J1897" s="352"/>
      <c r="K1897" s="271" t="str">
        <f t="shared" si="74"/>
        <v/>
      </c>
      <c r="L1897" s="297"/>
      <c r="M1897" s="334"/>
      <c r="N1897" s="277"/>
      <c r="O1897" s="315"/>
      <c r="P1897" s="344">
        <f t="shared" si="69"/>
        <v>0</v>
      </c>
      <c r="Q1897" s="321"/>
      <c r="R1897" s="672" t="b">
        <v>0</v>
      </c>
      <c r="S1897" s="318"/>
      <c r="T1897" s="319"/>
      <c r="U1897" s="315"/>
      <c r="V1897" s="162"/>
      <c r="W1897" s="149"/>
      <c r="X1897" s="163"/>
      <c r="Y1897" s="162"/>
      <c r="Z1897" s="164"/>
      <c r="AA1897" s="116"/>
      <c r="AB1897" s="116"/>
      <c r="AC1897" s="165"/>
      <c r="AD1897" s="675" t="str">
        <f t="shared" si="76"/>
        <v/>
      </c>
      <c r="AE1897" s="166"/>
      <c r="AF1897" s="149" t="b">
        <v>0</v>
      </c>
      <c r="AG1897" s="166"/>
      <c r="AH1897" s="149" t="b">
        <v>0</v>
      </c>
      <c r="AI1897" s="162"/>
      <c r="AJ1897" s="143"/>
      <c r="AK1897" s="143"/>
      <c r="AL1897" s="1112"/>
      <c r="AM1897" s="1112"/>
      <c r="AN1897" s="1112"/>
      <c r="AO1897" s="1112"/>
      <c r="AP1897" s="1112"/>
      <c r="AQ1897" s="1112"/>
    </row>
    <row r="1898" ht="22.5" customHeight="1">
      <c r="A1898" s="166"/>
      <c r="B1898" s="1111"/>
      <c r="C1898" s="524"/>
      <c r="D1898" s="1110"/>
      <c r="E1898" s="669"/>
      <c r="F1898" s="524"/>
      <c r="G1898" s="165"/>
      <c r="H1898" s="669"/>
      <c r="I1898" s="669"/>
      <c r="J1898" s="352"/>
      <c r="K1898" s="271" t="str">
        <f t="shared" si="74"/>
        <v/>
      </c>
      <c r="L1898" s="297"/>
      <c r="M1898" s="334"/>
      <c r="N1898" s="277"/>
      <c r="O1898" s="315"/>
      <c r="P1898" s="344">
        <f t="shared" si="69"/>
        <v>0</v>
      </c>
      <c r="Q1898" s="321"/>
      <c r="R1898" s="672" t="b">
        <v>0</v>
      </c>
      <c r="S1898" s="318"/>
      <c r="T1898" s="319"/>
      <c r="U1898" s="315"/>
      <c r="V1898" s="162"/>
      <c r="W1898" s="149"/>
      <c r="X1898" s="163"/>
      <c r="Y1898" s="162"/>
      <c r="Z1898" s="164"/>
      <c r="AA1898" s="116"/>
      <c r="AB1898" s="116"/>
      <c r="AC1898" s="165"/>
      <c r="AD1898" s="675" t="str">
        <f t="shared" si="76"/>
        <v/>
      </c>
      <c r="AE1898" s="166"/>
      <c r="AF1898" s="149" t="b">
        <v>0</v>
      </c>
      <c r="AG1898" s="166"/>
      <c r="AH1898" s="149" t="b">
        <v>0</v>
      </c>
      <c r="AI1898" s="162"/>
      <c r="AJ1898" s="143"/>
      <c r="AK1898" s="143"/>
      <c r="AL1898" s="1112"/>
      <c r="AM1898" s="1112"/>
      <c r="AN1898" s="1112"/>
      <c r="AO1898" s="1112"/>
      <c r="AP1898" s="1112"/>
      <c r="AQ1898" s="1112"/>
    </row>
    <row r="1899" ht="22.5" customHeight="1">
      <c r="A1899" s="166"/>
      <c r="B1899" s="1111"/>
      <c r="C1899" s="524"/>
      <c r="D1899" s="1110"/>
      <c r="E1899" s="669"/>
      <c r="F1899" s="524"/>
      <c r="G1899" s="165"/>
      <c r="H1899" s="669"/>
      <c r="I1899" s="669"/>
      <c r="J1899" s="352"/>
      <c r="K1899" s="271" t="str">
        <f t="shared" si="74"/>
        <v/>
      </c>
      <c r="L1899" s="297"/>
      <c r="M1899" s="334"/>
      <c r="N1899" s="277"/>
      <c r="O1899" s="315"/>
      <c r="P1899" s="344">
        <f t="shared" si="69"/>
        <v>0</v>
      </c>
      <c r="Q1899" s="321"/>
      <c r="R1899" s="672" t="b">
        <v>0</v>
      </c>
      <c r="S1899" s="318"/>
      <c r="T1899" s="319"/>
      <c r="U1899" s="315"/>
      <c r="V1899" s="162"/>
      <c r="W1899" s="149"/>
      <c r="X1899" s="163"/>
      <c r="Y1899" s="162"/>
      <c r="Z1899" s="164"/>
      <c r="AA1899" s="116"/>
      <c r="AB1899" s="116"/>
      <c r="AC1899" s="165"/>
      <c r="AD1899" s="675" t="str">
        <f t="shared" si="76"/>
        <v/>
      </c>
      <c r="AE1899" s="166"/>
      <c r="AF1899" s="149" t="b">
        <v>0</v>
      </c>
      <c r="AG1899" s="166"/>
      <c r="AH1899" s="149" t="b">
        <v>0</v>
      </c>
      <c r="AI1899" s="162"/>
      <c r="AJ1899" s="143"/>
      <c r="AK1899" s="143"/>
      <c r="AL1899" s="1112"/>
      <c r="AM1899" s="1112"/>
      <c r="AN1899" s="1112"/>
      <c r="AO1899" s="1112"/>
      <c r="AP1899" s="1112"/>
      <c r="AQ1899" s="1112"/>
    </row>
    <row r="1900" ht="22.5" customHeight="1">
      <c r="A1900" s="166"/>
      <c r="B1900" s="1111"/>
      <c r="C1900" s="524"/>
      <c r="D1900" s="1110"/>
      <c r="E1900" s="669"/>
      <c r="F1900" s="524"/>
      <c r="G1900" s="165"/>
      <c r="H1900" s="669"/>
      <c r="I1900" s="669"/>
      <c r="J1900" s="352"/>
      <c r="K1900" s="271" t="str">
        <f t="shared" si="74"/>
        <v/>
      </c>
      <c r="L1900" s="297"/>
      <c r="M1900" s="334"/>
      <c r="N1900" s="277"/>
      <c r="O1900" s="315"/>
      <c r="P1900" s="344">
        <f t="shared" si="69"/>
        <v>0</v>
      </c>
      <c r="Q1900" s="321"/>
      <c r="R1900" s="672" t="b">
        <v>0</v>
      </c>
      <c r="S1900" s="318"/>
      <c r="T1900" s="319"/>
      <c r="U1900" s="315"/>
      <c r="V1900" s="162"/>
      <c r="W1900" s="149"/>
      <c r="X1900" s="163"/>
      <c r="Y1900" s="162"/>
      <c r="Z1900" s="164"/>
      <c r="AA1900" s="116"/>
      <c r="AB1900" s="116"/>
      <c r="AC1900" s="165"/>
      <c r="AD1900" s="675" t="str">
        <f t="shared" si="76"/>
        <v/>
      </c>
      <c r="AE1900" s="166"/>
      <c r="AF1900" s="149" t="b">
        <v>0</v>
      </c>
      <c r="AG1900" s="166"/>
      <c r="AH1900" s="149" t="b">
        <v>0</v>
      </c>
      <c r="AI1900" s="162"/>
      <c r="AJ1900" s="143"/>
      <c r="AK1900" s="143"/>
      <c r="AL1900" s="1112"/>
      <c r="AM1900" s="1112"/>
      <c r="AN1900" s="1112"/>
      <c r="AO1900" s="1112"/>
      <c r="AP1900" s="1112"/>
      <c r="AQ1900" s="1112"/>
    </row>
    <row r="1901" ht="22.5" customHeight="1">
      <c r="A1901" s="166"/>
      <c r="B1901" s="1111"/>
      <c r="C1901" s="524"/>
      <c r="D1901" s="1110"/>
      <c r="E1901" s="669"/>
      <c r="F1901" s="524"/>
      <c r="G1901" s="165"/>
      <c r="H1901" s="669"/>
      <c r="I1901" s="669"/>
      <c r="J1901" s="352"/>
      <c r="K1901" s="271" t="str">
        <f t="shared" si="74"/>
        <v/>
      </c>
      <c r="L1901" s="297"/>
      <c r="M1901" s="334"/>
      <c r="N1901" s="277"/>
      <c r="O1901" s="315"/>
      <c r="P1901" s="344">
        <f t="shared" si="69"/>
        <v>0</v>
      </c>
      <c r="Q1901" s="321"/>
      <c r="R1901" s="672" t="b">
        <v>0</v>
      </c>
      <c r="S1901" s="318"/>
      <c r="T1901" s="319"/>
      <c r="U1901" s="315"/>
      <c r="V1901" s="162"/>
      <c r="W1901" s="149"/>
      <c r="X1901" s="163"/>
      <c r="Y1901" s="162"/>
      <c r="Z1901" s="164"/>
      <c r="AA1901" s="116"/>
      <c r="AB1901" s="116"/>
      <c r="AC1901" s="165"/>
      <c r="AD1901" s="675" t="str">
        <f t="shared" si="76"/>
        <v/>
      </c>
      <c r="AE1901" s="166"/>
      <c r="AF1901" s="149" t="b">
        <v>0</v>
      </c>
      <c r="AG1901" s="166"/>
      <c r="AH1901" s="149" t="b">
        <v>0</v>
      </c>
      <c r="AI1901" s="162"/>
      <c r="AJ1901" s="143"/>
      <c r="AK1901" s="143"/>
      <c r="AL1901" s="1112"/>
      <c r="AM1901" s="1112"/>
      <c r="AN1901" s="1112"/>
      <c r="AO1901" s="1112"/>
      <c r="AP1901" s="1112"/>
      <c r="AQ1901" s="1112"/>
    </row>
    <row r="1902" ht="22.5" customHeight="1">
      <c r="A1902" s="166"/>
      <c r="B1902" s="1111"/>
      <c r="C1902" s="524"/>
      <c r="D1902" s="1110"/>
      <c r="E1902" s="669"/>
      <c r="F1902" s="524"/>
      <c r="G1902" s="165"/>
      <c r="H1902" s="669"/>
      <c r="I1902" s="669"/>
      <c r="J1902" s="352"/>
      <c r="K1902" s="271" t="str">
        <f t="shared" si="74"/>
        <v/>
      </c>
      <c r="L1902" s="297"/>
      <c r="M1902" s="334"/>
      <c r="N1902" s="277"/>
      <c r="O1902" s="315"/>
      <c r="P1902" s="344">
        <f t="shared" si="69"/>
        <v>0</v>
      </c>
      <c r="Q1902" s="321"/>
      <c r="R1902" s="672" t="b">
        <v>0</v>
      </c>
      <c r="S1902" s="318"/>
      <c r="T1902" s="319"/>
      <c r="U1902" s="315"/>
      <c r="V1902" s="162"/>
      <c r="W1902" s="149"/>
      <c r="X1902" s="163"/>
      <c r="Y1902" s="162"/>
      <c r="Z1902" s="164"/>
      <c r="AA1902" s="116"/>
      <c r="AB1902" s="116"/>
      <c r="AC1902" s="165"/>
      <c r="AD1902" s="675" t="str">
        <f t="shared" si="76"/>
        <v/>
      </c>
      <c r="AE1902" s="166"/>
      <c r="AF1902" s="149" t="b">
        <v>0</v>
      </c>
      <c r="AG1902" s="166"/>
      <c r="AH1902" s="149" t="b">
        <v>0</v>
      </c>
      <c r="AI1902" s="162"/>
      <c r="AJ1902" s="143"/>
      <c r="AK1902" s="143"/>
      <c r="AL1902" s="1112"/>
      <c r="AM1902" s="1112"/>
      <c r="AN1902" s="1112"/>
      <c r="AO1902" s="1112"/>
      <c r="AP1902" s="1112"/>
      <c r="AQ1902" s="1112"/>
    </row>
    <row r="1903" ht="22.5" customHeight="1">
      <c r="A1903" s="166"/>
      <c r="B1903" s="1111"/>
      <c r="C1903" s="524"/>
      <c r="D1903" s="1110"/>
      <c r="E1903" s="669"/>
      <c r="F1903" s="524"/>
      <c r="G1903" s="165"/>
      <c r="H1903" s="669"/>
      <c r="I1903" s="669"/>
      <c r="J1903" s="352"/>
      <c r="K1903" s="271" t="str">
        <f t="shared" si="74"/>
        <v/>
      </c>
      <c r="L1903" s="297"/>
      <c r="M1903" s="334"/>
      <c r="N1903" s="277"/>
      <c r="O1903" s="315"/>
      <c r="P1903" s="344">
        <f t="shared" si="69"/>
        <v>0</v>
      </c>
      <c r="Q1903" s="321"/>
      <c r="R1903" s="672" t="b">
        <v>0</v>
      </c>
      <c r="S1903" s="318"/>
      <c r="T1903" s="319"/>
      <c r="U1903" s="315"/>
      <c r="V1903" s="162"/>
      <c r="W1903" s="149"/>
      <c r="X1903" s="163"/>
      <c r="Y1903" s="162"/>
      <c r="Z1903" s="164"/>
      <c r="AA1903" s="116"/>
      <c r="AB1903" s="116"/>
      <c r="AC1903" s="165"/>
      <c r="AD1903" s="675" t="str">
        <f t="shared" si="76"/>
        <v/>
      </c>
      <c r="AE1903" s="166"/>
      <c r="AF1903" s="149" t="b">
        <v>0</v>
      </c>
      <c r="AG1903" s="166"/>
      <c r="AH1903" s="149" t="b">
        <v>0</v>
      </c>
      <c r="AI1903" s="162"/>
      <c r="AJ1903" s="143"/>
      <c r="AK1903" s="143"/>
      <c r="AL1903" s="1112"/>
      <c r="AM1903" s="1112"/>
      <c r="AN1903" s="1112"/>
      <c r="AO1903" s="1112"/>
      <c r="AP1903" s="1112"/>
      <c r="AQ1903" s="1112"/>
    </row>
    <row r="1904" ht="22.5" customHeight="1">
      <c r="A1904" s="166"/>
      <c r="B1904" s="1111"/>
      <c r="C1904" s="524"/>
      <c r="D1904" s="1110"/>
      <c r="E1904" s="669"/>
      <c r="F1904" s="524"/>
      <c r="G1904" s="165"/>
      <c r="H1904" s="669"/>
      <c r="I1904" s="669"/>
      <c r="J1904" s="352"/>
      <c r="K1904" s="271" t="str">
        <f t="shared" si="74"/>
        <v/>
      </c>
      <c r="L1904" s="297"/>
      <c r="M1904" s="334"/>
      <c r="N1904" s="277"/>
      <c r="O1904" s="315"/>
      <c r="P1904" s="344">
        <f t="shared" si="69"/>
        <v>0</v>
      </c>
      <c r="Q1904" s="321"/>
      <c r="R1904" s="672" t="b">
        <v>0</v>
      </c>
      <c r="S1904" s="318"/>
      <c r="T1904" s="319"/>
      <c r="U1904" s="315"/>
      <c r="V1904" s="162"/>
      <c r="W1904" s="149"/>
      <c r="X1904" s="163"/>
      <c r="Y1904" s="162"/>
      <c r="Z1904" s="164"/>
      <c r="AA1904" s="116"/>
      <c r="AB1904" s="116"/>
      <c r="AC1904" s="165"/>
      <c r="AD1904" s="675" t="str">
        <f t="shared" si="76"/>
        <v/>
      </c>
      <c r="AE1904" s="166"/>
      <c r="AF1904" s="149" t="b">
        <v>0</v>
      </c>
      <c r="AG1904" s="166"/>
      <c r="AH1904" s="149" t="b">
        <v>0</v>
      </c>
      <c r="AI1904" s="162"/>
      <c r="AJ1904" s="143"/>
      <c r="AK1904" s="143"/>
      <c r="AL1904" s="1112"/>
      <c r="AM1904" s="1112"/>
      <c r="AN1904" s="1112"/>
      <c r="AO1904" s="1112"/>
      <c r="AP1904" s="1112"/>
      <c r="AQ1904" s="1112"/>
    </row>
    <row r="1905" ht="22.5" customHeight="1">
      <c r="A1905" s="166"/>
      <c r="B1905" s="1111"/>
      <c r="C1905" s="524"/>
      <c r="D1905" s="1110"/>
      <c r="E1905" s="669"/>
      <c r="F1905" s="524"/>
      <c r="G1905" s="165"/>
      <c r="H1905" s="669"/>
      <c r="I1905" s="669"/>
      <c r="J1905" s="352"/>
      <c r="K1905" s="271" t="str">
        <f t="shared" si="74"/>
        <v/>
      </c>
      <c r="L1905" s="297"/>
      <c r="M1905" s="334"/>
      <c r="N1905" s="277"/>
      <c r="O1905" s="315"/>
      <c r="P1905" s="344">
        <f t="shared" si="69"/>
        <v>0</v>
      </c>
      <c r="Q1905" s="321"/>
      <c r="R1905" s="672" t="b">
        <v>0</v>
      </c>
      <c r="S1905" s="318"/>
      <c r="T1905" s="319"/>
      <c r="U1905" s="315"/>
      <c r="V1905" s="162"/>
      <c r="W1905" s="149"/>
      <c r="X1905" s="163"/>
      <c r="Y1905" s="162"/>
      <c r="Z1905" s="164"/>
      <c r="AA1905" s="116"/>
      <c r="AB1905" s="116"/>
      <c r="AC1905" s="165"/>
      <c r="AD1905" s="675" t="str">
        <f t="shared" si="76"/>
        <v/>
      </c>
      <c r="AE1905" s="166"/>
      <c r="AF1905" s="149" t="b">
        <v>0</v>
      </c>
      <c r="AG1905" s="166"/>
      <c r="AH1905" s="149" t="b">
        <v>0</v>
      </c>
      <c r="AI1905" s="162"/>
      <c r="AJ1905" s="143"/>
      <c r="AK1905" s="143"/>
      <c r="AL1905" s="1112"/>
      <c r="AM1905" s="1112"/>
      <c r="AN1905" s="1112"/>
      <c r="AO1905" s="1112"/>
      <c r="AP1905" s="1112"/>
      <c r="AQ1905" s="1112"/>
    </row>
    <row r="1906" ht="22.5" customHeight="1">
      <c r="A1906" s="166"/>
      <c r="B1906" s="1111"/>
      <c r="C1906" s="524"/>
      <c r="D1906" s="1110"/>
      <c r="E1906" s="669"/>
      <c r="F1906" s="524"/>
      <c r="G1906" s="165"/>
      <c r="H1906" s="669"/>
      <c r="I1906" s="669"/>
      <c r="J1906" s="352"/>
      <c r="K1906" s="271" t="str">
        <f t="shared" si="74"/>
        <v/>
      </c>
      <c r="L1906" s="297"/>
      <c r="M1906" s="334"/>
      <c r="N1906" s="277"/>
      <c r="O1906" s="315"/>
      <c r="P1906" s="344">
        <f t="shared" si="69"/>
        <v>0</v>
      </c>
      <c r="Q1906" s="321"/>
      <c r="R1906" s="672" t="b">
        <v>0</v>
      </c>
      <c r="S1906" s="318"/>
      <c r="T1906" s="319"/>
      <c r="U1906" s="315"/>
      <c r="V1906" s="162"/>
      <c r="W1906" s="149"/>
      <c r="X1906" s="163"/>
      <c r="Y1906" s="162"/>
      <c r="Z1906" s="164"/>
      <c r="AA1906" s="116"/>
      <c r="AB1906" s="116"/>
      <c r="AC1906" s="165"/>
      <c r="AD1906" s="675" t="str">
        <f t="shared" si="76"/>
        <v/>
      </c>
      <c r="AE1906" s="166"/>
      <c r="AF1906" s="149" t="b">
        <v>0</v>
      </c>
      <c r="AG1906" s="166"/>
      <c r="AH1906" s="149" t="b">
        <v>0</v>
      </c>
      <c r="AI1906" s="162"/>
      <c r="AJ1906" s="143"/>
      <c r="AK1906" s="143"/>
      <c r="AL1906" s="1112"/>
      <c r="AM1906" s="1112"/>
      <c r="AN1906" s="1112"/>
      <c r="AO1906" s="1112"/>
      <c r="AP1906" s="1112"/>
      <c r="AQ1906" s="1112"/>
    </row>
    <row r="1907" ht="22.5" customHeight="1">
      <c r="A1907" s="166"/>
      <c r="B1907" s="1111"/>
      <c r="C1907" s="524"/>
      <c r="D1907" s="1110"/>
      <c r="E1907" s="669"/>
      <c r="F1907" s="524"/>
      <c r="G1907" s="165"/>
      <c r="H1907" s="669"/>
      <c r="I1907" s="669"/>
      <c r="J1907" s="352"/>
      <c r="K1907" s="271" t="str">
        <f t="shared" si="74"/>
        <v/>
      </c>
      <c r="L1907" s="297"/>
      <c r="M1907" s="334"/>
      <c r="N1907" s="277"/>
      <c r="O1907" s="315"/>
      <c r="P1907" s="344">
        <f t="shared" si="69"/>
        <v>0</v>
      </c>
      <c r="Q1907" s="321"/>
      <c r="R1907" s="672" t="b">
        <v>0</v>
      </c>
      <c r="S1907" s="318"/>
      <c r="T1907" s="319"/>
      <c r="U1907" s="315"/>
      <c r="V1907" s="162"/>
      <c r="W1907" s="149"/>
      <c r="X1907" s="163"/>
      <c r="Y1907" s="162"/>
      <c r="Z1907" s="164"/>
      <c r="AA1907" s="116"/>
      <c r="AB1907" s="116"/>
      <c r="AC1907" s="165"/>
      <c r="AD1907" s="675" t="str">
        <f t="shared" si="76"/>
        <v/>
      </c>
      <c r="AE1907" s="166"/>
      <c r="AF1907" s="149" t="b">
        <v>0</v>
      </c>
      <c r="AG1907" s="166"/>
      <c r="AH1907" s="149" t="b">
        <v>0</v>
      </c>
      <c r="AI1907" s="162"/>
      <c r="AJ1907" s="143"/>
      <c r="AK1907" s="143"/>
      <c r="AL1907" s="1112"/>
      <c r="AM1907" s="1112"/>
      <c r="AN1907" s="1112"/>
      <c r="AO1907" s="1112"/>
      <c r="AP1907" s="1112"/>
      <c r="AQ1907" s="1112"/>
    </row>
    <row r="1908" ht="22.5" customHeight="1">
      <c r="A1908" s="166"/>
      <c r="B1908" s="1111"/>
      <c r="C1908" s="524"/>
      <c r="D1908" s="1110"/>
      <c r="E1908" s="669"/>
      <c r="F1908" s="524"/>
      <c r="G1908" s="165"/>
      <c r="H1908" s="669"/>
      <c r="I1908" s="669"/>
      <c r="J1908" s="352"/>
      <c r="K1908" s="271" t="str">
        <f t="shared" si="74"/>
        <v/>
      </c>
      <c r="L1908" s="297"/>
      <c r="M1908" s="334"/>
      <c r="N1908" s="277"/>
      <c r="O1908" s="315"/>
      <c r="P1908" s="344">
        <f t="shared" si="69"/>
        <v>0</v>
      </c>
      <c r="Q1908" s="321"/>
      <c r="R1908" s="672" t="b">
        <v>0</v>
      </c>
      <c r="S1908" s="318"/>
      <c r="T1908" s="319"/>
      <c r="U1908" s="315"/>
      <c r="V1908" s="162"/>
      <c r="W1908" s="149"/>
      <c r="X1908" s="163"/>
      <c r="Y1908" s="162"/>
      <c r="Z1908" s="164"/>
      <c r="AA1908" s="116"/>
      <c r="AB1908" s="116"/>
      <c r="AC1908" s="165"/>
      <c r="AD1908" s="675" t="str">
        <f t="shared" si="76"/>
        <v/>
      </c>
      <c r="AE1908" s="166"/>
      <c r="AF1908" s="149" t="b">
        <v>0</v>
      </c>
      <c r="AG1908" s="166"/>
      <c r="AH1908" s="149" t="b">
        <v>0</v>
      </c>
      <c r="AI1908" s="162"/>
      <c r="AJ1908" s="143"/>
      <c r="AK1908" s="143"/>
      <c r="AL1908" s="1112"/>
      <c r="AM1908" s="1112"/>
      <c r="AN1908" s="1112"/>
      <c r="AO1908" s="1112"/>
      <c r="AP1908" s="1112"/>
      <c r="AQ1908" s="1112"/>
    </row>
    <row r="1909" ht="22.5" customHeight="1">
      <c r="A1909" s="166"/>
      <c r="B1909" s="1111"/>
      <c r="C1909" s="524"/>
      <c r="D1909" s="1110"/>
      <c r="E1909" s="669"/>
      <c r="F1909" s="524"/>
      <c r="G1909" s="165"/>
      <c r="H1909" s="669"/>
      <c r="I1909" s="669"/>
      <c r="J1909" s="352"/>
      <c r="K1909" s="271" t="str">
        <f t="shared" si="74"/>
        <v/>
      </c>
      <c r="L1909" s="297"/>
      <c r="M1909" s="334"/>
      <c r="N1909" s="277"/>
      <c r="O1909" s="315"/>
      <c r="P1909" s="344">
        <f t="shared" si="69"/>
        <v>0</v>
      </c>
      <c r="Q1909" s="321"/>
      <c r="R1909" s="672" t="b">
        <v>0</v>
      </c>
      <c r="S1909" s="318"/>
      <c r="T1909" s="319"/>
      <c r="U1909" s="315"/>
      <c r="V1909" s="162"/>
      <c r="W1909" s="149"/>
      <c r="X1909" s="163"/>
      <c r="Y1909" s="162"/>
      <c r="Z1909" s="164"/>
      <c r="AA1909" s="116"/>
      <c r="AB1909" s="116"/>
      <c r="AC1909" s="165"/>
      <c r="AD1909" s="675" t="str">
        <f t="shared" si="76"/>
        <v/>
      </c>
      <c r="AE1909" s="166"/>
      <c r="AF1909" s="149" t="b">
        <v>0</v>
      </c>
      <c r="AG1909" s="166"/>
      <c r="AH1909" s="149" t="b">
        <v>0</v>
      </c>
      <c r="AI1909" s="162"/>
      <c r="AJ1909" s="143"/>
      <c r="AK1909" s="143"/>
      <c r="AL1909" s="1112"/>
      <c r="AM1909" s="1112"/>
      <c r="AN1909" s="1112"/>
      <c r="AO1909" s="1112"/>
      <c r="AP1909" s="1112"/>
      <c r="AQ1909" s="1112"/>
    </row>
    <row r="1910" ht="22.5" customHeight="1">
      <c r="A1910" s="166"/>
      <c r="B1910" s="1111"/>
      <c r="C1910" s="524"/>
      <c r="D1910" s="1110"/>
      <c r="E1910" s="669"/>
      <c r="F1910" s="524"/>
      <c r="G1910" s="165"/>
      <c r="H1910" s="669"/>
      <c r="I1910" s="669"/>
      <c r="J1910" s="352"/>
      <c r="K1910" s="271" t="str">
        <f t="shared" si="74"/>
        <v/>
      </c>
      <c r="L1910" s="297"/>
      <c r="M1910" s="334"/>
      <c r="N1910" s="277"/>
      <c r="O1910" s="315"/>
      <c r="P1910" s="344">
        <f t="shared" si="69"/>
        <v>0</v>
      </c>
      <c r="Q1910" s="321"/>
      <c r="R1910" s="672" t="b">
        <v>0</v>
      </c>
      <c r="S1910" s="318"/>
      <c r="T1910" s="319"/>
      <c r="U1910" s="315"/>
      <c r="V1910" s="162"/>
      <c r="W1910" s="149"/>
      <c r="X1910" s="163"/>
      <c r="Y1910" s="162"/>
      <c r="Z1910" s="164"/>
      <c r="AA1910" s="116"/>
      <c r="AB1910" s="116"/>
      <c r="AC1910" s="165"/>
      <c r="AD1910" s="675" t="str">
        <f t="shared" si="76"/>
        <v/>
      </c>
      <c r="AE1910" s="166"/>
      <c r="AF1910" s="149" t="b">
        <v>0</v>
      </c>
      <c r="AG1910" s="166"/>
      <c r="AH1910" s="149" t="b">
        <v>0</v>
      </c>
      <c r="AI1910" s="162"/>
      <c r="AJ1910" s="143"/>
      <c r="AK1910" s="143"/>
      <c r="AL1910" s="1112"/>
      <c r="AM1910" s="1112"/>
      <c r="AN1910" s="1112"/>
      <c r="AO1910" s="1112"/>
      <c r="AP1910" s="1112"/>
      <c r="AQ1910" s="1112"/>
    </row>
    <row r="1911" ht="22.5" customHeight="1">
      <c r="A1911" s="166"/>
      <c r="B1911" s="1111"/>
      <c r="C1911" s="524"/>
      <c r="D1911" s="1110"/>
      <c r="E1911" s="669"/>
      <c r="F1911" s="524"/>
      <c r="G1911" s="165"/>
      <c r="H1911" s="669"/>
      <c r="I1911" s="669"/>
      <c r="J1911" s="352"/>
      <c r="K1911" s="271" t="str">
        <f t="shared" si="74"/>
        <v/>
      </c>
      <c r="L1911" s="297"/>
      <c r="M1911" s="334"/>
      <c r="N1911" s="277"/>
      <c r="O1911" s="315"/>
      <c r="P1911" s="344">
        <f t="shared" si="69"/>
        <v>0</v>
      </c>
      <c r="Q1911" s="321"/>
      <c r="R1911" s="672" t="b">
        <v>0</v>
      </c>
      <c r="S1911" s="318"/>
      <c r="T1911" s="319"/>
      <c r="U1911" s="315"/>
      <c r="V1911" s="162"/>
      <c r="W1911" s="149"/>
      <c r="X1911" s="163"/>
      <c r="Y1911" s="162"/>
      <c r="Z1911" s="164"/>
      <c r="AA1911" s="116"/>
      <c r="AB1911" s="116"/>
      <c r="AC1911" s="165"/>
      <c r="AD1911" s="675" t="str">
        <f t="shared" si="76"/>
        <v/>
      </c>
      <c r="AE1911" s="166"/>
      <c r="AF1911" s="149" t="b">
        <v>0</v>
      </c>
      <c r="AG1911" s="166"/>
      <c r="AH1911" s="149" t="b">
        <v>0</v>
      </c>
      <c r="AI1911" s="162"/>
      <c r="AJ1911" s="143"/>
      <c r="AK1911" s="143"/>
      <c r="AL1911" s="1112"/>
      <c r="AM1911" s="1112"/>
      <c r="AN1911" s="1112"/>
      <c r="AO1911" s="1112"/>
      <c r="AP1911" s="1112"/>
      <c r="AQ1911" s="1112"/>
    </row>
    <row r="1912" ht="22.5" customHeight="1">
      <c r="A1912" s="166"/>
      <c r="B1912" s="1111"/>
      <c r="C1912" s="524"/>
      <c r="D1912" s="1110"/>
      <c r="E1912" s="669"/>
      <c r="F1912" s="524"/>
      <c r="G1912" s="165"/>
      <c r="H1912" s="669"/>
      <c r="I1912" s="669"/>
      <c r="J1912" s="352"/>
      <c r="K1912" s="271" t="str">
        <f t="shared" si="74"/>
        <v/>
      </c>
      <c r="L1912" s="297"/>
      <c r="M1912" s="334"/>
      <c r="N1912" s="277"/>
      <c r="O1912" s="315"/>
      <c r="P1912" s="344">
        <f t="shared" si="69"/>
        <v>0</v>
      </c>
      <c r="Q1912" s="321"/>
      <c r="R1912" s="672" t="b">
        <v>0</v>
      </c>
      <c r="S1912" s="318"/>
      <c r="T1912" s="319"/>
      <c r="U1912" s="315"/>
      <c r="V1912" s="162"/>
      <c r="W1912" s="149"/>
      <c r="X1912" s="163"/>
      <c r="Y1912" s="162"/>
      <c r="Z1912" s="164"/>
      <c r="AA1912" s="116"/>
      <c r="AB1912" s="116"/>
      <c r="AC1912" s="165"/>
      <c r="AD1912" s="675" t="str">
        <f t="shared" si="76"/>
        <v/>
      </c>
      <c r="AE1912" s="166"/>
      <c r="AF1912" s="149" t="b">
        <v>0</v>
      </c>
      <c r="AG1912" s="166"/>
      <c r="AH1912" s="149" t="b">
        <v>0</v>
      </c>
      <c r="AI1912" s="162"/>
      <c r="AJ1912" s="143"/>
      <c r="AK1912" s="143"/>
      <c r="AL1912" s="1112"/>
      <c r="AM1912" s="1112"/>
      <c r="AN1912" s="1112"/>
      <c r="AO1912" s="1112"/>
      <c r="AP1912" s="1112"/>
      <c r="AQ1912" s="1112"/>
    </row>
    <row r="1913" ht="22.5" customHeight="1">
      <c r="A1913" s="166"/>
      <c r="B1913" s="1111"/>
      <c r="C1913" s="524"/>
      <c r="D1913" s="1110"/>
      <c r="E1913" s="669"/>
      <c r="F1913" s="524"/>
      <c r="G1913" s="165"/>
      <c r="H1913" s="669"/>
      <c r="I1913" s="669"/>
      <c r="J1913" s="352"/>
      <c r="K1913" s="271" t="str">
        <f t="shared" si="74"/>
        <v/>
      </c>
      <c r="L1913" s="297"/>
      <c r="M1913" s="334"/>
      <c r="N1913" s="277"/>
      <c r="O1913" s="315"/>
      <c r="P1913" s="344">
        <f t="shared" si="69"/>
        <v>0</v>
      </c>
      <c r="Q1913" s="321"/>
      <c r="R1913" s="672" t="b">
        <v>0</v>
      </c>
      <c r="S1913" s="318"/>
      <c r="T1913" s="319"/>
      <c r="U1913" s="315"/>
      <c r="V1913" s="162"/>
      <c r="W1913" s="149"/>
      <c r="X1913" s="163"/>
      <c r="Y1913" s="162"/>
      <c r="Z1913" s="164"/>
      <c r="AA1913" s="116"/>
      <c r="AB1913" s="116"/>
      <c r="AC1913" s="165"/>
      <c r="AD1913" s="675" t="str">
        <f t="shared" si="76"/>
        <v/>
      </c>
      <c r="AE1913" s="166"/>
      <c r="AF1913" s="149" t="b">
        <v>0</v>
      </c>
      <c r="AG1913" s="166"/>
      <c r="AH1913" s="149" t="b">
        <v>0</v>
      </c>
      <c r="AI1913" s="162"/>
      <c r="AJ1913" s="143"/>
      <c r="AK1913" s="143"/>
      <c r="AL1913" s="1112"/>
      <c r="AM1913" s="1112"/>
      <c r="AN1913" s="1112"/>
      <c r="AO1913" s="1112"/>
      <c r="AP1913" s="1112"/>
      <c r="AQ1913" s="1112"/>
    </row>
    <row r="1914" ht="22.5" customHeight="1">
      <c r="A1914" s="166"/>
      <c r="B1914" s="1111"/>
      <c r="C1914" s="524"/>
      <c r="D1914" s="1110"/>
      <c r="E1914" s="669"/>
      <c r="F1914" s="524"/>
      <c r="G1914" s="165"/>
      <c r="H1914" s="669"/>
      <c r="I1914" s="669"/>
      <c r="J1914" s="352"/>
      <c r="K1914" s="271" t="str">
        <f t="shared" si="74"/>
        <v/>
      </c>
      <c r="L1914" s="297"/>
      <c r="M1914" s="334"/>
      <c r="N1914" s="277"/>
      <c r="O1914" s="315"/>
      <c r="P1914" s="344">
        <f t="shared" si="69"/>
        <v>0</v>
      </c>
      <c r="Q1914" s="321"/>
      <c r="R1914" s="672" t="b">
        <v>0</v>
      </c>
      <c r="S1914" s="318"/>
      <c r="T1914" s="319"/>
      <c r="U1914" s="315"/>
      <c r="V1914" s="162"/>
      <c r="W1914" s="149"/>
      <c r="X1914" s="163"/>
      <c r="Y1914" s="162"/>
      <c r="Z1914" s="164"/>
      <c r="AA1914" s="116"/>
      <c r="AB1914" s="116"/>
      <c r="AC1914" s="165"/>
      <c r="AD1914" s="675" t="str">
        <f t="shared" si="76"/>
        <v/>
      </c>
      <c r="AE1914" s="166"/>
      <c r="AF1914" s="149" t="b">
        <v>0</v>
      </c>
      <c r="AG1914" s="166"/>
      <c r="AH1914" s="149" t="b">
        <v>0</v>
      </c>
      <c r="AI1914" s="162"/>
      <c r="AJ1914" s="143"/>
      <c r="AK1914" s="143"/>
      <c r="AL1914" s="1112"/>
      <c r="AM1914" s="1112"/>
      <c r="AN1914" s="1112"/>
      <c r="AO1914" s="1112"/>
      <c r="AP1914" s="1112"/>
      <c r="AQ1914" s="1112"/>
    </row>
    <row r="1915" ht="22.5" customHeight="1">
      <c r="A1915" s="166"/>
      <c r="B1915" s="1111"/>
      <c r="C1915" s="524"/>
      <c r="D1915" s="1110"/>
      <c r="E1915" s="669"/>
      <c r="F1915" s="524"/>
      <c r="G1915" s="165"/>
      <c r="H1915" s="669"/>
      <c r="I1915" s="669"/>
      <c r="J1915" s="352"/>
      <c r="K1915" s="271" t="str">
        <f t="shared" si="74"/>
        <v/>
      </c>
      <c r="L1915" s="297"/>
      <c r="M1915" s="334"/>
      <c r="N1915" s="277"/>
      <c r="O1915" s="315"/>
      <c r="P1915" s="344">
        <f t="shared" si="69"/>
        <v>0</v>
      </c>
      <c r="Q1915" s="321"/>
      <c r="R1915" s="672" t="b">
        <v>0</v>
      </c>
      <c r="S1915" s="318"/>
      <c r="T1915" s="319"/>
      <c r="U1915" s="315"/>
      <c r="V1915" s="162"/>
      <c r="W1915" s="149"/>
      <c r="X1915" s="163"/>
      <c r="Y1915" s="162"/>
      <c r="Z1915" s="164"/>
      <c r="AA1915" s="116"/>
      <c r="AB1915" s="116"/>
      <c r="AC1915" s="165"/>
      <c r="AD1915" s="675" t="str">
        <f t="shared" si="76"/>
        <v/>
      </c>
      <c r="AE1915" s="166"/>
      <c r="AF1915" s="149" t="b">
        <v>0</v>
      </c>
      <c r="AG1915" s="166"/>
      <c r="AH1915" s="149" t="b">
        <v>0</v>
      </c>
      <c r="AI1915" s="162"/>
      <c r="AJ1915" s="143"/>
      <c r="AK1915" s="143"/>
      <c r="AL1915" s="1112"/>
      <c r="AM1915" s="1112"/>
      <c r="AN1915" s="1112"/>
      <c r="AO1915" s="1112"/>
      <c r="AP1915" s="1112"/>
      <c r="AQ1915" s="1112"/>
    </row>
    <row r="1916" ht="22.5" customHeight="1">
      <c r="A1916" s="166"/>
      <c r="B1916" s="1111"/>
      <c r="C1916" s="524"/>
      <c r="D1916" s="1110"/>
      <c r="E1916" s="669"/>
      <c r="F1916" s="524"/>
      <c r="G1916" s="165"/>
      <c r="H1916" s="669"/>
      <c r="I1916" s="669"/>
      <c r="J1916" s="352"/>
      <c r="K1916" s="271" t="str">
        <f t="shared" si="74"/>
        <v/>
      </c>
      <c r="L1916" s="297"/>
      <c r="M1916" s="334"/>
      <c r="N1916" s="277"/>
      <c r="O1916" s="315"/>
      <c r="P1916" s="344">
        <f t="shared" si="69"/>
        <v>0</v>
      </c>
      <c r="Q1916" s="321"/>
      <c r="R1916" s="672" t="b">
        <v>0</v>
      </c>
      <c r="S1916" s="318"/>
      <c r="T1916" s="319"/>
      <c r="U1916" s="315"/>
      <c r="V1916" s="162"/>
      <c r="W1916" s="149"/>
      <c r="X1916" s="163"/>
      <c r="Y1916" s="162"/>
      <c r="Z1916" s="164"/>
      <c r="AA1916" s="116"/>
      <c r="AB1916" s="116"/>
      <c r="AC1916" s="165"/>
      <c r="AD1916" s="675" t="str">
        <f t="shared" si="76"/>
        <v/>
      </c>
      <c r="AE1916" s="166"/>
      <c r="AF1916" s="149" t="b">
        <v>0</v>
      </c>
      <c r="AG1916" s="166"/>
      <c r="AH1916" s="149" t="b">
        <v>0</v>
      </c>
      <c r="AI1916" s="162"/>
      <c r="AJ1916" s="143"/>
      <c r="AK1916" s="143"/>
      <c r="AL1916" s="1112"/>
      <c r="AM1916" s="1112"/>
      <c r="AN1916" s="1112"/>
      <c r="AO1916" s="1112"/>
      <c r="AP1916" s="1112"/>
      <c r="AQ1916" s="1112"/>
    </row>
    <row r="1917" ht="22.5" customHeight="1">
      <c r="A1917" s="166"/>
      <c r="B1917" s="1111"/>
      <c r="C1917" s="524"/>
      <c r="D1917" s="1110"/>
      <c r="E1917" s="669"/>
      <c r="F1917" s="524"/>
      <c r="G1917" s="165"/>
      <c r="H1917" s="669"/>
      <c r="I1917" s="669"/>
      <c r="J1917" s="352"/>
      <c r="K1917" s="271" t="str">
        <f t="shared" si="74"/>
        <v/>
      </c>
      <c r="L1917" s="297"/>
      <c r="M1917" s="334"/>
      <c r="N1917" s="277"/>
      <c r="O1917" s="315"/>
      <c r="P1917" s="344">
        <f t="shared" si="69"/>
        <v>0</v>
      </c>
      <c r="Q1917" s="321"/>
      <c r="R1917" s="672" t="b">
        <v>0</v>
      </c>
      <c r="S1917" s="318"/>
      <c r="T1917" s="319"/>
      <c r="U1917" s="315"/>
      <c r="V1917" s="162"/>
      <c r="W1917" s="149"/>
      <c r="X1917" s="163"/>
      <c r="Y1917" s="162"/>
      <c r="Z1917" s="164"/>
      <c r="AA1917" s="116"/>
      <c r="AB1917" s="116"/>
      <c r="AC1917" s="165"/>
      <c r="AD1917" s="675" t="str">
        <f t="shared" si="76"/>
        <v/>
      </c>
      <c r="AE1917" s="166"/>
      <c r="AF1917" s="149" t="b">
        <v>0</v>
      </c>
      <c r="AG1917" s="166"/>
      <c r="AH1917" s="149" t="b">
        <v>0</v>
      </c>
      <c r="AI1917" s="162"/>
      <c r="AJ1917" s="143"/>
      <c r="AK1917" s="143"/>
      <c r="AL1917" s="1112"/>
      <c r="AM1917" s="1112"/>
      <c r="AN1917" s="1112"/>
      <c r="AO1917" s="1112"/>
      <c r="AP1917" s="1112"/>
      <c r="AQ1917" s="1112"/>
    </row>
    <row r="1918" ht="22.5" customHeight="1">
      <c r="A1918" s="166"/>
      <c r="B1918" s="1111"/>
      <c r="C1918" s="524"/>
      <c r="D1918" s="1110"/>
      <c r="E1918" s="669"/>
      <c r="F1918" s="524"/>
      <c r="G1918" s="165"/>
      <c r="H1918" s="669"/>
      <c r="I1918" s="669"/>
      <c r="J1918" s="352"/>
      <c r="K1918" s="271" t="str">
        <f t="shared" si="74"/>
        <v/>
      </c>
      <c r="L1918" s="297"/>
      <c r="M1918" s="334"/>
      <c r="N1918" s="277"/>
      <c r="O1918" s="315"/>
      <c r="P1918" s="344">
        <f t="shared" si="69"/>
        <v>0</v>
      </c>
      <c r="Q1918" s="321"/>
      <c r="R1918" s="672" t="b">
        <v>0</v>
      </c>
      <c r="S1918" s="318"/>
      <c r="T1918" s="319"/>
      <c r="U1918" s="315"/>
      <c r="V1918" s="162"/>
      <c r="W1918" s="149"/>
      <c r="X1918" s="163"/>
      <c r="Y1918" s="162"/>
      <c r="Z1918" s="164"/>
      <c r="AA1918" s="116"/>
      <c r="AB1918" s="116"/>
      <c r="AC1918" s="165"/>
      <c r="AD1918" s="675" t="str">
        <f t="shared" si="76"/>
        <v/>
      </c>
      <c r="AE1918" s="166"/>
      <c r="AF1918" s="149" t="b">
        <v>0</v>
      </c>
      <c r="AG1918" s="166"/>
      <c r="AH1918" s="149" t="b">
        <v>0</v>
      </c>
      <c r="AI1918" s="162"/>
      <c r="AJ1918" s="143"/>
      <c r="AK1918" s="143"/>
      <c r="AL1918" s="1112"/>
      <c r="AM1918" s="1112"/>
      <c r="AN1918" s="1112"/>
      <c r="AO1918" s="1112"/>
      <c r="AP1918" s="1112"/>
      <c r="AQ1918" s="1112"/>
    </row>
    <row r="1919" ht="22.5" customHeight="1">
      <c r="A1919" s="166"/>
      <c r="B1919" s="1111"/>
      <c r="C1919" s="524"/>
      <c r="D1919" s="1110"/>
      <c r="E1919" s="669"/>
      <c r="F1919" s="524"/>
      <c r="G1919" s="165"/>
      <c r="H1919" s="669"/>
      <c r="I1919" s="669"/>
      <c r="J1919" s="352"/>
      <c r="K1919" s="271" t="str">
        <f t="shared" si="74"/>
        <v/>
      </c>
      <c r="L1919" s="297"/>
      <c r="M1919" s="334"/>
      <c r="N1919" s="277"/>
      <c r="O1919" s="315"/>
      <c r="P1919" s="344">
        <f t="shared" si="69"/>
        <v>0</v>
      </c>
      <c r="Q1919" s="321"/>
      <c r="R1919" s="672" t="b">
        <v>0</v>
      </c>
      <c r="S1919" s="318"/>
      <c r="T1919" s="319"/>
      <c r="U1919" s="315"/>
      <c r="V1919" s="162"/>
      <c r="W1919" s="149"/>
      <c r="X1919" s="163"/>
      <c r="Y1919" s="162"/>
      <c r="Z1919" s="164"/>
      <c r="AA1919" s="116"/>
      <c r="AB1919" s="116"/>
      <c r="AC1919" s="165"/>
      <c r="AD1919" s="675" t="str">
        <f t="shared" si="76"/>
        <v/>
      </c>
      <c r="AE1919" s="166"/>
      <c r="AF1919" s="149" t="b">
        <v>0</v>
      </c>
      <c r="AG1919" s="166"/>
      <c r="AH1919" s="149" t="b">
        <v>0</v>
      </c>
      <c r="AI1919" s="162"/>
      <c r="AJ1919" s="143"/>
      <c r="AK1919" s="143"/>
      <c r="AL1919" s="1112"/>
      <c r="AM1919" s="1112"/>
      <c r="AN1919" s="1112"/>
      <c r="AO1919" s="1112"/>
      <c r="AP1919" s="1112"/>
      <c r="AQ1919" s="1112"/>
    </row>
    <row r="1920" ht="22.5" customHeight="1">
      <c r="A1920" s="166"/>
      <c r="B1920" s="1111"/>
      <c r="C1920" s="524"/>
      <c r="D1920" s="1110"/>
      <c r="E1920" s="669"/>
      <c r="F1920" s="524"/>
      <c r="G1920" s="165"/>
      <c r="H1920" s="669"/>
      <c r="I1920" s="669"/>
      <c r="J1920" s="352"/>
      <c r="K1920" s="271" t="str">
        <f t="shared" si="74"/>
        <v/>
      </c>
      <c r="L1920" s="297"/>
      <c r="M1920" s="334"/>
      <c r="N1920" s="277"/>
      <c r="O1920" s="315"/>
      <c r="P1920" s="344">
        <f t="shared" si="69"/>
        <v>0</v>
      </c>
      <c r="Q1920" s="321"/>
      <c r="R1920" s="672" t="b">
        <v>0</v>
      </c>
      <c r="S1920" s="318"/>
      <c r="T1920" s="319"/>
      <c r="U1920" s="315"/>
      <c r="V1920" s="162"/>
      <c r="W1920" s="149"/>
      <c r="X1920" s="163"/>
      <c r="Y1920" s="162"/>
      <c r="Z1920" s="164"/>
      <c r="AA1920" s="116"/>
      <c r="AB1920" s="116"/>
      <c r="AC1920" s="165"/>
      <c r="AD1920" s="675" t="str">
        <f t="shared" si="76"/>
        <v/>
      </c>
      <c r="AE1920" s="166"/>
      <c r="AF1920" s="149" t="b">
        <v>0</v>
      </c>
      <c r="AG1920" s="166"/>
      <c r="AH1920" s="149" t="b">
        <v>0</v>
      </c>
      <c r="AI1920" s="162"/>
      <c r="AJ1920" s="143"/>
      <c r="AK1920" s="143"/>
      <c r="AL1920" s="1112"/>
      <c r="AM1920" s="1112"/>
      <c r="AN1920" s="1112"/>
      <c r="AO1920" s="1112"/>
      <c r="AP1920" s="1112"/>
      <c r="AQ1920" s="1112"/>
    </row>
    <row r="1921" ht="22.5" customHeight="1">
      <c r="A1921" s="166"/>
      <c r="B1921" s="1111"/>
      <c r="C1921" s="524"/>
      <c r="D1921" s="1110"/>
      <c r="E1921" s="669"/>
      <c r="F1921" s="524"/>
      <c r="G1921" s="165"/>
      <c r="H1921" s="669"/>
      <c r="I1921" s="669"/>
      <c r="J1921" s="352"/>
      <c r="K1921" s="271" t="str">
        <f t="shared" si="74"/>
        <v/>
      </c>
      <c r="L1921" s="297"/>
      <c r="M1921" s="334"/>
      <c r="N1921" s="277"/>
      <c r="O1921" s="315"/>
      <c r="P1921" s="344">
        <f t="shared" si="69"/>
        <v>0</v>
      </c>
      <c r="Q1921" s="321"/>
      <c r="R1921" s="672" t="b">
        <v>0</v>
      </c>
      <c r="S1921" s="318"/>
      <c r="T1921" s="319"/>
      <c r="U1921" s="315"/>
      <c r="V1921" s="162"/>
      <c r="W1921" s="149"/>
      <c r="X1921" s="163"/>
      <c r="Y1921" s="162"/>
      <c r="Z1921" s="164"/>
      <c r="AA1921" s="116"/>
      <c r="AB1921" s="116"/>
      <c r="AC1921" s="165"/>
      <c r="AD1921" s="675" t="str">
        <f t="shared" si="76"/>
        <v/>
      </c>
      <c r="AE1921" s="166"/>
      <c r="AF1921" s="149" t="b">
        <v>0</v>
      </c>
      <c r="AG1921" s="166"/>
      <c r="AH1921" s="149" t="b">
        <v>0</v>
      </c>
      <c r="AI1921" s="162"/>
      <c r="AJ1921" s="143"/>
      <c r="AK1921" s="143"/>
      <c r="AL1921" s="1112"/>
      <c r="AM1921" s="1112"/>
      <c r="AN1921" s="1112"/>
      <c r="AO1921" s="1112"/>
      <c r="AP1921" s="1112"/>
      <c r="AQ1921" s="1112"/>
    </row>
    <row r="1922" ht="22.5" customHeight="1">
      <c r="A1922" s="166"/>
      <c r="B1922" s="1111"/>
      <c r="C1922" s="524"/>
      <c r="D1922" s="1110"/>
      <c r="E1922" s="669"/>
      <c r="F1922" s="524"/>
      <c r="G1922" s="165"/>
      <c r="H1922" s="669"/>
      <c r="I1922" s="669"/>
      <c r="J1922" s="352"/>
      <c r="K1922" s="271" t="str">
        <f t="shared" si="74"/>
        <v/>
      </c>
      <c r="L1922" s="297"/>
      <c r="M1922" s="334"/>
      <c r="N1922" s="277"/>
      <c r="O1922" s="315"/>
      <c r="P1922" s="344">
        <f t="shared" si="69"/>
        <v>0</v>
      </c>
      <c r="Q1922" s="321"/>
      <c r="R1922" s="672" t="b">
        <v>0</v>
      </c>
      <c r="S1922" s="318"/>
      <c r="T1922" s="319"/>
      <c r="U1922" s="315"/>
      <c r="V1922" s="162"/>
      <c r="W1922" s="149"/>
      <c r="X1922" s="163"/>
      <c r="Y1922" s="162"/>
      <c r="Z1922" s="164"/>
      <c r="AA1922" s="116"/>
      <c r="AB1922" s="116"/>
      <c r="AC1922" s="165"/>
      <c r="AD1922" s="675" t="str">
        <f t="shared" si="76"/>
        <v/>
      </c>
      <c r="AE1922" s="166"/>
      <c r="AF1922" s="149" t="b">
        <v>0</v>
      </c>
      <c r="AG1922" s="166"/>
      <c r="AH1922" s="149" t="b">
        <v>0</v>
      </c>
      <c r="AI1922" s="162"/>
      <c r="AJ1922" s="143"/>
      <c r="AK1922" s="143"/>
      <c r="AL1922" s="1112"/>
      <c r="AM1922" s="1112"/>
      <c r="AN1922" s="1112"/>
      <c r="AO1922" s="1112"/>
      <c r="AP1922" s="1112"/>
      <c r="AQ1922" s="1112"/>
    </row>
    <row r="1923" ht="22.5" customHeight="1">
      <c r="A1923" s="166"/>
      <c r="B1923" s="1111"/>
      <c r="C1923" s="524"/>
      <c r="D1923" s="1110"/>
      <c r="E1923" s="669"/>
      <c r="F1923" s="524"/>
      <c r="G1923" s="165"/>
      <c r="H1923" s="669"/>
      <c r="I1923" s="669"/>
      <c r="J1923" s="352"/>
      <c r="K1923" s="271" t="str">
        <f t="shared" si="74"/>
        <v/>
      </c>
      <c r="L1923" s="297"/>
      <c r="M1923" s="334"/>
      <c r="N1923" s="277"/>
      <c r="O1923" s="315"/>
      <c r="P1923" s="344">
        <f t="shared" si="69"/>
        <v>0</v>
      </c>
      <c r="Q1923" s="321"/>
      <c r="R1923" s="672" t="b">
        <v>0</v>
      </c>
      <c r="S1923" s="318"/>
      <c r="T1923" s="319"/>
      <c r="U1923" s="315"/>
      <c r="V1923" s="162"/>
      <c r="W1923" s="149"/>
      <c r="X1923" s="163"/>
      <c r="Y1923" s="162"/>
      <c r="Z1923" s="164"/>
      <c r="AA1923" s="116"/>
      <c r="AB1923" s="116"/>
      <c r="AC1923" s="165"/>
      <c r="AD1923" s="675" t="str">
        <f t="shared" si="76"/>
        <v/>
      </c>
      <c r="AE1923" s="166"/>
      <c r="AF1923" s="149" t="b">
        <v>0</v>
      </c>
      <c r="AG1923" s="166"/>
      <c r="AH1923" s="149" t="b">
        <v>0</v>
      </c>
      <c r="AI1923" s="162"/>
      <c r="AJ1923" s="143"/>
      <c r="AK1923" s="143"/>
      <c r="AL1923" s="1112"/>
      <c r="AM1923" s="1112"/>
      <c r="AN1923" s="1112"/>
      <c r="AO1923" s="1112"/>
      <c r="AP1923" s="1112"/>
      <c r="AQ1923" s="1112"/>
    </row>
    <row r="1924" ht="22.5" customHeight="1">
      <c r="A1924" s="166"/>
      <c r="B1924" s="1111"/>
      <c r="C1924" s="524"/>
      <c r="D1924" s="1110"/>
      <c r="E1924" s="669"/>
      <c r="F1924" s="524"/>
      <c r="G1924" s="165"/>
      <c r="H1924" s="669"/>
      <c r="I1924" s="669"/>
      <c r="J1924" s="352"/>
      <c r="K1924" s="271" t="str">
        <f t="shared" si="74"/>
        <v/>
      </c>
      <c r="L1924" s="297"/>
      <c r="M1924" s="334"/>
      <c r="N1924" s="277"/>
      <c r="O1924" s="315"/>
      <c r="P1924" s="344">
        <f t="shared" si="69"/>
        <v>0</v>
      </c>
      <c r="Q1924" s="321"/>
      <c r="R1924" s="672" t="b">
        <v>0</v>
      </c>
      <c r="S1924" s="318"/>
      <c r="T1924" s="319"/>
      <c r="U1924" s="315"/>
      <c r="V1924" s="162"/>
      <c r="W1924" s="149"/>
      <c r="X1924" s="163"/>
      <c r="Y1924" s="162"/>
      <c r="Z1924" s="164"/>
      <c r="AA1924" s="116"/>
      <c r="AB1924" s="116"/>
      <c r="AC1924" s="165"/>
      <c r="AD1924" s="675" t="str">
        <f t="shared" si="76"/>
        <v/>
      </c>
      <c r="AE1924" s="166"/>
      <c r="AF1924" s="149" t="b">
        <v>0</v>
      </c>
      <c r="AG1924" s="166"/>
      <c r="AH1924" s="149" t="b">
        <v>0</v>
      </c>
      <c r="AI1924" s="162"/>
      <c r="AJ1924" s="143"/>
      <c r="AK1924" s="143"/>
      <c r="AL1924" s="1112"/>
      <c r="AM1924" s="1112"/>
      <c r="AN1924" s="1112"/>
      <c r="AO1924" s="1112"/>
      <c r="AP1924" s="1112"/>
      <c r="AQ1924" s="1112"/>
    </row>
    <row r="1925" ht="22.5" customHeight="1">
      <c r="A1925" s="166"/>
      <c r="B1925" s="1111"/>
      <c r="C1925" s="524"/>
      <c r="D1925" s="1110"/>
      <c r="E1925" s="669"/>
      <c r="F1925" s="524"/>
      <c r="G1925" s="165"/>
      <c r="H1925" s="669"/>
      <c r="I1925" s="669"/>
      <c r="J1925" s="352"/>
      <c r="K1925" s="271" t="str">
        <f t="shared" si="74"/>
        <v/>
      </c>
      <c r="L1925" s="297"/>
      <c r="M1925" s="334"/>
      <c r="N1925" s="277"/>
      <c r="O1925" s="315"/>
      <c r="P1925" s="344">
        <f t="shared" si="69"/>
        <v>0</v>
      </c>
      <c r="Q1925" s="321"/>
      <c r="R1925" s="672" t="b">
        <v>0</v>
      </c>
      <c r="S1925" s="318"/>
      <c r="T1925" s="319"/>
      <c r="U1925" s="315"/>
      <c r="V1925" s="162"/>
      <c r="W1925" s="149"/>
      <c r="X1925" s="163"/>
      <c r="Y1925" s="162"/>
      <c r="Z1925" s="164"/>
      <c r="AA1925" s="116"/>
      <c r="AB1925" s="116"/>
      <c r="AC1925" s="165"/>
      <c r="AD1925" s="675" t="str">
        <f t="shared" si="76"/>
        <v/>
      </c>
      <c r="AE1925" s="166"/>
      <c r="AF1925" s="149" t="b">
        <v>0</v>
      </c>
      <c r="AG1925" s="166"/>
      <c r="AH1925" s="149" t="b">
        <v>0</v>
      </c>
      <c r="AI1925" s="162"/>
      <c r="AJ1925" s="143"/>
      <c r="AK1925" s="143"/>
      <c r="AL1925" s="1112"/>
      <c r="AM1925" s="1112"/>
      <c r="AN1925" s="1112"/>
      <c r="AO1925" s="1112"/>
      <c r="AP1925" s="1112"/>
      <c r="AQ1925" s="1112"/>
    </row>
    <row r="1926" ht="22.5" customHeight="1">
      <c r="A1926" s="166"/>
      <c r="B1926" s="1111"/>
      <c r="C1926" s="524"/>
      <c r="D1926" s="1110"/>
      <c r="E1926" s="669"/>
      <c r="F1926" s="524"/>
      <c r="G1926" s="165"/>
      <c r="H1926" s="669"/>
      <c r="I1926" s="669"/>
      <c r="J1926" s="352"/>
      <c r="K1926" s="271" t="str">
        <f t="shared" si="74"/>
        <v/>
      </c>
      <c r="L1926" s="297"/>
      <c r="M1926" s="334"/>
      <c r="N1926" s="277"/>
      <c r="O1926" s="315"/>
      <c r="P1926" s="344">
        <f t="shared" si="69"/>
        <v>0</v>
      </c>
      <c r="Q1926" s="321"/>
      <c r="R1926" s="672" t="b">
        <v>0</v>
      </c>
      <c r="S1926" s="318"/>
      <c r="T1926" s="319"/>
      <c r="U1926" s="315"/>
      <c r="V1926" s="162"/>
      <c r="W1926" s="149"/>
      <c r="X1926" s="163"/>
      <c r="Y1926" s="162"/>
      <c r="Z1926" s="164"/>
      <c r="AA1926" s="116"/>
      <c r="AB1926" s="116"/>
      <c r="AC1926" s="165"/>
      <c r="AD1926" s="675" t="str">
        <f t="shared" si="76"/>
        <v/>
      </c>
      <c r="AE1926" s="166"/>
      <c r="AF1926" s="149" t="b">
        <v>0</v>
      </c>
      <c r="AG1926" s="166"/>
      <c r="AH1926" s="149" t="b">
        <v>0</v>
      </c>
      <c r="AI1926" s="162"/>
      <c r="AJ1926" s="143"/>
      <c r="AK1926" s="143"/>
      <c r="AL1926" s="1112"/>
      <c r="AM1926" s="1112"/>
      <c r="AN1926" s="1112"/>
      <c r="AO1926" s="1112"/>
      <c r="AP1926" s="1112"/>
      <c r="AQ1926" s="1112"/>
    </row>
    <row r="1927" ht="22.5" customHeight="1">
      <c r="A1927" s="166"/>
      <c r="B1927" s="1111"/>
      <c r="C1927" s="524"/>
      <c r="D1927" s="1110"/>
      <c r="E1927" s="669"/>
      <c r="F1927" s="524"/>
      <c r="G1927" s="165"/>
      <c r="H1927" s="669"/>
      <c r="I1927" s="669"/>
      <c r="J1927" s="352"/>
      <c r="K1927" s="271" t="str">
        <f t="shared" si="74"/>
        <v/>
      </c>
      <c r="L1927" s="297"/>
      <c r="M1927" s="334"/>
      <c r="N1927" s="277"/>
      <c r="O1927" s="315"/>
      <c r="P1927" s="344">
        <f t="shared" si="69"/>
        <v>0</v>
      </c>
      <c r="Q1927" s="321"/>
      <c r="R1927" s="672" t="b">
        <v>0</v>
      </c>
      <c r="S1927" s="318"/>
      <c r="T1927" s="319"/>
      <c r="U1927" s="315"/>
      <c r="V1927" s="162"/>
      <c r="W1927" s="149"/>
      <c r="X1927" s="163"/>
      <c r="Y1927" s="162"/>
      <c r="Z1927" s="164"/>
      <c r="AA1927" s="116"/>
      <c r="AB1927" s="116"/>
      <c r="AC1927" s="165"/>
      <c r="AD1927" s="675" t="str">
        <f t="shared" si="76"/>
        <v/>
      </c>
      <c r="AE1927" s="166"/>
      <c r="AF1927" s="149" t="b">
        <v>0</v>
      </c>
      <c r="AG1927" s="166"/>
      <c r="AH1927" s="149" t="b">
        <v>0</v>
      </c>
      <c r="AI1927" s="162"/>
      <c r="AJ1927" s="143"/>
      <c r="AK1927" s="143"/>
      <c r="AL1927" s="1112"/>
      <c r="AM1927" s="1112"/>
      <c r="AN1927" s="1112"/>
      <c r="AO1927" s="1112"/>
      <c r="AP1927" s="1112"/>
      <c r="AQ1927" s="1112"/>
    </row>
    <row r="1928" ht="22.5" customHeight="1">
      <c r="A1928" s="166"/>
      <c r="B1928" s="1111"/>
      <c r="C1928" s="524"/>
      <c r="D1928" s="1110"/>
      <c r="E1928" s="669"/>
      <c r="F1928" s="524"/>
      <c r="G1928" s="165"/>
      <c r="H1928" s="669"/>
      <c r="I1928" s="669"/>
      <c r="J1928" s="352"/>
      <c r="K1928" s="271" t="str">
        <f t="shared" si="74"/>
        <v/>
      </c>
      <c r="L1928" s="297"/>
      <c r="M1928" s="334"/>
      <c r="N1928" s="277"/>
      <c r="O1928" s="315"/>
      <c r="P1928" s="344">
        <f t="shared" si="69"/>
        <v>0</v>
      </c>
      <c r="Q1928" s="321"/>
      <c r="R1928" s="672" t="b">
        <v>0</v>
      </c>
      <c r="S1928" s="318"/>
      <c r="T1928" s="319"/>
      <c r="U1928" s="315"/>
      <c r="V1928" s="162"/>
      <c r="W1928" s="149"/>
      <c r="X1928" s="163"/>
      <c r="Y1928" s="162"/>
      <c r="Z1928" s="164"/>
      <c r="AA1928" s="116"/>
      <c r="AB1928" s="116"/>
      <c r="AC1928" s="165"/>
      <c r="AD1928" s="675" t="str">
        <f t="shared" si="76"/>
        <v/>
      </c>
      <c r="AE1928" s="166"/>
      <c r="AF1928" s="149" t="b">
        <v>0</v>
      </c>
      <c r="AG1928" s="166"/>
      <c r="AH1928" s="149" t="b">
        <v>0</v>
      </c>
      <c r="AI1928" s="162"/>
      <c r="AJ1928" s="143"/>
      <c r="AK1928" s="143"/>
      <c r="AL1928" s="1112"/>
      <c r="AM1928" s="1112"/>
      <c r="AN1928" s="1112"/>
      <c r="AO1928" s="1112"/>
      <c r="AP1928" s="1112"/>
      <c r="AQ1928" s="1112"/>
    </row>
    <row r="1929" ht="22.5" customHeight="1">
      <c r="A1929" s="166"/>
      <c r="B1929" s="1111"/>
      <c r="C1929" s="524"/>
      <c r="D1929" s="1110"/>
      <c r="E1929" s="669"/>
      <c r="F1929" s="524"/>
      <c r="G1929" s="165"/>
      <c r="H1929" s="669"/>
      <c r="I1929" s="669"/>
      <c r="J1929" s="352"/>
      <c r="K1929" s="271" t="str">
        <f t="shared" si="74"/>
        <v/>
      </c>
      <c r="L1929" s="297"/>
      <c r="M1929" s="334"/>
      <c r="N1929" s="277"/>
      <c r="O1929" s="315"/>
      <c r="P1929" s="344">
        <f t="shared" si="69"/>
        <v>0</v>
      </c>
      <c r="Q1929" s="321"/>
      <c r="R1929" s="672" t="b">
        <v>0</v>
      </c>
      <c r="S1929" s="318"/>
      <c r="T1929" s="319"/>
      <c r="U1929" s="315"/>
      <c r="V1929" s="162"/>
      <c r="W1929" s="149"/>
      <c r="X1929" s="163"/>
      <c r="Y1929" s="162"/>
      <c r="Z1929" s="164"/>
      <c r="AA1929" s="116"/>
      <c r="AB1929" s="116"/>
      <c r="AC1929" s="165"/>
      <c r="AD1929" s="675" t="str">
        <f t="shared" si="76"/>
        <v/>
      </c>
      <c r="AE1929" s="166"/>
      <c r="AF1929" s="149" t="b">
        <v>0</v>
      </c>
      <c r="AG1929" s="166"/>
      <c r="AH1929" s="149" t="b">
        <v>0</v>
      </c>
      <c r="AI1929" s="162"/>
      <c r="AJ1929" s="143"/>
      <c r="AK1929" s="143"/>
      <c r="AL1929" s="1112"/>
      <c r="AM1929" s="1112"/>
      <c r="AN1929" s="1112"/>
      <c r="AO1929" s="1112"/>
      <c r="AP1929" s="1112"/>
      <c r="AQ1929" s="1112"/>
    </row>
    <row r="1930" ht="22.5" customHeight="1">
      <c r="A1930" s="166"/>
      <c r="B1930" s="1111"/>
      <c r="C1930" s="524"/>
      <c r="D1930" s="1110"/>
      <c r="E1930" s="669"/>
      <c r="F1930" s="524"/>
      <c r="G1930" s="165"/>
      <c r="H1930" s="669"/>
      <c r="I1930" s="669"/>
      <c r="J1930" s="352"/>
      <c r="K1930" s="271" t="str">
        <f t="shared" si="74"/>
        <v/>
      </c>
      <c r="L1930" s="297"/>
      <c r="M1930" s="334"/>
      <c r="N1930" s="277"/>
      <c r="O1930" s="315"/>
      <c r="P1930" s="344">
        <f t="shared" si="69"/>
        <v>0</v>
      </c>
      <c r="Q1930" s="321"/>
      <c r="R1930" s="672" t="b">
        <v>0</v>
      </c>
      <c r="S1930" s="318"/>
      <c r="T1930" s="319"/>
      <c r="U1930" s="315"/>
      <c r="V1930" s="162"/>
      <c r="W1930" s="149"/>
      <c r="X1930" s="163"/>
      <c r="Y1930" s="162"/>
      <c r="Z1930" s="164"/>
      <c r="AA1930" s="116"/>
      <c r="AB1930" s="116"/>
      <c r="AC1930" s="165"/>
      <c r="AD1930" s="675" t="str">
        <f t="shared" si="76"/>
        <v/>
      </c>
      <c r="AE1930" s="166"/>
      <c r="AF1930" s="149" t="b">
        <v>0</v>
      </c>
      <c r="AG1930" s="166"/>
      <c r="AH1930" s="149" t="b">
        <v>0</v>
      </c>
      <c r="AI1930" s="162"/>
      <c r="AJ1930" s="143"/>
      <c r="AK1930" s="143"/>
      <c r="AL1930" s="1112"/>
      <c r="AM1930" s="1112"/>
      <c r="AN1930" s="1112"/>
      <c r="AO1930" s="1112"/>
      <c r="AP1930" s="1112"/>
      <c r="AQ1930" s="1112"/>
    </row>
    <row r="1931" ht="22.5" customHeight="1">
      <c r="A1931" s="166"/>
      <c r="B1931" s="1111"/>
      <c r="C1931" s="524"/>
      <c r="D1931" s="1110"/>
      <c r="E1931" s="669"/>
      <c r="F1931" s="524"/>
      <c r="G1931" s="165"/>
      <c r="H1931" s="669"/>
      <c r="I1931" s="669"/>
      <c r="J1931" s="352"/>
      <c r="K1931" s="271" t="str">
        <f t="shared" si="74"/>
        <v/>
      </c>
      <c r="L1931" s="297"/>
      <c r="M1931" s="334"/>
      <c r="N1931" s="277"/>
      <c r="O1931" s="315"/>
      <c r="P1931" s="344">
        <f t="shared" si="69"/>
        <v>0</v>
      </c>
      <c r="Q1931" s="321"/>
      <c r="R1931" s="672" t="b">
        <v>0</v>
      </c>
      <c r="S1931" s="318"/>
      <c r="T1931" s="319"/>
      <c r="U1931" s="315"/>
      <c r="V1931" s="162"/>
      <c r="W1931" s="149"/>
      <c r="X1931" s="163"/>
      <c r="Y1931" s="162"/>
      <c r="Z1931" s="164"/>
      <c r="AA1931" s="116"/>
      <c r="AB1931" s="116"/>
      <c r="AC1931" s="165"/>
      <c r="AD1931" s="675" t="str">
        <f t="shared" si="76"/>
        <v/>
      </c>
      <c r="AE1931" s="166"/>
      <c r="AF1931" s="149" t="b">
        <v>0</v>
      </c>
      <c r="AG1931" s="166"/>
      <c r="AH1931" s="149" t="b">
        <v>0</v>
      </c>
      <c r="AI1931" s="162"/>
      <c r="AJ1931" s="143"/>
      <c r="AK1931" s="143"/>
      <c r="AL1931" s="1112"/>
      <c r="AM1931" s="1112"/>
      <c r="AN1931" s="1112"/>
      <c r="AO1931" s="1112"/>
      <c r="AP1931" s="1112"/>
      <c r="AQ1931" s="1112"/>
    </row>
    <row r="1932" ht="22.5" customHeight="1">
      <c r="A1932" s="166"/>
      <c r="B1932" s="1111"/>
      <c r="C1932" s="524"/>
      <c r="D1932" s="1110"/>
      <c r="E1932" s="669"/>
      <c r="F1932" s="524"/>
      <c r="G1932" s="165"/>
      <c r="H1932" s="669"/>
      <c r="I1932" s="669"/>
      <c r="J1932" s="352"/>
      <c r="K1932" s="271" t="str">
        <f t="shared" si="74"/>
        <v/>
      </c>
      <c r="L1932" s="297"/>
      <c r="M1932" s="334"/>
      <c r="N1932" s="277"/>
      <c r="O1932" s="315"/>
      <c r="P1932" s="344">
        <f t="shared" si="69"/>
        <v>0</v>
      </c>
      <c r="Q1932" s="321"/>
      <c r="R1932" s="672" t="b">
        <v>0</v>
      </c>
      <c r="S1932" s="318"/>
      <c r="T1932" s="319"/>
      <c r="U1932" s="315"/>
      <c r="V1932" s="162"/>
      <c r="W1932" s="149"/>
      <c r="X1932" s="163"/>
      <c r="Y1932" s="162"/>
      <c r="Z1932" s="164"/>
      <c r="AA1932" s="116"/>
      <c r="AB1932" s="116"/>
      <c r="AC1932" s="165"/>
      <c r="AD1932" s="675" t="str">
        <f t="shared" si="76"/>
        <v/>
      </c>
      <c r="AE1932" s="166"/>
      <c r="AF1932" s="149" t="b">
        <v>0</v>
      </c>
      <c r="AG1932" s="166"/>
      <c r="AH1932" s="149" t="b">
        <v>0</v>
      </c>
      <c r="AI1932" s="162"/>
      <c r="AJ1932" s="143"/>
      <c r="AK1932" s="143"/>
      <c r="AL1932" s="1112"/>
      <c r="AM1932" s="1112"/>
      <c r="AN1932" s="1112"/>
      <c r="AO1932" s="1112"/>
      <c r="AP1932" s="1112"/>
      <c r="AQ1932" s="1112"/>
    </row>
    <row r="1933" ht="22.5" customHeight="1">
      <c r="A1933" s="166"/>
      <c r="B1933" s="1111"/>
      <c r="C1933" s="524"/>
      <c r="D1933" s="1110"/>
      <c r="E1933" s="669"/>
      <c r="F1933" s="524"/>
      <c r="G1933" s="165"/>
      <c r="H1933" s="669"/>
      <c r="I1933" s="669"/>
      <c r="J1933" s="352"/>
      <c r="K1933" s="271" t="str">
        <f t="shared" si="74"/>
        <v/>
      </c>
      <c r="L1933" s="297"/>
      <c r="M1933" s="334"/>
      <c r="N1933" s="277"/>
      <c r="O1933" s="315"/>
      <c r="P1933" s="344">
        <f t="shared" si="69"/>
        <v>0</v>
      </c>
      <c r="Q1933" s="321"/>
      <c r="R1933" s="672" t="b">
        <v>0</v>
      </c>
      <c r="S1933" s="318"/>
      <c r="T1933" s="319"/>
      <c r="U1933" s="315"/>
      <c r="V1933" s="162"/>
      <c r="W1933" s="149"/>
      <c r="X1933" s="163"/>
      <c r="Y1933" s="162"/>
      <c r="Z1933" s="164"/>
      <c r="AA1933" s="116"/>
      <c r="AB1933" s="116"/>
      <c r="AC1933" s="165"/>
      <c r="AD1933" s="675" t="str">
        <f t="shared" si="76"/>
        <v/>
      </c>
      <c r="AE1933" s="166"/>
      <c r="AF1933" s="149" t="b">
        <v>0</v>
      </c>
      <c r="AG1933" s="166"/>
      <c r="AH1933" s="149" t="b">
        <v>0</v>
      </c>
      <c r="AI1933" s="162"/>
      <c r="AJ1933" s="143"/>
      <c r="AK1933" s="143"/>
      <c r="AL1933" s="1112"/>
      <c r="AM1933" s="1112"/>
      <c r="AN1933" s="1112"/>
      <c r="AO1933" s="1112"/>
      <c r="AP1933" s="1112"/>
      <c r="AQ1933" s="1112"/>
    </row>
    <row r="1934" ht="22.5" customHeight="1">
      <c r="A1934" s="166"/>
      <c r="B1934" s="1111"/>
      <c r="C1934" s="524"/>
      <c r="D1934" s="1110"/>
      <c r="E1934" s="669"/>
      <c r="F1934" s="524"/>
      <c r="G1934" s="165"/>
      <c r="H1934" s="669"/>
      <c r="I1934" s="669"/>
      <c r="J1934" s="352"/>
      <c r="K1934" s="271" t="str">
        <f t="shared" si="74"/>
        <v/>
      </c>
      <c r="L1934" s="297"/>
      <c r="M1934" s="334"/>
      <c r="N1934" s="277"/>
      <c r="O1934" s="315"/>
      <c r="P1934" s="344">
        <f t="shared" si="69"/>
        <v>0</v>
      </c>
      <c r="Q1934" s="321"/>
      <c r="R1934" s="672" t="b">
        <v>0</v>
      </c>
      <c r="S1934" s="318"/>
      <c r="T1934" s="319"/>
      <c r="U1934" s="315"/>
      <c r="V1934" s="162"/>
      <c r="W1934" s="149"/>
      <c r="X1934" s="163"/>
      <c r="Y1934" s="162"/>
      <c r="Z1934" s="164"/>
      <c r="AA1934" s="116"/>
      <c r="AB1934" s="116"/>
      <c r="AC1934" s="165"/>
      <c r="AD1934" s="675" t="str">
        <f t="shared" si="76"/>
        <v/>
      </c>
      <c r="AE1934" s="166"/>
      <c r="AF1934" s="149" t="b">
        <v>0</v>
      </c>
      <c r="AG1934" s="166"/>
      <c r="AH1934" s="149" t="b">
        <v>0</v>
      </c>
      <c r="AI1934" s="162"/>
      <c r="AJ1934" s="143"/>
      <c r="AK1934" s="143"/>
      <c r="AL1934" s="1112"/>
      <c r="AM1934" s="1112"/>
      <c r="AN1934" s="1112"/>
      <c r="AO1934" s="1112"/>
      <c r="AP1934" s="1112"/>
      <c r="AQ1934" s="1112"/>
    </row>
    <row r="1935" ht="22.5" customHeight="1">
      <c r="A1935" s="166"/>
      <c r="B1935" s="1111"/>
      <c r="C1935" s="524"/>
      <c r="D1935" s="1110"/>
      <c r="E1935" s="669"/>
      <c r="F1935" s="524"/>
      <c r="G1935" s="165"/>
      <c r="H1935" s="669"/>
      <c r="I1935" s="669"/>
      <c r="J1935" s="352"/>
      <c r="K1935" s="271" t="str">
        <f t="shared" si="74"/>
        <v/>
      </c>
      <c r="L1935" s="297"/>
      <c r="M1935" s="334"/>
      <c r="N1935" s="277"/>
      <c r="O1935" s="315"/>
      <c r="P1935" s="344">
        <f t="shared" si="69"/>
        <v>0</v>
      </c>
      <c r="Q1935" s="321"/>
      <c r="R1935" s="672" t="b">
        <v>0</v>
      </c>
      <c r="S1935" s="318"/>
      <c r="T1935" s="319"/>
      <c r="U1935" s="315"/>
      <c r="V1935" s="162"/>
      <c r="W1935" s="149"/>
      <c r="X1935" s="163"/>
      <c r="Y1935" s="162"/>
      <c r="Z1935" s="164"/>
      <c r="AA1935" s="116"/>
      <c r="AB1935" s="116"/>
      <c r="AC1935" s="165"/>
      <c r="AD1935" s="675" t="str">
        <f t="shared" si="76"/>
        <v/>
      </c>
      <c r="AE1935" s="166"/>
      <c r="AF1935" s="149" t="b">
        <v>0</v>
      </c>
      <c r="AG1935" s="166"/>
      <c r="AH1935" s="149" t="b">
        <v>0</v>
      </c>
      <c r="AI1935" s="162"/>
      <c r="AJ1935" s="143"/>
      <c r="AK1935" s="143"/>
      <c r="AL1935" s="1112"/>
      <c r="AM1935" s="1112"/>
      <c r="AN1935" s="1112"/>
      <c r="AO1935" s="1112"/>
      <c r="AP1935" s="1112"/>
      <c r="AQ1935" s="1112"/>
    </row>
    <row r="1936" ht="22.5" customHeight="1">
      <c r="A1936" s="166"/>
      <c r="B1936" s="1111"/>
      <c r="C1936" s="524"/>
      <c r="D1936" s="1110"/>
      <c r="E1936" s="669"/>
      <c r="F1936" s="524"/>
      <c r="G1936" s="165"/>
      <c r="H1936" s="669"/>
      <c r="I1936" s="669"/>
      <c r="J1936" s="352"/>
      <c r="K1936" s="271" t="str">
        <f t="shared" si="74"/>
        <v/>
      </c>
      <c r="L1936" s="297"/>
      <c r="M1936" s="334"/>
      <c r="N1936" s="277"/>
      <c r="O1936" s="315"/>
      <c r="P1936" s="344">
        <f t="shared" si="69"/>
        <v>0</v>
      </c>
      <c r="Q1936" s="321"/>
      <c r="R1936" s="672" t="b">
        <v>0</v>
      </c>
      <c r="S1936" s="318"/>
      <c r="T1936" s="319"/>
      <c r="U1936" s="315"/>
      <c r="V1936" s="162"/>
      <c r="W1936" s="149"/>
      <c r="X1936" s="163"/>
      <c r="Y1936" s="162"/>
      <c r="Z1936" s="164"/>
      <c r="AA1936" s="116"/>
      <c r="AB1936" s="116"/>
      <c r="AC1936" s="165"/>
      <c r="AD1936" s="675" t="str">
        <f t="shared" si="76"/>
        <v/>
      </c>
      <c r="AE1936" s="166"/>
      <c r="AF1936" s="149" t="b">
        <v>0</v>
      </c>
      <c r="AG1936" s="166"/>
      <c r="AH1936" s="149" t="b">
        <v>0</v>
      </c>
      <c r="AI1936" s="162"/>
      <c r="AJ1936" s="143"/>
      <c r="AK1936" s="143"/>
      <c r="AL1936" s="1112"/>
      <c r="AM1936" s="1112"/>
      <c r="AN1936" s="1112"/>
      <c r="AO1936" s="1112"/>
      <c r="AP1936" s="1112"/>
      <c r="AQ1936" s="1112"/>
    </row>
    <row r="1937" ht="22.5" customHeight="1">
      <c r="A1937" s="166"/>
      <c r="B1937" s="1111"/>
      <c r="C1937" s="524"/>
      <c r="D1937" s="1110"/>
      <c r="E1937" s="669"/>
      <c r="F1937" s="524"/>
      <c r="G1937" s="165"/>
      <c r="H1937" s="669"/>
      <c r="I1937" s="669"/>
      <c r="J1937" s="352"/>
      <c r="K1937" s="271" t="str">
        <f t="shared" si="74"/>
        <v/>
      </c>
      <c r="L1937" s="297"/>
      <c r="M1937" s="334"/>
      <c r="N1937" s="277"/>
      <c r="O1937" s="315"/>
      <c r="P1937" s="344">
        <f t="shared" si="69"/>
        <v>0</v>
      </c>
      <c r="Q1937" s="321"/>
      <c r="R1937" s="672" t="b">
        <v>0</v>
      </c>
      <c r="S1937" s="318"/>
      <c r="T1937" s="319"/>
      <c r="U1937" s="315"/>
      <c r="V1937" s="162"/>
      <c r="W1937" s="149"/>
      <c r="X1937" s="163"/>
      <c r="Y1937" s="162"/>
      <c r="Z1937" s="164"/>
      <c r="AA1937" s="116"/>
      <c r="AB1937" s="116"/>
      <c r="AC1937" s="165"/>
      <c r="AD1937" s="675" t="str">
        <f t="shared" si="76"/>
        <v/>
      </c>
      <c r="AE1937" s="166"/>
      <c r="AF1937" s="149" t="b">
        <v>0</v>
      </c>
      <c r="AG1937" s="166"/>
      <c r="AH1937" s="149" t="b">
        <v>0</v>
      </c>
      <c r="AI1937" s="162"/>
      <c r="AJ1937" s="143"/>
      <c r="AK1937" s="143"/>
      <c r="AL1937" s="1112"/>
      <c r="AM1937" s="1112"/>
      <c r="AN1937" s="1112"/>
      <c r="AO1937" s="1112"/>
      <c r="AP1937" s="1112"/>
      <c r="AQ1937" s="1112"/>
    </row>
    <row r="1938" ht="22.5" customHeight="1">
      <c r="A1938" s="166"/>
      <c r="B1938" s="1111"/>
      <c r="C1938" s="524"/>
      <c r="D1938" s="1110"/>
      <c r="E1938" s="669"/>
      <c r="F1938" s="524"/>
      <c r="G1938" s="165"/>
      <c r="H1938" s="669"/>
      <c r="I1938" s="669"/>
      <c r="J1938" s="352"/>
      <c r="K1938" s="271" t="str">
        <f t="shared" si="74"/>
        <v/>
      </c>
      <c r="L1938" s="297"/>
      <c r="M1938" s="334"/>
      <c r="N1938" s="277"/>
      <c r="O1938" s="315"/>
      <c r="P1938" s="344">
        <f t="shared" si="69"/>
        <v>0</v>
      </c>
      <c r="Q1938" s="321"/>
      <c r="R1938" s="672" t="b">
        <v>0</v>
      </c>
      <c r="S1938" s="318"/>
      <c r="T1938" s="319"/>
      <c r="U1938" s="315"/>
      <c r="V1938" s="162"/>
      <c r="W1938" s="149"/>
      <c r="X1938" s="163"/>
      <c r="Y1938" s="162"/>
      <c r="Z1938" s="164"/>
      <c r="AA1938" s="116"/>
      <c r="AB1938" s="116"/>
      <c r="AC1938" s="165"/>
      <c r="AD1938" s="675" t="str">
        <f t="shared" si="76"/>
        <v/>
      </c>
      <c r="AE1938" s="166"/>
      <c r="AF1938" s="149" t="b">
        <v>0</v>
      </c>
      <c r="AG1938" s="166"/>
      <c r="AH1938" s="149" t="b">
        <v>0</v>
      </c>
      <c r="AI1938" s="162"/>
      <c r="AJ1938" s="143"/>
      <c r="AK1938" s="143"/>
      <c r="AL1938" s="1112"/>
      <c r="AM1938" s="1112"/>
      <c r="AN1938" s="1112"/>
      <c r="AO1938" s="1112"/>
      <c r="AP1938" s="1112"/>
      <c r="AQ1938" s="1112"/>
    </row>
    <row r="1939" ht="22.5" customHeight="1">
      <c r="A1939" s="166"/>
      <c r="B1939" s="1111"/>
      <c r="C1939" s="524"/>
      <c r="D1939" s="1110"/>
      <c r="E1939" s="669"/>
      <c r="F1939" s="524"/>
      <c r="G1939" s="165"/>
      <c r="H1939" s="669"/>
      <c r="I1939" s="669"/>
      <c r="J1939" s="352"/>
      <c r="K1939" s="271" t="str">
        <f t="shared" si="74"/>
        <v/>
      </c>
      <c r="L1939" s="297"/>
      <c r="M1939" s="334"/>
      <c r="N1939" s="277"/>
      <c r="O1939" s="315"/>
      <c r="P1939" s="344">
        <f t="shared" si="69"/>
        <v>0</v>
      </c>
      <c r="Q1939" s="321"/>
      <c r="R1939" s="672" t="b">
        <v>0</v>
      </c>
      <c r="S1939" s="318"/>
      <c r="T1939" s="319"/>
      <c r="U1939" s="315"/>
      <c r="V1939" s="162"/>
      <c r="W1939" s="149"/>
      <c r="X1939" s="163"/>
      <c r="Y1939" s="162"/>
      <c r="Z1939" s="164"/>
      <c r="AA1939" s="116"/>
      <c r="AB1939" s="116"/>
      <c r="AC1939" s="165"/>
      <c r="AD1939" s="675" t="str">
        <f t="shared" si="76"/>
        <v/>
      </c>
      <c r="AE1939" s="166"/>
      <c r="AF1939" s="149" t="b">
        <v>0</v>
      </c>
      <c r="AG1939" s="166"/>
      <c r="AH1939" s="149" t="b">
        <v>0</v>
      </c>
      <c r="AI1939" s="162"/>
      <c r="AJ1939" s="143"/>
      <c r="AK1939" s="143"/>
      <c r="AL1939" s="1112"/>
      <c r="AM1939" s="1112"/>
      <c r="AN1939" s="1112"/>
      <c r="AO1939" s="1112"/>
      <c r="AP1939" s="1112"/>
      <c r="AQ1939" s="1112"/>
    </row>
    <row r="1940" ht="22.5" customHeight="1">
      <c r="A1940" s="166"/>
      <c r="B1940" s="1111"/>
      <c r="C1940" s="524"/>
      <c r="D1940" s="1110"/>
      <c r="E1940" s="669"/>
      <c r="F1940" s="524"/>
      <c r="G1940" s="165"/>
      <c r="H1940" s="669"/>
      <c r="I1940" s="669"/>
      <c r="J1940" s="352"/>
      <c r="K1940" s="271" t="str">
        <f t="shared" si="74"/>
        <v/>
      </c>
      <c r="L1940" s="297"/>
      <c r="M1940" s="334"/>
      <c r="N1940" s="277"/>
      <c r="O1940" s="315"/>
      <c r="P1940" s="344">
        <f t="shared" si="69"/>
        <v>0</v>
      </c>
      <c r="Q1940" s="321"/>
      <c r="R1940" s="672" t="b">
        <v>0</v>
      </c>
      <c r="S1940" s="318"/>
      <c r="T1940" s="319"/>
      <c r="U1940" s="315"/>
      <c r="V1940" s="162"/>
      <c r="W1940" s="149"/>
      <c r="X1940" s="163"/>
      <c r="Y1940" s="162"/>
      <c r="Z1940" s="164"/>
      <c r="AA1940" s="116"/>
      <c r="AB1940" s="116"/>
      <c r="AC1940" s="165"/>
      <c r="AD1940" s="675" t="str">
        <f t="shared" si="76"/>
        <v/>
      </c>
      <c r="AE1940" s="166"/>
      <c r="AF1940" s="149" t="b">
        <v>0</v>
      </c>
      <c r="AG1940" s="166"/>
      <c r="AH1940" s="149" t="b">
        <v>0</v>
      </c>
      <c r="AI1940" s="162"/>
      <c r="AJ1940" s="143"/>
      <c r="AK1940" s="143"/>
      <c r="AL1940" s="1112"/>
      <c r="AM1940" s="1112"/>
      <c r="AN1940" s="1112"/>
      <c r="AO1940" s="1112"/>
      <c r="AP1940" s="1112"/>
      <c r="AQ1940" s="1112"/>
    </row>
    <row r="1941" ht="22.5" customHeight="1">
      <c r="A1941" s="166"/>
      <c r="B1941" s="1111"/>
      <c r="C1941" s="524"/>
      <c r="D1941" s="1110"/>
      <c r="E1941" s="669"/>
      <c r="F1941" s="524"/>
      <c r="G1941" s="165"/>
      <c r="H1941" s="669"/>
      <c r="I1941" s="669"/>
      <c r="J1941" s="352"/>
      <c r="K1941" s="271" t="str">
        <f t="shared" si="74"/>
        <v/>
      </c>
      <c r="L1941" s="297"/>
      <c r="M1941" s="334"/>
      <c r="N1941" s="277"/>
      <c r="O1941" s="315"/>
      <c r="P1941" s="344">
        <f t="shared" si="69"/>
        <v>0</v>
      </c>
      <c r="Q1941" s="321"/>
      <c r="R1941" s="672" t="b">
        <v>0</v>
      </c>
      <c r="S1941" s="318"/>
      <c r="T1941" s="319"/>
      <c r="U1941" s="315"/>
      <c r="V1941" s="162"/>
      <c r="W1941" s="149"/>
      <c r="X1941" s="163"/>
      <c r="Y1941" s="162"/>
      <c r="Z1941" s="164"/>
      <c r="AA1941" s="116"/>
      <c r="AB1941" s="116"/>
      <c r="AC1941" s="165"/>
      <c r="AD1941" s="675" t="str">
        <f t="shared" si="76"/>
        <v/>
      </c>
      <c r="AE1941" s="166"/>
      <c r="AF1941" s="149" t="b">
        <v>0</v>
      </c>
      <c r="AG1941" s="166"/>
      <c r="AH1941" s="149" t="b">
        <v>0</v>
      </c>
      <c r="AI1941" s="162"/>
      <c r="AJ1941" s="143"/>
      <c r="AK1941" s="143"/>
      <c r="AL1941" s="1112"/>
      <c r="AM1941" s="1112"/>
      <c r="AN1941" s="1112"/>
      <c r="AO1941" s="1112"/>
      <c r="AP1941" s="1112"/>
      <c r="AQ1941" s="1112"/>
    </row>
    <row r="1942" ht="22.5" customHeight="1">
      <c r="A1942" s="166"/>
      <c r="B1942" s="1111"/>
      <c r="C1942" s="524"/>
      <c r="D1942" s="1110"/>
      <c r="E1942" s="669"/>
      <c r="F1942" s="524"/>
      <c r="G1942" s="165"/>
      <c r="H1942" s="669"/>
      <c r="I1942" s="669"/>
      <c r="J1942" s="352"/>
      <c r="K1942" s="271" t="str">
        <f t="shared" si="74"/>
        <v/>
      </c>
      <c r="L1942" s="297"/>
      <c r="M1942" s="334"/>
      <c r="N1942" s="277"/>
      <c r="O1942" s="315"/>
      <c r="P1942" s="344">
        <f t="shared" si="69"/>
        <v>0</v>
      </c>
      <c r="Q1942" s="321"/>
      <c r="R1942" s="672" t="b">
        <v>0</v>
      </c>
      <c r="S1942" s="318"/>
      <c r="T1942" s="319"/>
      <c r="U1942" s="315"/>
      <c r="V1942" s="162"/>
      <c r="W1942" s="149"/>
      <c r="X1942" s="163"/>
      <c r="Y1942" s="162"/>
      <c r="Z1942" s="164"/>
      <c r="AA1942" s="116"/>
      <c r="AB1942" s="116"/>
      <c r="AC1942" s="165"/>
      <c r="AD1942" s="675" t="str">
        <f t="shared" si="76"/>
        <v/>
      </c>
      <c r="AE1942" s="166"/>
      <c r="AF1942" s="149" t="b">
        <v>0</v>
      </c>
      <c r="AG1942" s="166"/>
      <c r="AH1942" s="149" t="b">
        <v>0</v>
      </c>
      <c r="AI1942" s="162"/>
      <c r="AJ1942" s="143"/>
      <c r="AK1942" s="143"/>
      <c r="AL1942" s="1112"/>
      <c r="AM1942" s="1112"/>
      <c r="AN1942" s="1112"/>
      <c r="AO1942" s="1112"/>
      <c r="AP1942" s="1112"/>
      <c r="AQ1942" s="1112"/>
    </row>
    <row r="1943" ht="22.5" customHeight="1">
      <c r="A1943" s="166"/>
      <c r="B1943" s="1111"/>
      <c r="C1943" s="524"/>
      <c r="D1943" s="1110"/>
      <c r="E1943" s="669"/>
      <c r="F1943" s="524"/>
      <c r="G1943" s="165"/>
      <c r="H1943" s="669"/>
      <c r="I1943" s="669"/>
      <c r="J1943" s="352"/>
      <c r="K1943" s="271" t="str">
        <f t="shared" si="74"/>
        <v/>
      </c>
      <c r="L1943" s="297"/>
      <c r="M1943" s="334"/>
      <c r="N1943" s="277"/>
      <c r="O1943" s="315"/>
      <c r="P1943" s="344">
        <f t="shared" si="69"/>
        <v>0</v>
      </c>
      <c r="Q1943" s="321"/>
      <c r="R1943" s="672" t="b">
        <v>0</v>
      </c>
      <c r="S1943" s="318"/>
      <c r="T1943" s="319"/>
      <c r="U1943" s="315"/>
      <c r="V1943" s="162"/>
      <c r="W1943" s="149"/>
      <c r="X1943" s="163"/>
      <c r="Y1943" s="162"/>
      <c r="Z1943" s="164"/>
      <c r="AA1943" s="116"/>
      <c r="AB1943" s="116"/>
      <c r="AC1943" s="165"/>
      <c r="AD1943" s="675" t="str">
        <f t="shared" si="76"/>
        <v/>
      </c>
      <c r="AE1943" s="166"/>
      <c r="AF1943" s="149" t="b">
        <v>0</v>
      </c>
      <c r="AG1943" s="166"/>
      <c r="AH1943" s="149" t="b">
        <v>0</v>
      </c>
      <c r="AI1943" s="162"/>
      <c r="AJ1943" s="143"/>
      <c r="AK1943" s="143"/>
      <c r="AL1943" s="1112"/>
      <c r="AM1943" s="1112"/>
      <c r="AN1943" s="1112"/>
      <c r="AO1943" s="1112"/>
      <c r="AP1943" s="1112"/>
      <c r="AQ1943" s="1112"/>
    </row>
    <row r="1944" ht="22.5" customHeight="1">
      <c r="A1944" s="166"/>
      <c r="B1944" s="1111"/>
      <c r="C1944" s="524"/>
      <c r="D1944" s="1110"/>
      <c r="E1944" s="669"/>
      <c r="F1944" s="524"/>
      <c r="G1944" s="165"/>
      <c r="H1944" s="669"/>
      <c r="I1944" s="669"/>
      <c r="J1944" s="352"/>
      <c r="K1944" s="271" t="str">
        <f t="shared" si="74"/>
        <v/>
      </c>
      <c r="L1944" s="297"/>
      <c r="M1944" s="334"/>
      <c r="N1944" s="277"/>
      <c r="O1944" s="315"/>
      <c r="P1944" s="344">
        <f t="shared" si="69"/>
        <v>0</v>
      </c>
      <c r="Q1944" s="321"/>
      <c r="R1944" s="672" t="b">
        <v>0</v>
      </c>
      <c r="S1944" s="318"/>
      <c r="T1944" s="319"/>
      <c r="U1944" s="315"/>
      <c r="V1944" s="162"/>
      <c r="W1944" s="149"/>
      <c r="X1944" s="163"/>
      <c r="Y1944" s="162"/>
      <c r="Z1944" s="164"/>
      <c r="AA1944" s="116"/>
      <c r="AB1944" s="116"/>
      <c r="AC1944" s="165"/>
      <c r="AD1944" s="675" t="str">
        <f t="shared" si="76"/>
        <v/>
      </c>
      <c r="AE1944" s="166"/>
      <c r="AF1944" s="149" t="b">
        <v>0</v>
      </c>
      <c r="AG1944" s="166"/>
      <c r="AH1944" s="149" t="b">
        <v>0</v>
      </c>
      <c r="AI1944" s="162"/>
      <c r="AJ1944" s="143"/>
      <c r="AK1944" s="143"/>
      <c r="AL1944" s="1112"/>
      <c r="AM1944" s="1112"/>
      <c r="AN1944" s="1112"/>
      <c r="AO1944" s="1112"/>
      <c r="AP1944" s="1112"/>
      <c r="AQ1944" s="1112"/>
    </row>
    <row r="1945" ht="22.5" customHeight="1">
      <c r="A1945" s="166"/>
      <c r="B1945" s="1111"/>
      <c r="C1945" s="524"/>
      <c r="D1945" s="1110"/>
      <c r="E1945" s="669"/>
      <c r="F1945" s="524"/>
      <c r="G1945" s="165"/>
      <c r="H1945" s="669"/>
      <c r="I1945" s="669"/>
      <c r="J1945" s="352"/>
      <c r="K1945" s="271" t="str">
        <f t="shared" si="74"/>
        <v/>
      </c>
      <c r="L1945" s="297"/>
      <c r="M1945" s="334"/>
      <c r="N1945" s="277"/>
      <c r="O1945" s="315"/>
      <c r="P1945" s="344">
        <f t="shared" si="69"/>
        <v>0</v>
      </c>
      <c r="Q1945" s="321"/>
      <c r="R1945" s="672" t="b">
        <v>0</v>
      </c>
      <c r="S1945" s="318"/>
      <c r="T1945" s="319"/>
      <c r="U1945" s="315"/>
      <c r="V1945" s="162"/>
      <c r="W1945" s="149"/>
      <c r="X1945" s="163"/>
      <c r="Y1945" s="162"/>
      <c r="Z1945" s="164"/>
      <c r="AA1945" s="116"/>
      <c r="AB1945" s="116"/>
      <c r="AC1945" s="165"/>
      <c r="AD1945" s="675" t="str">
        <f t="shared" si="76"/>
        <v/>
      </c>
      <c r="AE1945" s="166"/>
      <c r="AF1945" s="149" t="b">
        <v>0</v>
      </c>
      <c r="AG1945" s="166"/>
      <c r="AH1945" s="149" t="b">
        <v>0</v>
      </c>
      <c r="AI1945" s="162"/>
      <c r="AJ1945" s="143"/>
      <c r="AK1945" s="143"/>
      <c r="AL1945" s="1112"/>
      <c r="AM1945" s="1112"/>
      <c r="AN1945" s="1112"/>
      <c r="AO1945" s="1112"/>
      <c r="AP1945" s="1112"/>
      <c r="AQ1945" s="1112"/>
    </row>
    <row r="1946" ht="22.5" customHeight="1">
      <c r="A1946" s="166"/>
      <c r="B1946" s="1111"/>
      <c r="C1946" s="524"/>
      <c r="D1946" s="1110"/>
      <c r="E1946" s="669"/>
      <c r="F1946" s="524"/>
      <c r="G1946" s="165"/>
      <c r="H1946" s="669"/>
      <c r="I1946" s="669"/>
      <c r="J1946" s="352"/>
      <c r="K1946" s="271" t="str">
        <f t="shared" si="74"/>
        <v/>
      </c>
      <c r="L1946" s="297"/>
      <c r="M1946" s="334"/>
      <c r="N1946" s="277"/>
      <c r="O1946" s="315"/>
      <c r="P1946" s="344">
        <f t="shared" si="69"/>
        <v>0</v>
      </c>
      <c r="Q1946" s="321"/>
      <c r="R1946" s="672" t="b">
        <v>0</v>
      </c>
      <c r="S1946" s="318"/>
      <c r="T1946" s="319"/>
      <c r="U1946" s="315"/>
      <c r="V1946" s="162"/>
      <c r="W1946" s="149"/>
      <c r="X1946" s="163"/>
      <c r="Y1946" s="162"/>
      <c r="Z1946" s="164"/>
      <c r="AA1946" s="116"/>
      <c r="AB1946" s="116"/>
      <c r="AC1946" s="165"/>
      <c r="AD1946" s="675" t="str">
        <f t="shared" si="76"/>
        <v/>
      </c>
      <c r="AE1946" s="166"/>
      <c r="AF1946" s="149" t="b">
        <v>0</v>
      </c>
      <c r="AG1946" s="166"/>
      <c r="AH1946" s="149" t="b">
        <v>0</v>
      </c>
      <c r="AI1946" s="162"/>
      <c r="AJ1946" s="143"/>
      <c r="AK1946" s="143"/>
      <c r="AL1946" s="1112"/>
      <c r="AM1946" s="1112"/>
      <c r="AN1946" s="1112"/>
      <c r="AO1946" s="1112"/>
      <c r="AP1946" s="1112"/>
      <c r="AQ1946" s="1112"/>
    </row>
    <row r="1947" ht="22.5" customHeight="1">
      <c r="A1947" s="166"/>
      <c r="B1947" s="1111"/>
      <c r="C1947" s="524"/>
      <c r="D1947" s="1110"/>
      <c r="E1947" s="669"/>
      <c r="F1947" s="524"/>
      <c r="G1947" s="165"/>
      <c r="H1947" s="669"/>
      <c r="I1947" s="669"/>
      <c r="J1947" s="352"/>
      <c r="K1947" s="271" t="str">
        <f t="shared" si="74"/>
        <v/>
      </c>
      <c r="L1947" s="297"/>
      <c r="M1947" s="334"/>
      <c r="N1947" s="277"/>
      <c r="O1947" s="315"/>
      <c r="P1947" s="344">
        <f t="shared" si="69"/>
        <v>0</v>
      </c>
      <c r="Q1947" s="321"/>
      <c r="R1947" s="672" t="b">
        <v>0</v>
      </c>
      <c r="S1947" s="318"/>
      <c r="T1947" s="319"/>
      <c r="U1947" s="315"/>
      <c r="V1947" s="162"/>
      <c r="W1947" s="149"/>
      <c r="X1947" s="163"/>
      <c r="Y1947" s="162"/>
      <c r="Z1947" s="164"/>
      <c r="AA1947" s="116"/>
      <c r="AB1947" s="116"/>
      <c r="AC1947" s="165"/>
      <c r="AD1947" s="675" t="str">
        <f t="shared" si="76"/>
        <v/>
      </c>
      <c r="AE1947" s="166"/>
      <c r="AF1947" s="149" t="b">
        <v>0</v>
      </c>
      <c r="AG1947" s="166"/>
      <c r="AH1947" s="149" t="b">
        <v>0</v>
      </c>
      <c r="AI1947" s="162"/>
      <c r="AJ1947" s="143"/>
      <c r="AK1947" s="143"/>
      <c r="AL1947" s="1112"/>
      <c r="AM1947" s="1112"/>
      <c r="AN1947" s="1112"/>
      <c r="AO1947" s="1112"/>
      <c r="AP1947" s="1112"/>
      <c r="AQ1947" s="1112"/>
    </row>
    <row r="1948" ht="22.5" customHeight="1">
      <c r="A1948" s="166"/>
      <c r="B1948" s="1111"/>
      <c r="C1948" s="524"/>
      <c r="D1948" s="1110"/>
      <c r="E1948" s="669"/>
      <c r="F1948" s="524"/>
      <c r="G1948" s="165"/>
      <c r="H1948" s="669"/>
      <c r="I1948" s="669"/>
      <c r="J1948" s="352"/>
      <c r="K1948" s="271" t="str">
        <f t="shared" si="74"/>
        <v/>
      </c>
      <c r="L1948" s="297"/>
      <c r="M1948" s="334"/>
      <c r="N1948" s="277"/>
      <c r="O1948" s="315"/>
      <c r="P1948" s="344">
        <f t="shared" si="69"/>
        <v>0</v>
      </c>
      <c r="Q1948" s="321"/>
      <c r="R1948" s="672" t="b">
        <v>0</v>
      </c>
      <c r="S1948" s="318"/>
      <c r="T1948" s="319"/>
      <c r="U1948" s="315"/>
      <c r="V1948" s="162"/>
      <c r="W1948" s="149"/>
      <c r="X1948" s="163"/>
      <c r="Y1948" s="162"/>
      <c r="Z1948" s="164"/>
      <c r="AA1948" s="116"/>
      <c r="AB1948" s="116"/>
      <c r="AC1948" s="165"/>
      <c r="AD1948" s="675" t="str">
        <f t="shared" si="76"/>
        <v/>
      </c>
      <c r="AE1948" s="166"/>
      <c r="AF1948" s="149" t="b">
        <v>0</v>
      </c>
      <c r="AG1948" s="166"/>
      <c r="AH1948" s="149" t="b">
        <v>0</v>
      </c>
      <c r="AI1948" s="162"/>
      <c r="AJ1948" s="143"/>
      <c r="AK1948" s="143"/>
      <c r="AL1948" s="1112"/>
      <c r="AM1948" s="1112"/>
      <c r="AN1948" s="1112"/>
      <c r="AO1948" s="1112"/>
      <c r="AP1948" s="1112"/>
      <c r="AQ1948" s="1112"/>
    </row>
    <row r="1949" ht="22.5" customHeight="1">
      <c r="A1949" s="166"/>
      <c r="B1949" s="1111"/>
      <c r="C1949" s="524"/>
      <c r="D1949" s="1110"/>
      <c r="E1949" s="669"/>
      <c r="F1949" s="524"/>
      <c r="G1949" s="165"/>
      <c r="H1949" s="669"/>
      <c r="I1949" s="669"/>
      <c r="J1949" s="352"/>
      <c r="K1949" s="271" t="str">
        <f t="shared" si="74"/>
        <v/>
      </c>
      <c r="L1949" s="297"/>
      <c r="M1949" s="334"/>
      <c r="N1949" s="277"/>
      <c r="O1949" s="315"/>
      <c r="P1949" s="344">
        <f t="shared" si="69"/>
        <v>0</v>
      </c>
      <c r="Q1949" s="321"/>
      <c r="R1949" s="672" t="b">
        <v>0</v>
      </c>
      <c r="S1949" s="318"/>
      <c r="T1949" s="319"/>
      <c r="U1949" s="315"/>
      <c r="V1949" s="162"/>
      <c r="W1949" s="149"/>
      <c r="X1949" s="163"/>
      <c r="Y1949" s="162"/>
      <c r="Z1949" s="164"/>
      <c r="AA1949" s="116"/>
      <c r="AB1949" s="116"/>
      <c r="AC1949" s="165"/>
      <c r="AD1949" s="675" t="str">
        <f t="shared" si="76"/>
        <v/>
      </c>
      <c r="AE1949" s="166"/>
      <c r="AF1949" s="149" t="b">
        <v>0</v>
      </c>
      <c r="AG1949" s="166"/>
      <c r="AH1949" s="149" t="b">
        <v>0</v>
      </c>
      <c r="AI1949" s="162"/>
      <c r="AJ1949" s="143"/>
      <c r="AK1949" s="143"/>
      <c r="AL1949" s="1112"/>
      <c r="AM1949" s="1112"/>
      <c r="AN1949" s="1112"/>
      <c r="AO1949" s="1112"/>
      <c r="AP1949" s="1112"/>
      <c r="AQ1949" s="1112"/>
    </row>
    <row r="1950" ht="22.5" customHeight="1">
      <c r="A1950" s="166"/>
      <c r="B1950" s="1111"/>
      <c r="C1950" s="524"/>
      <c r="D1950" s="1110"/>
      <c r="E1950" s="669"/>
      <c r="F1950" s="524"/>
      <c r="G1950" s="165"/>
      <c r="H1950" s="669"/>
      <c r="I1950" s="669"/>
      <c r="J1950" s="352"/>
      <c r="K1950" s="271" t="str">
        <f t="shared" si="74"/>
        <v/>
      </c>
      <c r="L1950" s="297"/>
      <c r="M1950" s="334"/>
      <c r="N1950" s="277"/>
      <c r="O1950" s="315"/>
      <c r="P1950" s="344">
        <f t="shared" si="69"/>
        <v>0</v>
      </c>
      <c r="Q1950" s="321"/>
      <c r="R1950" s="672" t="b">
        <v>0</v>
      </c>
      <c r="S1950" s="318"/>
      <c r="T1950" s="319"/>
      <c r="U1950" s="315"/>
      <c r="V1950" s="162"/>
      <c r="W1950" s="149"/>
      <c r="X1950" s="163"/>
      <c r="Y1950" s="162"/>
      <c r="Z1950" s="164"/>
      <c r="AA1950" s="116"/>
      <c r="AB1950" s="116"/>
      <c r="AC1950" s="165"/>
      <c r="AD1950" s="675" t="str">
        <f t="shared" si="76"/>
        <v/>
      </c>
      <c r="AE1950" s="166"/>
      <c r="AF1950" s="149" t="b">
        <v>0</v>
      </c>
      <c r="AG1950" s="166"/>
      <c r="AH1950" s="149" t="b">
        <v>0</v>
      </c>
      <c r="AI1950" s="162"/>
      <c r="AJ1950" s="143"/>
      <c r="AK1950" s="143"/>
      <c r="AL1950" s="1112"/>
      <c r="AM1950" s="1112"/>
      <c r="AN1950" s="1112"/>
      <c r="AO1950" s="1112"/>
      <c r="AP1950" s="1112"/>
      <c r="AQ1950" s="1112"/>
    </row>
    <row r="1951" ht="22.5" customHeight="1">
      <c r="A1951" s="166"/>
      <c r="B1951" s="1111"/>
      <c r="C1951" s="524"/>
      <c r="D1951" s="1110"/>
      <c r="E1951" s="669"/>
      <c r="F1951" s="524"/>
      <c r="G1951" s="165"/>
      <c r="H1951" s="669"/>
      <c r="I1951" s="669"/>
      <c r="J1951" s="352"/>
      <c r="K1951" s="271" t="str">
        <f t="shared" si="74"/>
        <v/>
      </c>
      <c r="L1951" s="297"/>
      <c r="M1951" s="334"/>
      <c r="N1951" s="277"/>
      <c r="O1951" s="315"/>
      <c r="P1951" s="344">
        <f t="shared" si="69"/>
        <v>0</v>
      </c>
      <c r="Q1951" s="321"/>
      <c r="R1951" s="672" t="b">
        <v>0</v>
      </c>
      <c r="S1951" s="318"/>
      <c r="T1951" s="319"/>
      <c r="U1951" s="315"/>
      <c r="V1951" s="162"/>
      <c r="W1951" s="149"/>
      <c r="X1951" s="163"/>
      <c r="Y1951" s="162"/>
      <c r="Z1951" s="164"/>
      <c r="AA1951" s="116"/>
      <c r="AB1951" s="116"/>
      <c r="AC1951" s="165"/>
      <c r="AD1951" s="675" t="str">
        <f t="shared" si="76"/>
        <v/>
      </c>
      <c r="AE1951" s="166"/>
      <c r="AF1951" s="149" t="b">
        <v>0</v>
      </c>
      <c r="AG1951" s="166"/>
      <c r="AH1951" s="149" t="b">
        <v>0</v>
      </c>
      <c r="AI1951" s="162"/>
      <c r="AJ1951" s="143"/>
      <c r="AK1951" s="143"/>
      <c r="AL1951" s="1112"/>
      <c r="AM1951" s="1112"/>
      <c r="AN1951" s="1112"/>
      <c r="AO1951" s="1112"/>
      <c r="AP1951" s="1112"/>
      <c r="AQ1951" s="1112"/>
    </row>
    <row r="1952" ht="22.5" customHeight="1">
      <c r="A1952" s="166"/>
      <c r="B1952" s="1111"/>
      <c r="C1952" s="524"/>
      <c r="D1952" s="1110"/>
      <c r="E1952" s="669"/>
      <c r="F1952" s="524"/>
      <c r="G1952" s="165"/>
      <c r="H1952" s="669"/>
      <c r="I1952" s="669"/>
      <c r="J1952" s="352"/>
      <c r="K1952" s="271" t="str">
        <f t="shared" si="74"/>
        <v/>
      </c>
      <c r="L1952" s="297"/>
      <c r="M1952" s="334"/>
      <c r="N1952" s="277"/>
      <c r="O1952" s="315"/>
      <c r="P1952" s="344">
        <f t="shared" si="69"/>
        <v>0</v>
      </c>
      <c r="Q1952" s="321"/>
      <c r="R1952" s="672" t="b">
        <v>0</v>
      </c>
      <c r="S1952" s="318"/>
      <c r="T1952" s="319"/>
      <c r="U1952" s="315"/>
      <c r="V1952" s="162"/>
      <c r="W1952" s="149"/>
      <c r="X1952" s="163"/>
      <c r="Y1952" s="162"/>
      <c r="Z1952" s="164"/>
      <c r="AA1952" s="116"/>
      <c r="AB1952" s="116"/>
      <c r="AC1952" s="165"/>
      <c r="AD1952" s="675" t="str">
        <f t="shared" si="76"/>
        <v/>
      </c>
      <c r="AE1952" s="166"/>
      <c r="AF1952" s="149" t="b">
        <v>0</v>
      </c>
      <c r="AG1952" s="166"/>
      <c r="AH1952" s="149" t="b">
        <v>0</v>
      </c>
      <c r="AI1952" s="162"/>
      <c r="AJ1952" s="143"/>
      <c r="AK1952" s="143"/>
      <c r="AL1952" s="1112"/>
      <c r="AM1952" s="1112"/>
      <c r="AN1952" s="1112"/>
      <c r="AO1952" s="1112"/>
      <c r="AP1952" s="1112"/>
      <c r="AQ1952" s="1112"/>
    </row>
    <row r="1953" ht="22.5" customHeight="1">
      <c r="A1953" s="166"/>
      <c r="B1953" s="1111"/>
      <c r="C1953" s="524"/>
      <c r="D1953" s="1110"/>
      <c r="E1953" s="669"/>
      <c r="F1953" s="524"/>
      <c r="G1953" s="165"/>
      <c r="H1953" s="669"/>
      <c r="I1953" s="669"/>
      <c r="J1953" s="352"/>
      <c r="K1953" s="271" t="str">
        <f t="shared" si="74"/>
        <v/>
      </c>
      <c r="L1953" s="297"/>
      <c r="M1953" s="334"/>
      <c r="N1953" s="277"/>
      <c r="O1953" s="315"/>
      <c r="P1953" s="344">
        <f t="shared" si="69"/>
        <v>0</v>
      </c>
      <c r="Q1953" s="321"/>
      <c r="R1953" s="672" t="b">
        <v>0</v>
      </c>
      <c r="S1953" s="318"/>
      <c r="T1953" s="319"/>
      <c r="U1953" s="315"/>
      <c r="V1953" s="162"/>
      <c r="W1953" s="149"/>
      <c r="X1953" s="163"/>
      <c r="Y1953" s="162"/>
      <c r="Z1953" s="164"/>
      <c r="AA1953" s="116"/>
      <c r="AB1953" s="116"/>
      <c r="AC1953" s="165"/>
      <c r="AD1953" s="675" t="str">
        <f t="shared" si="76"/>
        <v/>
      </c>
      <c r="AE1953" s="166"/>
      <c r="AF1953" s="149" t="b">
        <v>0</v>
      </c>
      <c r="AG1953" s="166"/>
      <c r="AH1953" s="149" t="b">
        <v>0</v>
      </c>
      <c r="AI1953" s="162"/>
      <c r="AJ1953" s="143"/>
      <c r="AK1953" s="143"/>
      <c r="AL1953" s="1112"/>
      <c r="AM1953" s="1112"/>
      <c r="AN1953" s="1112"/>
      <c r="AO1953" s="1112"/>
      <c r="AP1953" s="1112"/>
      <c r="AQ1953" s="1112"/>
    </row>
    <row r="1954" ht="22.5" customHeight="1">
      <c r="A1954" s="166"/>
      <c r="B1954" s="1111"/>
      <c r="C1954" s="524"/>
      <c r="D1954" s="1110"/>
      <c r="E1954" s="669"/>
      <c r="F1954" s="524"/>
      <c r="G1954" s="165"/>
      <c r="H1954" s="669"/>
      <c r="I1954" s="669"/>
      <c r="J1954" s="352"/>
      <c r="K1954" s="271" t="str">
        <f t="shared" si="74"/>
        <v/>
      </c>
      <c r="L1954" s="297"/>
      <c r="M1954" s="334"/>
      <c r="N1954" s="277"/>
      <c r="O1954" s="315"/>
      <c r="P1954" s="344">
        <f t="shared" si="69"/>
        <v>0</v>
      </c>
      <c r="Q1954" s="321"/>
      <c r="R1954" s="672" t="b">
        <v>0</v>
      </c>
      <c r="S1954" s="318"/>
      <c r="T1954" s="319"/>
      <c r="U1954" s="315"/>
      <c r="V1954" s="162"/>
      <c r="W1954" s="149"/>
      <c r="X1954" s="163"/>
      <c r="Y1954" s="162"/>
      <c r="Z1954" s="164"/>
      <c r="AA1954" s="116"/>
      <c r="AB1954" s="116"/>
      <c r="AC1954" s="165"/>
      <c r="AD1954" s="675" t="str">
        <f t="shared" si="76"/>
        <v/>
      </c>
      <c r="AE1954" s="166"/>
      <c r="AF1954" s="149" t="b">
        <v>0</v>
      </c>
      <c r="AG1954" s="166"/>
      <c r="AH1954" s="149" t="b">
        <v>0</v>
      </c>
      <c r="AI1954" s="162"/>
      <c r="AJ1954" s="143"/>
      <c r="AK1954" s="143"/>
      <c r="AL1954" s="1112"/>
      <c r="AM1954" s="1112"/>
      <c r="AN1954" s="1112"/>
      <c r="AO1954" s="1112"/>
      <c r="AP1954" s="1112"/>
      <c r="AQ1954" s="1112"/>
    </row>
    <row r="1955" ht="22.5" customHeight="1">
      <c r="A1955" s="166"/>
      <c r="B1955" s="1111"/>
      <c r="C1955" s="524"/>
      <c r="D1955" s="1110"/>
      <c r="E1955" s="669"/>
      <c r="F1955" s="524"/>
      <c r="G1955" s="165"/>
      <c r="H1955" s="669"/>
      <c r="I1955" s="669"/>
      <c r="J1955" s="352"/>
      <c r="K1955" s="271" t="str">
        <f t="shared" si="74"/>
        <v/>
      </c>
      <c r="L1955" s="297"/>
      <c r="M1955" s="334"/>
      <c r="N1955" s="277"/>
      <c r="O1955" s="315"/>
      <c r="P1955" s="344">
        <f t="shared" si="69"/>
        <v>0</v>
      </c>
      <c r="Q1955" s="321"/>
      <c r="R1955" s="672" t="b">
        <v>0</v>
      </c>
      <c r="S1955" s="318"/>
      <c r="T1955" s="319"/>
      <c r="U1955" s="315"/>
      <c r="V1955" s="162"/>
      <c r="W1955" s="149"/>
      <c r="X1955" s="163"/>
      <c r="Y1955" s="162"/>
      <c r="Z1955" s="164"/>
      <c r="AA1955" s="116"/>
      <c r="AB1955" s="116"/>
      <c r="AC1955" s="165"/>
      <c r="AD1955" s="675" t="str">
        <f t="shared" si="76"/>
        <v/>
      </c>
      <c r="AE1955" s="166"/>
      <c r="AF1955" s="149" t="b">
        <v>0</v>
      </c>
      <c r="AG1955" s="166"/>
      <c r="AH1955" s="149" t="b">
        <v>0</v>
      </c>
      <c r="AI1955" s="162"/>
      <c r="AJ1955" s="143"/>
      <c r="AK1955" s="143"/>
      <c r="AL1955" s="1112"/>
      <c r="AM1955" s="1112"/>
      <c r="AN1955" s="1112"/>
      <c r="AO1955" s="1112"/>
      <c r="AP1955" s="1112"/>
      <c r="AQ1955" s="1112"/>
    </row>
    <row r="1956" ht="22.5" customHeight="1">
      <c r="A1956" s="166"/>
      <c r="B1956" s="1111"/>
      <c r="C1956" s="524"/>
      <c r="D1956" s="1110"/>
      <c r="E1956" s="669"/>
      <c r="F1956" s="524"/>
      <c r="G1956" s="165"/>
      <c r="H1956" s="669"/>
      <c r="I1956" s="669"/>
      <c r="J1956" s="352"/>
      <c r="K1956" s="271" t="str">
        <f t="shared" si="74"/>
        <v/>
      </c>
      <c r="L1956" s="297"/>
      <c r="M1956" s="334"/>
      <c r="N1956" s="277"/>
      <c r="O1956" s="315"/>
      <c r="P1956" s="344">
        <f t="shared" si="69"/>
        <v>0</v>
      </c>
      <c r="Q1956" s="321"/>
      <c r="R1956" s="672" t="b">
        <v>0</v>
      </c>
      <c r="S1956" s="318"/>
      <c r="T1956" s="319"/>
      <c r="U1956" s="315"/>
      <c r="V1956" s="162"/>
      <c r="W1956" s="149"/>
      <c r="X1956" s="163"/>
      <c r="Y1956" s="162"/>
      <c r="Z1956" s="164"/>
      <c r="AA1956" s="116"/>
      <c r="AB1956" s="116"/>
      <c r="AC1956" s="165"/>
      <c r="AD1956" s="675" t="str">
        <f t="shared" si="76"/>
        <v/>
      </c>
      <c r="AE1956" s="166"/>
      <c r="AF1956" s="149" t="b">
        <v>0</v>
      </c>
      <c r="AG1956" s="166"/>
      <c r="AH1956" s="149" t="b">
        <v>0</v>
      </c>
      <c r="AI1956" s="162"/>
      <c r="AJ1956" s="143"/>
      <c r="AK1956" s="143"/>
      <c r="AL1956" s="1112"/>
      <c r="AM1956" s="1112"/>
      <c r="AN1956" s="1112"/>
      <c r="AO1956" s="1112"/>
      <c r="AP1956" s="1112"/>
      <c r="AQ1956" s="1112"/>
    </row>
    <row r="1957" ht="22.5" customHeight="1">
      <c r="A1957" s="166"/>
      <c r="B1957" s="1111"/>
      <c r="C1957" s="524"/>
      <c r="D1957" s="1110"/>
      <c r="E1957" s="669"/>
      <c r="F1957" s="524"/>
      <c r="G1957" s="165"/>
      <c r="H1957" s="669"/>
      <c r="I1957" s="669"/>
      <c r="J1957" s="352"/>
      <c r="K1957" s="271" t="str">
        <f t="shared" si="74"/>
        <v/>
      </c>
      <c r="L1957" s="297"/>
      <c r="M1957" s="334"/>
      <c r="N1957" s="277"/>
      <c r="O1957" s="315"/>
      <c r="P1957" s="344">
        <f t="shared" si="69"/>
        <v>0</v>
      </c>
      <c r="Q1957" s="321"/>
      <c r="R1957" s="672" t="b">
        <v>0</v>
      </c>
      <c r="S1957" s="318"/>
      <c r="T1957" s="319"/>
      <c r="U1957" s="315"/>
      <c r="V1957" s="162"/>
      <c r="W1957" s="149"/>
      <c r="X1957" s="163"/>
      <c r="Y1957" s="162"/>
      <c r="Z1957" s="164"/>
      <c r="AA1957" s="116"/>
      <c r="AB1957" s="116"/>
      <c r="AC1957" s="165"/>
      <c r="AD1957" s="675" t="str">
        <f t="shared" si="76"/>
        <v/>
      </c>
      <c r="AE1957" s="166"/>
      <c r="AF1957" s="149" t="b">
        <v>0</v>
      </c>
      <c r="AG1957" s="166"/>
      <c r="AH1957" s="149" t="b">
        <v>0</v>
      </c>
      <c r="AI1957" s="162"/>
      <c r="AJ1957" s="143"/>
      <c r="AK1957" s="143"/>
      <c r="AL1957" s="1112"/>
      <c r="AM1957" s="1112"/>
      <c r="AN1957" s="1112"/>
      <c r="AO1957" s="1112"/>
      <c r="AP1957" s="1112"/>
      <c r="AQ1957" s="1112"/>
    </row>
    <row r="1958" ht="22.5" customHeight="1">
      <c r="A1958" s="166"/>
      <c r="B1958" s="1111"/>
      <c r="C1958" s="524"/>
      <c r="D1958" s="1110"/>
      <c r="E1958" s="669"/>
      <c r="F1958" s="524"/>
      <c r="G1958" s="165"/>
      <c r="H1958" s="669"/>
      <c r="I1958" s="669"/>
      <c r="J1958" s="352"/>
      <c r="K1958" s="271" t="str">
        <f t="shared" si="74"/>
        <v/>
      </c>
      <c r="L1958" s="297"/>
      <c r="M1958" s="334"/>
      <c r="N1958" s="277"/>
      <c r="O1958" s="315"/>
      <c r="P1958" s="344">
        <f t="shared" si="69"/>
        <v>0</v>
      </c>
      <c r="Q1958" s="321"/>
      <c r="R1958" s="672" t="b">
        <v>0</v>
      </c>
      <c r="S1958" s="318"/>
      <c r="T1958" s="319"/>
      <c r="U1958" s="315"/>
      <c r="V1958" s="162"/>
      <c r="W1958" s="149"/>
      <c r="X1958" s="163"/>
      <c r="Y1958" s="162"/>
      <c r="Z1958" s="164"/>
      <c r="AA1958" s="116"/>
      <c r="AB1958" s="116"/>
      <c r="AC1958" s="165"/>
      <c r="AD1958" s="675" t="str">
        <f t="shared" si="76"/>
        <v/>
      </c>
      <c r="AE1958" s="166"/>
      <c r="AF1958" s="149" t="b">
        <v>0</v>
      </c>
      <c r="AG1958" s="166"/>
      <c r="AH1958" s="149" t="b">
        <v>0</v>
      </c>
      <c r="AI1958" s="162"/>
      <c r="AJ1958" s="143"/>
      <c r="AK1958" s="143"/>
      <c r="AL1958" s="1112"/>
      <c r="AM1958" s="1112"/>
      <c r="AN1958" s="1112"/>
      <c r="AO1958" s="1112"/>
      <c r="AP1958" s="1112"/>
      <c r="AQ1958" s="1112"/>
    </row>
    <row r="1959" ht="22.5" customHeight="1">
      <c r="A1959" s="166"/>
      <c r="B1959" s="1111"/>
      <c r="C1959" s="524"/>
      <c r="D1959" s="1110"/>
      <c r="E1959" s="669"/>
      <c r="F1959" s="524"/>
      <c r="G1959" s="165"/>
      <c r="H1959" s="669"/>
      <c r="I1959" s="669"/>
      <c r="J1959" s="352"/>
      <c r="K1959" s="271" t="str">
        <f t="shared" si="74"/>
        <v/>
      </c>
      <c r="L1959" s="297"/>
      <c r="M1959" s="334"/>
      <c r="N1959" s="277"/>
      <c r="O1959" s="315"/>
      <c r="P1959" s="344">
        <f t="shared" si="69"/>
        <v>0</v>
      </c>
      <c r="Q1959" s="321"/>
      <c r="R1959" s="672" t="b">
        <v>0</v>
      </c>
      <c r="S1959" s="318"/>
      <c r="T1959" s="319"/>
      <c r="U1959" s="315"/>
      <c r="V1959" s="162"/>
      <c r="W1959" s="149"/>
      <c r="X1959" s="163"/>
      <c r="Y1959" s="162"/>
      <c r="Z1959" s="164"/>
      <c r="AA1959" s="116"/>
      <c r="AB1959" s="116"/>
      <c r="AC1959" s="165"/>
      <c r="AD1959" s="675" t="str">
        <f t="shared" si="76"/>
        <v/>
      </c>
      <c r="AE1959" s="166"/>
      <c r="AF1959" s="149" t="b">
        <v>0</v>
      </c>
      <c r="AG1959" s="166"/>
      <c r="AH1959" s="149" t="b">
        <v>0</v>
      </c>
      <c r="AI1959" s="162"/>
      <c r="AJ1959" s="143"/>
      <c r="AK1959" s="143"/>
      <c r="AL1959" s="1112"/>
      <c r="AM1959" s="1112"/>
      <c r="AN1959" s="1112"/>
      <c r="AO1959" s="1112"/>
      <c r="AP1959" s="1112"/>
      <c r="AQ1959" s="1112"/>
    </row>
    <row r="1960" ht="22.5" customHeight="1">
      <c r="A1960" s="166"/>
      <c r="B1960" s="1111"/>
      <c r="C1960" s="524"/>
      <c r="D1960" s="1110"/>
      <c r="E1960" s="669"/>
      <c r="F1960" s="524"/>
      <c r="G1960" s="165"/>
      <c r="H1960" s="669"/>
      <c r="I1960" s="669"/>
      <c r="J1960" s="352"/>
      <c r="K1960" s="271" t="str">
        <f t="shared" si="74"/>
        <v/>
      </c>
      <c r="L1960" s="297"/>
      <c r="M1960" s="334"/>
      <c r="N1960" s="277"/>
      <c r="O1960" s="315"/>
      <c r="P1960" s="344">
        <f t="shared" si="69"/>
        <v>0</v>
      </c>
      <c r="Q1960" s="321"/>
      <c r="R1960" s="672" t="b">
        <v>0</v>
      </c>
      <c r="S1960" s="318"/>
      <c r="T1960" s="319"/>
      <c r="U1960" s="315"/>
      <c r="V1960" s="162"/>
      <c r="W1960" s="149"/>
      <c r="X1960" s="163"/>
      <c r="Y1960" s="162"/>
      <c r="Z1960" s="164"/>
      <c r="AA1960" s="116"/>
      <c r="AB1960" s="116"/>
      <c r="AC1960" s="165"/>
      <c r="AD1960" s="675" t="str">
        <f t="shared" si="76"/>
        <v/>
      </c>
      <c r="AE1960" s="166"/>
      <c r="AF1960" s="149" t="b">
        <v>0</v>
      </c>
      <c r="AG1960" s="166"/>
      <c r="AH1960" s="149" t="b">
        <v>0</v>
      </c>
      <c r="AI1960" s="162"/>
      <c r="AJ1960" s="143"/>
      <c r="AK1960" s="143"/>
      <c r="AL1960" s="1112"/>
      <c r="AM1960" s="1112"/>
      <c r="AN1960" s="1112"/>
      <c r="AO1960" s="1112"/>
      <c r="AP1960" s="1112"/>
      <c r="AQ1960" s="1112"/>
    </row>
    <row r="1961" ht="22.5" customHeight="1">
      <c r="A1961" s="166"/>
      <c r="B1961" s="1111"/>
      <c r="C1961" s="524"/>
      <c r="D1961" s="1110"/>
      <c r="E1961" s="669"/>
      <c r="F1961" s="524"/>
      <c r="G1961" s="165"/>
      <c r="H1961" s="669"/>
      <c r="I1961" s="669"/>
      <c r="J1961" s="352"/>
      <c r="K1961" s="271" t="str">
        <f t="shared" si="74"/>
        <v/>
      </c>
      <c r="L1961" s="297"/>
      <c r="M1961" s="334"/>
      <c r="N1961" s="277"/>
      <c r="O1961" s="315"/>
      <c r="P1961" s="344">
        <f t="shared" si="69"/>
        <v>0</v>
      </c>
      <c r="Q1961" s="321"/>
      <c r="R1961" s="672" t="b">
        <v>0</v>
      </c>
      <c r="S1961" s="318"/>
      <c r="T1961" s="319"/>
      <c r="U1961" s="315"/>
      <c r="V1961" s="162"/>
      <c r="W1961" s="149"/>
      <c r="X1961" s="163"/>
      <c r="Y1961" s="162"/>
      <c r="Z1961" s="164"/>
      <c r="AA1961" s="116"/>
      <c r="AB1961" s="116"/>
      <c r="AC1961" s="165"/>
      <c r="AD1961" s="675" t="str">
        <f t="shared" si="76"/>
        <v/>
      </c>
      <c r="AE1961" s="166"/>
      <c r="AF1961" s="149" t="b">
        <v>0</v>
      </c>
      <c r="AG1961" s="166"/>
      <c r="AH1961" s="149" t="b">
        <v>0</v>
      </c>
      <c r="AI1961" s="162"/>
      <c r="AJ1961" s="143"/>
      <c r="AK1961" s="143"/>
      <c r="AL1961" s="1112"/>
      <c r="AM1961" s="1112"/>
      <c r="AN1961" s="1112"/>
      <c r="AO1961" s="1112"/>
      <c r="AP1961" s="1112"/>
      <c r="AQ1961" s="1112"/>
    </row>
    <row r="1962" ht="22.5" customHeight="1">
      <c r="A1962" s="166"/>
      <c r="B1962" s="1111"/>
      <c r="C1962" s="524"/>
      <c r="D1962" s="1110"/>
      <c r="E1962" s="669"/>
      <c r="F1962" s="524"/>
      <c r="G1962" s="165"/>
      <c r="H1962" s="669"/>
      <c r="I1962" s="669"/>
      <c r="J1962" s="352"/>
      <c r="K1962" s="271" t="str">
        <f t="shared" si="74"/>
        <v/>
      </c>
      <c r="L1962" s="297"/>
      <c r="M1962" s="334"/>
      <c r="N1962" s="277"/>
      <c r="O1962" s="315"/>
      <c r="P1962" s="344">
        <f t="shared" si="69"/>
        <v>0</v>
      </c>
      <c r="Q1962" s="321"/>
      <c r="R1962" s="672" t="b">
        <v>0</v>
      </c>
      <c r="S1962" s="318"/>
      <c r="T1962" s="319"/>
      <c r="U1962" s="315"/>
      <c r="V1962" s="162"/>
      <c r="W1962" s="149"/>
      <c r="X1962" s="163"/>
      <c r="Y1962" s="162"/>
      <c r="Z1962" s="164"/>
      <c r="AA1962" s="116"/>
      <c r="AB1962" s="116"/>
      <c r="AC1962" s="165"/>
      <c r="AD1962" s="675" t="str">
        <f t="shared" si="76"/>
        <v/>
      </c>
      <c r="AE1962" s="166"/>
      <c r="AF1962" s="149" t="b">
        <v>0</v>
      </c>
      <c r="AG1962" s="166"/>
      <c r="AH1962" s="149" t="b">
        <v>0</v>
      </c>
      <c r="AI1962" s="162"/>
      <c r="AJ1962" s="143"/>
      <c r="AK1962" s="143"/>
      <c r="AL1962" s="1112"/>
      <c r="AM1962" s="1112"/>
      <c r="AN1962" s="1112"/>
      <c r="AO1962" s="1112"/>
      <c r="AP1962" s="1112"/>
      <c r="AQ1962" s="1112"/>
    </row>
    <row r="1963" ht="22.5" customHeight="1">
      <c r="A1963" s="166"/>
      <c r="B1963" s="1111"/>
      <c r="C1963" s="524"/>
      <c r="D1963" s="1110"/>
      <c r="E1963" s="669"/>
      <c r="F1963" s="524"/>
      <c r="G1963" s="165"/>
      <c r="H1963" s="669"/>
      <c r="I1963" s="669"/>
      <c r="J1963" s="352"/>
      <c r="K1963" s="271" t="str">
        <f t="shared" si="74"/>
        <v/>
      </c>
      <c r="L1963" s="297"/>
      <c r="M1963" s="334"/>
      <c r="N1963" s="277"/>
      <c r="O1963" s="315"/>
      <c r="P1963" s="344">
        <f t="shared" si="69"/>
        <v>0</v>
      </c>
      <c r="Q1963" s="321"/>
      <c r="R1963" s="672" t="b">
        <v>0</v>
      </c>
      <c r="S1963" s="318"/>
      <c r="T1963" s="319"/>
      <c r="U1963" s="315"/>
      <c r="V1963" s="162"/>
      <c r="W1963" s="149"/>
      <c r="X1963" s="163"/>
      <c r="Y1963" s="162"/>
      <c r="Z1963" s="164"/>
      <c r="AA1963" s="116"/>
      <c r="AB1963" s="116"/>
      <c r="AC1963" s="165"/>
      <c r="AD1963" s="675" t="str">
        <f t="shared" si="76"/>
        <v/>
      </c>
      <c r="AE1963" s="166"/>
      <c r="AF1963" s="149" t="b">
        <v>0</v>
      </c>
      <c r="AG1963" s="166"/>
      <c r="AH1963" s="149" t="b">
        <v>0</v>
      </c>
      <c r="AI1963" s="162"/>
      <c r="AJ1963" s="143"/>
      <c r="AK1963" s="143"/>
      <c r="AL1963" s="1112"/>
      <c r="AM1963" s="1112"/>
      <c r="AN1963" s="1112"/>
      <c r="AO1963" s="1112"/>
      <c r="AP1963" s="1112"/>
      <c r="AQ1963" s="1112"/>
    </row>
    <row r="1964" ht="22.5" customHeight="1">
      <c r="A1964" s="166"/>
      <c r="B1964" s="1111"/>
      <c r="C1964" s="524"/>
      <c r="D1964" s="1110"/>
      <c r="E1964" s="669"/>
      <c r="F1964" s="524"/>
      <c r="G1964" s="165"/>
      <c r="H1964" s="669"/>
      <c r="I1964" s="669"/>
      <c r="J1964" s="352"/>
      <c r="K1964" s="271" t="str">
        <f t="shared" si="74"/>
        <v/>
      </c>
      <c r="L1964" s="297"/>
      <c r="M1964" s="334"/>
      <c r="N1964" s="277"/>
      <c r="O1964" s="315"/>
      <c r="P1964" s="344">
        <f t="shared" si="69"/>
        <v>0</v>
      </c>
      <c r="Q1964" s="321"/>
      <c r="R1964" s="672" t="b">
        <v>0</v>
      </c>
      <c r="S1964" s="318"/>
      <c r="T1964" s="319"/>
      <c r="U1964" s="315"/>
      <c r="V1964" s="162"/>
      <c r="W1964" s="149"/>
      <c r="X1964" s="163"/>
      <c r="Y1964" s="162"/>
      <c r="Z1964" s="164"/>
      <c r="AA1964" s="116"/>
      <c r="AB1964" s="116"/>
      <c r="AC1964" s="165"/>
      <c r="AD1964" s="675" t="str">
        <f t="shared" si="76"/>
        <v/>
      </c>
      <c r="AE1964" s="166"/>
      <c r="AF1964" s="149" t="b">
        <v>0</v>
      </c>
      <c r="AG1964" s="166"/>
      <c r="AH1964" s="149" t="b">
        <v>0</v>
      </c>
      <c r="AI1964" s="162"/>
      <c r="AJ1964" s="143"/>
      <c r="AK1964" s="143"/>
      <c r="AL1964" s="1112"/>
      <c r="AM1964" s="1112"/>
      <c r="AN1964" s="1112"/>
      <c r="AO1964" s="1112"/>
      <c r="AP1964" s="1112"/>
      <c r="AQ1964" s="1112"/>
    </row>
    <row r="1965" ht="22.5" customHeight="1">
      <c r="A1965" s="166"/>
      <c r="B1965" s="1111"/>
      <c r="C1965" s="524"/>
      <c r="D1965" s="1110"/>
      <c r="E1965" s="669"/>
      <c r="F1965" s="524"/>
      <c r="G1965" s="165"/>
      <c r="H1965" s="669"/>
      <c r="I1965" s="669"/>
      <c r="J1965" s="352"/>
      <c r="K1965" s="271" t="str">
        <f t="shared" si="74"/>
        <v/>
      </c>
      <c r="L1965" s="297"/>
      <c r="M1965" s="334"/>
      <c r="N1965" s="277"/>
      <c r="O1965" s="315"/>
      <c r="P1965" s="344">
        <f t="shared" si="69"/>
        <v>0</v>
      </c>
      <c r="Q1965" s="321"/>
      <c r="R1965" s="672" t="b">
        <v>0</v>
      </c>
      <c r="S1965" s="318"/>
      <c r="T1965" s="319"/>
      <c r="U1965" s="315"/>
      <c r="V1965" s="162"/>
      <c r="W1965" s="149"/>
      <c r="X1965" s="163"/>
      <c r="Y1965" s="162"/>
      <c r="Z1965" s="164"/>
      <c r="AA1965" s="116"/>
      <c r="AB1965" s="116"/>
      <c r="AC1965" s="165"/>
      <c r="AD1965" s="675" t="str">
        <f t="shared" si="76"/>
        <v/>
      </c>
      <c r="AE1965" s="166"/>
      <c r="AF1965" s="149" t="b">
        <v>0</v>
      </c>
      <c r="AG1965" s="166"/>
      <c r="AH1965" s="149" t="b">
        <v>0</v>
      </c>
      <c r="AI1965" s="162"/>
      <c r="AJ1965" s="143"/>
      <c r="AK1965" s="143"/>
      <c r="AL1965" s="1112"/>
      <c r="AM1965" s="1112"/>
      <c r="AN1965" s="1112"/>
      <c r="AO1965" s="1112"/>
      <c r="AP1965" s="1112"/>
      <c r="AQ1965" s="1112"/>
    </row>
    <row r="1966" ht="22.5" customHeight="1">
      <c r="A1966" s="166"/>
      <c r="B1966" s="1111"/>
      <c r="C1966" s="524"/>
      <c r="D1966" s="1110"/>
      <c r="E1966" s="669"/>
      <c r="F1966" s="524"/>
      <c r="G1966" s="165"/>
      <c r="H1966" s="669"/>
      <c r="I1966" s="669"/>
      <c r="J1966" s="352"/>
      <c r="K1966" s="271" t="str">
        <f t="shared" si="74"/>
        <v/>
      </c>
      <c r="L1966" s="297"/>
      <c r="M1966" s="334"/>
      <c r="N1966" s="277"/>
      <c r="O1966" s="315"/>
      <c r="P1966" s="344">
        <f t="shared" si="69"/>
        <v>0</v>
      </c>
      <c r="Q1966" s="321"/>
      <c r="R1966" s="672" t="b">
        <v>0</v>
      </c>
      <c r="S1966" s="318"/>
      <c r="T1966" s="319"/>
      <c r="U1966" s="315"/>
      <c r="V1966" s="162"/>
      <c r="W1966" s="149"/>
      <c r="X1966" s="163"/>
      <c r="Y1966" s="162"/>
      <c r="Z1966" s="164"/>
      <c r="AA1966" s="116"/>
      <c r="AB1966" s="116"/>
      <c r="AC1966" s="165"/>
      <c r="AD1966" s="675" t="str">
        <f t="shared" si="76"/>
        <v/>
      </c>
      <c r="AE1966" s="166"/>
      <c r="AF1966" s="149" t="b">
        <v>0</v>
      </c>
      <c r="AG1966" s="166"/>
      <c r="AH1966" s="149" t="b">
        <v>0</v>
      </c>
      <c r="AI1966" s="162"/>
      <c r="AJ1966" s="143"/>
      <c r="AK1966" s="143"/>
      <c r="AL1966" s="1112"/>
      <c r="AM1966" s="1112"/>
      <c r="AN1966" s="1112"/>
      <c r="AO1966" s="1112"/>
      <c r="AP1966" s="1112"/>
      <c r="AQ1966" s="1112"/>
    </row>
    <row r="1967" ht="22.5" customHeight="1">
      <c r="A1967" s="166"/>
      <c r="B1967" s="1111"/>
      <c r="C1967" s="524"/>
      <c r="D1967" s="1110"/>
      <c r="E1967" s="669"/>
      <c r="F1967" s="524"/>
      <c r="G1967" s="165"/>
      <c r="H1967" s="669"/>
      <c r="I1967" s="669"/>
      <c r="J1967" s="352"/>
      <c r="K1967" s="271" t="str">
        <f t="shared" si="74"/>
        <v/>
      </c>
      <c r="L1967" s="297"/>
      <c r="M1967" s="334"/>
      <c r="N1967" s="277"/>
      <c r="O1967" s="315"/>
      <c r="P1967" s="344">
        <f t="shared" si="69"/>
        <v>0</v>
      </c>
      <c r="Q1967" s="321"/>
      <c r="R1967" s="672" t="b">
        <v>0</v>
      </c>
      <c r="S1967" s="318"/>
      <c r="T1967" s="319"/>
      <c r="U1967" s="315"/>
      <c r="V1967" s="162"/>
      <c r="W1967" s="149"/>
      <c r="X1967" s="163"/>
      <c r="Y1967" s="162"/>
      <c r="Z1967" s="164"/>
      <c r="AA1967" s="116"/>
      <c r="AB1967" s="116"/>
      <c r="AC1967" s="165"/>
      <c r="AD1967" s="675" t="str">
        <f t="shared" si="76"/>
        <v/>
      </c>
      <c r="AE1967" s="166"/>
      <c r="AF1967" s="149" t="b">
        <v>0</v>
      </c>
      <c r="AG1967" s="166"/>
      <c r="AH1967" s="149" t="b">
        <v>0</v>
      </c>
      <c r="AI1967" s="162"/>
      <c r="AJ1967" s="143"/>
      <c r="AK1967" s="143"/>
      <c r="AL1967" s="1112"/>
      <c r="AM1967" s="1112"/>
      <c r="AN1967" s="1112"/>
      <c r="AO1967" s="1112"/>
      <c r="AP1967" s="1112"/>
      <c r="AQ1967" s="1112"/>
    </row>
    <row r="1968" ht="22.5" customHeight="1">
      <c r="A1968" s="166"/>
      <c r="B1968" s="1111"/>
      <c r="C1968" s="524"/>
      <c r="D1968" s="1110"/>
      <c r="E1968" s="669"/>
      <c r="F1968" s="524"/>
      <c r="G1968" s="165"/>
      <c r="H1968" s="669"/>
      <c r="I1968" s="669"/>
      <c r="J1968" s="352"/>
      <c r="K1968" s="271" t="str">
        <f t="shared" si="74"/>
        <v/>
      </c>
      <c r="L1968" s="297"/>
      <c r="M1968" s="334"/>
      <c r="N1968" s="277"/>
      <c r="O1968" s="315"/>
      <c r="P1968" s="344">
        <f t="shared" si="69"/>
        <v>0</v>
      </c>
      <c r="Q1968" s="321"/>
      <c r="R1968" s="672" t="b">
        <v>0</v>
      </c>
      <c r="S1968" s="318"/>
      <c r="T1968" s="319"/>
      <c r="U1968" s="315"/>
      <c r="V1968" s="162"/>
      <c r="W1968" s="149"/>
      <c r="X1968" s="163"/>
      <c r="Y1968" s="162"/>
      <c r="Z1968" s="164"/>
      <c r="AA1968" s="116"/>
      <c r="AB1968" s="116"/>
      <c r="AC1968" s="165"/>
      <c r="AD1968" s="675" t="str">
        <f t="shared" si="76"/>
        <v/>
      </c>
      <c r="AE1968" s="166"/>
      <c r="AF1968" s="149" t="b">
        <v>0</v>
      </c>
      <c r="AG1968" s="166"/>
      <c r="AH1968" s="149" t="b">
        <v>0</v>
      </c>
      <c r="AI1968" s="162"/>
      <c r="AJ1968" s="143"/>
      <c r="AK1968" s="143"/>
      <c r="AL1968" s="1112"/>
      <c r="AM1968" s="1112"/>
      <c r="AN1968" s="1112"/>
      <c r="AO1968" s="1112"/>
      <c r="AP1968" s="1112"/>
      <c r="AQ1968" s="1112"/>
    </row>
    <row r="1969" ht="22.5" customHeight="1">
      <c r="A1969" s="166"/>
      <c r="B1969" s="1111"/>
      <c r="C1969" s="524"/>
      <c r="D1969" s="1110"/>
      <c r="E1969" s="669"/>
      <c r="F1969" s="524"/>
      <c r="G1969" s="165"/>
      <c r="H1969" s="669"/>
      <c r="I1969" s="669"/>
      <c r="J1969" s="352"/>
      <c r="K1969" s="271" t="str">
        <f t="shared" si="74"/>
        <v/>
      </c>
      <c r="L1969" s="297"/>
      <c r="M1969" s="334"/>
      <c r="N1969" s="277"/>
      <c r="O1969" s="315"/>
      <c r="P1969" s="344">
        <f t="shared" si="69"/>
        <v>0</v>
      </c>
      <c r="Q1969" s="321"/>
      <c r="R1969" s="672" t="b">
        <v>0</v>
      </c>
      <c r="S1969" s="318"/>
      <c r="T1969" s="319"/>
      <c r="U1969" s="315"/>
      <c r="V1969" s="162"/>
      <c r="W1969" s="149"/>
      <c r="X1969" s="163"/>
      <c r="Y1969" s="162"/>
      <c r="Z1969" s="164"/>
      <c r="AA1969" s="116"/>
      <c r="AB1969" s="116"/>
      <c r="AC1969" s="165"/>
      <c r="AD1969" s="675" t="str">
        <f t="shared" si="76"/>
        <v/>
      </c>
      <c r="AE1969" s="166"/>
      <c r="AF1969" s="149" t="b">
        <v>0</v>
      </c>
      <c r="AG1969" s="166"/>
      <c r="AH1969" s="149" t="b">
        <v>0</v>
      </c>
      <c r="AI1969" s="162"/>
      <c r="AJ1969" s="143"/>
      <c r="AK1969" s="143"/>
      <c r="AL1969" s="1112"/>
      <c r="AM1969" s="1112"/>
      <c r="AN1969" s="1112"/>
      <c r="AO1969" s="1112"/>
      <c r="AP1969" s="1112"/>
      <c r="AQ1969" s="1112"/>
    </row>
    <row r="1970" ht="22.5" customHeight="1">
      <c r="A1970" s="166"/>
      <c r="B1970" s="1111"/>
      <c r="C1970" s="524"/>
      <c r="D1970" s="1110"/>
      <c r="E1970" s="669"/>
      <c r="F1970" s="524"/>
      <c r="G1970" s="165"/>
      <c r="H1970" s="669"/>
      <c r="I1970" s="669"/>
      <c r="J1970" s="352"/>
      <c r="K1970" s="271" t="str">
        <f t="shared" si="74"/>
        <v/>
      </c>
      <c r="L1970" s="297"/>
      <c r="M1970" s="334"/>
      <c r="N1970" s="277"/>
      <c r="O1970" s="315"/>
      <c r="P1970" s="344">
        <f t="shared" si="69"/>
        <v>0</v>
      </c>
      <c r="Q1970" s="321"/>
      <c r="R1970" s="672" t="b">
        <v>0</v>
      </c>
      <c r="S1970" s="318"/>
      <c r="T1970" s="319"/>
      <c r="U1970" s="315"/>
      <c r="V1970" s="162"/>
      <c r="W1970" s="149"/>
      <c r="X1970" s="163"/>
      <c r="Y1970" s="162"/>
      <c r="Z1970" s="164"/>
      <c r="AA1970" s="116"/>
      <c r="AB1970" s="116"/>
      <c r="AC1970" s="165"/>
      <c r="AD1970" s="675" t="str">
        <f t="shared" si="76"/>
        <v/>
      </c>
      <c r="AE1970" s="166"/>
      <c r="AF1970" s="149" t="b">
        <v>0</v>
      </c>
      <c r="AG1970" s="166"/>
      <c r="AH1970" s="149" t="b">
        <v>0</v>
      </c>
      <c r="AI1970" s="162"/>
      <c r="AJ1970" s="143"/>
      <c r="AK1970" s="143"/>
      <c r="AL1970" s="1112"/>
      <c r="AM1970" s="1112"/>
      <c r="AN1970" s="1112"/>
      <c r="AO1970" s="1112"/>
      <c r="AP1970" s="1112"/>
      <c r="AQ1970" s="1112"/>
    </row>
    <row r="1971" ht="22.5" customHeight="1">
      <c r="A1971" s="166"/>
      <c r="B1971" s="1111"/>
      <c r="C1971" s="524"/>
      <c r="D1971" s="1110"/>
      <c r="E1971" s="669"/>
      <c r="F1971" s="524"/>
      <c r="G1971" s="165"/>
      <c r="H1971" s="669"/>
      <c r="I1971" s="669"/>
      <c r="J1971" s="352"/>
      <c r="K1971" s="271" t="str">
        <f t="shared" si="74"/>
        <v/>
      </c>
      <c r="L1971" s="297"/>
      <c r="M1971" s="334"/>
      <c r="N1971" s="277"/>
      <c r="O1971" s="315"/>
      <c r="P1971" s="344">
        <f t="shared" si="69"/>
        <v>0</v>
      </c>
      <c r="Q1971" s="321"/>
      <c r="R1971" s="672" t="b">
        <v>0</v>
      </c>
      <c r="S1971" s="318"/>
      <c r="T1971" s="319"/>
      <c r="U1971" s="315"/>
      <c r="V1971" s="162"/>
      <c r="W1971" s="149"/>
      <c r="X1971" s="163"/>
      <c r="Y1971" s="162"/>
      <c r="Z1971" s="164"/>
      <c r="AA1971" s="116"/>
      <c r="AB1971" s="116"/>
      <c r="AC1971" s="165"/>
      <c r="AD1971" s="675" t="str">
        <f t="shared" si="76"/>
        <v/>
      </c>
      <c r="AE1971" s="166"/>
      <c r="AF1971" s="149" t="b">
        <v>0</v>
      </c>
      <c r="AG1971" s="166"/>
      <c r="AH1971" s="149" t="b">
        <v>0</v>
      </c>
      <c r="AI1971" s="162"/>
      <c r="AJ1971" s="143"/>
      <c r="AK1971" s="143"/>
      <c r="AL1971" s="1112"/>
      <c r="AM1971" s="1112"/>
      <c r="AN1971" s="1112"/>
      <c r="AO1971" s="1112"/>
      <c r="AP1971" s="1112"/>
      <c r="AQ1971" s="1112"/>
    </row>
    <row r="1972" ht="22.5" customHeight="1">
      <c r="A1972" s="166"/>
      <c r="B1972" s="1111"/>
      <c r="C1972" s="524"/>
      <c r="D1972" s="1110"/>
      <c r="E1972" s="669"/>
      <c r="F1972" s="524"/>
      <c r="G1972" s="165"/>
      <c r="H1972" s="669"/>
      <c r="I1972" s="669"/>
      <c r="J1972" s="352"/>
      <c r="K1972" s="271" t="str">
        <f t="shared" si="74"/>
        <v/>
      </c>
      <c r="L1972" s="297"/>
      <c r="M1972" s="334"/>
      <c r="N1972" s="277"/>
      <c r="O1972" s="315"/>
      <c r="P1972" s="344">
        <f t="shared" si="69"/>
        <v>0</v>
      </c>
      <c r="Q1972" s="321"/>
      <c r="R1972" s="672" t="b">
        <v>0</v>
      </c>
      <c r="S1972" s="318"/>
      <c r="T1972" s="319"/>
      <c r="U1972" s="315"/>
      <c r="V1972" s="162"/>
      <c r="W1972" s="149"/>
      <c r="X1972" s="163"/>
      <c r="Y1972" s="162"/>
      <c r="Z1972" s="164"/>
      <c r="AA1972" s="116"/>
      <c r="AB1972" s="116"/>
      <c r="AC1972" s="165"/>
      <c r="AD1972" s="675" t="str">
        <f t="shared" si="76"/>
        <v/>
      </c>
      <c r="AE1972" s="166"/>
      <c r="AF1972" s="149" t="b">
        <v>0</v>
      </c>
      <c r="AG1972" s="166"/>
      <c r="AH1972" s="149" t="b">
        <v>0</v>
      </c>
      <c r="AI1972" s="162"/>
      <c r="AJ1972" s="143"/>
      <c r="AK1972" s="143"/>
      <c r="AL1972" s="1112"/>
      <c r="AM1972" s="1112"/>
      <c r="AN1972" s="1112"/>
      <c r="AO1972" s="1112"/>
      <c r="AP1972" s="1112"/>
      <c r="AQ1972" s="1112"/>
    </row>
    <row r="1973" ht="22.5" customHeight="1">
      <c r="A1973" s="166"/>
      <c r="B1973" s="1111"/>
      <c r="C1973" s="524"/>
      <c r="D1973" s="1110"/>
      <c r="E1973" s="669"/>
      <c r="F1973" s="524"/>
      <c r="G1973" s="165"/>
      <c r="H1973" s="669"/>
      <c r="I1973" s="669"/>
      <c r="J1973" s="352"/>
      <c r="K1973" s="271" t="str">
        <f t="shared" si="74"/>
        <v/>
      </c>
      <c r="L1973" s="297"/>
      <c r="M1973" s="334"/>
      <c r="N1973" s="277"/>
      <c r="O1973" s="315"/>
      <c r="P1973" s="344">
        <f t="shared" si="69"/>
        <v>0</v>
      </c>
      <c r="Q1973" s="321"/>
      <c r="R1973" s="672" t="b">
        <v>0</v>
      </c>
      <c r="S1973" s="318"/>
      <c r="T1973" s="319"/>
      <c r="U1973" s="315"/>
      <c r="V1973" s="162"/>
      <c r="W1973" s="149"/>
      <c r="X1973" s="163"/>
      <c r="Y1973" s="162"/>
      <c r="Z1973" s="164"/>
      <c r="AA1973" s="116"/>
      <c r="AB1973" s="116"/>
      <c r="AC1973" s="165"/>
      <c r="AD1973" s="675" t="str">
        <f t="shared" si="76"/>
        <v/>
      </c>
      <c r="AE1973" s="166"/>
      <c r="AF1973" s="149" t="b">
        <v>0</v>
      </c>
      <c r="AG1973" s="166"/>
      <c r="AH1973" s="149" t="b">
        <v>0</v>
      </c>
      <c r="AI1973" s="162"/>
      <c r="AJ1973" s="143"/>
      <c r="AK1973" s="143"/>
      <c r="AL1973" s="1112"/>
      <c r="AM1973" s="1112"/>
      <c r="AN1973" s="1112"/>
      <c r="AO1973" s="1112"/>
      <c r="AP1973" s="1112"/>
      <c r="AQ1973" s="1112"/>
    </row>
    <row r="1974" ht="22.5" customHeight="1">
      <c r="A1974" s="166"/>
      <c r="B1974" s="1111"/>
      <c r="C1974" s="524"/>
      <c r="D1974" s="1110"/>
      <c r="E1974" s="669"/>
      <c r="F1974" s="524"/>
      <c r="G1974" s="165"/>
      <c r="H1974" s="669"/>
      <c r="I1974" s="669"/>
      <c r="J1974" s="352"/>
      <c r="K1974" s="271" t="str">
        <f t="shared" si="74"/>
        <v/>
      </c>
      <c r="L1974" s="297"/>
      <c r="M1974" s="334"/>
      <c r="N1974" s="277"/>
      <c r="O1974" s="315"/>
      <c r="P1974" s="344">
        <f t="shared" si="69"/>
        <v>0</v>
      </c>
      <c r="Q1974" s="321"/>
      <c r="R1974" s="672" t="b">
        <v>0</v>
      </c>
      <c r="S1974" s="318"/>
      <c r="T1974" s="319"/>
      <c r="U1974" s="315"/>
      <c r="V1974" s="162"/>
      <c r="W1974" s="149"/>
      <c r="X1974" s="163"/>
      <c r="Y1974" s="162"/>
      <c r="Z1974" s="164"/>
      <c r="AA1974" s="116"/>
      <c r="AB1974" s="116"/>
      <c r="AC1974" s="165"/>
      <c r="AD1974" s="675" t="str">
        <f t="shared" si="76"/>
        <v/>
      </c>
      <c r="AE1974" s="166"/>
      <c r="AF1974" s="149" t="b">
        <v>0</v>
      </c>
      <c r="AG1974" s="166"/>
      <c r="AH1974" s="149" t="b">
        <v>0</v>
      </c>
      <c r="AI1974" s="162"/>
      <c r="AJ1974" s="143"/>
      <c r="AK1974" s="143"/>
      <c r="AL1974" s="1112"/>
      <c r="AM1974" s="1112"/>
      <c r="AN1974" s="1112"/>
      <c r="AO1974" s="1112"/>
      <c r="AP1974" s="1112"/>
      <c r="AQ1974" s="1112"/>
    </row>
    <row r="1975" ht="22.5" customHeight="1">
      <c r="A1975" s="166"/>
      <c r="B1975" s="1111"/>
      <c r="C1975" s="524"/>
      <c r="D1975" s="1110"/>
      <c r="E1975" s="669"/>
      <c r="F1975" s="524"/>
      <c r="G1975" s="165"/>
      <c r="H1975" s="669"/>
      <c r="I1975" s="669"/>
      <c r="J1975" s="352"/>
      <c r="K1975" s="271" t="str">
        <f t="shared" si="74"/>
        <v/>
      </c>
      <c r="L1975" s="297"/>
      <c r="M1975" s="334"/>
      <c r="N1975" s="277"/>
      <c r="O1975" s="315"/>
      <c r="P1975" s="344">
        <f t="shared" si="69"/>
        <v>0</v>
      </c>
      <c r="Q1975" s="321"/>
      <c r="R1975" s="672" t="b">
        <v>0</v>
      </c>
      <c r="S1975" s="318"/>
      <c r="T1975" s="319"/>
      <c r="U1975" s="315"/>
      <c r="V1975" s="162"/>
      <c r="W1975" s="149"/>
      <c r="X1975" s="163"/>
      <c r="Y1975" s="162"/>
      <c r="Z1975" s="164"/>
      <c r="AA1975" s="116"/>
      <c r="AB1975" s="116"/>
      <c r="AC1975" s="165"/>
      <c r="AD1975" s="675" t="str">
        <f t="shared" si="76"/>
        <v/>
      </c>
      <c r="AE1975" s="166"/>
      <c r="AF1975" s="149" t="b">
        <v>0</v>
      </c>
      <c r="AG1975" s="166"/>
      <c r="AH1975" s="149" t="b">
        <v>0</v>
      </c>
      <c r="AI1975" s="162"/>
      <c r="AJ1975" s="143"/>
      <c r="AK1975" s="143"/>
      <c r="AL1975" s="1112"/>
      <c r="AM1975" s="1112"/>
      <c r="AN1975" s="1112"/>
      <c r="AO1975" s="1112"/>
      <c r="AP1975" s="1112"/>
      <c r="AQ1975" s="1112"/>
    </row>
    <row r="1976" ht="22.5" customHeight="1">
      <c r="A1976" s="166"/>
      <c r="B1976" s="1111"/>
      <c r="C1976" s="524"/>
      <c r="D1976" s="1110"/>
      <c r="E1976" s="669"/>
      <c r="F1976" s="524"/>
      <c r="G1976" s="165"/>
      <c r="H1976" s="669"/>
      <c r="I1976" s="669"/>
      <c r="J1976" s="352"/>
      <c r="K1976" s="271" t="str">
        <f t="shared" si="74"/>
        <v/>
      </c>
      <c r="L1976" s="297"/>
      <c r="M1976" s="334"/>
      <c r="N1976" s="277"/>
      <c r="O1976" s="315"/>
      <c r="P1976" s="344">
        <f t="shared" si="69"/>
        <v>0</v>
      </c>
      <c r="Q1976" s="321"/>
      <c r="R1976" s="672" t="b">
        <v>0</v>
      </c>
      <c r="S1976" s="318"/>
      <c r="T1976" s="319"/>
      <c r="U1976" s="315"/>
      <c r="V1976" s="162"/>
      <c r="W1976" s="149"/>
      <c r="X1976" s="163"/>
      <c r="Y1976" s="162"/>
      <c r="Z1976" s="164"/>
      <c r="AA1976" s="116"/>
      <c r="AB1976" s="116"/>
      <c r="AC1976" s="165"/>
      <c r="AD1976" s="675" t="str">
        <f t="shared" si="76"/>
        <v/>
      </c>
      <c r="AE1976" s="166"/>
      <c r="AF1976" s="149" t="b">
        <v>0</v>
      </c>
      <c r="AG1976" s="166"/>
      <c r="AH1976" s="149" t="b">
        <v>0</v>
      </c>
      <c r="AI1976" s="162"/>
      <c r="AJ1976" s="143"/>
      <c r="AK1976" s="143"/>
      <c r="AL1976" s="1112"/>
      <c r="AM1976" s="1112"/>
      <c r="AN1976" s="1112"/>
      <c r="AO1976" s="1112"/>
      <c r="AP1976" s="1112"/>
      <c r="AQ1976" s="1112"/>
    </row>
    <row r="1977" ht="22.5" customHeight="1">
      <c r="A1977" s="166"/>
      <c r="B1977" s="1111"/>
      <c r="C1977" s="524"/>
      <c r="D1977" s="1110"/>
      <c r="E1977" s="669"/>
      <c r="F1977" s="524"/>
      <c r="G1977" s="165"/>
      <c r="H1977" s="669"/>
      <c r="I1977" s="669"/>
      <c r="J1977" s="352"/>
      <c r="K1977" s="271" t="str">
        <f t="shared" si="74"/>
        <v/>
      </c>
      <c r="L1977" s="297"/>
      <c r="M1977" s="334"/>
      <c r="N1977" s="277"/>
      <c r="O1977" s="315"/>
      <c r="P1977" s="344">
        <f t="shared" si="69"/>
        <v>0</v>
      </c>
      <c r="Q1977" s="321"/>
      <c r="R1977" s="672" t="b">
        <v>0</v>
      </c>
      <c r="S1977" s="318"/>
      <c r="T1977" s="319"/>
      <c r="U1977" s="315"/>
      <c r="V1977" s="162"/>
      <c r="W1977" s="149"/>
      <c r="X1977" s="163"/>
      <c r="Y1977" s="162"/>
      <c r="Z1977" s="164"/>
      <c r="AA1977" s="116"/>
      <c r="AB1977" s="116"/>
      <c r="AC1977" s="165"/>
      <c r="AD1977" s="675" t="str">
        <f t="shared" si="76"/>
        <v/>
      </c>
      <c r="AE1977" s="166"/>
      <c r="AF1977" s="149" t="b">
        <v>0</v>
      </c>
      <c r="AG1977" s="166"/>
      <c r="AH1977" s="149" t="b">
        <v>0</v>
      </c>
      <c r="AI1977" s="162"/>
      <c r="AJ1977" s="143"/>
      <c r="AK1977" s="143"/>
      <c r="AL1977" s="1112"/>
      <c r="AM1977" s="1112"/>
      <c r="AN1977" s="1112"/>
      <c r="AO1977" s="1112"/>
      <c r="AP1977" s="1112"/>
      <c r="AQ1977" s="1112"/>
    </row>
    <row r="1978" ht="22.5" customHeight="1">
      <c r="A1978" s="166"/>
      <c r="B1978" s="1111"/>
      <c r="C1978" s="524"/>
      <c r="D1978" s="1110"/>
      <c r="E1978" s="669"/>
      <c r="F1978" s="524"/>
      <c r="G1978" s="165"/>
      <c r="H1978" s="669"/>
      <c r="I1978" s="669"/>
      <c r="J1978" s="352"/>
      <c r="K1978" s="271" t="str">
        <f t="shared" si="74"/>
        <v/>
      </c>
      <c r="L1978" s="297"/>
      <c r="M1978" s="334"/>
      <c r="N1978" s="277"/>
      <c r="O1978" s="315"/>
      <c r="P1978" s="344">
        <f t="shared" si="69"/>
        <v>0</v>
      </c>
      <c r="Q1978" s="321"/>
      <c r="R1978" s="672" t="b">
        <v>0</v>
      </c>
      <c r="S1978" s="318"/>
      <c r="T1978" s="319"/>
      <c r="U1978" s="315"/>
      <c r="V1978" s="162"/>
      <c r="W1978" s="149"/>
      <c r="X1978" s="163"/>
      <c r="Y1978" s="162"/>
      <c r="Z1978" s="164"/>
      <c r="AA1978" s="116"/>
      <c r="AB1978" s="116"/>
      <c r="AC1978" s="165"/>
      <c r="AD1978" s="675" t="str">
        <f t="shared" si="76"/>
        <v/>
      </c>
      <c r="AE1978" s="166"/>
      <c r="AF1978" s="149" t="b">
        <v>0</v>
      </c>
      <c r="AG1978" s="166"/>
      <c r="AH1978" s="149" t="b">
        <v>0</v>
      </c>
      <c r="AI1978" s="162"/>
      <c r="AJ1978" s="143"/>
      <c r="AK1978" s="143"/>
      <c r="AL1978" s="1112"/>
      <c r="AM1978" s="1112"/>
      <c r="AN1978" s="1112"/>
      <c r="AO1978" s="1112"/>
      <c r="AP1978" s="1112"/>
      <c r="AQ1978" s="1112"/>
    </row>
    <row r="1979" ht="22.5" customHeight="1">
      <c r="A1979" s="166"/>
      <c r="B1979" s="1111"/>
      <c r="C1979" s="524"/>
      <c r="D1979" s="1110"/>
      <c r="E1979" s="669"/>
      <c r="F1979" s="524"/>
      <c r="G1979" s="165"/>
      <c r="H1979" s="669"/>
      <c r="I1979" s="669"/>
      <c r="J1979" s="352"/>
      <c r="K1979" s="271" t="str">
        <f t="shared" si="74"/>
        <v/>
      </c>
      <c r="L1979" s="297"/>
      <c r="M1979" s="334"/>
      <c r="N1979" s="277"/>
      <c r="O1979" s="315"/>
      <c r="P1979" s="344">
        <f t="shared" si="69"/>
        <v>0</v>
      </c>
      <c r="Q1979" s="321"/>
      <c r="R1979" s="672" t="b">
        <v>0</v>
      </c>
      <c r="S1979" s="318"/>
      <c r="T1979" s="319"/>
      <c r="U1979" s="315"/>
      <c r="V1979" s="162"/>
      <c r="W1979" s="149"/>
      <c r="X1979" s="163"/>
      <c r="Y1979" s="162"/>
      <c r="Z1979" s="164"/>
      <c r="AA1979" s="116"/>
      <c r="AB1979" s="116"/>
      <c r="AC1979" s="165"/>
      <c r="AD1979" s="675" t="str">
        <f t="shared" si="76"/>
        <v/>
      </c>
      <c r="AE1979" s="166"/>
      <c r="AF1979" s="149" t="b">
        <v>0</v>
      </c>
      <c r="AG1979" s="166"/>
      <c r="AH1979" s="149" t="b">
        <v>0</v>
      </c>
      <c r="AI1979" s="162"/>
      <c r="AJ1979" s="143"/>
      <c r="AK1979" s="143"/>
      <c r="AL1979" s="1112"/>
      <c r="AM1979" s="1112"/>
      <c r="AN1979" s="1112"/>
      <c r="AO1979" s="1112"/>
      <c r="AP1979" s="1112"/>
      <c r="AQ1979" s="1112"/>
    </row>
    <row r="1980" ht="22.5" customHeight="1">
      <c r="A1980" s="166"/>
      <c r="B1980" s="1111"/>
      <c r="C1980" s="524"/>
      <c r="D1980" s="1110"/>
      <c r="E1980" s="669"/>
      <c r="F1980" s="524"/>
      <c r="G1980" s="165"/>
      <c r="H1980" s="669"/>
      <c r="I1980" s="669"/>
      <c r="J1980" s="352"/>
      <c r="K1980" s="271" t="str">
        <f t="shared" si="74"/>
        <v/>
      </c>
      <c r="L1980" s="297"/>
      <c r="M1980" s="334"/>
      <c r="N1980" s="277"/>
      <c r="O1980" s="315"/>
      <c r="P1980" s="344">
        <f t="shared" si="69"/>
        <v>0</v>
      </c>
      <c r="Q1980" s="321"/>
      <c r="R1980" s="672" t="b">
        <v>0</v>
      </c>
      <c r="S1980" s="318"/>
      <c r="T1980" s="319"/>
      <c r="U1980" s="315"/>
      <c r="V1980" s="162"/>
      <c r="W1980" s="149"/>
      <c r="X1980" s="163"/>
      <c r="Y1980" s="162"/>
      <c r="Z1980" s="164"/>
      <c r="AA1980" s="116"/>
      <c r="AB1980" s="116"/>
      <c r="AC1980" s="165"/>
      <c r="AD1980" s="675" t="str">
        <f t="shared" si="76"/>
        <v/>
      </c>
      <c r="AE1980" s="166"/>
      <c r="AF1980" s="149" t="b">
        <v>0</v>
      </c>
      <c r="AG1980" s="166"/>
      <c r="AH1980" s="149" t="b">
        <v>0</v>
      </c>
      <c r="AI1980" s="162"/>
      <c r="AJ1980" s="143"/>
      <c r="AK1980" s="143"/>
      <c r="AL1980" s="1112"/>
      <c r="AM1980" s="1112"/>
      <c r="AN1980" s="1112"/>
      <c r="AO1980" s="1112"/>
      <c r="AP1980" s="1112"/>
      <c r="AQ1980" s="1112"/>
    </row>
    <row r="1981" ht="22.5" customHeight="1">
      <c r="A1981" s="166"/>
      <c r="B1981" s="1111"/>
      <c r="C1981" s="524"/>
      <c r="D1981" s="1110"/>
      <c r="E1981" s="669"/>
      <c r="F1981" s="524"/>
      <c r="G1981" s="165"/>
      <c r="H1981" s="669"/>
      <c r="I1981" s="669"/>
      <c r="J1981" s="352"/>
      <c r="K1981" s="271" t="str">
        <f t="shared" si="74"/>
        <v/>
      </c>
      <c r="L1981" s="297"/>
      <c r="M1981" s="334"/>
      <c r="N1981" s="277"/>
      <c r="O1981" s="315"/>
      <c r="P1981" s="344">
        <f t="shared" si="69"/>
        <v>0</v>
      </c>
      <c r="Q1981" s="321"/>
      <c r="R1981" s="672" t="b">
        <v>0</v>
      </c>
      <c r="S1981" s="318"/>
      <c r="T1981" s="319"/>
      <c r="U1981" s="315"/>
      <c r="V1981" s="162"/>
      <c r="W1981" s="149"/>
      <c r="X1981" s="163"/>
      <c r="Y1981" s="162"/>
      <c r="Z1981" s="164"/>
      <c r="AA1981" s="116"/>
      <c r="AB1981" s="116"/>
      <c r="AC1981" s="165"/>
      <c r="AD1981" s="675" t="str">
        <f t="shared" si="76"/>
        <v/>
      </c>
      <c r="AE1981" s="166"/>
      <c r="AF1981" s="149" t="b">
        <v>0</v>
      </c>
      <c r="AG1981" s="166"/>
      <c r="AH1981" s="149" t="b">
        <v>0</v>
      </c>
      <c r="AI1981" s="162"/>
      <c r="AJ1981" s="143"/>
      <c r="AK1981" s="143"/>
      <c r="AL1981" s="1112"/>
      <c r="AM1981" s="1112"/>
      <c r="AN1981" s="1112"/>
      <c r="AO1981" s="1112"/>
      <c r="AP1981" s="1112"/>
      <c r="AQ1981" s="1112"/>
    </row>
    <row r="1982" ht="22.5" customHeight="1">
      <c r="A1982" s="166"/>
      <c r="B1982" s="1111"/>
      <c r="C1982" s="524"/>
      <c r="D1982" s="1110"/>
      <c r="E1982" s="669"/>
      <c r="F1982" s="524"/>
      <c r="G1982" s="165"/>
      <c r="H1982" s="669"/>
      <c r="I1982" s="669"/>
      <c r="J1982" s="352"/>
      <c r="K1982" s="271" t="str">
        <f t="shared" si="74"/>
        <v/>
      </c>
      <c r="L1982" s="297"/>
      <c r="M1982" s="334"/>
      <c r="N1982" s="277"/>
      <c r="O1982" s="315"/>
      <c r="P1982" s="344">
        <f t="shared" si="69"/>
        <v>0</v>
      </c>
      <c r="Q1982" s="321"/>
      <c r="R1982" s="672" t="b">
        <v>0</v>
      </c>
      <c r="S1982" s="318"/>
      <c r="T1982" s="319"/>
      <c r="U1982" s="315"/>
      <c r="V1982" s="162"/>
      <c r="W1982" s="149"/>
      <c r="X1982" s="163"/>
      <c r="Y1982" s="162"/>
      <c r="Z1982" s="164"/>
      <c r="AA1982" s="116"/>
      <c r="AB1982" s="116"/>
      <c r="AC1982" s="165"/>
      <c r="AD1982" s="675" t="str">
        <f t="shared" si="76"/>
        <v/>
      </c>
      <c r="AE1982" s="166"/>
      <c r="AF1982" s="149" t="b">
        <v>0</v>
      </c>
      <c r="AG1982" s="166"/>
      <c r="AH1982" s="149" t="b">
        <v>0</v>
      </c>
      <c r="AI1982" s="162"/>
      <c r="AJ1982" s="143"/>
      <c r="AK1982" s="143"/>
      <c r="AL1982" s="1112"/>
      <c r="AM1982" s="1112"/>
      <c r="AN1982" s="1112"/>
      <c r="AO1982" s="1112"/>
      <c r="AP1982" s="1112"/>
      <c r="AQ1982" s="1112"/>
    </row>
    <row r="1983" ht="22.5" customHeight="1">
      <c r="A1983" s="166"/>
      <c r="B1983" s="1111"/>
      <c r="C1983" s="524"/>
      <c r="D1983" s="1110"/>
      <c r="E1983" s="669"/>
      <c r="F1983" s="524"/>
      <c r="G1983" s="165"/>
      <c r="H1983" s="669"/>
      <c r="I1983" s="669"/>
      <c r="J1983" s="352"/>
      <c r="K1983" s="271" t="str">
        <f t="shared" si="74"/>
        <v/>
      </c>
      <c r="L1983" s="297"/>
      <c r="M1983" s="334"/>
      <c r="N1983" s="277"/>
      <c r="O1983" s="315"/>
      <c r="P1983" s="344">
        <f t="shared" si="69"/>
        <v>0</v>
      </c>
      <c r="Q1983" s="321"/>
      <c r="R1983" s="672" t="b">
        <v>0</v>
      </c>
      <c r="S1983" s="318"/>
      <c r="T1983" s="319"/>
      <c r="U1983" s="315"/>
      <c r="V1983" s="162"/>
      <c r="W1983" s="149"/>
      <c r="X1983" s="163"/>
      <c r="Y1983" s="162"/>
      <c r="Z1983" s="164"/>
      <c r="AA1983" s="116"/>
      <c r="AB1983" s="116"/>
      <c r="AC1983" s="165"/>
      <c r="AD1983" s="675" t="str">
        <f t="shared" si="76"/>
        <v/>
      </c>
      <c r="AE1983" s="166"/>
      <c r="AF1983" s="149" t="b">
        <v>0</v>
      </c>
      <c r="AG1983" s="166"/>
      <c r="AH1983" s="149" t="b">
        <v>0</v>
      </c>
      <c r="AI1983" s="162"/>
      <c r="AJ1983" s="143"/>
      <c r="AK1983" s="143"/>
      <c r="AL1983" s="1112"/>
      <c r="AM1983" s="1112"/>
      <c r="AN1983" s="1112"/>
      <c r="AO1983" s="1112"/>
      <c r="AP1983" s="1112"/>
      <c r="AQ1983" s="1112"/>
    </row>
    <row r="1984" ht="22.5" customHeight="1">
      <c r="A1984" s="166"/>
      <c r="B1984" s="1111"/>
      <c r="C1984" s="524"/>
      <c r="D1984" s="1110"/>
      <c r="E1984" s="669"/>
      <c r="F1984" s="524"/>
      <c r="G1984" s="165"/>
      <c r="H1984" s="669"/>
      <c r="I1984" s="669"/>
      <c r="J1984" s="352"/>
      <c r="K1984" s="271" t="str">
        <f t="shared" si="74"/>
        <v/>
      </c>
      <c r="L1984" s="297"/>
      <c r="M1984" s="334"/>
      <c r="N1984" s="277"/>
      <c r="O1984" s="315"/>
      <c r="P1984" s="344">
        <f t="shared" si="69"/>
        <v>0</v>
      </c>
      <c r="Q1984" s="321"/>
      <c r="R1984" s="672" t="b">
        <v>0</v>
      </c>
      <c r="S1984" s="318"/>
      <c r="T1984" s="319"/>
      <c r="U1984" s="315"/>
      <c r="V1984" s="162"/>
      <c r="W1984" s="149"/>
      <c r="X1984" s="163"/>
      <c r="Y1984" s="162"/>
      <c r="Z1984" s="164"/>
      <c r="AA1984" s="116"/>
      <c r="AB1984" s="116"/>
      <c r="AC1984" s="165"/>
      <c r="AD1984" s="675" t="str">
        <f t="shared" si="76"/>
        <v/>
      </c>
      <c r="AE1984" s="166"/>
      <c r="AF1984" s="149" t="b">
        <v>0</v>
      </c>
      <c r="AG1984" s="166"/>
      <c r="AH1984" s="149" t="b">
        <v>0</v>
      </c>
      <c r="AI1984" s="162"/>
      <c r="AJ1984" s="143"/>
      <c r="AK1984" s="143"/>
      <c r="AL1984" s="1112"/>
      <c r="AM1984" s="1112"/>
      <c r="AN1984" s="1112"/>
      <c r="AO1984" s="1112"/>
      <c r="AP1984" s="1112"/>
      <c r="AQ1984" s="1112"/>
    </row>
    <row r="1985" ht="22.5" customHeight="1">
      <c r="A1985" s="166"/>
      <c r="B1985" s="1111"/>
      <c r="C1985" s="524"/>
      <c r="D1985" s="1110"/>
      <c r="E1985" s="669"/>
      <c r="F1985" s="524"/>
      <c r="G1985" s="165"/>
      <c r="H1985" s="669"/>
      <c r="I1985" s="669"/>
      <c r="J1985" s="352"/>
      <c r="K1985" s="271" t="str">
        <f t="shared" si="74"/>
        <v/>
      </c>
      <c r="L1985" s="297"/>
      <c r="M1985" s="334"/>
      <c r="N1985" s="277"/>
      <c r="O1985" s="315"/>
      <c r="P1985" s="344">
        <f t="shared" si="69"/>
        <v>0</v>
      </c>
      <c r="Q1985" s="321"/>
      <c r="R1985" s="672" t="b">
        <v>0</v>
      </c>
      <c r="S1985" s="318"/>
      <c r="T1985" s="319"/>
      <c r="U1985" s="315"/>
      <c r="V1985" s="162"/>
      <c r="W1985" s="149"/>
      <c r="X1985" s="163"/>
      <c r="Y1985" s="162"/>
      <c r="Z1985" s="164"/>
      <c r="AA1985" s="116"/>
      <c r="AB1985" s="116"/>
      <c r="AC1985" s="165"/>
      <c r="AD1985" s="675" t="str">
        <f t="shared" si="76"/>
        <v/>
      </c>
      <c r="AE1985" s="166"/>
      <c r="AF1985" s="149" t="b">
        <v>0</v>
      </c>
      <c r="AG1985" s="166"/>
      <c r="AH1985" s="149" t="b">
        <v>0</v>
      </c>
      <c r="AI1985" s="162"/>
      <c r="AJ1985" s="143"/>
      <c r="AK1985" s="143"/>
      <c r="AL1985" s="1112"/>
      <c r="AM1985" s="1112"/>
      <c r="AN1985" s="1112"/>
      <c r="AO1985" s="1112"/>
      <c r="AP1985" s="1112"/>
      <c r="AQ1985" s="1112"/>
    </row>
    <row r="1986" ht="22.5" customHeight="1">
      <c r="A1986" s="166"/>
      <c r="B1986" s="1111"/>
      <c r="C1986" s="524"/>
      <c r="D1986" s="1110"/>
      <c r="E1986" s="669"/>
      <c r="F1986" s="524"/>
      <c r="G1986" s="165"/>
      <c r="H1986" s="669"/>
      <c r="I1986" s="669"/>
      <c r="J1986" s="352"/>
      <c r="K1986" s="271" t="str">
        <f t="shared" si="74"/>
        <v/>
      </c>
      <c r="L1986" s="297"/>
      <c r="M1986" s="334"/>
      <c r="N1986" s="277"/>
      <c r="O1986" s="315"/>
      <c r="P1986" s="344">
        <f t="shared" si="69"/>
        <v>0</v>
      </c>
      <c r="Q1986" s="321"/>
      <c r="R1986" s="672" t="b">
        <v>0</v>
      </c>
      <c r="S1986" s="318"/>
      <c r="T1986" s="319"/>
      <c r="U1986" s="315"/>
      <c r="V1986" s="162"/>
      <c r="W1986" s="149"/>
      <c r="X1986" s="163"/>
      <c r="Y1986" s="162"/>
      <c r="Z1986" s="164"/>
      <c r="AA1986" s="116"/>
      <c r="AB1986" s="116"/>
      <c r="AC1986" s="165"/>
      <c r="AD1986" s="675" t="str">
        <f t="shared" si="76"/>
        <v/>
      </c>
      <c r="AE1986" s="166"/>
      <c r="AF1986" s="149" t="b">
        <v>0</v>
      </c>
      <c r="AG1986" s="166"/>
      <c r="AH1986" s="149" t="b">
        <v>0</v>
      </c>
      <c r="AI1986" s="162"/>
      <c r="AJ1986" s="1112"/>
      <c r="AK1986" s="1112"/>
      <c r="AL1986" s="1112"/>
      <c r="AM1986" s="1112"/>
      <c r="AN1986" s="1112"/>
      <c r="AO1986" s="1112"/>
      <c r="AP1986" s="1112"/>
      <c r="AQ1986" s="1112"/>
    </row>
    <row r="1987" ht="22.5" customHeight="1">
      <c r="A1987" s="166"/>
      <c r="B1987" s="1111"/>
      <c r="C1987" s="524"/>
      <c r="D1987" s="1110"/>
      <c r="E1987" s="669"/>
      <c r="F1987" s="524"/>
      <c r="G1987" s="165"/>
      <c r="H1987" s="669"/>
      <c r="I1987" s="669"/>
      <c r="J1987" s="352"/>
      <c r="K1987" s="271" t="str">
        <f t="shared" si="74"/>
        <v/>
      </c>
      <c r="L1987" s="297"/>
      <c r="M1987" s="334"/>
      <c r="N1987" s="277"/>
      <c r="O1987" s="315"/>
      <c r="P1987" s="344">
        <f t="shared" si="69"/>
        <v>0</v>
      </c>
      <c r="Q1987" s="321"/>
      <c r="R1987" s="672" t="b">
        <v>0</v>
      </c>
      <c r="S1987" s="318"/>
      <c r="T1987" s="319"/>
      <c r="U1987" s="315"/>
      <c r="V1987" s="162"/>
      <c r="W1987" s="149"/>
      <c r="X1987" s="163"/>
      <c r="Y1987" s="162"/>
      <c r="Z1987" s="164"/>
      <c r="AA1987" s="116"/>
      <c r="AB1987" s="116"/>
      <c r="AC1987" s="165"/>
      <c r="AD1987" s="675" t="str">
        <f t="shared" si="76"/>
        <v/>
      </c>
      <c r="AE1987" s="166"/>
      <c r="AF1987" s="149" t="b">
        <v>0</v>
      </c>
      <c r="AG1987" s="166"/>
      <c r="AH1987" s="332" t="b">
        <v>0</v>
      </c>
      <c r="AI1987" s="837"/>
      <c r="AJ1987" s="1112"/>
      <c r="AK1987" s="1112"/>
      <c r="AL1987" s="1112"/>
      <c r="AM1987" s="1112"/>
      <c r="AN1987" s="1112"/>
      <c r="AO1987" s="1112"/>
      <c r="AP1987" s="1112"/>
      <c r="AQ1987" s="1112"/>
    </row>
    <row r="1988" ht="22.5" customHeight="1">
      <c r="A1988" s="166"/>
      <c r="B1988" s="1111"/>
      <c r="C1988" s="524"/>
      <c r="D1988" s="1110"/>
      <c r="E1988" s="669"/>
      <c r="F1988" s="524"/>
      <c r="G1988" s="165"/>
      <c r="H1988" s="669"/>
      <c r="I1988" s="669"/>
      <c r="J1988" s="352"/>
      <c r="K1988" s="271" t="str">
        <f t="shared" si="74"/>
        <v/>
      </c>
      <c r="L1988" s="297"/>
      <c r="M1988" s="334"/>
      <c r="N1988" s="277"/>
      <c r="O1988" s="315"/>
      <c r="P1988" s="344">
        <f t="shared" si="69"/>
        <v>0</v>
      </c>
      <c r="Q1988" s="321"/>
      <c r="R1988" s="672" t="b">
        <v>0</v>
      </c>
      <c r="S1988" s="318"/>
      <c r="T1988" s="319"/>
      <c r="U1988" s="315"/>
      <c r="V1988" s="162"/>
      <c r="W1988" s="149"/>
      <c r="X1988" s="163"/>
      <c r="Y1988" s="162"/>
      <c r="Z1988" s="164"/>
      <c r="AA1988" s="116"/>
      <c r="AB1988" s="116"/>
      <c r="AC1988" s="165"/>
      <c r="AD1988" s="675" t="str">
        <f t="shared" si="76"/>
        <v/>
      </c>
      <c r="AE1988" s="166"/>
      <c r="AF1988" s="149" t="b">
        <v>0</v>
      </c>
      <c r="AG1988" s="166"/>
      <c r="AH1988" s="332" t="b">
        <v>0</v>
      </c>
      <c r="AI1988" s="837"/>
      <c r="AJ1988" s="1112"/>
      <c r="AK1988" s="1112"/>
      <c r="AL1988" s="1112"/>
      <c r="AM1988" s="1112"/>
      <c r="AN1988" s="1112"/>
      <c r="AO1988" s="1112"/>
      <c r="AP1988" s="1112"/>
      <c r="AQ1988" s="1112"/>
    </row>
    <row r="1989" ht="22.5" customHeight="1">
      <c r="A1989" s="166"/>
      <c r="B1989" s="1111"/>
      <c r="C1989" s="524"/>
      <c r="D1989" s="1110"/>
      <c r="E1989" s="669"/>
      <c r="F1989" s="524"/>
      <c r="G1989" s="165"/>
      <c r="H1989" s="669"/>
      <c r="I1989" s="669"/>
      <c r="J1989" s="352"/>
      <c r="K1989" s="271" t="str">
        <f t="shared" si="74"/>
        <v/>
      </c>
      <c r="L1989" s="297"/>
      <c r="M1989" s="334"/>
      <c r="N1989" s="277"/>
      <c r="O1989" s="315"/>
      <c r="P1989" s="344">
        <f t="shared" si="69"/>
        <v>0</v>
      </c>
      <c r="Q1989" s="321"/>
      <c r="R1989" s="672" t="b">
        <v>0</v>
      </c>
      <c r="S1989" s="318"/>
      <c r="T1989" s="319"/>
      <c r="U1989" s="315"/>
      <c r="V1989" s="162"/>
      <c r="W1989" s="149"/>
      <c r="X1989" s="163"/>
      <c r="Y1989" s="162"/>
      <c r="Z1989" s="164"/>
      <c r="AA1989" s="116"/>
      <c r="AB1989" s="116"/>
      <c r="AC1989" s="165"/>
      <c r="AD1989" s="675" t="str">
        <f t="shared" si="76"/>
        <v/>
      </c>
      <c r="AE1989" s="166"/>
      <c r="AF1989" s="149" t="b">
        <v>0</v>
      </c>
      <c r="AG1989" s="166"/>
      <c r="AH1989" s="332" t="b">
        <v>0</v>
      </c>
      <c r="AI1989" s="837"/>
      <c r="AJ1989" s="1112"/>
      <c r="AK1989" s="1112"/>
      <c r="AL1989" s="1112"/>
      <c r="AM1989" s="1112"/>
      <c r="AN1989" s="1112"/>
      <c r="AO1989" s="1112"/>
      <c r="AP1989" s="1112"/>
      <c r="AQ1989" s="1112"/>
    </row>
    <row r="1990" ht="22.5" customHeight="1">
      <c r="A1990" s="166"/>
      <c r="B1990" s="1111"/>
      <c r="C1990" s="524"/>
      <c r="D1990" s="1110"/>
      <c r="E1990" s="669"/>
      <c r="F1990" s="524"/>
      <c r="G1990" s="165"/>
      <c r="H1990" s="669"/>
      <c r="I1990" s="669"/>
      <c r="J1990" s="352"/>
      <c r="K1990" s="271" t="str">
        <f t="shared" si="74"/>
        <v/>
      </c>
      <c r="L1990" s="297"/>
      <c r="M1990" s="334"/>
      <c r="N1990" s="277"/>
      <c r="O1990" s="315"/>
      <c r="P1990" s="344">
        <f t="shared" si="69"/>
        <v>0</v>
      </c>
      <c r="Q1990" s="321"/>
      <c r="R1990" s="672" t="b">
        <v>0</v>
      </c>
      <c r="S1990" s="318"/>
      <c r="T1990" s="319"/>
      <c r="U1990" s="315"/>
      <c r="V1990" s="162"/>
      <c r="W1990" s="149"/>
      <c r="X1990" s="163"/>
      <c r="Y1990" s="162"/>
      <c r="Z1990" s="164"/>
      <c r="AA1990" s="116"/>
      <c r="AB1990" s="116"/>
      <c r="AC1990" s="165"/>
      <c r="AD1990" s="675" t="str">
        <f t="shared" si="76"/>
        <v/>
      </c>
      <c r="AE1990" s="166"/>
      <c r="AF1990" s="149" t="b">
        <v>0</v>
      </c>
      <c r="AG1990" s="166"/>
      <c r="AH1990" s="332" t="b">
        <v>0</v>
      </c>
      <c r="AI1990" s="837"/>
      <c r="AJ1990" s="1112"/>
      <c r="AK1990" s="1112"/>
      <c r="AL1990" s="1112"/>
      <c r="AM1990" s="1112"/>
      <c r="AN1990" s="1112"/>
      <c r="AO1990" s="1112"/>
      <c r="AP1990" s="1112"/>
      <c r="AQ1990" s="1112"/>
    </row>
    <row r="1991" ht="22.5" customHeight="1">
      <c r="A1991" s="166"/>
      <c r="B1991" s="1111"/>
      <c r="C1991" s="524"/>
      <c r="D1991" s="1110"/>
      <c r="E1991" s="669"/>
      <c r="F1991" s="524"/>
      <c r="G1991" s="165"/>
      <c r="H1991" s="669"/>
      <c r="I1991" s="669"/>
      <c r="J1991" s="352"/>
      <c r="K1991" s="271" t="str">
        <f t="shared" si="74"/>
        <v/>
      </c>
      <c r="L1991" s="297"/>
      <c r="M1991" s="334"/>
      <c r="N1991" s="277"/>
      <c r="O1991" s="315"/>
      <c r="P1991" s="344">
        <f t="shared" si="69"/>
        <v>0</v>
      </c>
      <c r="Q1991" s="321"/>
      <c r="R1991" s="672" t="b">
        <v>0</v>
      </c>
      <c r="S1991" s="318"/>
      <c r="T1991" s="319"/>
      <c r="U1991" s="315"/>
      <c r="V1991" s="162"/>
      <c r="W1991" s="149"/>
      <c r="X1991" s="163"/>
      <c r="Y1991" s="162"/>
      <c r="Z1991" s="164"/>
      <c r="AA1991" s="116"/>
      <c r="AB1991" s="116"/>
      <c r="AC1991" s="165"/>
      <c r="AD1991" s="675" t="str">
        <f t="shared" si="76"/>
        <v/>
      </c>
      <c r="AE1991" s="166"/>
      <c r="AF1991" s="149" t="b">
        <v>0</v>
      </c>
      <c r="AG1991" s="166"/>
      <c r="AH1991" s="332" t="b">
        <v>0</v>
      </c>
      <c r="AI1991" s="837"/>
      <c r="AJ1991" s="1112"/>
      <c r="AK1991" s="1112"/>
      <c r="AL1991" s="1112"/>
      <c r="AM1991" s="1112"/>
      <c r="AN1991" s="1112"/>
      <c r="AO1991" s="1112"/>
      <c r="AP1991" s="1112"/>
      <c r="AQ1991" s="1112"/>
    </row>
    <row r="1992" ht="22.5" customHeight="1">
      <c r="A1992" s="166"/>
      <c r="B1992" s="1111"/>
      <c r="C1992" s="524"/>
      <c r="D1992" s="1110"/>
      <c r="E1992" s="669"/>
      <c r="F1992" s="524"/>
      <c r="G1992" s="165"/>
      <c r="H1992" s="669"/>
      <c r="I1992" s="669"/>
      <c r="J1992" s="352"/>
      <c r="K1992" s="271" t="str">
        <f t="shared" si="74"/>
        <v/>
      </c>
      <c r="L1992" s="297"/>
      <c r="M1992" s="334"/>
      <c r="N1992" s="277"/>
      <c r="O1992" s="315"/>
      <c r="P1992" s="344">
        <f t="shared" si="69"/>
        <v>0</v>
      </c>
      <c r="Q1992" s="321"/>
      <c r="R1992" s="672" t="b">
        <v>0</v>
      </c>
      <c r="S1992" s="318"/>
      <c r="T1992" s="319"/>
      <c r="U1992" s="315"/>
      <c r="V1992" s="162"/>
      <c r="W1992" s="149"/>
      <c r="X1992" s="163"/>
      <c r="Y1992" s="162"/>
      <c r="Z1992" s="164"/>
      <c r="AA1992" s="116"/>
      <c r="AB1992" s="116"/>
      <c r="AC1992" s="165"/>
      <c r="AD1992" s="675" t="str">
        <f t="shared" si="76"/>
        <v/>
      </c>
      <c r="AE1992" s="166"/>
      <c r="AF1992" s="149" t="b">
        <v>0</v>
      </c>
      <c r="AG1992" s="166"/>
      <c r="AH1992" s="332" t="b">
        <v>0</v>
      </c>
      <c r="AI1992" s="837"/>
      <c r="AJ1992" s="1112"/>
      <c r="AK1992" s="1112"/>
      <c r="AL1992" s="1112"/>
      <c r="AM1992" s="1112"/>
      <c r="AN1992" s="1112"/>
      <c r="AO1992" s="1112"/>
      <c r="AP1992" s="1112"/>
      <c r="AQ1992" s="1112"/>
    </row>
    <row r="1993" ht="22.5" customHeight="1">
      <c r="A1993" s="166"/>
      <c r="B1993" s="1111"/>
      <c r="C1993" s="524"/>
      <c r="D1993" s="1110"/>
      <c r="E1993" s="669"/>
      <c r="F1993" s="524"/>
      <c r="G1993" s="165"/>
      <c r="H1993" s="669"/>
      <c r="I1993" s="669"/>
      <c r="J1993" s="352"/>
      <c r="K1993" s="271" t="str">
        <f t="shared" si="74"/>
        <v/>
      </c>
      <c r="L1993" s="297"/>
      <c r="M1993" s="334"/>
      <c r="N1993" s="277"/>
      <c r="O1993" s="315"/>
      <c r="P1993" s="344">
        <f t="shared" si="69"/>
        <v>0</v>
      </c>
      <c r="Q1993" s="321"/>
      <c r="R1993" s="672" t="b">
        <v>0</v>
      </c>
      <c r="S1993" s="318"/>
      <c r="T1993" s="319"/>
      <c r="U1993" s="315"/>
      <c r="V1993" s="162"/>
      <c r="W1993" s="149"/>
      <c r="X1993" s="163"/>
      <c r="Y1993" s="162"/>
      <c r="Z1993" s="164"/>
      <c r="AA1993" s="116"/>
      <c r="AB1993" s="116"/>
      <c r="AC1993" s="165"/>
      <c r="AD1993" s="675" t="str">
        <f t="shared" si="76"/>
        <v/>
      </c>
      <c r="AE1993" s="166"/>
      <c r="AF1993" s="149" t="b">
        <v>0</v>
      </c>
      <c r="AG1993" s="166"/>
      <c r="AH1993" s="332" t="b">
        <v>0</v>
      </c>
      <c r="AI1993" s="837"/>
      <c r="AJ1993" s="1112"/>
      <c r="AK1993" s="1112"/>
      <c r="AL1993" s="1112"/>
      <c r="AM1993" s="1112"/>
      <c r="AN1993" s="1112"/>
      <c r="AO1993" s="1112"/>
      <c r="AP1993" s="1112"/>
      <c r="AQ1993" s="1112"/>
    </row>
    <row r="1994" ht="22.5" customHeight="1">
      <c r="A1994" s="166"/>
      <c r="B1994" s="1111"/>
      <c r="C1994" s="524"/>
      <c r="D1994" s="1110"/>
      <c r="E1994" s="669"/>
      <c r="F1994" s="524"/>
      <c r="G1994" s="165"/>
      <c r="H1994" s="669"/>
      <c r="I1994" s="669"/>
      <c r="J1994" s="352"/>
      <c r="K1994" s="271" t="str">
        <f t="shared" si="74"/>
        <v/>
      </c>
      <c r="L1994" s="297"/>
      <c r="M1994" s="334"/>
      <c r="N1994" s="277"/>
      <c r="O1994" s="315"/>
      <c r="P1994" s="344">
        <f t="shared" si="69"/>
        <v>0</v>
      </c>
      <c r="Q1994" s="321"/>
      <c r="R1994" s="672" t="b">
        <v>0</v>
      </c>
      <c r="S1994" s="318"/>
      <c r="T1994" s="319"/>
      <c r="U1994" s="315"/>
      <c r="V1994" s="162"/>
      <c r="W1994" s="149"/>
      <c r="X1994" s="163"/>
      <c r="Y1994" s="162"/>
      <c r="Z1994" s="164"/>
      <c r="AA1994" s="116"/>
      <c r="AB1994" s="116"/>
      <c r="AC1994" s="165"/>
      <c r="AD1994" s="675" t="str">
        <f t="shared" si="76"/>
        <v/>
      </c>
      <c r="AE1994" s="166"/>
      <c r="AF1994" s="149" t="b">
        <v>0</v>
      </c>
      <c r="AG1994" s="166"/>
      <c r="AH1994" s="332" t="b">
        <v>0</v>
      </c>
      <c r="AI1994" s="837"/>
      <c r="AJ1994" s="1112"/>
      <c r="AK1994" s="1112"/>
      <c r="AL1994" s="1112"/>
      <c r="AM1994" s="1112"/>
      <c r="AN1994" s="1112"/>
      <c r="AO1994" s="1112"/>
      <c r="AP1994" s="1112"/>
      <c r="AQ1994" s="1112"/>
    </row>
    <row r="1995" ht="22.5" customHeight="1">
      <c r="A1995" s="166"/>
      <c r="B1995" s="1111"/>
      <c r="C1995" s="524"/>
      <c r="D1995" s="1110"/>
      <c r="E1995" s="669"/>
      <c r="F1995" s="524"/>
      <c r="G1995" s="165"/>
      <c r="H1995" s="669"/>
      <c r="I1995" s="669"/>
      <c r="J1995" s="352"/>
      <c r="K1995" s="271" t="str">
        <f t="shared" si="74"/>
        <v/>
      </c>
      <c r="L1995" s="297"/>
      <c r="M1995" s="334"/>
      <c r="N1995" s="277"/>
      <c r="O1995" s="315"/>
      <c r="P1995" s="344">
        <f t="shared" si="69"/>
        <v>0</v>
      </c>
      <c r="Q1995" s="321"/>
      <c r="R1995" s="672" t="b">
        <v>0</v>
      </c>
      <c r="S1995" s="318"/>
      <c r="T1995" s="319"/>
      <c r="U1995" s="315"/>
      <c r="V1995" s="162"/>
      <c r="W1995" s="149"/>
      <c r="X1995" s="163"/>
      <c r="Y1995" s="162"/>
      <c r="Z1995" s="164"/>
      <c r="AA1995" s="116"/>
      <c r="AB1995" s="116"/>
      <c r="AC1995" s="165"/>
      <c r="AD1995" s="675" t="str">
        <f t="shared" si="76"/>
        <v/>
      </c>
      <c r="AE1995" s="166"/>
      <c r="AF1995" s="149" t="b">
        <v>0</v>
      </c>
      <c r="AG1995" s="166"/>
      <c r="AH1995" s="332" t="b">
        <v>0</v>
      </c>
      <c r="AI1995" s="837"/>
      <c r="AJ1995" s="1112"/>
      <c r="AK1995" s="1112"/>
      <c r="AL1995" s="1112"/>
      <c r="AM1995" s="1112"/>
      <c r="AN1995" s="1112"/>
      <c r="AO1995" s="1112"/>
      <c r="AP1995" s="1112"/>
      <c r="AQ1995" s="1112"/>
    </row>
    <row r="1996" ht="22.5" customHeight="1">
      <c r="A1996" s="166"/>
      <c r="B1996" s="1111"/>
      <c r="C1996" s="524"/>
      <c r="D1996" s="1110"/>
      <c r="E1996" s="669"/>
      <c r="F1996" s="524"/>
      <c r="G1996" s="165"/>
      <c r="H1996" s="669"/>
      <c r="I1996" s="669"/>
      <c r="J1996" s="352"/>
      <c r="K1996" s="271" t="str">
        <f t="shared" si="74"/>
        <v/>
      </c>
      <c r="L1996" s="297"/>
      <c r="M1996" s="334"/>
      <c r="N1996" s="277"/>
      <c r="O1996" s="315"/>
      <c r="P1996" s="344">
        <f t="shared" si="69"/>
        <v>0</v>
      </c>
      <c r="Q1996" s="321"/>
      <c r="R1996" s="672" t="b">
        <v>0</v>
      </c>
      <c r="S1996" s="318"/>
      <c r="T1996" s="319"/>
      <c r="U1996" s="315"/>
      <c r="V1996" s="162"/>
      <c r="W1996" s="149"/>
      <c r="X1996" s="163"/>
      <c r="Y1996" s="162"/>
      <c r="Z1996" s="164"/>
      <c r="AA1996" s="116"/>
      <c r="AB1996" s="116"/>
      <c r="AC1996" s="165"/>
      <c r="AD1996" s="675" t="str">
        <f t="shared" si="76"/>
        <v/>
      </c>
      <c r="AE1996" s="166"/>
      <c r="AF1996" s="149" t="b">
        <v>0</v>
      </c>
      <c r="AG1996" s="166"/>
      <c r="AH1996" s="332" t="b">
        <v>0</v>
      </c>
      <c r="AI1996" s="837"/>
      <c r="AJ1996" s="1112"/>
      <c r="AK1996" s="1112"/>
      <c r="AL1996" s="1112"/>
      <c r="AM1996" s="1112"/>
      <c r="AN1996" s="1112"/>
      <c r="AO1996" s="1112"/>
      <c r="AP1996" s="1112"/>
      <c r="AQ1996" s="1112"/>
    </row>
    <row r="1997" ht="22.5" customHeight="1">
      <c r="A1997" s="166"/>
      <c r="B1997" s="1111"/>
      <c r="C1997" s="524"/>
      <c r="D1997" s="1110"/>
      <c r="E1997" s="669"/>
      <c r="F1997" s="524"/>
      <c r="G1997" s="165"/>
      <c r="H1997" s="669"/>
      <c r="I1997" s="669"/>
      <c r="J1997" s="352"/>
      <c r="K1997" s="271" t="str">
        <f t="shared" si="74"/>
        <v/>
      </c>
      <c r="L1997" s="297"/>
      <c r="M1997" s="334"/>
      <c r="N1997" s="277"/>
      <c r="O1997" s="315"/>
      <c r="P1997" s="344">
        <f t="shared" si="69"/>
        <v>0</v>
      </c>
      <c r="Q1997" s="321"/>
      <c r="R1997" s="672" t="b">
        <v>0</v>
      </c>
      <c r="S1997" s="318"/>
      <c r="T1997" s="319"/>
      <c r="U1997" s="315"/>
      <c r="V1997" s="162"/>
      <c r="W1997" s="149"/>
      <c r="X1997" s="163"/>
      <c r="Y1997" s="162"/>
      <c r="Z1997" s="164"/>
      <c r="AA1997" s="116"/>
      <c r="AB1997" s="116"/>
      <c r="AC1997" s="165"/>
      <c r="AD1997" s="675" t="str">
        <f t="shared" si="76"/>
        <v/>
      </c>
      <c r="AE1997" s="166"/>
      <c r="AF1997" s="149" t="b">
        <v>0</v>
      </c>
      <c r="AG1997" s="166"/>
      <c r="AH1997" s="332" t="b">
        <v>0</v>
      </c>
      <c r="AI1997" s="837"/>
      <c r="AJ1997" s="1112"/>
      <c r="AK1997" s="1112"/>
      <c r="AL1997" s="1112"/>
      <c r="AM1997" s="1112"/>
      <c r="AN1997" s="1112"/>
      <c r="AO1997" s="1112"/>
      <c r="AP1997" s="1112"/>
      <c r="AQ1997" s="1112"/>
    </row>
    <row r="1998" ht="22.5" customHeight="1">
      <c r="A1998" s="166"/>
      <c r="B1998" s="1111"/>
      <c r="C1998" s="524"/>
      <c r="D1998" s="1110"/>
      <c r="E1998" s="669"/>
      <c r="F1998" s="524"/>
      <c r="G1998" s="165"/>
      <c r="H1998" s="669"/>
      <c r="I1998" s="669"/>
      <c r="J1998" s="352"/>
      <c r="K1998" s="271" t="str">
        <f t="shared" si="74"/>
        <v/>
      </c>
      <c r="L1998" s="297"/>
      <c r="M1998" s="334"/>
      <c r="N1998" s="277"/>
      <c r="O1998" s="315"/>
      <c r="P1998" s="344">
        <f t="shared" si="69"/>
        <v>0</v>
      </c>
      <c r="Q1998" s="321"/>
      <c r="R1998" s="672" t="b">
        <v>0</v>
      </c>
      <c r="S1998" s="318"/>
      <c r="T1998" s="319"/>
      <c r="U1998" s="315"/>
      <c r="V1998" s="162"/>
      <c r="W1998" s="149"/>
      <c r="X1998" s="163"/>
      <c r="Y1998" s="162"/>
      <c r="Z1998" s="164"/>
      <c r="AA1998" s="116"/>
      <c r="AB1998" s="116"/>
      <c r="AC1998" s="165"/>
      <c r="AD1998" s="675" t="str">
        <f t="shared" si="76"/>
        <v/>
      </c>
      <c r="AE1998" s="166"/>
      <c r="AF1998" s="149" t="b">
        <v>0</v>
      </c>
      <c r="AG1998" s="166"/>
      <c r="AH1998" s="332" t="b">
        <v>0</v>
      </c>
      <c r="AI1998" s="837"/>
      <c r="AJ1998" s="1112"/>
      <c r="AK1998" s="1112"/>
      <c r="AL1998" s="1112"/>
      <c r="AM1998" s="1112"/>
      <c r="AN1998" s="1112"/>
      <c r="AO1998" s="1112"/>
      <c r="AP1998" s="1112"/>
      <c r="AQ1998" s="1112"/>
    </row>
    <row r="1999" ht="22.5" customHeight="1">
      <c r="A1999" s="166"/>
      <c r="B1999" s="1111"/>
      <c r="C1999" s="524"/>
      <c r="D1999" s="1110"/>
      <c r="E1999" s="669"/>
      <c r="F1999" s="524"/>
      <c r="G1999" s="165"/>
      <c r="H1999" s="669"/>
      <c r="I1999" s="669"/>
      <c r="J1999" s="352"/>
      <c r="K1999" s="271" t="str">
        <f t="shared" si="74"/>
        <v/>
      </c>
      <c r="L1999" s="297"/>
      <c r="M1999" s="334"/>
      <c r="N1999" s="277"/>
      <c r="O1999" s="315"/>
      <c r="P1999" s="344">
        <f t="shared" si="69"/>
        <v>0</v>
      </c>
      <c r="Q1999" s="321"/>
      <c r="R1999" s="672" t="b">
        <v>0</v>
      </c>
      <c r="S1999" s="318"/>
      <c r="T1999" s="319"/>
      <c r="U1999" s="315"/>
      <c r="V1999" s="162"/>
      <c r="W1999" s="149"/>
      <c r="X1999" s="163"/>
      <c r="Y1999" s="162"/>
      <c r="Z1999" s="164"/>
      <c r="AA1999" s="116"/>
      <c r="AB1999" s="116"/>
      <c r="AC1999" s="165"/>
      <c r="AD1999" s="675" t="str">
        <f t="shared" si="76"/>
        <v/>
      </c>
      <c r="AE1999" s="166"/>
      <c r="AF1999" s="149" t="b">
        <v>0</v>
      </c>
      <c r="AG1999" s="166"/>
      <c r="AH1999" s="332" t="b">
        <v>0</v>
      </c>
      <c r="AI1999" s="837"/>
      <c r="AJ1999" s="1112"/>
      <c r="AK1999" s="1112"/>
      <c r="AL1999" s="1112"/>
      <c r="AM1999" s="1112"/>
      <c r="AN1999" s="1112"/>
      <c r="AO1999" s="1112"/>
      <c r="AP1999" s="1112"/>
      <c r="AQ1999" s="1112"/>
    </row>
    <row r="2000" ht="22.5" customHeight="1">
      <c r="A2000" s="166"/>
      <c r="B2000" s="1111"/>
      <c r="C2000" s="524"/>
      <c r="D2000" s="1110"/>
      <c r="E2000" s="669"/>
      <c r="F2000" s="524"/>
      <c r="G2000" s="165"/>
      <c r="H2000" s="669"/>
      <c r="I2000" s="669"/>
      <c r="J2000" s="352"/>
      <c r="K2000" s="271" t="str">
        <f t="shared" si="74"/>
        <v/>
      </c>
      <c r="L2000" s="297"/>
      <c r="M2000" s="334"/>
      <c r="N2000" s="277"/>
      <c r="O2000" s="315"/>
      <c r="P2000" s="344">
        <f t="shared" si="69"/>
        <v>0</v>
      </c>
      <c r="Q2000" s="321"/>
      <c r="R2000" s="672" t="b">
        <v>0</v>
      </c>
      <c r="S2000" s="318"/>
      <c r="T2000" s="319"/>
      <c r="U2000" s="315"/>
      <c r="V2000" s="162"/>
      <c r="W2000" s="149"/>
      <c r="X2000" s="163"/>
      <c r="Y2000" s="162"/>
      <c r="Z2000" s="164"/>
      <c r="AA2000" s="116"/>
      <c r="AB2000" s="116"/>
      <c r="AC2000" s="165"/>
      <c r="AD2000" s="675" t="str">
        <f t="shared" si="76"/>
        <v/>
      </c>
      <c r="AE2000" s="166"/>
      <c r="AF2000" s="149" t="b">
        <v>0</v>
      </c>
      <c r="AG2000" s="166"/>
      <c r="AH2000" s="332" t="b">
        <v>0</v>
      </c>
      <c r="AI2000" s="837"/>
      <c r="AJ2000" s="1112"/>
      <c r="AK2000" s="1112"/>
      <c r="AL2000" s="1112"/>
      <c r="AM2000" s="1112"/>
      <c r="AN2000" s="1112"/>
      <c r="AO2000" s="1112"/>
      <c r="AP2000" s="1112"/>
      <c r="AQ2000" s="1112"/>
    </row>
    <row r="2001" ht="22.5" customHeight="1">
      <c r="A2001" s="166"/>
      <c r="B2001" s="1111"/>
      <c r="C2001" s="524"/>
      <c r="D2001" s="1110"/>
      <c r="E2001" s="669"/>
      <c r="F2001" s="524"/>
      <c r="G2001" s="165"/>
      <c r="H2001" s="669"/>
      <c r="I2001" s="669"/>
      <c r="J2001" s="352"/>
      <c r="K2001" s="271" t="str">
        <f t="shared" si="74"/>
        <v/>
      </c>
      <c r="L2001" s="297"/>
      <c r="M2001" s="334"/>
      <c r="N2001" s="277"/>
      <c r="O2001" s="315"/>
      <c r="P2001" s="344">
        <f t="shared" si="69"/>
        <v>0</v>
      </c>
      <c r="Q2001" s="321"/>
      <c r="R2001" s="672" t="b">
        <v>0</v>
      </c>
      <c r="S2001" s="318"/>
      <c r="T2001" s="319"/>
      <c r="U2001" s="315"/>
      <c r="V2001" s="162"/>
      <c r="W2001" s="149"/>
      <c r="X2001" s="163"/>
      <c r="Y2001" s="162"/>
      <c r="Z2001" s="164"/>
      <c r="AA2001" s="116"/>
      <c r="AB2001" s="116"/>
      <c r="AC2001" s="165"/>
      <c r="AD2001" s="675" t="str">
        <f t="shared" si="76"/>
        <v/>
      </c>
      <c r="AE2001" s="166"/>
      <c r="AF2001" s="149" t="b">
        <v>0</v>
      </c>
      <c r="AG2001" s="166"/>
      <c r="AH2001" s="332" t="b">
        <v>0</v>
      </c>
      <c r="AI2001" s="837"/>
      <c r="AJ2001" s="1112"/>
      <c r="AK2001" s="1112"/>
      <c r="AL2001" s="1112"/>
      <c r="AM2001" s="1112"/>
      <c r="AN2001" s="1112"/>
      <c r="AO2001" s="1112"/>
      <c r="AP2001" s="1112"/>
      <c r="AQ2001" s="1112"/>
    </row>
    <row r="2002" ht="22.5" customHeight="1">
      <c r="A2002" s="166"/>
      <c r="B2002" s="1111"/>
      <c r="C2002" s="524"/>
      <c r="D2002" s="1110"/>
      <c r="E2002" s="669"/>
      <c r="F2002" s="524"/>
      <c r="G2002" s="165"/>
      <c r="H2002" s="669"/>
      <c r="I2002" s="669"/>
      <c r="J2002" s="352"/>
      <c r="K2002" s="271" t="str">
        <f t="shared" si="74"/>
        <v/>
      </c>
      <c r="L2002" s="297"/>
      <c r="M2002" s="334"/>
      <c r="N2002" s="277"/>
      <c r="O2002" s="315"/>
      <c r="P2002" s="344">
        <f t="shared" si="69"/>
        <v>0</v>
      </c>
      <c r="Q2002" s="321"/>
      <c r="R2002" s="672" t="b">
        <v>0</v>
      </c>
      <c r="S2002" s="318"/>
      <c r="T2002" s="319"/>
      <c r="U2002" s="315"/>
      <c r="V2002" s="162"/>
      <c r="W2002" s="149"/>
      <c r="X2002" s="163"/>
      <c r="Y2002" s="162"/>
      <c r="Z2002" s="164"/>
      <c r="AA2002" s="116"/>
      <c r="AB2002" s="116"/>
      <c r="AC2002" s="165"/>
      <c r="AD2002" s="675" t="str">
        <f t="shared" si="76"/>
        <v/>
      </c>
      <c r="AE2002" s="166"/>
      <c r="AF2002" s="149" t="b">
        <v>0</v>
      </c>
      <c r="AG2002" s="166"/>
      <c r="AH2002" s="332" t="b">
        <v>0</v>
      </c>
      <c r="AI2002" s="837"/>
      <c r="AJ2002" s="1112"/>
      <c r="AK2002" s="1112"/>
      <c r="AL2002" s="1112"/>
      <c r="AM2002" s="1112"/>
      <c r="AN2002" s="1112"/>
      <c r="AO2002" s="1112"/>
      <c r="AP2002" s="1112"/>
      <c r="AQ2002" s="1112"/>
    </row>
    <row r="2003" ht="22.5" customHeight="1">
      <c r="A2003" s="166"/>
      <c r="B2003" s="1111"/>
      <c r="C2003" s="524"/>
      <c r="D2003" s="1110"/>
      <c r="E2003" s="669"/>
      <c r="F2003" s="524"/>
      <c r="G2003" s="165"/>
      <c r="H2003" s="669"/>
      <c r="I2003" s="669"/>
      <c r="J2003" s="352"/>
      <c r="K2003" s="271" t="str">
        <f t="shared" si="74"/>
        <v/>
      </c>
      <c r="L2003" s="297"/>
      <c r="M2003" s="334"/>
      <c r="N2003" s="277"/>
      <c r="O2003" s="315"/>
      <c r="P2003" s="344">
        <f t="shared" si="69"/>
        <v>0</v>
      </c>
      <c r="Q2003" s="321"/>
      <c r="R2003" s="672" t="b">
        <v>0</v>
      </c>
      <c r="S2003" s="318"/>
      <c r="T2003" s="319"/>
      <c r="U2003" s="315"/>
      <c r="V2003" s="162"/>
      <c r="W2003" s="149"/>
      <c r="X2003" s="163"/>
      <c r="Y2003" s="162"/>
      <c r="Z2003" s="164"/>
      <c r="AA2003" s="116"/>
      <c r="AB2003" s="116"/>
      <c r="AC2003" s="165"/>
      <c r="AD2003" s="675" t="str">
        <f t="shared" si="76"/>
        <v/>
      </c>
      <c r="AE2003" s="166"/>
      <c r="AF2003" s="149" t="b">
        <v>0</v>
      </c>
      <c r="AG2003" s="166"/>
      <c r="AH2003" s="332" t="b">
        <v>0</v>
      </c>
      <c r="AI2003" s="837"/>
      <c r="AJ2003" s="1112"/>
      <c r="AK2003" s="1112"/>
      <c r="AL2003" s="1112"/>
      <c r="AM2003" s="1112"/>
      <c r="AN2003" s="1112"/>
      <c r="AO2003" s="1112"/>
      <c r="AP2003" s="1112"/>
      <c r="AQ2003" s="1112"/>
    </row>
    <row r="2004" ht="22.5" customHeight="1">
      <c r="A2004" s="166"/>
      <c r="B2004" s="1111"/>
      <c r="C2004" s="524"/>
      <c r="D2004" s="1110"/>
      <c r="E2004" s="669"/>
      <c r="F2004" s="524"/>
      <c r="G2004" s="165"/>
      <c r="H2004" s="669"/>
      <c r="I2004" s="669"/>
      <c r="J2004" s="352"/>
      <c r="K2004" s="271" t="str">
        <f t="shared" si="74"/>
        <v/>
      </c>
      <c r="L2004" s="297"/>
      <c r="M2004" s="334"/>
      <c r="N2004" s="277"/>
      <c r="O2004" s="315"/>
      <c r="P2004" s="344">
        <f t="shared" si="69"/>
        <v>0</v>
      </c>
      <c r="Q2004" s="321"/>
      <c r="R2004" s="672" t="b">
        <v>0</v>
      </c>
      <c r="S2004" s="318"/>
      <c r="T2004" s="319"/>
      <c r="U2004" s="315"/>
      <c r="V2004" s="162"/>
      <c r="W2004" s="149"/>
      <c r="X2004" s="163"/>
      <c r="Y2004" s="162"/>
      <c r="Z2004" s="164"/>
      <c r="AA2004" s="116"/>
      <c r="AB2004" s="116"/>
      <c r="AC2004" s="165"/>
      <c r="AD2004" s="675" t="str">
        <f t="shared" si="76"/>
        <v/>
      </c>
      <c r="AE2004" s="166"/>
      <c r="AF2004" s="149" t="b">
        <v>0</v>
      </c>
      <c r="AG2004" s="166"/>
      <c r="AH2004" s="332" t="b">
        <v>0</v>
      </c>
      <c r="AI2004" s="837"/>
      <c r="AJ2004" s="1112"/>
      <c r="AK2004" s="1112"/>
      <c r="AL2004" s="1112"/>
      <c r="AM2004" s="1112"/>
      <c r="AN2004" s="1112"/>
      <c r="AO2004" s="1112"/>
      <c r="AP2004" s="1112"/>
      <c r="AQ2004" s="1112"/>
    </row>
    <row r="2005" ht="22.5" customHeight="1">
      <c r="A2005" s="166"/>
      <c r="B2005" s="1111"/>
      <c r="C2005" s="524"/>
      <c r="D2005" s="1110"/>
      <c r="E2005" s="669"/>
      <c r="F2005" s="524"/>
      <c r="G2005" s="165"/>
      <c r="H2005" s="669"/>
      <c r="I2005" s="669"/>
      <c r="J2005" s="352"/>
      <c r="K2005" s="271" t="str">
        <f t="shared" si="74"/>
        <v/>
      </c>
      <c r="L2005" s="297"/>
      <c r="M2005" s="334"/>
      <c r="N2005" s="277"/>
      <c r="O2005" s="315"/>
      <c r="P2005" s="344">
        <f t="shared" si="69"/>
        <v>0</v>
      </c>
      <c r="Q2005" s="321"/>
      <c r="R2005" s="672" t="b">
        <v>0</v>
      </c>
      <c r="S2005" s="318"/>
      <c r="T2005" s="319"/>
      <c r="U2005" s="315"/>
      <c r="V2005" s="162"/>
      <c r="W2005" s="149"/>
      <c r="X2005" s="163"/>
      <c r="Y2005" s="162"/>
      <c r="Z2005" s="164"/>
      <c r="AA2005" s="116"/>
      <c r="AB2005" s="116"/>
      <c r="AC2005" s="165"/>
      <c r="AD2005" s="675" t="str">
        <f t="shared" si="76"/>
        <v/>
      </c>
      <c r="AE2005" s="166"/>
      <c r="AF2005" s="149" t="b">
        <v>0</v>
      </c>
      <c r="AG2005" s="166"/>
      <c r="AH2005" s="332" t="b">
        <v>0</v>
      </c>
      <c r="AI2005" s="837"/>
      <c r="AJ2005" s="1112"/>
      <c r="AK2005" s="1112"/>
      <c r="AL2005" s="1112"/>
      <c r="AM2005" s="1112"/>
      <c r="AN2005" s="1112"/>
      <c r="AO2005" s="1112"/>
      <c r="AP2005" s="1112"/>
      <c r="AQ2005" s="1112"/>
    </row>
  </sheetData>
  <customSheetViews>
    <customSheetView guid="{BE467C93-92BF-475E-85BD-41DA8974C596}" filter="1" showAutoFilter="1">
      <autoFilter ref="$A$1:$AI$2005">
        <filterColumn colId="29">
          <filters>
            <filter val="Junio"/>
            <filter val="ABRIL"/>
            <filter val="MARZO"/>
            <filter val="MAYO"/>
            <filter val="abril"/>
            <filter val="JUNIO"/>
            <filter val="JULIO"/>
            <filter val="marzo"/>
          </filters>
        </filterColumn>
      </autoFilter>
    </customSheetView>
    <customSheetView guid="{854B2DEA-6380-4657-93F1-3E19C4DF1C62}" filter="1" showAutoFilter="1">
      <autoFilter ref="$A$1:$AI$2005">
        <filterColumn colId="0">
          <filters>
            <filter val="KARINA"/>
          </filters>
        </filterColumn>
      </autoFilter>
    </customSheetView>
    <customSheetView guid="{5AB31279-1AE1-4F76-9CC1-5CC583D7FEDB}" filter="1" showAutoFilter="1">
      <autoFilter ref="$A$1:$AI$2005"/>
    </customSheetView>
    <customSheetView guid="{8F6A4DA7-4979-4DD3-AAD7-1F50694EF30F}" filter="1" showAutoFilter="1">
      <autoFilter ref="$A$1:$AI$2005">
        <filterColumn colId="4">
          <filters>
            <filter val="CANCELADA"/>
            <filter val="COMPRADA"/>
            <filter val="FALTA COMPRAR"/>
            <filter val="ALMACÉN"/>
          </filters>
        </filterColumn>
      </autoFilter>
    </customSheetView>
    <customSheetView guid="{518A44D3-54D9-4229-9E30-81F63B396A01}" filter="1" showAutoFilter="1">
      <autoFilter ref="$A$1:$AI$2005">
        <filterColumn colId="1">
          <filters>
            <filter val="21/04/2026"/>
            <filter val="06/04/2026"/>
            <filter val="19/05/2026"/>
            <filter val="24/06/2026"/>
            <filter val="15/06/2026"/>
            <filter val="16/03/2026"/>
            <filter val="11/05/2026"/>
            <filter val="30/04/2026"/>
            <filter val="25/05/2026"/>
            <filter val="19/03/2026"/>
            <filter val="16/01/2026"/>
            <filter val="31/03/2026"/>
            <filter val="09/06/2026"/>
            <filter val="07/03/2026"/>
            <filter val="20/05/2026"/>
            <filter val="31/05/2026"/>
            <filter val="17/02/2026"/>
            <filter val="28/03/2026"/>
            <filter val="13/03/2026"/>
            <filter val="24/04/2026"/>
            <filter val="06/02/2026"/>
            <filter val="22/03/2026"/>
            <filter val="05/05/2026"/>
            <filter val="23/02/2026"/>
            <filter val="04/03/2026"/>
            <filter val="23/05/2026"/>
            <filter val="12/04/2026"/>
            <filter val="15/04/2026"/>
            <filter val="01/06/2026"/>
            <filter val="09/02/2026"/>
            <filter val="26/02/2026"/>
            <filter val="14/02/2026"/>
            <filter val="30/06/2026"/>
            <filter val="14/05/2026"/>
            <filter val="25/03/2026"/>
            <filter val="13/06/2026"/>
            <filter val="02/05/2026"/>
            <filter val="14/03/2026"/>
            <filter val="10/02/2026"/>
            <filter val="08/05/2026"/>
            <filter val="14/04/2026"/>
            <filter val="05/03/2026"/>
            <filter val="11/02/2026"/>
            <filter val="27/05/2026"/>
            <filter val="20/02/2026"/>
            <filter val="23/04/2026"/>
            <filter val="12/06/2026"/>
            <filter val="11/03/2026"/>
            <filter val="27/06/2026"/>
            <filter val="19/02/2026"/>
            <filter val="04/02/2026"/>
            <filter val="12/05/2026"/>
            <filter val="20/03/2026"/>
            <filter val="02/03/2026"/>
            <filter val="18/06/2026"/>
            <filter val="03/06/2026"/>
            <filter val="29/04/2026"/>
            <filter val="06/06/2026"/>
            <filter val="17/04/2026"/>
            <filter val="21/05/2026"/>
            <filter val="23/03/2026"/>
            <filter val="28/02/2026"/>
            <filter val="11/06/2026"/>
            <filter val="12/03/2026"/>
            <filter val="16/02/2026"/>
            <filter val="30/05/2026"/>
            <filter val="25/04/2026"/>
            <filter val="01/07/2026"/>
            <filter val="21/03/2026"/>
            <filter val="06/05/2026"/>
            <filter val="20/06/2026"/>
            <filter val="07/02/2026"/>
            <filter val="03/03/2026"/>
            <filter val="19/06/2026"/>
            <filter val="25/02/2026"/>
            <filter val="02/06/2026"/>
            <filter val="05/06/2026"/>
            <filter val="16/04/2026"/>
            <filter val="11/04/2026"/>
            <filter val="13/02/2026"/>
            <filter val="29/05/2026"/>
            <filter val="15/05/2026"/>
            <filter val="26/03/2026"/>
            <filter val="07/04/2026"/>
            <filter val="18/05/2026"/>
            <filter val="20/04/2026"/>
            <filter val="25/06/2026"/>
            <filter val="16/06/2026"/>
            <filter val="28/04/2026"/>
            <filter val="17/03/2026"/>
            <filter val="15/01/2026"/>
            <filter val="09/05/2026"/>
            <filter val="26/05/2026"/>
            <filter val="30/03/2026"/>
            <filter val="08/06/2026"/>
            <filter val="10/03/2026"/>
            <filter val="27/03/2026"/>
            <filter val="04/05/2026"/>
            <filter val="18/02/2026"/>
            <filter val="05/02/2026"/>
            <filter val="18/03/2026"/>
            <filter val="17/06/2026"/>
            <filter val="27/04/2026"/>
            <filter val="27/02/2026"/>
            <filter val="22/05/2026"/>
            <filter val="09/03/2026"/>
            <filter val="24/03/2026"/>
            <filter val="04/04/2026"/>
            <filter val="18/04/2026"/>
            <filter val="26/06/2026"/>
            <filter val="09/04/2026"/>
            <filter val="23/06/2026"/>
            <filter val="01/04/2025"/>
            <filter val="01/04/2026"/>
            <filter val="13/04/2026"/>
            <filter val="07/05/2026"/>
            <filter val="26/07/2025"/>
            <filter val="21/02/2026"/>
            <filter val="06/03/2026"/>
            <filter val="12/02/2026"/>
            <filter val="10/04/2026"/>
            <filter val="28/05/2026"/>
            <filter val="16/05/2026"/>
            <filter val="22/04/2026"/>
          </filters>
        </filterColumn>
      </autoFilter>
    </customSheetView>
    <customSheetView guid="{0739AA20-A94A-4651-A8E7-DDE29673B58F}" filter="1" showAutoFilter="1">
      <autoFilter ref="$A$1:$AI$2005"/>
    </customSheetView>
  </customSheetViews>
  <dataValidations>
    <dataValidation type="list" allowBlank="1" sqref="AE2:AE2005 AG2:AG2005">
      <formula1>"JULIO,AGOSTO,SETIEMBRE,OCTUBRE,NOVIEMBRE,DICIEMBRE,ENERO,FEBRERO,MARZO,ABRIL,MAYO,JUNIO"</formula1>
    </dataValidation>
    <dataValidation type="list" allowBlank="1" sqref="E2:E2005">
      <formula1>"STOCK,COMPRADA,SOLICITADA ,tránsito,FALTA COMPRAR,ENTREGADA AL CLIENTE,ADUANAS,CANCELADA,ALMACÉN,AGOTADA"</formula1>
    </dataValidation>
    <dataValidation type="list" allowBlank="1" sqref="A2:A2005">
      <formula1>"MARYORY,JOSELYN,KARINA,SOFIA,KATIUSKA,CHELSEA"</formula1>
    </dataValidation>
    <dataValidation type="list" allowBlank="1" sqref="AA2:AA2005">
      <formula1>"Nosotros,Cliente"</formula1>
    </dataValidation>
    <dataValidation type="list" allowBlank="1" sqref="AI2:AI2005">
      <formula1>"FIRMADO ,SIN FIRMAR"</formula1>
    </dataValidation>
    <dataValidation type="list" allowBlank="1" sqref="I2:I2005">
      <formula1>"100%,30%,50%,OTRO,20%"</formula1>
    </dataValidation>
    <dataValidation type="list" allowBlank="1" sqref="W2:W104 W106:W723 W725:W728">
      <formula1>"NO,SI"</formula1>
    </dataValidation>
    <dataValidation type="custom" allowBlank="1" showDropDown="1" sqref="B2:B2005">
      <formula1>OR(NOT(ISERROR(DATEVALUE(B2))), AND(ISNUMBER(B2), LEFT(CELL("format", B2))="D"))</formula1>
    </dataValidation>
    <dataValidation type="list" allowBlank="1" sqref="H2:H2005">
      <formula1>"Laptop,Otro"</formula1>
    </dataValidation>
    <dataValidation type="list" allowBlank="1" sqref="AB2:AB2005">
      <formula1>"Provincia,Lima"</formula1>
    </dataValidation>
    <dataValidation type="custom" allowBlank="1" showDropDown="1" sqref="J2:J2005 L2:P2005 T2:U2005">
      <formula1>AND(ISNUMBER(J2),(NOT(OR(NOT(ISERROR(DATEVALUE(J2))), AND(ISNUMBER(J2), LEFT(CELL("format", J2))="D")))))</formula1>
    </dataValidation>
    <dataValidation type="list" allowBlank="1" sqref="V2:V2005 Y2:Y2005">
      <formula1>"NO,SI"</formula1>
    </dataValidation>
  </dataValidations>
  <hyperlinks>
    <hyperlink r:id="rId4" ref="J2"/>
    <hyperlink r:id="rId5" ref="J5"/>
    <hyperlink r:id="rId6" ref="J8"/>
    <hyperlink r:id="rId7" ref="C11"/>
    <hyperlink r:id="rId8" ref="J13"/>
    <hyperlink r:id="rId9" ref="J15"/>
    <hyperlink r:id="rId10" ref="C17"/>
    <hyperlink r:id="rId11" ref="C18"/>
    <hyperlink r:id="rId12" ref="C19"/>
    <hyperlink r:id="rId13" ref="J20"/>
    <hyperlink r:id="rId14" ref="J24"/>
    <hyperlink r:id="rId15" ref="J26"/>
    <hyperlink r:id="rId16" ref="L26"/>
    <hyperlink r:id="rId17" ref="C30"/>
    <hyperlink r:id="rId18" ref="C32"/>
    <hyperlink r:id="rId19" ref="F34"/>
    <hyperlink r:id="rId20" ref="AC34"/>
    <hyperlink r:id="rId21" ref="AC35"/>
    <hyperlink r:id="rId22" ref="F36"/>
    <hyperlink r:id="rId23" ref="J38"/>
    <hyperlink r:id="rId24" ref="L38"/>
    <hyperlink r:id="rId25" ref="AC38"/>
    <hyperlink r:id="rId26" ref="F39"/>
    <hyperlink r:id="rId27" ref="J39"/>
    <hyperlink r:id="rId28" ref="J40"/>
    <hyperlink r:id="rId29" ref="L40"/>
    <hyperlink r:id="rId30" ref="C42"/>
    <hyperlink r:id="rId31" ref="F42"/>
    <hyperlink r:id="rId32" ref="F43"/>
    <hyperlink r:id="rId33" ref="AC43"/>
    <hyperlink r:id="rId34" ref="F44"/>
    <hyperlink r:id="rId35" ref="F45"/>
    <hyperlink r:id="rId36" ref="J45"/>
    <hyperlink r:id="rId37" ref="L45"/>
    <hyperlink r:id="rId38" ref="F46"/>
    <hyperlink r:id="rId39" ref="F47"/>
    <hyperlink r:id="rId40" ref="L48"/>
    <hyperlink r:id="rId41" ref="F50"/>
    <hyperlink r:id="rId42" ref="F51"/>
    <hyperlink r:id="rId43" ref="F52"/>
    <hyperlink r:id="rId44" ref="F53"/>
    <hyperlink r:id="rId45" ref="F56"/>
    <hyperlink r:id="rId46" ref="J56"/>
    <hyperlink r:id="rId47" ref="L56"/>
    <hyperlink r:id="rId48" ref="AC56"/>
    <hyperlink r:id="rId49" ref="F57"/>
    <hyperlink r:id="rId50" ref="AC59"/>
    <hyperlink r:id="rId51" ref="F60"/>
    <hyperlink r:id="rId52" ref="J60"/>
    <hyperlink r:id="rId53" ref="L60"/>
    <hyperlink r:id="rId54" ref="C65"/>
    <hyperlink r:id="rId55" ref="L65"/>
    <hyperlink r:id="rId56" ref="J67"/>
    <hyperlink r:id="rId57" ref="L67"/>
    <hyperlink r:id="rId58" ref="J71"/>
    <hyperlink r:id="rId59" ref="L71"/>
    <hyperlink r:id="rId60" ref="AC71"/>
    <hyperlink r:id="rId61" ref="C72"/>
    <hyperlink r:id="rId62" ref="F74"/>
    <hyperlink r:id="rId63" ref="J75"/>
    <hyperlink r:id="rId64" ref="L75"/>
    <hyperlink r:id="rId65" ref="AC76"/>
    <hyperlink r:id="rId66" ref="C77"/>
    <hyperlink r:id="rId67" ref="AC77"/>
    <hyperlink r:id="rId68" ref="C78"/>
    <hyperlink r:id="rId69" ref="J78"/>
    <hyperlink r:id="rId70" ref="J79"/>
    <hyperlink r:id="rId71" ref="L79"/>
    <hyperlink r:id="rId72" ref="AC79"/>
    <hyperlink r:id="rId73" ref="J81"/>
    <hyperlink r:id="rId74" ref="L81"/>
    <hyperlink r:id="rId75" ref="J84"/>
    <hyperlink r:id="rId76" ref="L85"/>
    <hyperlink r:id="rId77" ref="F87"/>
    <hyperlink r:id="rId78" ref="AC88"/>
    <hyperlink r:id="rId79" ref="J89"/>
    <hyperlink r:id="rId80" ref="L89"/>
    <hyperlink r:id="rId81" ref="AC89"/>
    <hyperlink r:id="rId82" ref="J90"/>
    <hyperlink r:id="rId83" ref="J91"/>
    <hyperlink r:id="rId84" ref="J92"/>
    <hyperlink r:id="rId85" ref="F93"/>
    <hyperlink r:id="rId86" ref="AC93"/>
    <hyperlink r:id="rId87" ref="AC94"/>
    <hyperlink r:id="rId88" ref="F96"/>
    <hyperlink r:id="rId89" ref="F101"/>
    <hyperlink r:id="rId90" ref="J101"/>
    <hyperlink r:id="rId91" ref="L101"/>
    <hyperlink r:id="rId92" ref="L104"/>
    <hyperlink r:id="rId93" ref="F105"/>
    <hyperlink r:id="rId94" ref="F106"/>
    <hyperlink r:id="rId95" ref="AC106"/>
    <hyperlink r:id="rId96" ref="F107"/>
    <hyperlink r:id="rId97" ref="F108"/>
    <hyperlink r:id="rId98" ref="F109"/>
    <hyperlink r:id="rId99" ref="L109"/>
    <hyperlink r:id="rId100" ref="F110"/>
    <hyperlink r:id="rId101" ref="F111"/>
    <hyperlink r:id="rId102" ref="F112"/>
    <hyperlink r:id="rId103" ref="F113"/>
    <hyperlink r:id="rId104" ref="F114"/>
    <hyperlink r:id="rId105" ref="F117"/>
    <hyperlink r:id="rId106" ref="C120"/>
    <hyperlink r:id="rId107" ref="F120"/>
    <hyperlink r:id="rId108" ref="F121"/>
    <hyperlink r:id="rId109" ref="F122"/>
    <hyperlink r:id="rId110" ref="F123"/>
    <hyperlink r:id="rId111" ref="F124"/>
    <hyperlink r:id="rId112" ref="F125"/>
    <hyperlink r:id="rId113" ref="J125"/>
    <hyperlink r:id="rId114" ref="L125"/>
    <hyperlink r:id="rId115" ref="F126"/>
    <hyperlink r:id="rId116" ref="J126"/>
    <hyperlink r:id="rId117" ref="F128"/>
    <hyperlink r:id="rId118" ref="L128"/>
    <hyperlink r:id="rId119" ref="L129"/>
    <hyperlink r:id="rId120" ref="C130"/>
    <hyperlink r:id="rId121" ref="F130"/>
    <hyperlink r:id="rId122" ref="F133"/>
    <hyperlink r:id="rId123" ref="F134"/>
    <hyperlink r:id="rId124" ref="J134"/>
    <hyperlink r:id="rId125" ref="F135"/>
    <hyperlink r:id="rId126" ref="F136"/>
    <hyperlink r:id="rId127" ref="F137"/>
    <hyperlink r:id="rId128" ref="L137"/>
    <hyperlink r:id="rId129" ref="F138"/>
    <hyperlink r:id="rId130" ref="F140"/>
    <hyperlink r:id="rId131" ref="F141"/>
    <hyperlink r:id="rId132" ref="F142"/>
    <hyperlink r:id="rId133" ref="C143"/>
    <hyperlink r:id="rId134" ref="F143"/>
    <hyperlink r:id="rId135" ref="F146"/>
    <hyperlink r:id="rId136" ref="J147"/>
    <hyperlink r:id="rId137" ref="F148"/>
    <hyperlink r:id="rId138" ref="C150"/>
    <hyperlink r:id="rId139" ref="F150"/>
    <hyperlink r:id="rId140" ref="F151"/>
    <hyperlink r:id="rId141" ref="J154"/>
    <hyperlink r:id="rId142" ref="C157"/>
    <hyperlink r:id="rId143" ref="F157"/>
    <hyperlink r:id="rId144" ref="J157"/>
    <hyperlink r:id="rId145" ref="F158"/>
    <hyperlink r:id="rId146" ref="L158"/>
    <hyperlink r:id="rId147" ref="C159"/>
    <hyperlink r:id="rId148" ref="F162"/>
    <hyperlink r:id="rId149" ref="C164"/>
    <hyperlink r:id="rId150" ref="F164"/>
    <hyperlink r:id="rId151" ref="F165"/>
    <hyperlink r:id="rId152" ref="F166"/>
    <hyperlink r:id="rId153" ref="F167"/>
    <hyperlink r:id="rId154" ref="F168"/>
    <hyperlink r:id="rId155" ref="F169"/>
    <hyperlink r:id="rId156" ref="C170"/>
    <hyperlink r:id="rId157" ref="F170"/>
    <hyperlink r:id="rId158" ref="F171"/>
    <hyperlink r:id="rId159" ref="F172"/>
    <hyperlink r:id="rId160" ref="J172"/>
    <hyperlink r:id="rId161" ref="F174"/>
    <hyperlink r:id="rId162" ref="F175"/>
    <hyperlink r:id="rId163" ref="F176"/>
    <hyperlink r:id="rId164" ref="F177"/>
    <hyperlink r:id="rId165" ref="F178"/>
    <hyperlink r:id="rId166" ref="F180"/>
    <hyperlink r:id="rId167" ref="F181"/>
    <hyperlink r:id="rId168" ref="C185"/>
    <hyperlink r:id="rId169" ref="F185"/>
    <hyperlink r:id="rId170" ref="F186"/>
    <hyperlink r:id="rId171" ref="F187"/>
    <hyperlink r:id="rId172" ref="F190"/>
    <hyperlink r:id="rId173" ref="F191"/>
    <hyperlink r:id="rId174" ref="F192"/>
    <hyperlink r:id="rId175" ref="F196"/>
    <hyperlink r:id="rId176" ref="F197"/>
    <hyperlink r:id="rId177" ref="F198"/>
    <hyperlink r:id="rId178" ref="F199"/>
    <hyperlink r:id="rId179" ref="F201"/>
    <hyperlink r:id="rId180" ref="F202"/>
    <hyperlink r:id="rId181" ref="F203"/>
    <hyperlink r:id="rId182" ref="F204"/>
    <hyperlink r:id="rId183" ref="F205"/>
    <hyperlink r:id="rId184" ref="F210"/>
    <hyperlink r:id="rId185" ref="F211"/>
    <hyperlink r:id="rId186" ref="F212"/>
    <hyperlink r:id="rId187" ref="F213"/>
    <hyperlink r:id="rId188" ref="F214"/>
    <hyperlink r:id="rId189" ref="F215"/>
    <hyperlink r:id="rId190" ref="F216"/>
    <hyperlink r:id="rId191" ref="F217"/>
    <hyperlink r:id="rId192" ref="F218"/>
    <hyperlink r:id="rId193" ref="F219"/>
    <hyperlink r:id="rId194" ref="F220"/>
    <hyperlink r:id="rId195" ref="F221"/>
    <hyperlink r:id="rId196" ref="F223"/>
    <hyperlink r:id="rId197" ref="F224"/>
    <hyperlink r:id="rId198" ref="F225"/>
    <hyperlink r:id="rId199" ref="F226"/>
    <hyperlink r:id="rId200" ref="F227"/>
    <hyperlink r:id="rId201" ref="F228"/>
    <hyperlink r:id="rId202" ref="F229"/>
    <hyperlink r:id="rId203" ref="W229"/>
    <hyperlink r:id="rId204" ref="F230"/>
    <hyperlink r:id="rId205" ref="F232"/>
    <hyperlink r:id="rId206" ref="F233"/>
    <hyperlink r:id="rId207" ref="F235"/>
    <hyperlink r:id="rId208" ref="F236"/>
    <hyperlink r:id="rId209" ref="F237"/>
    <hyperlink r:id="rId210" ref="F238"/>
    <hyperlink r:id="rId211" ref="F239"/>
    <hyperlink r:id="rId212" ref="C241"/>
    <hyperlink r:id="rId213" ref="F241"/>
    <hyperlink r:id="rId214" ref="F244"/>
    <hyperlink r:id="rId215" ref="C245"/>
    <hyperlink r:id="rId216" ref="F245"/>
    <hyperlink r:id="rId217" ref="F246"/>
    <hyperlink r:id="rId218" ref="F247"/>
    <hyperlink r:id="rId219" ref="F248"/>
    <hyperlink r:id="rId220" ref="F249"/>
    <hyperlink r:id="rId221" ref="F251"/>
    <hyperlink r:id="rId222" ref="F252"/>
    <hyperlink r:id="rId223" ref="F253"/>
    <hyperlink r:id="rId224" ref="F254"/>
    <hyperlink r:id="rId225" ref="F255"/>
    <hyperlink r:id="rId226" ref="F256"/>
    <hyperlink r:id="rId227" ref="F257"/>
    <hyperlink r:id="rId228" ref="W257"/>
    <hyperlink r:id="rId229" ref="F258"/>
    <hyperlink r:id="rId230" ref="F259"/>
    <hyperlink r:id="rId231" ref="F260"/>
    <hyperlink r:id="rId232" ref="F262"/>
    <hyperlink r:id="rId233" ref="F263"/>
    <hyperlink r:id="rId234" ref="F264"/>
    <hyperlink r:id="rId235" ref="F265"/>
    <hyperlink r:id="rId236" ref="F266"/>
    <hyperlink r:id="rId237" ref="F268"/>
    <hyperlink r:id="rId238" ref="W268"/>
    <hyperlink r:id="rId239" ref="F269"/>
    <hyperlink r:id="rId240" ref="F270"/>
    <hyperlink r:id="rId241" ref="F272"/>
    <hyperlink r:id="rId242" ref="F273"/>
    <hyperlink r:id="rId243" ref="F274"/>
    <hyperlink r:id="rId244" ref="F275"/>
    <hyperlink r:id="rId245" ref="F276"/>
    <hyperlink r:id="rId246" ref="F277"/>
    <hyperlink r:id="rId247" ref="F279"/>
    <hyperlink r:id="rId248" ref="F280"/>
    <hyperlink r:id="rId249" ref="F281"/>
    <hyperlink r:id="rId250" ref="F283"/>
    <hyperlink r:id="rId251" ref="F284"/>
    <hyperlink r:id="rId252" ref="F285"/>
    <hyperlink r:id="rId253" ref="F286"/>
    <hyperlink r:id="rId254" ref="F287"/>
    <hyperlink r:id="rId255" ref="F289"/>
    <hyperlink r:id="rId256" ref="F291"/>
    <hyperlink r:id="rId257" ref="F292"/>
    <hyperlink r:id="rId258" ref="F293"/>
    <hyperlink r:id="rId259" ref="F295"/>
    <hyperlink r:id="rId260" ref="F296"/>
    <hyperlink r:id="rId261" ref="F297"/>
    <hyperlink r:id="rId262" ref="F298"/>
    <hyperlink r:id="rId263" ref="F299"/>
    <hyperlink r:id="rId264" ref="F300"/>
    <hyperlink r:id="rId265" ref="F303"/>
    <hyperlink r:id="rId266" ref="F305"/>
    <hyperlink r:id="rId267" ref="F306"/>
    <hyperlink r:id="rId268" ref="F307"/>
    <hyperlink r:id="rId269" ref="F308"/>
    <hyperlink r:id="rId270" ref="F309"/>
    <hyperlink r:id="rId271" ref="F310"/>
    <hyperlink r:id="rId272" ref="F311"/>
    <hyperlink r:id="rId273" ref="F315"/>
    <hyperlink r:id="rId274" ref="C316"/>
    <hyperlink r:id="rId275" ref="F316"/>
    <hyperlink r:id="rId276" ref="F318"/>
    <hyperlink r:id="rId277" ref="F320"/>
    <hyperlink r:id="rId278" ref="F321"/>
    <hyperlink r:id="rId279" ref="F322"/>
    <hyperlink r:id="rId280" ref="F323"/>
    <hyperlink r:id="rId281" ref="C324"/>
    <hyperlink r:id="rId282" ref="F324"/>
    <hyperlink r:id="rId283" ref="F325"/>
    <hyperlink r:id="rId284" ref="F326"/>
    <hyperlink r:id="rId285" ref="F327"/>
    <hyperlink r:id="rId286" ref="F328"/>
    <hyperlink r:id="rId287" ref="C329"/>
    <hyperlink r:id="rId288" ref="F329"/>
    <hyperlink r:id="rId289" ref="F330"/>
    <hyperlink r:id="rId290" ref="C331"/>
    <hyperlink r:id="rId291" ref="F331"/>
    <hyperlink r:id="rId292" ref="F332"/>
    <hyperlink r:id="rId293" ref="F334"/>
    <hyperlink r:id="rId294" ref="F335"/>
    <hyperlink r:id="rId295" ref="F336"/>
    <hyperlink r:id="rId296" ref="F337"/>
    <hyperlink r:id="rId297" ref="F338"/>
    <hyperlink r:id="rId298" ref="F339"/>
    <hyperlink r:id="rId299" ref="F340"/>
    <hyperlink r:id="rId300" ref="F341"/>
    <hyperlink r:id="rId301" ref="F342"/>
    <hyperlink r:id="rId302" ref="F345"/>
    <hyperlink r:id="rId303" ref="F346"/>
    <hyperlink r:id="rId304" ref="F347"/>
    <hyperlink r:id="rId305" ref="F348"/>
    <hyperlink r:id="rId306" ref="F349"/>
    <hyperlink r:id="rId307" ref="F351"/>
    <hyperlink r:id="rId308" ref="F352"/>
    <hyperlink r:id="rId309" ref="C353"/>
    <hyperlink r:id="rId310" ref="F353"/>
    <hyperlink r:id="rId311" ref="F355"/>
    <hyperlink r:id="rId312" ref="F356"/>
    <hyperlink r:id="rId313" ref="F357"/>
    <hyperlink r:id="rId314" ref="F358"/>
    <hyperlink r:id="rId315" ref="F360"/>
    <hyperlink r:id="rId316" ref="C362"/>
    <hyperlink r:id="rId317" ref="F362"/>
    <hyperlink r:id="rId318" ref="F363"/>
    <hyperlink r:id="rId319" ref="F364"/>
    <hyperlink r:id="rId320" ref="C367"/>
    <hyperlink r:id="rId321" ref="F367"/>
    <hyperlink r:id="rId322" ref="C370"/>
    <hyperlink r:id="rId323" ref="F370"/>
    <hyperlink r:id="rId324" ref="F371"/>
    <hyperlink r:id="rId325" ref="F372"/>
    <hyperlink r:id="rId326" ref="F373"/>
    <hyperlink r:id="rId327" ref="F374"/>
    <hyperlink r:id="rId328" ref="F375"/>
    <hyperlink r:id="rId329" ref="C376"/>
    <hyperlink r:id="rId330" ref="F376"/>
    <hyperlink r:id="rId331" ref="C377"/>
    <hyperlink r:id="rId332" ref="F377"/>
    <hyperlink r:id="rId333" ref="C378"/>
    <hyperlink r:id="rId334" ref="F378"/>
    <hyperlink r:id="rId335" ref="F380"/>
    <hyperlink r:id="rId336" ref="F381"/>
    <hyperlink r:id="rId337" ref="F383"/>
    <hyperlink r:id="rId338" ref="C384"/>
    <hyperlink r:id="rId339" ref="F384"/>
    <hyperlink r:id="rId340" ref="F386"/>
    <hyperlink r:id="rId341" ref="C388"/>
    <hyperlink r:id="rId342" ref="F388"/>
    <hyperlink r:id="rId343" ref="F389"/>
    <hyperlink r:id="rId344" ref="F390"/>
    <hyperlink r:id="rId345" ref="F391"/>
    <hyperlink r:id="rId346" ref="F393"/>
    <hyperlink r:id="rId347" ref="F394"/>
    <hyperlink r:id="rId348" ref="F395"/>
    <hyperlink r:id="rId349" ref="F396"/>
    <hyperlink r:id="rId350" ref="F397"/>
    <hyperlink r:id="rId351" ref="F398"/>
    <hyperlink r:id="rId352" ref="F402"/>
    <hyperlink r:id="rId353" ref="F405"/>
    <hyperlink r:id="rId354" ref="F406"/>
    <hyperlink r:id="rId355" ref="C408"/>
    <hyperlink r:id="rId356" ref="F408"/>
    <hyperlink r:id="rId357" ref="C409"/>
    <hyperlink r:id="rId358" ref="F409"/>
    <hyperlink r:id="rId359" ref="C410"/>
    <hyperlink r:id="rId360" ref="F410"/>
    <hyperlink r:id="rId361" ref="F411"/>
    <hyperlink r:id="rId362" ref="F412"/>
    <hyperlink r:id="rId363" ref="F414"/>
    <hyperlink r:id="rId364" ref="F416"/>
    <hyperlink r:id="rId365" ref="F417"/>
    <hyperlink r:id="rId366" ref="C419"/>
    <hyperlink r:id="rId367" ref="F419"/>
    <hyperlink r:id="rId368" ref="F420"/>
    <hyperlink r:id="rId369" ref="F422"/>
    <hyperlink r:id="rId370" ref="F423"/>
    <hyperlink r:id="rId371" ref="F424"/>
    <hyperlink r:id="rId372" ref="F425"/>
    <hyperlink r:id="rId373" ref="C427"/>
    <hyperlink r:id="rId374" ref="F427"/>
    <hyperlink r:id="rId375" ref="F428"/>
    <hyperlink r:id="rId376" ref="C429"/>
    <hyperlink r:id="rId377" ref="F429"/>
    <hyperlink r:id="rId378" ref="F430"/>
    <hyperlink r:id="rId379" ref="F431"/>
    <hyperlink r:id="rId380" ref="F432"/>
    <hyperlink r:id="rId381" ref="F433"/>
    <hyperlink r:id="rId382" ref="C434"/>
    <hyperlink r:id="rId383" ref="F434"/>
    <hyperlink r:id="rId384" ref="C435"/>
    <hyperlink r:id="rId385" ref="F435"/>
    <hyperlink r:id="rId386" ref="C436"/>
    <hyperlink r:id="rId387" ref="C437"/>
    <hyperlink r:id="rId388" ref="F437"/>
    <hyperlink r:id="rId389" ref="C438"/>
    <hyperlink r:id="rId390" ref="F438"/>
    <hyperlink r:id="rId391" ref="F439"/>
    <hyperlink r:id="rId392" ref="C443"/>
    <hyperlink r:id="rId393" ref="F443"/>
    <hyperlink r:id="rId394" ref="C444"/>
    <hyperlink r:id="rId395" ref="F444"/>
    <hyperlink r:id="rId396" ref="F445"/>
    <hyperlink r:id="rId397" ref="F446"/>
    <hyperlink r:id="rId398" ref="F447"/>
    <hyperlink r:id="rId399" ref="F449"/>
    <hyperlink r:id="rId400" ref="F450"/>
    <hyperlink r:id="rId401" ref="F453"/>
    <hyperlink r:id="rId402" ref="F454"/>
    <hyperlink r:id="rId403" ref="F455"/>
    <hyperlink r:id="rId404" ref="F456"/>
    <hyperlink r:id="rId405" ref="F457"/>
    <hyperlink r:id="rId406" ref="C458"/>
    <hyperlink r:id="rId407" ref="F458"/>
    <hyperlink r:id="rId408" ref="C459"/>
    <hyperlink r:id="rId409" ref="F459"/>
    <hyperlink r:id="rId410" ref="F460"/>
    <hyperlink r:id="rId411" ref="C462"/>
    <hyperlink r:id="rId412" ref="F462"/>
    <hyperlink r:id="rId413" ref="F463"/>
    <hyperlink r:id="rId414" ref="C464"/>
    <hyperlink r:id="rId415" ref="F464"/>
    <hyperlink r:id="rId416" ref="C465"/>
    <hyperlink r:id="rId417" ref="F465"/>
    <hyperlink r:id="rId418" ref="F466"/>
    <hyperlink r:id="rId419" ref="C467"/>
    <hyperlink r:id="rId420" ref="F467"/>
    <hyperlink r:id="rId421" ref="F468"/>
    <hyperlink r:id="rId422" ref="F469"/>
    <hyperlink r:id="rId423" ref="C470"/>
    <hyperlink r:id="rId424" ref="F470"/>
    <hyperlink r:id="rId425" ref="F471"/>
    <hyperlink r:id="rId426" ref="F472"/>
    <hyperlink r:id="rId427" ref="F473"/>
    <hyperlink r:id="rId428" ref="F474"/>
    <hyperlink r:id="rId429" ref="F475"/>
    <hyperlink r:id="rId430" ref="C476"/>
    <hyperlink r:id="rId431" ref="F476"/>
    <hyperlink r:id="rId432" ref="F477"/>
    <hyperlink r:id="rId433" ref="F478"/>
    <hyperlink r:id="rId434" ref="F480"/>
    <hyperlink r:id="rId435" ref="F481"/>
    <hyperlink r:id="rId436" ref="C483"/>
    <hyperlink r:id="rId437" ref="F483"/>
    <hyperlink r:id="rId438" ref="F484"/>
    <hyperlink r:id="rId439" ref="F485"/>
    <hyperlink r:id="rId440" ref="C488"/>
    <hyperlink r:id="rId441" ref="F488"/>
    <hyperlink r:id="rId442" ref="F489"/>
    <hyperlink r:id="rId443" ref="F490"/>
    <hyperlink r:id="rId444" ref="C493"/>
    <hyperlink r:id="rId445" ref="F493"/>
    <hyperlink r:id="rId446" ref="F495"/>
    <hyperlink r:id="rId447" ref="F496"/>
    <hyperlink r:id="rId448" ref="C500"/>
    <hyperlink r:id="rId449" ref="F500"/>
    <hyperlink r:id="rId450" ref="F501"/>
    <hyperlink r:id="rId451" ref="F503"/>
    <hyperlink r:id="rId452" ref="F504"/>
    <hyperlink r:id="rId453" ref="F505"/>
    <hyperlink r:id="rId454" ref="F508"/>
    <hyperlink r:id="rId455" ref="F509"/>
    <hyperlink r:id="rId456" ref="F511"/>
    <hyperlink r:id="rId457" ref="F512"/>
    <hyperlink r:id="rId458" ref="C513"/>
    <hyperlink r:id="rId459" ref="F513"/>
    <hyperlink r:id="rId460" ref="F514"/>
    <hyperlink r:id="rId461" ref="F515"/>
    <hyperlink r:id="rId462" ref="C517"/>
    <hyperlink r:id="rId463" ref="F517"/>
    <hyperlink r:id="rId464" ref="F518"/>
    <hyperlink r:id="rId465" ref="F519"/>
    <hyperlink r:id="rId466" ref="F520"/>
    <hyperlink r:id="rId467" ref="F523"/>
    <hyperlink r:id="rId468" ref="F524"/>
    <hyperlink r:id="rId469" ref="F525"/>
    <hyperlink r:id="rId470" ref="F526"/>
    <hyperlink r:id="rId471" ref="F528"/>
    <hyperlink r:id="rId472" ref="F529"/>
    <hyperlink r:id="rId473" ref="F530"/>
    <hyperlink r:id="rId474" ref="F532"/>
    <hyperlink r:id="rId475" ref="F533"/>
    <hyperlink r:id="rId476" ref="F535"/>
    <hyperlink r:id="rId477" ref="F536"/>
    <hyperlink r:id="rId478" ref="F538"/>
    <hyperlink r:id="rId479" ref="F540"/>
    <hyperlink r:id="rId480" ref="F541"/>
    <hyperlink r:id="rId481" ref="F542"/>
    <hyperlink r:id="rId482" ref="F543"/>
    <hyperlink r:id="rId483" ref="F545"/>
    <hyperlink r:id="rId484" ref="C546"/>
    <hyperlink r:id="rId485" ref="F546"/>
    <hyperlink r:id="rId486" ref="F547"/>
    <hyperlink r:id="rId487" ref="F549"/>
    <hyperlink r:id="rId488" ref="F550"/>
    <hyperlink r:id="rId489" ref="C551"/>
    <hyperlink r:id="rId490" ref="F551"/>
    <hyperlink r:id="rId491" ref="F552"/>
    <hyperlink r:id="rId492" ref="F556"/>
    <hyperlink r:id="rId493" ref="F557"/>
    <hyperlink r:id="rId494" ref="F558"/>
    <hyperlink r:id="rId495" ref="F559"/>
    <hyperlink r:id="rId496" ref="C560"/>
    <hyperlink r:id="rId497" ref="F560"/>
    <hyperlink r:id="rId498" ref="F561"/>
    <hyperlink r:id="rId499" ref="C562"/>
    <hyperlink r:id="rId500" ref="F562"/>
    <hyperlink r:id="rId501" ref="F563"/>
    <hyperlink r:id="rId502" ref="F564"/>
    <hyperlink r:id="rId503" ref="C565"/>
    <hyperlink r:id="rId504" ref="F565"/>
    <hyperlink r:id="rId505" ref="F566"/>
    <hyperlink r:id="rId506" ref="F568"/>
    <hyperlink r:id="rId507" ref="C569"/>
    <hyperlink r:id="rId508" ref="F569"/>
    <hyperlink r:id="rId509" ref="F570"/>
    <hyperlink r:id="rId510" ref="C571"/>
    <hyperlink r:id="rId511" ref="F571"/>
    <hyperlink r:id="rId512" ref="F573"/>
    <hyperlink r:id="rId513" ref="C574"/>
    <hyperlink r:id="rId514" ref="F574"/>
    <hyperlink r:id="rId515" ref="C575"/>
    <hyperlink r:id="rId516" ref="F575"/>
    <hyperlink r:id="rId517" ref="F576"/>
    <hyperlink r:id="rId518" ref="F577"/>
    <hyperlink r:id="rId519" ref="C578"/>
    <hyperlink r:id="rId520" ref="F578"/>
    <hyperlink r:id="rId521" ref="F580"/>
    <hyperlink r:id="rId522" ref="F585"/>
    <hyperlink r:id="rId523" ref="F586"/>
    <hyperlink r:id="rId524" ref="F588"/>
    <hyperlink r:id="rId525" ref="C589"/>
    <hyperlink r:id="rId526" ref="F589"/>
    <hyperlink r:id="rId527" ref="F590"/>
    <hyperlink r:id="rId528" ref="F591"/>
    <hyperlink r:id="rId529" ref="F592"/>
    <hyperlink r:id="rId530" ref="C593"/>
    <hyperlink r:id="rId531" ref="F593"/>
    <hyperlink r:id="rId532" ref="F595"/>
    <hyperlink r:id="rId533" ref="F597"/>
    <hyperlink r:id="rId534" ref="F600"/>
    <hyperlink r:id="rId535" ref="F605"/>
    <hyperlink r:id="rId536" ref="C607"/>
    <hyperlink r:id="rId537" ref="F607"/>
    <hyperlink r:id="rId538" ref="F608"/>
    <hyperlink r:id="rId539" ref="F609"/>
    <hyperlink r:id="rId540" ref="F610"/>
    <hyperlink r:id="rId541" ref="F611"/>
    <hyperlink r:id="rId542" ref="F612"/>
    <hyperlink r:id="rId543" ref="F614"/>
    <hyperlink r:id="rId544" ref="F615"/>
    <hyperlink r:id="rId545" ref="F616"/>
    <hyperlink r:id="rId546" ref="F617"/>
    <hyperlink r:id="rId547" ref="F619"/>
    <hyperlink r:id="rId548" ref="F620"/>
    <hyperlink r:id="rId549" ref="F621"/>
    <hyperlink r:id="rId550" ref="F623"/>
    <hyperlink r:id="rId551" ref="C626"/>
    <hyperlink r:id="rId552" ref="F626"/>
    <hyperlink r:id="rId553" ref="C627"/>
    <hyperlink r:id="rId554" ref="F627"/>
    <hyperlink r:id="rId555" ref="F628"/>
    <hyperlink r:id="rId556" ref="F629"/>
    <hyperlink r:id="rId557" ref="F630"/>
    <hyperlink r:id="rId558" ref="F631"/>
    <hyperlink r:id="rId559" ref="F632"/>
    <hyperlink r:id="rId560" ref="F633"/>
    <hyperlink r:id="rId561" ref="F634"/>
    <hyperlink r:id="rId562" ref="F635"/>
    <hyperlink r:id="rId563" ref="F636"/>
    <hyperlink r:id="rId564" ref="F637"/>
    <hyperlink r:id="rId565" ref="F638"/>
    <hyperlink r:id="rId566" ref="F640"/>
    <hyperlink r:id="rId567" ref="F642"/>
    <hyperlink r:id="rId568" ref="F643"/>
    <hyperlink r:id="rId569" ref="C644"/>
    <hyperlink r:id="rId570" ref="F644"/>
    <hyperlink r:id="rId571" ref="F646"/>
    <hyperlink r:id="rId572" ref="C647"/>
    <hyperlink r:id="rId573" ref="F647"/>
    <hyperlink r:id="rId574" ref="F649"/>
    <hyperlink r:id="rId575" ref="F650"/>
    <hyperlink r:id="rId576" ref="F654"/>
    <hyperlink r:id="rId577" ref="F655"/>
    <hyperlink r:id="rId578" ref="F656"/>
    <hyperlink r:id="rId579" ref="F658"/>
    <hyperlink r:id="rId580" ref="F659"/>
    <hyperlink r:id="rId581" ref="F661"/>
    <hyperlink r:id="rId582" ref="F664"/>
    <hyperlink r:id="rId583" ref="F665"/>
    <hyperlink r:id="rId584" ref="F666"/>
    <hyperlink r:id="rId585" ref="F667"/>
    <hyperlink r:id="rId586" ref="F668"/>
    <hyperlink r:id="rId587" ref="F670"/>
    <hyperlink r:id="rId588" ref="F671"/>
    <hyperlink r:id="rId589" ref="F672"/>
    <hyperlink r:id="rId590" ref="F673"/>
    <hyperlink r:id="rId591" ref="F675"/>
    <hyperlink r:id="rId592" ref="C676"/>
    <hyperlink r:id="rId593" ref="F676"/>
    <hyperlink r:id="rId594" ref="F677"/>
    <hyperlink r:id="rId595" ref="F678"/>
    <hyperlink r:id="rId596" ref="F679"/>
    <hyperlink r:id="rId597" ref="F680"/>
    <hyperlink r:id="rId598" ref="F682"/>
    <hyperlink r:id="rId599" ref="F683"/>
    <hyperlink r:id="rId600" ref="F686"/>
    <hyperlink r:id="rId601" ref="F688"/>
    <hyperlink r:id="rId602" ref="F689"/>
    <hyperlink r:id="rId603" ref="F690"/>
    <hyperlink r:id="rId604" ref="F696"/>
    <hyperlink r:id="rId605" ref="C697"/>
    <hyperlink r:id="rId606" ref="F697"/>
    <hyperlink r:id="rId607" ref="F698"/>
    <hyperlink r:id="rId608" ref="F699"/>
    <hyperlink r:id="rId609" ref="C700"/>
    <hyperlink r:id="rId610" ref="F700"/>
    <hyperlink r:id="rId611" ref="C701"/>
    <hyperlink r:id="rId612" ref="F701"/>
    <hyperlink r:id="rId613" ref="F703"/>
    <hyperlink r:id="rId614" ref="F704"/>
    <hyperlink r:id="rId615" ref="F705"/>
    <hyperlink r:id="rId616" ref="F706"/>
    <hyperlink r:id="rId617" ref="F708"/>
    <hyperlink r:id="rId618" ref="C709"/>
    <hyperlink r:id="rId619" ref="F709"/>
    <hyperlink r:id="rId620" ref="F713"/>
    <hyperlink r:id="rId621" ref="F714"/>
    <hyperlink r:id="rId622" ref="F715"/>
    <hyperlink r:id="rId623" ref="F716"/>
    <hyperlink r:id="rId624" ref="F717"/>
    <hyperlink r:id="rId625" ref="F718"/>
    <hyperlink r:id="rId626" ref="C719"/>
    <hyperlink r:id="rId627" ref="F719"/>
    <hyperlink r:id="rId628" ref="C720"/>
    <hyperlink r:id="rId629" ref="F720"/>
    <hyperlink r:id="rId630" ref="F721"/>
    <hyperlink r:id="rId631" ref="F722"/>
    <hyperlink r:id="rId632" ref="F724"/>
    <hyperlink r:id="rId633" ref="C725"/>
    <hyperlink r:id="rId634" ref="F725"/>
    <hyperlink r:id="rId635" ref="F727"/>
    <hyperlink r:id="rId636" ref="F728"/>
    <hyperlink r:id="rId637" ref="AI729"/>
    <hyperlink r:id="rId638" ref="F730"/>
    <hyperlink r:id="rId639" ref="F732"/>
    <hyperlink r:id="rId640" ref="F733"/>
    <hyperlink r:id="rId641" ref="F734"/>
    <hyperlink r:id="rId642" ref="F735"/>
    <hyperlink r:id="rId643" ref="F738"/>
    <hyperlink r:id="rId644" ref="F739"/>
    <hyperlink r:id="rId645" ref="F741"/>
    <hyperlink r:id="rId646" ref="F742"/>
    <hyperlink r:id="rId647" ref="F743"/>
    <hyperlink r:id="rId648" ref="F745"/>
    <hyperlink r:id="rId649" ref="F746"/>
    <hyperlink r:id="rId650" ref="F748"/>
    <hyperlink r:id="rId651" ref="F749"/>
    <hyperlink r:id="rId652" ref="F750"/>
    <hyperlink r:id="rId653" ref="F751"/>
    <hyperlink r:id="rId654" ref="F752"/>
    <hyperlink r:id="rId655" ref="F754"/>
    <hyperlink r:id="rId656" ref="F756"/>
    <hyperlink r:id="rId657" ref="F757"/>
    <hyperlink r:id="rId658" ref="F759"/>
    <hyperlink r:id="rId659" ref="F760"/>
    <hyperlink r:id="rId660" ref="F761"/>
    <hyperlink r:id="rId661" ref="F762"/>
    <hyperlink r:id="rId662" ref="F764"/>
    <hyperlink r:id="rId663" ref="F765"/>
    <hyperlink r:id="rId664" ref="F766"/>
    <hyperlink r:id="rId665" ref="F767"/>
    <hyperlink r:id="rId666" ref="F768"/>
    <hyperlink r:id="rId667" ref="F769"/>
    <hyperlink r:id="rId668" ref="F770"/>
    <hyperlink r:id="rId669" ref="F771"/>
    <hyperlink r:id="rId670" ref="F772"/>
    <hyperlink r:id="rId671" ref="F773"/>
    <hyperlink r:id="rId672" ref="F774"/>
    <hyperlink r:id="rId673" ref="F775"/>
    <hyperlink r:id="rId674" ref="F776"/>
    <hyperlink r:id="rId675" ref="F777"/>
    <hyperlink r:id="rId676" ref="F778"/>
    <hyperlink r:id="rId677" ref="F779"/>
    <hyperlink r:id="rId678" ref="F780"/>
    <hyperlink r:id="rId679" ref="F782"/>
    <hyperlink r:id="rId680" ref="F783"/>
    <hyperlink r:id="rId681" ref="F784"/>
    <hyperlink r:id="rId682" ref="F785"/>
    <hyperlink r:id="rId683" ref="F786"/>
    <hyperlink r:id="rId684" ref="F787"/>
    <hyperlink r:id="rId685" ref="F790"/>
    <hyperlink r:id="rId686" ref="F791"/>
    <hyperlink r:id="rId687" ref="F795"/>
    <hyperlink r:id="rId688" ref="F796"/>
    <hyperlink r:id="rId689" ref="F797"/>
    <hyperlink r:id="rId690" ref="F798"/>
    <hyperlink r:id="rId691" ref="F800"/>
    <hyperlink r:id="rId692" ref="F801"/>
    <hyperlink r:id="rId693" ref="F802"/>
    <hyperlink r:id="rId694" ref="F803"/>
    <hyperlink r:id="rId695" ref="F804"/>
    <hyperlink r:id="rId696" ref="F805"/>
    <hyperlink r:id="rId697" ref="C806"/>
    <hyperlink r:id="rId698" ref="F806"/>
    <hyperlink r:id="rId699" ref="F807"/>
    <hyperlink r:id="rId700" ref="F808"/>
    <hyperlink r:id="rId701" ref="F809"/>
    <hyperlink r:id="rId702" ref="F811"/>
  </hyperlinks>
  <printOptions gridLines="1" horizontalCentered="1"/>
  <pageMargins bottom="0.75" footer="0.0" header="0.0" left="0.7" right="0.7" top="0.75"/>
  <pageSetup fitToHeight="0" paperSize="9" cellComments="atEnd" orientation="landscape" pageOrder="overThenDown"/>
  <drawing r:id="rId703"/>
  <legacyDrawing r:id="rId704"/>
  <tableParts count="1">
    <tablePart r:id="rId70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5.25"/>
    <col customWidth="1" min="3" max="3" width="13.13"/>
    <col customWidth="1" min="4" max="4" width="23.75"/>
    <col customWidth="1" min="5" max="5" width="48.88"/>
    <col customWidth="1" min="6" max="6" width="27.75"/>
    <col customWidth="1" min="7" max="8" width="14.13"/>
    <col customWidth="1" min="9" max="10" width="18.25"/>
    <col customWidth="1" min="11" max="11" width="13.25"/>
    <col customWidth="1" min="12" max="12" width="14.13"/>
    <col customWidth="1" min="13" max="13" width="14.25"/>
    <col customWidth="1" min="14" max="14" width="17.25"/>
    <col customWidth="1" min="16" max="16" width="20.38"/>
    <col customWidth="1" min="17" max="17" width="15.38"/>
    <col customWidth="1" min="18" max="18" width="15.25"/>
    <col customWidth="1" min="19" max="19" width="14.5"/>
    <col customWidth="1" min="20" max="20" width="16.5"/>
  </cols>
  <sheetData>
    <row r="1" ht="22.5" customHeight="1">
      <c r="A1" s="1113" t="s">
        <v>2673</v>
      </c>
      <c r="B1" s="1114" t="s">
        <v>2674</v>
      </c>
      <c r="C1" s="1114" t="s">
        <v>230</v>
      </c>
      <c r="D1" s="1113" t="s">
        <v>2675</v>
      </c>
      <c r="E1" s="1113" t="s">
        <v>231</v>
      </c>
      <c r="F1" s="1113" t="s">
        <v>232</v>
      </c>
      <c r="G1" s="1113" t="s">
        <v>2676</v>
      </c>
      <c r="H1" s="1113" t="s">
        <v>253</v>
      </c>
      <c r="I1" s="1113" t="s">
        <v>248</v>
      </c>
      <c r="J1" s="1113" t="s">
        <v>2677</v>
      </c>
      <c r="K1" s="1114" t="s">
        <v>4</v>
      </c>
      <c r="L1" s="1114" t="s">
        <v>235</v>
      </c>
      <c r="M1" s="1114" t="s">
        <v>237</v>
      </c>
      <c r="N1" s="1114" t="s">
        <v>238</v>
      </c>
      <c r="O1" s="1114" t="s">
        <v>2678</v>
      </c>
      <c r="P1" s="1114" t="s">
        <v>2679</v>
      </c>
      <c r="Q1" s="1114" t="s">
        <v>2680</v>
      </c>
      <c r="R1" s="1114" t="s">
        <v>242</v>
      </c>
      <c r="S1" s="1114" t="s">
        <v>2681</v>
      </c>
      <c r="T1" s="1114" t="s">
        <v>2682</v>
      </c>
      <c r="U1" s="1115"/>
      <c r="V1" s="1115"/>
    </row>
    <row r="2" ht="22.5" customHeight="1">
      <c r="A2" s="7" t="s">
        <v>162</v>
      </c>
      <c r="B2" s="1116" t="s">
        <v>2683</v>
      </c>
      <c r="C2" s="1117">
        <v>45931.0</v>
      </c>
      <c r="D2" s="64" t="s">
        <v>2684</v>
      </c>
      <c r="E2" s="1118" t="s">
        <v>2685</v>
      </c>
      <c r="F2" s="1119" t="s">
        <v>2686</v>
      </c>
      <c r="G2" s="7" t="s">
        <v>1048</v>
      </c>
      <c r="H2" s="64" t="b">
        <v>1</v>
      </c>
      <c r="I2" s="7" t="s">
        <v>2687</v>
      </c>
      <c r="J2" s="1119"/>
      <c r="K2" s="1119">
        <v>5.1944037242E10</v>
      </c>
      <c r="L2" s="13">
        <v>0.0</v>
      </c>
      <c r="M2" s="1120">
        <v>7329.0</v>
      </c>
      <c r="N2" s="1121">
        <v>7199.0</v>
      </c>
      <c r="O2" s="1122">
        <v>1845.0</v>
      </c>
      <c r="P2" s="13">
        <f>locales[TOTAL COBRADO]-locales[PRECIO DE SOLO LAPTOP]</f>
        <v>130</v>
      </c>
      <c r="Q2" s="1123">
        <v>0.0</v>
      </c>
      <c r="R2" s="1124">
        <v>130.0</v>
      </c>
      <c r="S2" s="1125">
        <v>0.0</v>
      </c>
      <c r="T2" s="1125">
        <v>0.0</v>
      </c>
      <c r="U2" s="1126"/>
      <c r="V2" s="1126"/>
    </row>
    <row r="3" ht="22.5" customHeight="1">
      <c r="A3" s="7" t="s">
        <v>162</v>
      </c>
      <c r="B3" s="1116" t="s">
        <v>2683</v>
      </c>
      <c r="C3" s="1127">
        <v>45952.0</v>
      </c>
      <c r="D3" s="64" t="s">
        <v>2688</v>
      </c>
      <c r="E3" s="1118" t="s">
        <v>2689</v>
      </c>
      <c r="F3" s="1119" t="s">
        <v>2690</v>
      </c>
      <c r="G3" s="7" t="s">
        <v>1048</v>
      </c>
      <c r="H3" s="64" t="b">
        <v>1</v>
      </c>
      <c r="I3" s="7" t="s">
        <v>2687</v>
      </c>
      <c r="J3" s="1119"/>
      <c r="K3" s="1119">
        <v>5.1924018929E10</v>
      </c>
      <c r="L3" s="13">
        <v>300.0</v>
      </c>
      <c r="M3" s="1120">
        <v>4929.0</v>
      </c>
      <c r="N3" s="1128">
        <v>4750.0</v>
      </c>
      <c r="O3" s="1122">
        <v>1190.0</v>
      </c>
      <c r="P3" s="13">
        <f>locales[TOTAL COBRADO]-locales[PRECIO DE SOLO LAPTOP]</f>
        <v>179</v>
      </c>
      <c r="Q3" s="1123">
        <v>0.0</v>
      </c>
      <c r="R3" s="1124">
        <v>179.0</v>
      </c>
      <c r="S3" s="1125">
        <v>0.0</v>
      </c>
      <c r="T3" s="1125">
        <v>0.0</v>
      </c>
      <c r="U3" s="1126"/>
      <c r="V3" s="1126"/>
    </row>
    <row r="4" ht="22.5" customHeight="1">
      <c r="A4" s="7" t="s">
        <v>162</v>
      </c>
      <c r="B4" s="1116" t="s">
        <v>2683</v>
      </c>
      <c r="C4" s="1127">
        <v>45959.0</v>
      </c>
      <c r="D4" s="64" t="s">
        <v>2691</v>
      </c>
      <c r="E4" s="1118" t="s">
        <v>2692</v>
      </c>
      <c r="F4" s="1118" t="s">
        <v>2693</v>
      </c>
      <c r="G4" s="7" t="s">
        <v>1048</v>
      </c>
      <c r="H4" s="64" t="b">
        <v>1</v>
      </c>
      <c r="I4" s="7" t="s">
        <v>2687</v>
      </c>
      <c r="J4" s="1119"/>
      <c r="K4" s="1119">
        <v>5.1967012912E10</v>
      </c>
      <c r="L4" s="13">
        <v>0.0</v>
      </c>
      <c r="M4" s="1120">
        <v>4703.85</v>
      </c>
      <c r="N4" s="1128">
        <v>4650.0</v>
      </c>
      <c r="O4" s="1122">
        <v>1170.0</v>
      </c>
      <c r="P4" s="13">
        <f>locales[TOTAL COBRADO]-locales[PRECIO DE SOLO LAPTOP]</f>
        <v>53.85</v>
      </c>
      <c r="Q4" s="1123">
        <v>0.0</v>
      </c>
      <c r="R4" s="1124">
        <v>53.85</v>
      </c>
      <c r="S4" s="1125">
        <v>0.0</v>
      </c>
      <c r="T4" s="1125">
        <v>0.0</v>
      </c>
      <c r="U4" s="1126"/>
      <c r="V4" s="1126"/>
    </row>
    <row r="5" ht="22.5" customHeight="1">
      <c r="A5" s="7" t="s">
        <v>162</v>
      </c>
      <c r="B5" s="1116" t="s">
        <v>2683</v>
      </c>
      <c r="C5" s="1127">
        <v>45960.0</v>
      </c>
      <c r="D5" s="64" t="s">
        <v>2694</v>
      </c>
      <c r="E5" s="1118" t="s">
        <v>2695</v>
      </c>
      <c r="F5" s="1118" t="s">
        <v>2696</v>
      </c>
      <c r="G5" s="7" t="s">
        <v>1048</v>
      </c>
      <c r="H5" s="64" t="b">
        <v>1</v>
      </c>
      <c r="I5" s="7" t="s">
        <v>2687</v>
      </c>
      <c r="J5" s="1129"/>
      <c r="K5" s="1119">
        <v>5.1930531463E10</v>
      </c>
      <c r="L5" s="13">
        <v>0.0</v>
      </c>
      <c r="M5" s="1120">
        <v>6498.23</v>
      </c>
      <c r="N5" s="1130">
        <v>5999.0</v>
      </c>
      <c r="O5" s="1122">
        <v>1565.0</v>
      </c>
      <c r="P5" s="13">
        <f>locales[TOTAL COBRADO]-locales[PRECIO DE SOLO LAPTOP]</f>
        <v>499.23</v>
      </c>
      <c r="Q5" s="1130">
        <v>140.0</v>
      </c>
      <c r="R5" s="1124">
        <v>169.23</v>
      </c>
      <c r="S5" s="1125">
        <v>190.0</v>
      </c>
      <c r="T5" s="1125">
        <v>190.0</v>
      </c>
      <c r="U5" s="1126"/>
      <c r="V5" s="1126"/>
    </row>
    <row r="6" ht="22.5" customHeight="1">
      <c r="A6" s="7" t="s">
        <v>34</v>
      </c>
      <c r="B6" s="1116" t="s">
        <v>2683</v>
      </c>
      <c r="C6" s="1131">
        <v>45931.0</v>
      </c>
      <c r="D6" s="664" t="s">
        <v>2697</v>
      </c>
      <c r="E6" s="1118" t="s">
        <v>2698</v>
      </c>
      <c r="F6" s="1132" t="s">
        <v>2699</v>
      </c>
      <c r="G6" s="7" t="s">
        <v>1048</v>
      </c>
      <c r="H6" s="64" t="b">
        <v>1</v>
      </c>
      <c r="I6" s="7" t="s">
        <v>2687</v>
      </c>
      <c r="J6" s="1119"/>
      <c r="K6" s="1119" t="s">
        <v>2700</v>
      </c>
      <c r="L6" s="13">
        <v>2244.0</v>
      </c>
      <c r="M6" s="1120">
        <v>7480.0</v>
      </c>
      <c r="N6" s="1128">
        <v>7099.0</v>
      </c>
      <c r="O6" s="1122">
        <v>1820.0</v>
      </c>
      <c r="P6" s="13">
        <f>locales[TOTAL COBRADO]-locales[PRECIO DE SOLO LAPTOP]</f>
        <v>381</v>
      </c>
      <c r="Q6" s="1123"/>
      <c r="R6" s="1124">
        <f t="shared" ref="R6:R7" si="1">P6-T6</f>
        <v>286</v>
      </c>
      <c r="S6" s="1125">
        <v>95.0</v>
      </c>
      <c r="T6" s="1125">
        <v>95.0</v>
      </c>
      <c r="U6" s="1126"/>
      <c r="V6" s="1126"/>
    </row>
    <row r="7" ht="22.5" customHeight="1">
      <c r="A7" s="7" t="s">
        <v>34</v>
      </c>
      <c r="B7" s="1116" t="s">
        <v>2683</v>
      </c>
      <c r="C7" s="1133">
        <v>45940.0</v>
      </c>
      <c r="D7" s="377" t="s">
        <v>2701</v>
      </c>
      <c r="E7" s="1134" t="s">
        <v>2702</v>
      </c>
      <c r="F7" s="1119" t="s">
        <v>2703</v>
      </c>
      <c r="G7" s="7" t="s">
        <v>1048</v>
      </c>
      <c r="H7" s="64" t="b">
        <v>1</v>
      </c>
      <c r="I7" s="7" t="s">
        <v>2687</v>
      </c>
      <c r="J7" s="1119"/>
      <c r="K7" s="1119" t="s">
        <v>2704</v>
      </c>
      <c r="L7" s="13">
        <v>300.0</v>
      </c>
      <c r="M7" s="1120">
        <v>8680.0</v>
      </c>
      <c r="N7" s="1128">
        <v>8299.0</v>
      </c>
      <c r="O7" s="1122">
        <v>2130.0</v>
      </c>
      <c r="P7" s="13">
        <f>locales[TOTAL COBRADO]-locales[PRECIO DE SOLO LAPTOP]</f>
        <v>381</v>
      </c>
      <c r="Q7" s="1123"/>
      <c r="R7" s="1124">
        <f t="shared" si="1"/>
        <v>351</v>
      </c>
      <c r="S7" s="1125">
        <v>30.0</v>
      </c>
      <c r="T7" s="1125">
        <v>30.0</v>
      </c>
      <c r="U7" s="1126"/>
      <c r="V7" s="1126"/>
    </row>
    <row r="8" ht="22.5" customHeight="1">
      <c r="A8" s="7" t="s">
        <v>162</v>
      </c>
      <c r="B8" s="1135"/>
      <c r="C8" s="1133">
        <v>45932.0</v>
      </c>
      <c r="D8" s="64"/>
      <c r="E8" s="10" t="s">
        <v>2705</v>
      </c>
      <c r="F8" s="1119" t="s">
        <v>2706</v>
      </c>
      <c r="G8" s="7" t="s">
        <v>1048</v>
      </c>
      <c r="H8" s="64" t="b">
        <v>1</v>
      </c>
      <c r="I8" s="7"/>
      <c r="J8" s="1119"/>
      <c r="K8" s="1136">
        <v>9.95465446E8</v>
      </c>
      <c r="L8" s="13">
        <v>545.0</v>
      </c>
      <c r="M8" s="1120">
        <v>545.0</v>
      </c>
      <c r="N8" s="1128">
        <v>480.0</v>
      </c>
      <c r="O8" s="1122"/>
      <c r="P8" s="13">
        <f>locales[TOTAL COBRADO]-locales[PRECIO DE SOLO LAPTOP]</f>
        <v>65</v>
      </c>
      <c r="Q8" s="1123">
        <v>65.0</v>
      </c>
      <c r="R8" s="1124"/>
      <c r="S8" s="1125"/>
      <c r="T8" s="1125"/>
      <c r="U8" s="1126"/>
      <c r="V8" s="1126"/>
    </row>
    <row r="9" ht="22.5" customHeight="1">
      <c r="A9" s="7" t="s">
        <v>162</v>
      </c>
      <c r="B9" s="1116" t="s">
        <v>2683</v>
      </c>
      <c r="C9" s="1133">
        <v>45973.0</v>
      </c>
      <c r="D9" s="64" t="s">
        <v>2707</v>
      </c>
      <c r="E9" s="1118" t="s">
        <v>2708</v>
      </c>
      <c r="F9" s="1118" t="s">
        <v>2709</v>
      </c>
      <c r="G9" s="7" t="s">
        <v>1085</v>
      </c>
      <c r="H9" s="64" t="b">
        <v>1</v>
      </c>
      <c r="I9" s="7" t="s">
        <v>2687</v>
      </c>
      <c r="J9" s="1119"/>
      <c r="K9" s="1119">
        <v>5.1918868031E10</v>
      </c>
      <c r="L9" s="13">
        <v>300.0</v>
      </c>
      <c r="M9" s="1120">
        <v>6845.0</v>
      </c>
      <c r="N9" s="1128">
        <v>6399.0</v>
      </c>
      <c r="O9" s="1122">
        <v>1680.0</v>
      </c>
      <c r="P9" s="13">
        <f>locales[TOTAL COBRADO]-locales[PRECIO DE SOLO LAPTOP]</f>
        <v>446</v>
      </c>
      <c r="Q9" s="92">
        <v>86.0</v>
      </c>
      <c r="R9" s="1124">
        <v>275.0</v>
      </c>
      <c r="S9" s="1125">
        <v>85.0</v>
      </c>
      <c r="T9" s="1125">
        <v>85.0</v>
      </c>
      <c r="U9" s="1126"/>
      <c r="V9" s="1126"/>
    </row>
    <row r="10" ht="22.5" customHeight="1">
      <c r="A10" s="7" t="s">
        <v>162</v>
      </c>
      <c r="B10" s="1116" t="s">
        <v>2683</v>
      </c>
      <c r="C10" s="1133">
        <v>45988.0</v>
      </c>
      <c r="D10" s="64" t="s">
        <v>2710</v>
      </c>
      <c r="E10" s="62" t="s">
        <v>2711</v>
      </c>
      <c r="F10" s="106" t="s">
        <v>2712</v>
      </c>
      <c r="G10" s="1034" t="s">
        <v>1085</v>
      </c>
      <c r="H10" s="984" t="b">
        <v>1</v>
      </c>
      <c r="I10" s="1034" t="s">
        <v>2687</v>
      </c>
      <c r="J10" s="1119"/>
      <c r="K10" s="106">
        <v>5.1999097411E10</v>
      </c>
      <c r="L10" s="1130">
        <v>3599.0</v>
      </c>
      <c r="M10" s="1120">
        <v>3599.0</v>
      </c>
      <c r="N10" s="1128">
        <v>3499.0</v>
      </c>
      <c r="O10" s="1122">
        <v>845.0</v>
      </c>
      <c r="P10" s="13">
        <f>locales[TOTAL COBRADO]-locales[PRECIO DE SOLO LAPTOP]</f>
        <v>100</v>
      </c>
      <c r="Q10" s="92">
        <v>10.0</v>
      </c>
      <c r="R10" s="1124">
        <v>90.0</v>
      </c>
      <c r="S10" s="1125"/>
      <c r="T10" s="1125"/>
      <c r="U10" s="1126"/>
      <c r="V10" s="1126"/>
    </row>
    <row r="11" ht="22.5" customHeight="1">
      <c r="A11" s="7" t="s">
        <v>162</v>
      </c>
      <c r="B11" s="1116" t="s">
        <v>2683</v>
      </c>
      <c r="C11" s="1133">
        <v>45988.0</v>
      </c>
      <c r="D11" s="64" t="s">
        <v>2713</v>
      </c>
      <c r="E11" s="1118" t="s">
        <v>2714</v>
      </c>
      <c r="F11" s="1119" t="s">
        <v>2715</v>
      </c>
      <c r="G11" s="7" t="s">
        <v>1085</v>
      </c>
      <c r="H11" s="64" t="b">
        <v>1</v>
      </c>
      <c r="I11" s="7" t="s">
        <v>2687</v>
      </c>
      <c r="J11" s="1119"/>
      <c r="K11" s="1119">
        <v>5.1971502418E10</v>
      </c>
      <c r="L11" s="13">
        <v>5999.0</v>
      </c>
      <c r="M11" s="1120">
        <v>5999.0</v>
      </c>
      <c r="N11" s="1128">
        <v>5999.0</v>
      </c>
      <c r="O11" s="1122">
        <v>1579.0</v>
      </c>
      <c r="P11" s="13">
        <f>locales[TOTAL COBRADO]-locales[PRECIO DE SOLO LAPTOP]</f>
        <v>0</v>
      </c>
      <c r="Q11" s="92"/>
      <c r="R11" s="1124"/>
      <c r="S11" s="1125"/>
      <c r="T11" s="1125"/>
      <c r="U11" s="1126"/>
      <c r="V11" s="1126"/>
    </row>
    <row r="12" ht="22.5" customHeight="1">
      <c r="A12" s="1034" t="s">
        <v>162</v>
      </c>
      <c r="B12" s="1116" t="s">
        <v>2683</v>
      </c>
      <c r="C12" s="1131">
        <v>46004.0</v>
      </c>
      <c r="D12" s="984" t="s">
        <v>2716</v>
      </c>
      <c r="E12" s="324" t="s">
        <v>2717</v>
      </c>
      <c r="F12" s="62" t="s">
        <v>2718</v>
      </c>
      <c r="G12" s="1034" t="s">
        <v>1187</v>
      </c>
      <c r="H12" s="984" t="b">
        <v>1</v>
      </c>
      <c r="I12" s="1034" t="s">
        <v>2687</v>
      </c>
      <c r="J12" s="1119"/>
      <c r="K12" s="106">
        <v>5.1901817531E10</v>
      </c>
      <c r="L12" s="1130">
        <v>8079.0</v>
      </c>
      <c r="M12" s="1120">
        <v>8079.0</v>
      </c>
      <c r="N12" s="1130">
        <v>7899.0</v>
      </c>
      <c r="O12" s="1137">
        <v>2090.0</v>
      </c>
      <c r="P12" s="1130">
        <f>locales[TOTAL COBRADO]-locales[PRECIO DE SOLO LAPTOP]</f>
        <v>180</v>
      </c>
      <c r="Q12" s="92">
        <v>50.0</v>
      </c>
      <c r="R12" s="1130">
        <v>120.0</v>
      </c>
      <c r="S12" s="1035">
        <v>10.0</v>
      </c>
      <c r="T12" s="1035"/>
      <c r="U12" s="1126"/>
      <c r="V12" s="1126"/>
    </row>
    <row r="13" ht="22.5" customHeight="1">
      <c r="A13" s="7" t="s">
        <v>162</v>
      </c>
      <c r="B13" s="1116" t="s">
        <v>2683</v>
      </c>
      <c r="C13" s="1133">
        <v>46010.0</v>
      </c>
      <c r="D13" s="64" t="s">
        <v>2719</v>
      </c>
      <c r="E13" s="1118" t="s">
        <v>593</v>
      </c>
      <c r="F13" s="1118" t="s">
        <v>2720</v>
      </c>
      <c r="G13" s="7" t="s">
        <v>1187</v>
      </c>
      <c r="H13" s="64" t="b">
        <v>1</v>
      </c>
      <c r="I13" s="7" t="s">
        <v>2687</v>
      </c>
      <c r="J13" s="1119"/>
      <c r="K13" s="1119">
        <v>5.1953935251E10</v>
      </c>
      <c r="L13" s="13">
        <v>6049.0</v>
      </c>
      <c r="M13" s="1120">
        <v>6049.0</v>
      </c>
      <c r="N13" s="1128">
        <v>5999.0</v>
      </c>
      <c r="O13" s="1122">
        <v>1565.0</v>
      </c>
      <c r="P13" s="13">
        <f>locales[TOTAL COBRADO]-locales[PRECIO DE SOLO LAPTOP]</f>
        <v>50</v>
      </c>
      <c r="Q13" s="92">
        <v>80.0</v>
      </c>
      <c r="R13" s="1124">
        <v>120.0</v>
      </c>
      <c r="S13" s="1125">
        <v>10.0</v>
      </c>
      <c r="T13" s="1138" t="s">
        <v>2721</v>
      </c>
      <c r="U13" s="1126"/>
      <c r="V13" s="1126"/>
    </row>
    <row r="14" ht="22.5" customHeight="1">
      <c r="A14" s="7" t="s">
        <v>162</v>
      </c>
      <c r="B14" s="1116" t="s">
        <v>2722</v>
      </c>
      <c r="C14" s="1133">
        <v>46024.0</v>
      </c>
      <c r="D14" s="910" t="s">
        <v>2723</v>
      </c>
      <c r="E14" s="1118" t="s">
        <v>2724</v>
      </c>
      <c r="F14" s="1118" t="s">
        <v>2725</v>
      </c>
      <c r="G14" s="7" t="s">
        <v>1392</v>
      </c>
      <c r="H14" s="64" t="b">
        <v>1</v>
      </c>
      <c r="I14" s="7" t="s">
        <v>2687</v>
      </c>
      <c r="J14" s="1119"/>
      <c r="K14" s="1119">
        <v>5.1940317454E10</v>
      </c>
      <c r="L14" s="1128">
        <v>2050.0</v>
      </c>
      <c r="M14" s="1120">
        <v>2245.0</v>
      </c>
      <c r="N14" s="1128">
        <v>2050.0</v>
      </c>
      <c r="O14" s="1122">
        <v>403.0</v>
      </c>
      <c r="P14" s="13">
        <f>locales[TOTAL COBRADO]-locales[PRECIO DE SOLO LAPTOP]</f>
        <v>195</v>
      </c>
      <c r="Q14" s="92"/>
      <c r="R14" s="1124">
        <v>195.0</v>
      </c>
      <c r="S14" s="1125"/>
      <c r="T14" s="1125"/>
      <c r="U14" s="1126"/>
      <c r="V14" s="1126"/>
    </row>
    <row r="15" ht="22.5" customHeight="1">
      <c r="A15" s="7" t="s">
        <v>162</v>
      </c>
      <c r="B15" s="1116" t="s">
        <v>2722</v>
      </c>
      <c r="C15" s="1133">
        <v>46024.0</v>
      </c>
      <c r="D15" s="910" t="s">
        <v>2726</v>
      </c>
      <c r="E15" s="1118" t="s">
        <v>2724</v>
      </c>
      <c r="F15" s="1118" t="s">
        <v>2725</v>
      </c>
      <c r="G15" s="7" t="s">
        <v>1392</v>
      </c>
      <c r="H15" s="64" t="b">
        <v>1</v>
      </c>
      <c r="I15" s="7" t="s">
        <v>2687</v>
      </c>
      <c r="J15" s="1119"/>
      <c r="K15" s="1119">
        <v>5.1940317454E10</v>
      </c>
      <c r="L15" s="1128">
        <v>2050.0</v>
      </c>
      <c r="M15" s="1120">
        <v>2245.0</v>
      </c>
      <c r="N15" s="1128">
        <v>2050.0</v>
      </c>
      <c r="O15" s="1122">
        <v>403.0</v>
      </c>
      <c r="P15" s="13">
        <f>locales[TOTAL COBRADO]-locales[PRECIO DE SOLO LAPTOP]</f>
        <v>195</v>
      </c>
      <c r="Q15" s="92"/>
      <c r="R15" s="1124">
        <v>195.0</v>
      </c>
      <c r="S15" s="1125"/>
      <c r="T15" s="1125"/>
      <c r="U15" s="1126"/>
      <c r="V15" s="1126"/>
    </row>
    <row r="16" ht="22.5" customHeight="1">
      <c r="A16" s="7" t="s">
        <v>162</v>
      </c>
      <c r="B16" s="1116" t="s">
        <v>2683</v>
      </c>
      <c r="C16" s="1133">
        <v>46037.0</v>
      </c>
      <c r="D16" s="64" t="s">
        <v>2727</v>
      </c>
      <c r="E16" s="1118" t="s">
        <v>2728</v>
      </c>
      <c r="F16" s="1118" t="s">
        <v>2729</v>
      </c>
      <c r="G16" s="7" t="s">
        <v>1392</v>
      </c>
      <c r="H16" s="64" t="b">
        <v>1</v>
      </c>
      <c r="I16" s="7" t="s">
        <v>2687</v>
      </c>
      <c r="J16" s="1119"/>
      <c r="K16" s="1119">
        <v>5.1947829156E10</v>
      </c>
      <c r="L16" s="13">
        <v>300.0</v>
      </c>
      <c r="M16" s="1120">
        <v>5500.0</v>
      </c>
      <c r="N16" s="1128">
        <v>5299.0</v>
      </c>
      <c r="O16" s="1122">
        <v>1375.0</v>
      </c>
      <c r="P16" s="13">
        <f>locales[TOTAL COBRADO]-locales[PRECIO DE SOLO LAPTOP]</f>
        <v>201</v>
      </c>
      <c r="Q16" s="92">
        <v>31.0</v>
      </c>
      <c r="R16" s="1124">
        <v>170.0</v>
      </c>
      <c r="S16" s="1125"/>
      <c r="T16" s="1125"/>
      <c r="U16" s="1126"/>
      <c r="V16" s="1126"/>
    </row>
    <row r="17" ht="22.5" customHeight="1">
      <c r="A17" s="7" t="s">
        <v>162</v>
      </c>
      <c r="B17" s="1116" t="s">
        <v>2683</v>
      </c>
      <c r="C17" s="1133">
        <v>46050.0</v>
      </c>
      <c r="D17" s="64" t="s">
        <v>2730</v>
      </c>
      <c r="E17" s="1118" t="s">
        <v>2731</v>
      </c>
      <c r="F17" s="999" t="s">
        <v>2732</v>
      </c>
      <c r="G17" s="7" t="s">
        <v>1392</v>
      </c>
      <c r="H17" s="64" t="b">
        <v>1</v>
      </c>
      <c r="I17" s="7"/>
      <c r="J17" s="1119"/>
      <c r="K17" s="1119">
        <v>5.1945384031E10</v>
      </c>
      <c r="L17" s="13">
        <v>300.0</v>
      </c>
      <c r="M17" s="1120">
        <v>4899.0</v>
      </c>
      <c r="N17" s="1128">
        <v>4750.0</v>
      </c>
      <c r="O17" s="1122">
        <v>1250.0</v>
      </c>
      <c r="P17" s="13">
        <f>locales[TOTAL COBRADO]-locales[PRECIO DE SOLO LAPTOP]</f>
        <v>149</v>
      </c>
      <c r="Q17" s="92">
        <v>9.0</v>
      </c>
      <c r="R17" s="1124">
        <v>140.0</v>
      </c>
      <c r="S17" s="1125"/>
      <c r="T17" s="1125"/>
      <c r="U17" s="1126"/>
      <c r="V17" s="1126"/>
    </row>
    <row r="18" ht="22.5" customHeight="1">
      <c r="A18" s="7" t="s">
        <v>1833</v>
      </c>
      <c r="B18" s="1116" t="s">
        <v>2683</v>
      </c>
      <c r="C18" s="1133">
        <v>46051.0</v>
      </c>
      <c r="D18" s="64" t="s">
        <v>2733</v>
      </c>
      <c r="E18" s="1118" t="s">
        <v>2734</v>
      </c>
      <c r="F18" s="1118" t="s">
        <v>2735</v>
      </c>
      <c r="G18" s="7" t="s">
        <v>1636</v>
      </c>
      <c r="H18" s="64" t="b">
        <v>1</v>
      </c>
      <c r="I18" s="7"/>
      <c r="J18" s="1119"/>
      <c r="K18" s="1119">
        <v>9.93919855E8</v>
      </c>
      <c r="L18" s="13">
        <v>8699.0</v>
      </c>
      <c r="M18" s="1120">
        <v>8699.0</v>
      </c>
      <c r="N18" s="1128">
        <v>8499.0</v>
      </c>
      <c r="O18" s="1122">
        <v>2265.0</v>
      </c>
      <c r="P18" s="13">
        <f>locales[TOTAL COBRADO]-locales[PRECIO DE SOLO LAPTOP]</f>
        <v>200</v>
      </c>
      <c r="Q18" s="92">
        <v>30.0</v>
      </c>
      <c r="R18" s="1124">
        <v>170.0</v>
      </c>
      <c r="S18" s="1125"/>
      <c r="T18" s="1125"/>
      <c r="U18" s="1126"/>
      <c r="V18" s="1126"/>
    </row>
    <row r="19" ht="22.5" customHeight="1">
      <c r="A19" s="7" t="s">
        <v>17</v>
      </c>
      <c r="B19" s="1116" t="s">
        <v>2683</v>
      </c>
      <c r="C19" s="1133">
        <v>46074.0</v>
      </c>
      <c r="D19" s="64" t="s">
        <v>2736</v>
      </c>
      <c r="E19" s="1118" t="s">
        <v>2737</v>
      </c>
      <c r="F19" s="1119" t="s">
        <v>2738</v>
      </c>
      <c r="G19" s="7" t="s">
        <v>1636</v>
      </c>
      <c r="H19" s="64" t="b">
        <v>1</v>
      </c>
      <c r="I19" s="7" t="s">
        <v>968</v>
      </c>
      <c r="J19" s="1119"/>
      <c r="K19" s="1119" t="s">
        <v>2739</v>
      </c>
      <c r="L19" s="13">
        <v>3799.0</v>
      </c>
      <c r="M19" s="1120">
        <v>3799.0</v>
      </c>
      <c r="N19" s="1128">
        <v>3450.0</v>
      </c>
      <c r="O19" s="1122">
        <v>870.0</v>
      </c>
      <c r="P19" s="13">
        <f>locales[TOTAL COBRADO]-locales[PRECIO DE SOLO LAPTOP]</f>
        <v>349</v>
      </c>
      <c r="Q19" s="92">
        <v>169.0</v>
      </c>
      <c r="R19" s="1124">
        <v>140.0</v>
      </c>
      <c r="S19" s="1125"/>
      <c r="T19" s="1125">
        <v>40.0</v>
      </c>
      <c r="U19" s="1126"/>
      <c r="V19" s="1126"/>
    </row>
    <row r="20" ht="22.5" customHeight="1">
      <c r="A20" s="7" t="s">
        <v>162</v>
      </c>
      <c r="B20" s="1116" t="s">
        <v>2683</v>
      </c>
      <c r="C20" s="1133">
        <v>46077.0</v>
      </c>
      <c r="D20" s="64" t="s">
        <v>2740</v>
      </c>
      <c r="E20" s="1118" t="s">
        <v>2741</v>
      </c>
      <c r="F20" s="1139" t="s">
        <v>2742</v>
      </c>
      <c r="G20" s="7" t="s">
        <v>1636</v>
      </c>
      <c r="H20" s="64" t="b">
        <v>1</v>
      </c>
      <c r="I20" s="7" t="s">
        <v>2687</v>
      </c>
      <c r="J20" s="1119" t="s">
        <v>2743</v>
      </c>
      <c r="K20" s="1119">
        <v>9.40709533E8</v>
      </c>
      <c r="L20" s="13">
        <v>300.0</v>
      </c>
      <c r="M20" s="1120">
        <v>3350.0</v>
      </c>
      <c r="N20" s="1128">
        <v>3199.0</v>
      </c>
      <c r="O20" s="1122">
        <v>800.0</v>
      </c>
      <c r="P20" s="13">
        <f>locales[TOTAL COBRADO]-locales[PRECIO DE SOLO LAPTOP]</f>
        <v>151</v>
      </c>
      <c r="Q20" s="92"/>
      <c r="R20" s="1124">
        <v>195.0</v>
      </c>
      <c r="S20" s="1125"/>
      <c r="T20" s="1125"/>
      <c r="U20" s="1126"/>
      <c r="V20" s="1126"/>
    </row>
    <row r="21" ht="22.5" customHeight="1">
      <c r="A21" s="7" t="s">
        <v>162</v>
      </c>
      <c r="B21" s="1116" t="s">
        <v>2722</v>
      </c>
      <c r="C21" s="1133">
        <v>46079.0</v>
      </c>
      <c r="D21" s="910" t="s">
        <v>2744</v>
      </c>
      <c r="E21" s="1140" t="s">
        <v>2745</v>
      </c>
      <c r="F21" s="1119" t="s">
        <v>2725</v>
      </c>
      <c r="G21" s="7" t="s">
        <v>1636</v>
      </c>
      <c r="H21" s="64" t="b">
        <v>1</v>
      </c>
      <c r="I21" s="7" t="s">
        <v>2687</v>
      </c>
      <c r="J21" s="1119"/>
      <c r="K21" s="1119">
        <v>5.1940317454E10</v>
      </c>
      <c r="L21" s="13">
        <v>2245.0</v>
      </c>
      <c r="M21" s="1120">
        <v>2245.0</v>
      </c>
      <c r="N21" s="1128">
        <v>2099.0</v>
      </c>
      <c r="O21" s="1122">
        <v>435.0</v>
      </c>
      <c r="P21" s="13">
        <f>locales[TOTAL COBRADO]-locales[PRECIO DE SOLO LAPTOP]</f>
        <v>146</v>
      </c>
      <c r="Q21" s="1123"/>
      <c r="R21" s="1124">
        <v>195.0</v>
      </c>
      <c r="S21" s="1125"/>
      <c r="T21" s="1125"/>
      <c r="U21" s="1126"/>
      <c r="V21" s="1126"/>
    </row>
    <row r="22" ht="22.5" customHeight="1">
      <c r="A22" s="7" t="s">
        <v>162</v>
      </c>
      <c r="B22" s="1116" t="s">
        <v>2683</v>
      </c>
      <c r="C22" s="1133">
        <v>46079.0</v>
      </c>
      <c r="D22" s="910" t="s">
        <v>2746</v>
      </c>
      <c r="E22" s="1141" t="s">
        <v>2747</v>
      </c>
      <c r="F22" s="1119" t="s">
        <v>2725</v>
      </c>
      <c r="G22" s="7" t="s">
        <v>1636</v>
      </c>
      <c r="H22" s="64" t="b">
        <v>1</v>
      </c>
      <c r="I22" s="7" t="s">
        <v>2687</v>
      </c>
      <c r="J22" s="1119"/>
      <c r="K22" s="1119">
        <v>5.1940317454E10</v>
      </c>
      <c r="L22" s="13">
        <v>5645.0</v>
      </c>
      <c r="M22" s="1120">
        <v>5645.0</v>
      </c>
      <c r="N22" s="1128">
        <v>5450.0</v>
      </c>
      <c r="O22" s="1122">
        <v>1440.0</v>
      </c>
      <c r="P22" s="13">
        <f>locales[TOTAL COBRADO]-locales[PRECIO DE SOLO LAPTOP]</f>
        <v>195</v>
      </c>
      <c r="Q22" s="1123"/>
      <c r="R22" s="1124">
        <v>195.0</v>
      </c>
      <c r="S22" s="1125"/>
      <c r="T22" s="1125"/>
      <c r="U22" s="1126"/>
      <c r="V22" s="1126"/>
    </row>
    <row r="23" ht="22.5" customHeight="1">
      <c r="A23" s="7" t="s">
        <v>162</v>
      </c>
      <c r="B23" s="1116" t="s">
        <v>2683</v>
      </c>
      <c r="C23" s="1133">
        <v>46080.0</v>
      </c>
      <c r="D23" s="64" t="s">
        <v>2748</v>
      </c>
      <c r="E23" s="1141" t="s">
        <v>2749</v>
      </c>
      <c r="F23" s="1119" t="s">
        <v>2750</v>
      </c>
      <c r="G23" s="7" t="s">
        <v>1636</v>
      </c>
      <c r="H23" s="64" t="b">
        <v>1</v>
      </c>
      <c r="I23" s="7"/>
      <c r="J23" s="1119"/>
      <c r="K23" s="1119" t="s">
        <v>2751</v>
      </c>
      <c r="L23" s="13">
        <v>500.0</v>
      </c>
      <c r="M23" s="1120">
        <v>2545.0</v>
      </c>
      <c r="N23" s="1128">
        <v>2299.0</v>
      </c>
      <c r="O23" s="1122">
        <v>540.0</v>
      </c>
      <c r="P23" s="13">
        <f>locales[TOTAL COBRADO]-locales[PRECIO DE SOLO LAPTOP]</f>
        <v>246</v>
      </c>
      <c r="Q23" s="1123">
        <v>21.0</v>
      </c>
      <c r="R23" s="1124">
        <v>195.0</v>
      </c>
      <c r="S23" s="1125">
        <v>30.0</v>
      </c>
      <c r="T23" s="1125"/>
      <c r="U23" s="1126"/>
      <c r="V23" s="1126"/>
    </row>
    <row r="24" ht="22.5" customHeight="1">
      <c r="A24" s="7" t="s">
        <v>162</v>
      </c>
      <c r="B24" s="1116" t="s">
        <v>2683</v>
      </c>
      <c r="C24" s="1133">
        <v>46086.0</v>
      </c>
      <c r="D24" s="64" t="s">
        <v>2752</v>
      </c>
      <c r="E24" s="1141" t="s">
        <v>2753</v>
      </c>
      <c r="F24" s="64" t="s">
        <v>2754</v>
      </c>
      <c r="G24" s="7" t="s">
        <v>1817</v>
      </c>
      <c r="H24" s="64" t="b">
        <v>1</v>
      </c>
      <c r="I24" s="7"/>
      <c r="J24" s="1119"/>
      <c r="K24" s="1119" t="s">
        <v>2755</v>
      </c>
      <c r="L24" s="13">
        <v>300.0</v>
      </c>
      <c r="M24" s="1120">
        <v>5719.0</v>
      </c>
      <c r="N24" s="1128">
        <v>5399.0</v>
      </c>
      <c r="O24" s="1122">
        <v>1400.0</v>
      </c>
      <c r="P24" s="13">
        <f>locales[TOTAL COBRADO]-locales[PRECIO DE SOLO LAPTOP]</f>
        <v>320</v>
      </c>
      <c r="Q24" s="1123"/>
      <c r="R24" s="1124">
        <v>320.0</v>
      </c>
      <c r="S24" s="1125"/>
      <c r="T24" s="1125"/>
      <c r="U24" s="1126"/>
      <c r="V24" s="1126"/>
    </row>
    <row r="25" ht="22.5" customHeight="1">
      <c r="A25" s="7" t="s">
        <v>1824</v>
      </c>
      <c r="B25" s="1116" t="s">
        <v>2683</v>
      </c>
      <c r="C25" s="1133">
        <v>46104.0</v>
      </c>
      <c r="D25" s="64" t="s">
        <v>2756</v>
      </c>
      <c r="E25" s="1141" t="s">
        <v>2757</v>
      </c>
      <c r="F25" s="1141" t="s">
        <v>2758</v>
      </c>
      <c r="G25" s="7" t="s">
        <v>1817</v>
      </c>
      <c r="H25" s="64" t="b">
        <v>1</v>
      </c>
      <c r="I25" s="7" t="s">
        <v>968</v>
      </c>
      <c r="J25" s="1119"/>
      <c r="K25" s="1119">
        <v>5.1931236565E10</v>
      </c>
      <c r="L25" s="13">
        <v>8300.0</v>
      </c>
      <c r="M25" s="1120">
        <v>8300.0</v>
      </c>
      <c r="N25" s="1128">
        <v>7999.0</v>
      </c>
      <c r="O25" s="1122">
        <v>2059.0</v>
      </c>
      <c r="P25" s="13">
        <f>locales[TOTAL COBRADO]-locales[PRECIO DE SOLO LAPTOP]</f>
        <v>301</v>
      </c>
      <c r="Q25" s="1123">
        <v>76.0</v>
      </c>
      <c r="R25" s="1124">
        <v>190.0</v>
      </c>
      <c r="S25" s="1125"/>
      <c r="T25" s="1125">
        <v>35.0</v>
      </c>
      <c r="U25" s="1126"/>
      <c r="V25" s="1126"/>
    </row>
    <row r="26" ht="22.5" customHeight="1">
      <c r="A26" s="7" t="s">
        <v>162</v>
      </c>
      <c r="B26" s="24" t="s">
        <v>2683</v>
      </c>
      <c r="C26" s="1133">
        <v>46112.0</v>
      </c>
      <c r="D26" s="64" t="s">
        <v>2759</v>
      </c>
      <c r="E26" s="1142" t="s">
        <v>1508</v>
      </c>
      <c r="F26" s="1143" t="s">
        <v>2760</v>
      </c>
      <c r="G26" s="7" t="s">
        <v>1817</v>
      </c>
      <c r="H26" s="64" t="b">
        <v>1</v>
      </c>
      <c r="I26" s="7"/>
      <c r="J26" s="1119"/>
      <c r="K26" s="1119">
        <v>5.1976273493E10</v>
      </c>
      <c r="L26" s="13">
        <v>6599.0</v>
      </c>
      <c r="M26" s="1120">
        <v>6599.0</v>
      </c>
      <c r="N26" s="1128">
        <v>6499.0</v>
      </c>
      <c r="O26" s="1122">
        <v>1660.0</v>
      </c>
      <c r="P26" s="13">
        <f>locales[TOTAL COBRADO]-locales[PRECIO DE SOLO LAPTOP]</f>
        <v>100</v>
      </c>
      <c r="Q26" s="1123">
        <v>0.0</v>
      </c>
      <c r="R26" s="1144">
        <v>100.0</v>
      </c>
      <c r="S26" s="1125"/>
      <c r="T26" s="1125"/>
    </row>
    <row r="27" ht="22.5" customHeight="1">
      <c r="A27" s="7" t="s">
        <v>162</v>
      </c>
      <c r="B27" s="24" t="s">
        <v>2683</v>
      </c>
      <c r="C27" s="1133">
        <v>46112.0</v>
      </c>
      <c r="D27" s="64" t="s">
        <v>2761</v>
      </c>
      <c r="E27" s="1145" t="s">
        <v>2762</v>
      </c>
      <c r="F27" s="1143" t="s">
        <v>2763</v>
      </c>
      <c r="G27" s="7" t="s">
        <v>1817</v>
      </c>
      <c r="H27" s="64" t="b">
        <v>1</v>
      </c>
      <c r="I27" s="7"/>
      <c r="J27" s="1119"/>
      <c r="K27" s="1119">
        <v>5.19479155E10</v>
      </c>
      <c r="L27" s="13">
        <v>7745.0</v>
      </c>
      <c r="M27" s="1120">
        <v>7745.0</v>
      </c>
      <c r="N27" s="1128">
        <v>7550.0</v>
      </c>
      <c r="O27" s="1122">
        <v>1649.0</v>
      </c>
      <c r="P27" s="13">
        <f>locales[TOTAL COBRADO]-locales[PRECIO DE SOLO LAPTOP]</f>
        <v>195</v>
      </c>
      <c r="Q27" s="1123">
        <v>0.0</v>
      </c>
      <c r="R27" s="1144">
        <v>195.0</v>
      </c>
      <c r="S27" s="1125"/>
      <c r="T27" s="1125"/>
    </row>
    <row r="28" ht="22.5" customHeight="1">
      <c r="A28" s="7" t="s">
        <v>1824</v>
      </c>
      <c r="B28" s="24" t="s">
        <v>2722</v>
      </c>
      <c r="C28" s="1133">
        <v>46120.0</v>
      </c>
      <c r="D28" s="64" t="s">
        <v>2764</v>
      </c>
      <c r="E28" s="1145" t="s">
        <v>2765</v>
      </c>
      <c r="F28" s="1142" t="s">
        <v>2766</v>
      </c>
      <c r="G28" s="7" t="s">
        <v>2080</v>
      </c>
      <c r="H28" s="64" t="b">
        <v>1</v>
      </c>
      <c r="I28" s="7"/>
      <c r="J28" s="1119"/>
      <c r="K28" s="1119">
        <v>5.1950339361E10</v>
      </c>
      <c r="L28" s="13">
        <v>300.0</v>
      </c>
      <c r="M28" s="1120">
        <v>11050.0</v>
      </c>
      <c r="N28" s="1128">
        <v>10899.0</v>
      </c>
      <c r="O28" s="1122">
        <v>2443.0</v>
      </c>
      <c r="P28" s="13">
        <f>locales[TOTAL COBRADO]-locales[PRECIO DE SOLO LAPTOP]</f>
        <v>151</v>
      </c>
      <c r="Q28" s="1123">
        <v>51.0</v>
      </c>
      <c r="R28" s="1146">
        <v>100.0</v>
      </c>
      <c r="S28" s="1125"/>
      <c r="T28" s="1125"/>
      <c r="U28" s="68"/>
      <c r="V28" s="68"/>
    </row>
    <row r="29" ht="22.5" customHeight="1">
      <c r="A29" s="7" t="s">
        <v>162</v>
      </c>
      <c r="B29" s="24" t="s">
        <v>2683</v>
      </c>
      <c r="C29" s="1133">
        <v>46121.0</v>
      </c>
      <c r="D29" s="64" t="s">
        <v>2767</v>
      </c>
      <c r="E29" s="1145" t="s">
        <v>2768</v>
      </c>
      <c r="F29" s="1142" t="s">
        <v>2769</v>
      </c>
      <c r="G29" s="7" t="s">
        <v>2080</v>
      </c>
      <c r="H29" s="64" t="b">
        <v>1</v>
      </c>
      <c r="I29" s="7"/>
      <c r="J29" s="1119"/>
      <c r="K29" s="1119" t="s">
        <v>1518</v>
      </c>
      <c r="L29" s="13">
        <v>1712.0</v>
      </c>
      <c r="M29" s="1120">
        <v>3424.0</v>
      </c>
      <c r="N29" s="1128">
        <v>3199.0</v>
      </c>
      <c r="O29" s="1122">
        <v>789.0</v>
      </c>
      <c r="P29" s="13">
        <f>locales[TOTAL COBRADO]-locales[PRECIO DE SOLO LAPTOP]</f>
        <v>225</v>
      </c>
      <c r="Q29" s="1123">
        <v>40.0</v>
      </c>
      <c r="R29" s="1146">
        <v>185.0</v>
      </c>
      <c r="S29" s="1125"/>
      <c r="T29" s="1125"/>
      <c r="U29" s="68"/>
      <c r="V29" s="68"/>
    </row>
    <row r="30" ht="22.5" customHeight="1">
      <c r="A30" s="7" t="s">
        <v>162</v>
      </c>
      <c r="B30" s="24" t="s">
        <v>2683</v>
      </c>
      <c r="C30" s="1133">
        <v>46127.0</v>
      </c>
      <c r="D30" s="64" t="s">
        <v>2770</v>
      </c>
      <c r="E30" s="1145" t="s">
        <v>2771</v>
      </c>
      <c r="F30" s="1147" t="s">
        <v>2772</v>
      </c>
      <c r="G30" s="7" t="s">
        <v>2080</v>
      </c>
      <c r="H30" s="64" t="b">
        <v>1</v>
      </c>
      <c r="I30" s="7"/>
      <c r="J30" s="1119"/>
      <c r="K30" s="1148">
        <v>5.1959738088E10</v>
      </c>
      <c r="L30" s="1149">
        <v>4130.0</v>
      </c>
      <c r="M30" s="1120">
        <v>4130.0</v>
      </c>
      <c r="N30" s="1128">
        <v>3999.0</v>
      </c>
      <c r="O30" s="1122">
        <v>999.0</v>
      </c>
      <c r="P30" s="13">
        <f>locales[TOTAL COBRADO]-locales[PRECIO DE SOLO LAPTOP]</f>
        <v>131</v>
      </c>
      <c r="Q30" s="1123">
        <v>31.0</v>
      </c>
      <c r="R30" s="1146">
        <v>100.0</v>
      </c>
      <c r="S30" s="1125"/>
      <c r="T30" s="1125"/>
    </row>
    <row r="31" ht="22.5" customHeight="1">
      <c r="A31" s="7" t="s">
        <v>162</v>
      </c>
      <c r="B31" s="24" t="s">
        <v>2683</v>
      </c>
      <c r="C31" s="1133">
        <v>46129.0</v>
      </c>
      <c r="D31" s="64" t="s">
        <v>2773</v>
      </c>
      <c r="E31" s="1145" t="s">
        <v>2774</v>
      </c>
      <c r="F31" s="1147" t="s">
        <v>2775</v>
      </c>
      <c r="G31" s="7" t="s">
        <v>2080</v>
      </c>
      <c r="H31" s="64" t="b">
        <v>1</v>
      </c>
      <c r="I31" s="7"/>
      <c r="J31" s="1119"/>
      <c r="K31" s="1148">
        <v>5.1975776083E10</v>
      </c>
      <c r="L31" s="1149">
        <v>9319.0</v>
      </c>
      <c r="M31" s="1120">
        <v>9319.0</v>
      </c>
      <c r="N31" s="1128">
        <v>9199.0</v>
      </c>
      <c r="O31" s="1122">
        <v>2389.0</v>
      </c>
      <c r="P31" s="13">
        <f>locales[TOTAL COBRADO]-locales[PRECIO DE SOLO LAPTOP]</f>
        <v>120</v>
      </c>
      <c r="Q31" s="1123">
        <v>0.0</v>
      </c>
      <c r="R31" s="1146">
        <v>120.0</v>
      </c>
      <c r="S31" s="1125"/>
      <c r="T31" s="1125"/>
    </row>
    <row r="32" ht="22.5" customHeight="1">
      <c r="A32" s="7" t="s">
        <v>162</v>
      </c>
      <c r="B32" s="24" t="s">
        <v>2683</v>
      </c>
      <c r="C32" s="1133">
        <v>46136.0</v>
      </c>
      <c r="D32" s="64" t="s">
        <v>2776</v>
      </c>
      <c r="E32" s="1145" t="s">
        <v>2777</v>
      </c>
      <c r="F32" s="1147" t="s">
        <v>2778</v>
      </c>
      <c r="G32" s="7" t="s">
        <v>2080</v>
      </c>
      <c r="H32" s="64" t="b">
        <v>1</v>
      </c>
      <c r="I32" s="7"/>
      <c r="J32" s="1119"/>
      <c r="K32" s="1119">
        <v>5.1997411852E10</v>
      </c>
      <c r="L32" s="1149">
        <v>300.0</v>
      </c>
      <c r="M32" s="1120">
        <v>4545.0</v>
      </c>
      <c r="N32" s="1128">
        <v>4299.0</v>
      </c>
      <c r="O32" s="1122">
        <v>1079.0</v>
      </c>
      <c r="P32" s="13">
        <f>locales[TOTAL COBRADO]-locales[PRECIO DE SOLO LAPTOP]</f>
        <v>246</v>
      </c>
      <c r="Q32" s="1123">
        <v>6.0</v>
      </c>
      <c r="R32" s="1146">
        <v>240.0</v>
      </c>
      <c r="S32" s="1125"/>
      <c r="T32" s="1125"/>
    </row>
    <row r="33" ht="22.5" customHeight="1">
      <c r="A33" s="7" t="s">
        <v>162</v>
      </c>
      <c r="B33" s="24" t="s">
        <v>2683</v>
      </c>
      <c r="C33" s="1133">
        <v>46142.0</v>
      </c>
      <c r="D33" s="64" t="s">
        <v>2779</v>
      </c>
      <c r="E33" s="1145" t="s">
        <v>2780</v>
      </c>
      <c r="F33" s="1147" t="s">
        <v>2781</v>
      </c>
      <c r="G33" s="7" t="s">
        <v>2067</v>
      </c>
      <c r="H33" s="64" t="b">
        <v>1</v>
      </c>
      <c r="I33" s="7"/>
      <c r="J33" s="1119"/>
      <c r="K33" s="1119">
        <v>5.197429632E10</v>
      </c>
      <c r="L33" s="1149">
        <v>8380.0</v>
      </c>
      <c r="M33" s="1120">
        <v>8380.0</v>
      </c>
      <c r="N33" s="1128">
        <v>7999.0</v>
      </c>
      <c r="O33" s="1122">
        <v>2030.0</v>
      </c>
      <c r="P33" s="13">
        <f>locales[TOTAL COBRADO]-locales[PRECIO DE SOLO LAPTOP]</f>
        <v>381</v>
      </c>
      <c r="Q33" s="1123">
        <v>46.0</v>
      </c>
      <c r="R33" s="1146">
        <v>335.0</v>
      </c>
      <c r="S33" s="1125"/>
      <c r="T33" s="1125"/>
    </row>
    <row r="34" ht="22.5" customHeight="1">
      <c r="A34" s="7" t="s">
        <v>162</v>
      </c>
      <c r="B34" s="24" t="s">
        <v>2683</v>
      </c>
      <c r="C34" s="1133">
        <v>46155.0</v>
      </c>
      <c r="D34" s="64" t="s">
        <v>2782</v>
      </c>
      <c r="E34" s="1145" t="s">
        <v>2783</v>
      </c>
      <c r="F34" s="62" t="s">
        <v>2784</v>
      </c>
      <c r="G34" s="7" t="s">
        <v>2067</v>
      </c>
      <c r="H34" s="64" t="b">
        <v>1</v>
      </c>
      <c r="I34" s="7"/>
      <c r="J34" s="1119"/>
      <c r="K34" s="1119">
        <v>5.1976273493E10</v>
      </c>
      <c r="L34" s="1149">
        <v>3280.0</v>
      </c>
      <c r="M34" s="1120">
        <v>3280.0</v>
      </c>
      <c r="N34" s="1128">
        <v>2950.0</v>
      </c>
      <c r="O34" s="1122">
        <v>715.0</v>
      </c>
      <c r="P34" s="13">
        <f>locales[TOTAL COBRADO]-locales[PRECIO DE SOLO LAPTOP]</f>
        <v>330</v>
      </c>
      <c r="Q34" s="1123">
        <v>93.0</v>
      </c>
      <c r="R34" s="1146">
        <v>225.0</v>
      </c>
      <c r="S34" s="1125"/>
      <c r="T34" s="1125">
        <v>12.0</v>
      </c>
    </row>
    <row r="35" ht="22.5" customHeight="1">
      <c r="A35" s="7" t="s">
        <v>1824</v>
      </c>
      <c r="B35" s="24" t="s">
        <v>2683</v>
      </c>
      <c r="C35" s="1150">
        <v>46157.0</v>
      </c>
      <c r="D35" s="64" t="s">
        <v>2785</v>
      </c>
      <c r="E35" s="1145" t="s">
        <v>2786</v>
      </c>
      <c r="F35" s="62" t="s">
        <v>2787</v>
      </c>
      <c r="G35" s="7" t="s">
        <v>2067</v>
      </c>
      <c r="H35" s="64" t="b">
        <v>1</v>
      </c>
      <c r="I35" s="7"/>
      <c r="J35" s="1119"/>
      <c r="K35" s="1119">
        <v>5.1964266864E10</v>
      </c>
      <c r="L35" s="1149">
        <v>500.0</v>
      </c>
      <c r="M35" s="1151">
        <v>6499.0</v>
      </c>
      <c r="N35" s="1130">
        <v>6399.0</v>
      </c>
      <c r="O35" s="1122">
        <v>1660.0</v>
      </c>
      <c r="P35" s="13">
        <f>locales[TOTAL COBRADO]-locales[PRECIO DE SOLO LAPTOP]</f>
        <v>100</v>
      </c>
      <c r="Q35" s="1123"/>
      <c r="R35" s="1144">
        <v>100.0</v>
      </c>
      <c r="S35" s="1125"/>
      <c r="T35" s="1125"/>
    </row>
    <row r="36" ht="22.5" customHeight="1">
      <c r="A36" s="7" t="s">
        <v>1833</v>
      </c>
      <c r="B36" s="24" t="s">
        <v>2683</v>
      </c>
      <c r="C36" s="1152">
        <v>46160.0</v>
      </c>
      <c r="D36" s="64" t="s">
        <v>2788</v>
      </c>
      <c r="E36" s="1145" t="s">
        <v>2789</v>
      </c>
      <c r="F36" s="62" t="s">
        <v>2790</v>
      </c>
      <c r="G36" s="7" t="s">
        <v>2067</v>
      </c>
      <c r="H36" s="64" t="b">
        <v>1</v>
      </c>
      <c r="I36" s="7"/>
      <c r="J36" s="1119"/>
      <c r="K36" s="1119">
        <v>5.1941018145E10</v>
      </c>
      <c r="L36" s="1153">
        <v>300.0</v>
      </c>
      <c r="M36" s="1151">
        <v>6729.0</v>
      </c>
      <c r="N36" s="1154">
        <v>6399.0</v>
      </c>
      <c r="O36" s="1155">
        <v>1660.0</v>
      </c>
      <c r="P36" s="1125">
        <f>locales[TOTAL COBRADO]-locales[PRECIO DE SOLO LAPTOP]</f>
        <v>330</v>
      </c>
      <c r="Q36" s="1156">
        <f t="shared" ref="Q36:Q59" si="2">P36-R36-S36-T36</f>
        <v>170</v>
      </c>
      <c r="R36" s="1146">
        <v>100.0</v>
      </c>
      <c r="S36" s="1125"/>
      <c r="T36" s="1125">
        <v>60.0</v>
      </c>
    </row>
    <row r="37" ht="22.5" customHeight="1">
      <c r="A37" s="7" t="s">
        <v>1824</v>
      </c>
      <c r="B37" s="24" t="s">
        <v>2722</v>
      </c>
      <c r="C37" s="1152">
        <v>46171.0</v>
      </c>
      <c r="D37" s="64" t="s">
        <v>2791</v>
      </c>
      <c r="E37" s="1145" t="s">
        <v>2792</v>
      </c>
      <c r="F37" s="62" t="s">
        <v>2793</v>
      </c>
      <c r="G37" s="7" t="s">
        <v>471</v>
      </c>
      <c r="H37" s="64" t="b">
        <v>1</v>
      </c>
      <c r="I37" s="7"/>
      <c r="J37" s="1119"/>
      <c r="K37" s="1119" t="s">
        <v>2794</v>
      </c>
      <c r="L37" s="1153">
        <v>300.0</v>
      </c>
      <c r="M37" s="1151">
        <v>7750.0</v>
      </c>
      <c r="N37" s="1154">
        <v>7399.0</v>
      </c>
      <c r="O37" s="1155"/>
      <c r="P37" s="1125">
        <f>locales[TOTAL COBRADO]-locales[PRECIO DE SOLO LAPTOP]</f>
        <v>351</v>
      </c>
      <c r="Q37" s="1156">
        <f t="shared" si="2"/>
        <v>71</v>
      </c>
      <c r="R37" s="1146">
        <v>180.0</v>
      </c>
      <c r="S37" s="1125"/>
      <c r="T37" s="1125">
        <v>100.0</v>
      </c>
    </row>
    <row r="38" ht="22.5" customHeight="1">
      <c r="A38" s="7" t="s">
        <v>1833</v>
      </c>
      <c r="B38" s="24" t="s">
        <v>2722</v>
      </c>
      <c r="C38" s="1152">
        <v>46171.0</v>
      </c>
      <c r="D38" s="64" t="s">
        <v>2795</v>
      </c>
      <c r="E38" s="1145" t="s">
        <v>2796</v>
      </c>
      <c r="F38" s="62" t="s">
        <v>2797</v>
      </c>
      <c r="G38" s="7" t="s">
        <v>471</v>
      </c>
      <c r="H38" s="64" t="b">
        <v>1</v>
      </c>
      <c r="I38" s="7"/>
      <c r="J38" s="1119"/>
      <c r="K38" s="1119">
        <v>5.1987440424E10</v>
      </c>
      <c r="L38" s="1153"/>
      <c r="M38" s="1151">
        <v>21029.0</v>
      </c>
      <c r="N38" s="1154">
        <v>20999.0</v>
      </c>
      <c r="O38" s="1155">
        <v>4750.0</v>
      </c>
      <c r="P38" s="1125">
        <f>locales[TOTAL COBRADO]-locales[PRECIO DE SOLO LAPTOP]</f>
        <v>30</v>
      </c>
      <c r="Q38" s="1156">
        <f t="shared" si="2"/>
        <v>0</v>
      </c>
      <c r="R38" s="1035">
        <v>30.0</v>
      </c>
      <c r="S38" s="1125"/>
      <c r="T38" s="1125"/>
    </row>
    <row r="39" ht="22.5" customHeight="1">
      <c r="A39" s="7" t="s">
        <v>1824</v>
      </c>
      <c r="B39" s="24" t="s">
        <v>2683</v>
      </c>
      <c r="C39" s="1152">
        <v>46172.0</v>
      </c>
      <c r="D39" s="64" t="s">
        <v>2798</v>
      </c>
      <c r="E39" s="1157" t="s">
        <v>2786</v>
      </c>
      <c r="F39" s="1118" t="s">
        <v>2799</v>
      </c>
      <c r="G39" s="7" t="s">
        <v>471</v>
      </c>
      <c r="H39" s="64" t="b">
        <v>1</v>
      </c>
      <c r="I39" s="7"/>
      <c r="J39" s="1119"/>
      <c r="K39" s="1119" t="s">
        <v>2800</v>
      </c>
      <c r="L39" s="1158">
        <v>2000.0</v>
      </c>
      <c r="M39" s="1151">
        <v>6399.0</v>
      </c>
      <c r="N39" s="1154">
        <v>6399.0</v>
      </c>
      <c r="O39" s="1155">
        <v>0.0</v>
      </c>
      <c r="P39" s="1125">
        <f>locales[TOTAL COBRADO]-locales[PRECIO DE SOLO LAPTOP]</f>
        <v>0</v>
      </c>
      <c r="Q39" s="1159">
        <f t="shared" si="2"/>
        <v>0</v>
      </c>
      <c r="R39" s="1146"/>
      <c r="S39" s="1125"/>
      <c r="T39" s="1125"/>
    </row>
    <row r="40" ht="22.5" customHeight="1">
      <c r="A40" s="7" t="s">
        <v>1833</v>
      </c>
      <c r="B40" s="24" t="s">
        <v>2722</v>
      </c>
      <c r="C40" s="1152">
        <v>46183.0</v>
      </c>
      <c r="D40" s="64" t="s">
        <v>2801</v>
      </c>
      <c r="E40" s="1160" t="s">
        <v>2802</v>
      </c>
      <c r="F40" s="1118" t="s">
        <v>2803</v>
      </c>
      <c r="G40" s="7" t="s">
        <v>471</v>
      </c>
      <c r="H40" s="64" t="b">
        <v>1</v>
      </c>
      <c r="I40" s="7"/>
      <c r="J40" s="1119"/>
      <c r="K40" s="64">
        <v>9.58929061E8</v>
      </c>
      <c r="L40" s="1158"/>
      <c r="M40" s="1120">
        <v>7850.0</v>
      </c>
      <c r="N40" s="1035">
        <v>7599.0</v>
      </c>
      <c r="O40" s="1155">
        <v>1697.0</v>
      </c>
      <c r="P40" s="1125">
        <f>locales[TOTAL COBRADO]-locales[PRECIO DE SOLO LAPTOP]</f>
        <v>251</v>
      </c>
      <c r="Q40" s="1159">
        <f t="shared" si="2"/>
        <v>16</v>
      </c>
      <c r="R40" s="1146">
        <v>235.0</v>
      </c>
      <c r="S40" s="1125"/>
      <c r="T40" s="1125"/>
    </row>
    <row r="41" ht="22.5" customHeight="1">
      <c r="A41" s="7" t="s">
        <v>1833</v>
      </c>
      <c r="B41" s="24" t="s">
        <v>2683</v>
      </c>
      <c r="C41" s="1152">
        <v>46183.0</v>
      </c>
      <c r="D41" s="64" t="s">
        <v>2804</v>
      </c>
      <c r="E41" s="1157" t="s">
        <v>2805</v>
      </c>
      <c r="F41" s="1118" t="s">
        <v>2806</v>
      </c>
      <c r="G41" s="7" t="s">
        <v>471</v>
      </c>
      <c r="H41" s="64" t="b">
        <v>1</v>
      </c>
      <c r="I41" s="7"/>
      <c r="J41" s="1119"/>
      <c r="K41" s="64">
        <v>9.97839314E8</v>
      </c>
      <c r="L41" s="1158">
        <v>100.0</v>
      </c>
      <c r="M41" s="1120">
        <v>7780.0</v>
      </c>
      <c r="N41" s="1154">
        <v>7499.0</v>
      </c>
      <c r="O41" s="1155">
        <v>1960.0</v>
      </c>
      <c r="P41" s="1125">
        <f>locales[TOTAL COBRADO]-locales[PRECIO DE SOLO LAPTOP]</f>
        <v>281</v>
      </c>
      <c r="Q41" s="1159">
        <f t="shared" si="2"/>
        <v>56</v>
      </c>
      <c r="R41" s="1146">
        <v>225.0</v>
      </c>
      <c r="S41" s="1125"/>
      <c r="T41" s="1125"/>
    </row>
    <row r="42" ht="22.5" customHeight="1">
      <c r="A42" s="7" t="s">
        <v>162</v>
      </c>
      <c r="B42" s="24" t="s">
        <v>2683</v>
      </c>
      <c r="C42" s="1152">
        <v>46186.0</v>
      </c>
      <c r="D42" s="64" t="s">
        <v>2807</v>
      </c>
      <c r="E42" s="1157" t="s">
        <v>2808</v>
      </c>
      <c r="F42" s="1118" t="s">
        <v>2809</v>
      </c>
      <c r="G42" s="7" t="s">
        <v>471</v>
      </c>
      <c r="H42" s="64" t="b">
        <v>1</v>
      </c>
      <c r="I42" s="7"/>
      <c r="J42" s="1119"/>
      <c r="K42" s="64" t="s">
        <v>2810</v>
      </c>
      <c r="L42" s="1158">
        <v>7124.0</v>
      </c>
      <c r="M42" s="1120">
        <v>7124.0</v>
      </c>
      <c r="N42" s="1154">
        <v>6999.0</v>
      </c>
      <c r="O42" s="1155">
        <v>1830.0</v>
      </c>
      <c r="P42" s="1125">
        <f>locales[TOTAL COBRADO]-locales[PRECIO DE SOLO LAPTOP]</f>
        <v>125</v>
      </c>
      <c r="Q42" s="1159">
        <f t="shared" si="2"/>
        <v>0</v>
      </c>
      <c r="R42" s="1146">
        <v>100.0</v>
      </c>
      <c r="S42" s="1125">
        <v>25.0</v>
      </c>
      <c r="T42" s="1125"/>
    </row>
    <row r="43" ht="22.5" customHeight="1">
      <c r="A43" s="7" t="s">
        <v>162</v>
      </c>
      <c r="B43" s="24" t="s">
        <v>2722</v>
      </c>
      <c r="C43" s="1152">
        <v>46197.0</v>
      </c>
      <c r="D43" s="64" t="s">
        <v>2811</v>
      </c>
      <c r="E43" s="1157" t="s">
        <v>2812</v>
      </c>
      <c r="F43" s="1118" t="s">
        <v>2813</v>
      </c>
      <c r="G43" s="7" t="s">
        <v>172</v>
      </c>
      <c r="H43" s="64" t="b">
        <v>0</v>
      </c>
      <c r="I43" s="7"/>
      <c r="J43" s="1119"/>
      <c r="K43" s="1119">
        <v>9.74493183E8</v>
      </c>
      <c r="L43" s="1158">
        <v>500.0</v>
      </c>
      <c r="M43" s="1120">
        <v>19780.0</v>
      </c>
      <c r="N43" s="1154">
        <v>18999.0</v>
      </c>
      <c r="O43" s="1155">
        <v>4254.0</v>
      </c>
      <c r="P43" s="1125">
        <f>locales[TOTAL COBRADO]-locales[PRECIO DE SOLO LAPTOP]</f>
        <v>781</v>
      </c>
      <c r="Q43" s="1159">
        <f t="shared" si="2"/>
        <v>461</v>
      </c>
      <c r="R43" s="1146">
        <v>320.0</v>
      </c>
      <c r="S43" s="1125"/>
      <c r="T43" s="1125"/>
    </row>
    <row r="44" ht="22.5" customHeight="1">
      <c r="A44" s="7" t="s">
        <v>1833</v>
      </c>
      <c r="B44" s="24" t="s">
        <v>2722</v>
      </c>
      <c r="C44" s="1152">
        <v>46198.0</v>
      </c>
      <c r="D44" s="64" t="s">
        <v>2814</v>
      </c>
      <c r="E44" s="1161" t="s">
        <v>2815</v>
      </c>
      <c r="F44" s="1118" t="s">
        <v>2816</v>
      </c>
      <c r="G44" s="7" t="s">
        <v>172</v>
      </c>
      <c r="H44" s="64" t="b">
        <v>0</v>
      </c>
      <c r="I44" s="7"/>
      <c r="J44" s="1119"/>
      <c r="K44" s="1119">
        <v>9.7501039E8</v>
      </c>
      <c r="L44" s="1158">
        <v>100.0</v>
      </c>
      <c r="M44" s="1120">
        <v>7829.0</v>
      </c>
      <c r="N44" s="1154">
        <v>7429.0</v>
      </c>
      <c r="O44" s="1155">
        <v>1672.0</v>
      </c>
      <c r="P44" s="1125">
        <f>locales[TOTAL COBRADO]-locales[PRECIO DE SOLO LAPTOP]</f>
        <v>400</v>
      </c>
      <c r="Q44" s="1159">
        <f t="shared" si="2"/>
        <v>400</v>
      </c>
      <c r="R44" s="1146"/>
      <c r="S44" s="1125"/>
      <c r="T44" s="1125"/>
    </row>
    <row r="45" ht="22.5" customHeight="1">
      <c r="A45" s="1162"/>
      <c r="B45" s="1163"/>
      <c r="C45" s="1152"/>
      <c r="D45" s="64"/>
      <c r="E45" s="1157"/>
      <c r="F45" s="1118"/>
      <c r="G45" s="1162"/>
      <c r="H45" s="64" t="b">
        <v>0</v>
      </c>
      <c r="I45" s="7"/>
      <c r="J45" s="1119"/>
      <c r="K45" s="1119"/>
      <c r="L45" s="1158"/>
      <c r="M45" s="1164"/>
      <c r="N45" s="1154"/>
      <c r="O45" s="1155"/>
      <c r="P45" s="1125">
        <f>locales[TOTAL COBRADO]-locales[PRECIO DE SOLO LAPTOP]</f>
        <v>0</v>
      </c>
      <c r="Q45" s="1159">
        <f t="shared" si="2"/>
        <v>0</v>
      </c>
      <c r="R45" s="1146"/>
      <c r="S45" s="1125"/>
      <c r="T45" s="1125"/>
    </row>
    <row r="46" ht="22.5" customHeight="1">
      <c r="A46" s="1162"/>
      <c r="B46" s="1163"/>
      <c r="C46" s="1152"/>
      <c r="D46" s="64"/>
      <c r="E46" s="1157"/>
      <c r="F46" s="1118"/>
      <c r="G46" s="1162"/>
      <c r="H46" s="64" t="b">
        <v>0</v>
      </c>
      <c r="I46" s="7"/>
      <c r="J46" s="1119"/>
      <c r="K46" s="1119"/>
      <c r="L46" s="1158"/>
      <c r="M46" s="1164"/>
      <c r="N46" s="1154"/>
      <c r="O46" s="1155"/>
      <c r="P46" s="1125">
        <f>locales[TOTAL COBRADO]-locales[PRECIO DE SOLO LAPTOP]</f>
        <v>0</v>
      </c>
      <c r="Q46" s="1159">
        <f t="shared" si="2"/>
        <v>0</v>
      </c>
      <c r="R46" s="1146"/>
      <c r="S46" s="1125"/>
      <c r="T46" s="1125"/>
    </row>
    <row r="47" ht="22.5" customHeight="1">
      <c r="A47" s="1162"/>
      <c r="B47" s="1163"/>
      <c r="C47" s="1152"/>
      <c r="D47" s="64"/>
      <c r="E47" s="1157"/>
      <c r="F47" s="1118"/>
      <c r="G47" s="1162"/>
      <c r="H47" s="64" t="b">
        <v>0</v>
      </c>
      <c r="I47" s="7"/>
      <c r="J47" s="1119"/>
      <c r="K47" s="1119"/>
      <c r="L47" s="1158"/>
      <c r="M47" s="1164"/>
      <c r="N47" s="1154"/>
      <c r="O47" s="1155"/>
      <c r="P47" s="1125">
        <f>locales[TOTAL COBRADO]-locales[PRECIO DE SOLO LAPTOP]</f>
        <v>0</v>
      </c>
      <c r="Q47" s="1159">
        <f t="shared" si="2"/>
        <v>0</v>
      </c>
      <c r="R47" s="1146"/>
      <c r="S47" s="1125"/>
      <c r="T47" s="1125"/>
    </row>
    <row r="48" ht="22.5" customHeight="1">
      <c r="A48" s="1162"/>
      <c r="B48" s="1163"/>
      <c r="C48" s="1152"/>
      <c r="D48" s="64"/>
      <c r="E48" s="1157"/>
      <c r="F48" s="1118"/>
      <c r="G48" s="1162"/>
      <c r="H48" s="64" t="b">
        <v>0</v>
      </c>
      <c r="I48" s="7"/>
      <c r="J48" s="1119"/>
      <c r="K48" s="1119"/>
      <c r="L48" s="1158"/>
      <c r="M48" s="1164"/>
      <c r="N48" s="1154"/>
      <c r="O48" s="1155"/>
      <c r="P48" s="1125">
        <f>locales[TOTAL COBRADO]-locales[PRECIO DE SOLO LAPTOP]</f>
        <v>0</v>
      </c>
      <c r="Q48" s="1159">
        <f t="shared" si="2"/>
        <v>0</v>
      </c>
      <c r="R48" s="1146"/>
      <c r="S48" s="1125"/>
      <c r="T48" s="1125"/>
    </row>
    <row r="49" ht="22.5" customHeight="1">
      <c r="A49" s="1162"/>
      <c r="B49" s="1163"/>
      <c r="C49" s="1152"/>
      <c r="D49" s="64"/>
      <c r="E49" s="1157"/>
      <c r="F49" s="1118"/>
      <c r="G49" s="1162"/>
      <c r="H49" s="64" t="b">
        <v>0</v>
      </c>
      <c r="I49" s="7"/>
      <c r="J49" s="1119"/>
      <c r="K49" s="1119"/>
      <c r="L49" s="1158"/>
      <c r="M49" s="1164"/>
      <c r="N49" s="1154"/>
      <c r="O49" s="1155"/>
      <c r="P49" s="1125">
        <f>locales[TOTAL COBRADO]-locales[PRECIO DE SOLO LAPTOP]</f>
        <v>0</v>
      </c>
      <c r="Q49" s="1159">
        <f t="shared" si="2"/>
        <v>0</v>
      </c>
      <c r="R49" s="1146"/>
      <c r="S49" s="1125"/>
      <c r="T49" s="1125"/>
    </row>
    <row r="50" ht="22.5" customHeight="1">
      <c r="A50" s="1162"/>
      <c r="B50" s="1163"/>
      <c r="C50" s="1152"/>
      <c r="D50" s="64"/>
      <c r="E50" s="1157"/>
      <c r="F50" s="1118"/>
      <c r="G50" s="1162"/>
      <c r="H50" s="64" t="b">
        <v>0</v>
      </c>
      <c r="I50" s="7"/>
      <c r="J50" s="1119"/>
      <c r="K50" s="1119"/>
      <c r="L50" s="1158"/>
      <c r="M50" s="1164"/>
      <c r="N50" s="1154"/>
      <c r="O50" s="1155"/>
      <c r="P50" s="1125">
        <f>locales[TOTAL COBRADO]-locales[PRECIO DE SOLO LAPTOP]</f>
        <v>0</v>
      </c>
      <c r="Q50" s="1159">
        <f t="shared" si="2"/>
        <v>0</v>
      </c>
      <c r="R50" s="1146"/>
      <c r="S50" s="1125"/>
      <c r="T50" s="1125"/>
    </row>
    <row r="51" ht="22.5" customHeight="1">
      <c r="A51" s="1162"/>
      <c r="B51" s="1163"/>
      <c r="C51" s="1152"/>
      <c r="D51" s="64"/>
      <c r="E51" s="1157"/>
      <c r="F51" s="1118"/>
      <c r="G51" s="1162"/>
      <c r="H51" s="64" t="b">
        <v>0</v>
      </c>
      <c r="I51" s="7"/>
      <c r="J51" s="1119"/>
      <c r="K51" s="1119"/>
      <c r="L51" s="1158"/>
      <c r="M51" s="1164"/>
      <c r="N51" s="1154"/>
      <c r="O51" s="1155"/>
      <c r="P51" s="1125">
        <f>locales[TOTAL COBRADO]-locales[PRECIO DE SOLO LAPTOP]</f>
        <v>0</v>
      </c>
      <c r="Q51" s="1159">
        <f t="shared" si="2"/>
        <v>0</v>
      </c>
      <c r="R51" s="1146"/>
      <c r="S51" s="1125"/>
      <c r="T51" s="1125"/>
    </row>
    <row r="52" ht="22.5" customHeight="1">
      <c r="A52" s="1162"/>
      <c r="B52" s="1163"/>
      <c r="C52" s="1152"/>
      <c r="D52" s="64"/>
      <c r="E52" s="1157"/>
      <c r="F52" s="1118"/>
      <c r="G52" s="1162"/>
      <c r="H52" s="64" t="b">
        <v>0</v>
      </c>
      <c r="I52" s="7"/>
      <c r="J52" s="1119"/>
      <c r="K52" s="1119"/>
      <c r="L52" s="1158"/>
      <c r="M52" s="1164"/>
      <c r="N52" s="1154"/>
      <c r="O52" s="1155"/>
      <c r="P52" s="1125">
        <f>locales[TOTAL COBRADO]-locales[PRECIO DE SOLO LAPTOP]</f>
        <v>0</v>
      </c>
      <c r="Q52" s="1159">
        <f t="shared" si="2"/>
        <v>0</v>
      </c>
      <c r="R52" s="1146"/>
      <c r="S52" s="1125"/>
      <c r="T52" s="1125"/>
    </row>
    <row r="53" ht="22.5" customHeight="1">
      <c r="A53" s="1162"/>
      <c r="B53" s="1163"/>
      <c r="C53" s="1152"/>
      <c r="D53" s="64"/>
      <c r="E53" s="1157"/>
      <c r="F53" s="1118"/>
      <c r="G53" s="1162"/>
      <c r="H53" s="64" t="b">
        <v>0</v>
      </c>
      <c r="I53" s="7"/>
      <c r="J53" s="1119"/>
      <c r="K53" s="1119"/>
      <c r="L53" s="1158"/>
      <c r="M53" s="1164"/>
      <c r="N53" s="1154"/>
      <c r="O53" s="1155"/>
      <c r="P53" s="1125">
        <f>locales[TOTAL COBRADO]-locales[PRECIO DE SOLO LAPTOP]</f>
        <v>0</v>
      </c>
      <c r="Q53" s="1159">
        <f t="shared" si="2"/>
        <v>0</v>
      </c>
      <c r="R53" s="1146"/>
      <c r="S53" s="1125"/>
      <c r="T53" s="1125"/>
    </row>
    <row r="54" ht="22.5" customHeight="1">
      <c r="A54" s="1162"/>
      <c r="B54" s="1163"/>
      <c r="C54" s="1152"/>
      <c r="D54" s="64"/>
      <c r="E54" s="1157"/>
      <c r="F54" s="1118"/>
      <c r="G54" s="1162"/>
      <c r="H54" s="64" t="b">
        <v>0</v>
      </c>
      <c r="I54" s="7"/>
      <c r="J54" s="1119"/>
      <c r="K54" s="1119"/>
      <c r="L54" s="1158"/>
      <c r="M54" s="1164"/>
      <c r="N54" s="1154"/>
      <c r="O54" s="1155"/>
      <c r="P54" s="1125">
        <f>locales[TOTAL COBRADO]-locales[PRECIO DE SOLO LAPTOP]</f>
        <v>0</v>
      </c>
      <c r="Q54" s="1159">
        <f t="shared" si="2"/>
        <v>0</v>
      </c>
      <c r="R54" s="1146"/>
      <c r="S54" s="1125"/>
      <c r="T54" s="1125"/>
    </row>
    <row r="55" ht="22.5" customHeight="1">
      <c r="A55" s="1162"/>
      <c r="B55" s="1163"/>
      <c r="C55" s="1152"/>
      <c r="D55" s="64"/>
      <c r="E55" s="1157"/>
      <c r="F55" s="1118"/>
      <c r="G55" s="1162"/>
      <c r="H55" s="64" t="b">
        <v>0</v>
      </c>
      <c r="I55" s="7"/>
      <c r="J55" s="1119"/>
      <c r="K55" s="1119"/>
      <c r="L55" s="1158"/>
      <c r="M55" s="1164"/>
      <c r="N55" s="1154"/>
      <c r="O55" s="1155"/>
      <c r="P55" s="1125">
        <f>locales[TOTAL COBRADO]-locales[PRECIO DE SOLO LAPTOP]</f>
        <v>0</v>
      </c>
      <c r="Q55" s="1159">
        <f t="shared" si="2"/>
        <v>0</v>
      </c>
      <c r="R55" s="1146"/>
      <c r="S55" s="1125"/>
      <c r="T55" s="1125"/>
    </row>
    <row r="56" ht="22.5" customHeight="1">
      <c r="A56" s="1162"/>
      <c r="B56" s="1163"/>
      <c r="C56" s="1152"/>
      <c r="D56" s="64"/>
      <c r="E56" s="1157"/>
      <c r="F56" s="1118"/>
      <c r="G56" s="1162"/>
      <c r="H56" s="64" t="b">
        <v>0</v>
      </c>
      <c r="I56" s="7"/>
      <c r="J56" s="1119"/>
      <c r="K56" s="1119"/>
      <c r="L56" s="1158"/>
      <c r="M56" s="1164"/>
      <c r="N56" s="1154"/>
      <c r="O56" s="1155"/>
      <c r="P56" s="1125">
        <f>locales[TOTAL COBRADO]-locales[PRECIO DE SOLO LAPTOP]</f>
        <v>0</v>
      </c>
      <c r="Q56" s="1159">
        <f t="shared" si="2"/>
        <v>0</v>
      </c>
      <c r="R56" s="1146"/>
      <c r="S56" s="1125"/>
      <c r="T56" s="1125"/>
    </row>
    <row r="57" ht="22.5" customHeight="1">
      <c r="A57" s="1162"/>
      <c r="B57" s="1163"/>
      <c r="C57" s="1152"/>
      <c r="D57" s="64"/>
      <c r="E57" s="1157"/>
      <c r="F57" s="1118"/>
      <c r="G57" s="1162"/>
      <c r="H57" s="64" t="b">
        <v>0</v>
      </c>
      <c r="I57" s="7"/>
      <c r="J57" s="1119"/>
      <c r="K57" s="1119"/>
      <c r="L57" s="1158"/>
      <c r="M57" s="1164"/>
      <c r="N57" s="1154"/>
      <c r="O57" s="1155"/>
      <c r="P57" s="1125">
        <f>locales[TOTAL COBRADO]-locales[PRECIO DE SOLO LAPTOP]</f>
        <v>0</v>
      </c>
      <c r="Q57" s="1159">
        <f t="shared" si="2"/>
        <v>0</v>
      </c>
      <c r="R57" s="1146"/>
      <c r="S57" s="1125"/>
      <c r="T57" s="1125"/>
    </row>
    <row r="58" ht="22.5" customHeight="1">
      <c r="A58" s="1162"/>
      <c r="B58" s="1163"/>
      <c r="C58" s="1152"/>
      <c r="D58" s="64"/>
      <c r="E58" s="1157"/>
      <c r="F58" s="1118"/>
      <c r="G58" s="1162"/>
      <c r="H58" s="64" t="b">
        <v>0</v>
      </c>
      <c r="I58" s="7"/>
      <c r="J58" s="1119"/>
      <c r="K58" s="1119"/>
      <c r="L58" s="1158"/>
      <c r="M58" s="1164"/>
      <c r="N58" s="1154"/>
      <c r="O58" s="1155"/>
      <c r="P58" s="1125">
        <f>locales[TOTAL COBRADO]-locales[PRECIO DE SOLO LAPTOP]</f>
        <v>0</v>
      </c>
      <c r="Q58" s="1159">
        <f t="shared" si="2"/>
        <v>0</v>
      </c>
      <c r="R58" s="1146"/>
      <c r="S58" s="1125"/>
      <c r="T58" s="1125"/>
    </row>
    <row r="59" ht="22.5" customHeight="1">
      <c r="A59" s="1162"/>
      <c r="B59" s="1163"/>
      <c r="C59" s="1152"/>
      <c r="D59" s="64"/>
      <c r="E59" s="1157"/>
      <c r="F59" s="1118"/>
      <c r="G59" s="1162"/>
      <c r="H59" s="64" t="b">
        <v>0</v>
      </c>
      <c r="I59" s="7"/>
      <c r="J59" s="1119"/>
      <c r="K59" s="1119"/>
      <c r="L59" s="1158"/>
      <c r="M59" s="1164"/>
      <c r="N59" s="1154"/>
      <c r="O59" s="1155"/>
      <c r="P59" s="1125">
        <f>locales[TOTAL COBRADO]-locales[PRECIO DE SOLO LAPTOP]</f>
        <v>0</v>
      </c>
      <c r="Q59" s="1159">
        <f t="shared" si="2"/>
        <v>0</v>
      </c>
      <c r="R59" s="1146"/>
      <c r="S59" s="1125"/>
      <c r="T59" s="1125"/>
    </row>
    <row r="60">
      <c r="B60" s="1165"/>
      <c r="F60" s="1166"/>
      <c r="L60" s="53"/>
      <c r="M60" s="1167"/>
      <c r="N60" s="1168"/>
      <c r="O60" s="53"/>
      <c r="P60" s="53"/>
      <c r="Q60" s="1169"/>
      <c r="R60" s="1170"/>
    </row>
    <row r="61">
      <c r="B61" s="1165"/>
      <c r="F61" s="1166"/>
      <c r="L61" s="53"/>
      <c r="M61" s="1167"/>
      <c r="N61" s="53"/>
      <c r="O61" s="53"/>
      <c r="P61" s="53"/>
      <c r="Q61" s="1169"/>
      <c r="R61" s="1170"/>
    </row>
    <row r="62">
      <c r="B62" s="1165"/>
      <c r="F62" s="1166"/>
      <c r="L62" s="53"/>
      <c r="M62" s="1167"/>
      <c r="N62" s="53"/>
      <c r="O62" s="53"/>
      <c r="P62" s="53"/>
      <c r="Q62" s="1169"/>
      <c r="R62" s="1170"/>
    </row>
    <row r="63">
      <c r="B63" s="1165"/>
      <c r="F63" s="1166"/>
      <c r="L63" s="53"/>
      <c r="M63" s="1167"/>
      <c r="N63" s="53"/>
      <c r="O63" s="53"/>
      <c r="P63" s="53"/>
      <c r="Q63" s="1169"/>
      <c r="R63" s="1170"/>
    </row>
    <row r="64">
      <c r="B64" s="1165"/>
      <c r="F64" s="1166"/>
      <c r="L64" s="53"/>
      <c r="M64" s="1167"/>
      <c r="N64" s="53"/>
      <c r="O64" s="53"/>
      <c r="P64" s="53"/>
      <c r="Q64" s="1169"/>
      <c r="R64" s="1170"/>
    </row>
    <row r="65">
      <c r="B65" s="1165"/>
      <c r="F65" s="1166"/>
      <c r="L65" s="53"/>
      <c r="M65" s="1167"/>
      <c r="N65" s="53"/>
      <c r="O65" s="53"/>
      <c r="P65" s="53"/>
      <c r="Q65" s="1169"/>
      <c r="R65" s="1170"/>
    </row>
    <row r="66">
      <c r="B66" s="1165"/>
      <c r="F66" s="1166"/>
      <c r="L66" s="53"/>
      <c r="M66" s="1167"/>
      <c r="N66" s="53"/>
      <c r="O66" s="53"/>
      <c r="P66" s="53"/>
      <c r="Q66" s="1169"/>
      <c r="R66" s="1170"/>
    </row>
    <row r="67">
      <c r="B67" s="1165"/>
      <c r="F67" s="1166"/>
      <c r="L67" s="53"/>
      <c r="M67" s="1167"/>
      <c r="N67" s="53"/>
      <c r="O67" s="53"/>
      <c r="P67" s="53"/>
      <c r="Q67" s="1169"/>
      <c r="R67" s="1170"/>
    </row>
    <row r="68">
      <c r="B68" s="1165"/>
      <c r="F68" s="1166"/>
      <c r="L68" s="53"/>
      <c r="M68" s="1167"/>
      <c r="N68" s="53"/>
      <c r="O68" s="53"/>
      <c r="P68" s="53"/>
      <c r="Q68" s="1169"/>
      <c r="R68" s="1170"/>
    </row>
    <row r="69">
      <c r="B69" s="1165"/>
      <c r="F69" s="1166"/>
      <c r="L69" s="53"/>
      <c r="M69" s="1167"/>
      <c r="N69" s="53"/>
      <c r="O69" s="53"/>
      <c r="P69" s="53"/>
      <c r="Q69" s="1169"/>
      <c r="R69" s="1170"/>
    </row>
    <row r="70">
      <c r="B70" s="1165"/>
      <c r="F70" s="1166"/>
      <c r="L70" s="53"/>
      <c r="M70" s="1167"/>
      <c r="N70" s="53"/>
      <c r="O70" s="53"/>
      <c r="P70" s="53"/>
      <c r="Q70" s="1169"/>
      <c r="R70" s="1170"/>
    </row>
    <row r="71">
      <c r="B71" s="1165"/>
      <c r="F71" s="1166"/>
      <c r="L71" s="53"/>
      <c r="M71" s="1167"/>
      <c r="N71" s="53"/>
      <c r="O71" s="53"/>
      <c r="P71" s="53"/>
      <c r="Q71" s="1169"/>
      <c r="R71" s="1170"/>
    </row>
    <row r="72">
      <c r="B72" s="1165"/>
      <c r="F72" s="1166"/>
      <c r="L72" s="53"/>
      <c r="M72" s="1167"/>
      <c r="N72" s="53"/>
      <c r="O72" s="53"/>
      <c r="P72" s="53"/>
      <c r="Q72" s="1169"/>
      <c r="R72" s="1170"/>
    </row>
    <row r="73">
      <c r="B73" s="1165"/>
      <c r="F73" s="1166"/>
      <c r="L73" s="53"/>
      <c r="M73" s="1167"/>
      <c r="N73" s="53"/>
      <c r="O73" s="53"/>
      <c r="P73" s="53"/>
      <c r="Q73" s="1169"/>
      <c r="R73" s="1170"/>
    </row>
    <row r="74">
      <c r="B74" s="1165"/>
      <c r="F74" s="1166"/>
      <c r="L74" s="53"/>
      <c r="M74" s="1167"/>
      <c r="N74" s="53"/>
      <c r="O74" s="53"/>
      <c r="P74" s="53"/>
      <c r="Q74" s="1169"/>
      <c r="R74" s="1170"/>
    </row>
    <row r="75">
      <c r="B75" s="1165"/>
      <c r="F75" s="1166"/>
      <c r="L75" s="53"/>
      <c r="M75" s="1167"/>
      <c r="N75" s="53"/>
      <c r="O75" s="53"/>
      <c r="P75" s="53"/>
      <c r="Q75" s="1169"/>
      <c r="R75" s="1170"/>
    </row>
    <row r="76">
      <c r="B76" s="1165"/>
      <c r="F76" s="1166"/>
      <c r="L76" s="53"/>
      <c r="M76" s="1167"/>
      <c r="N76" s="53"/>
      <c r="O76" s="53"/>
      <c r="P76" s="53"/>
      <c r="Q76" s="1169"/>
      <c r="R76" s="1170"/>
    </row>
    <row r="77">
      <c r="B77" s="1165"/>
      <c r="F77" s="1166"/>
      <c r="L77" s="53"/>
      <c r="M77" s="1167"/>
      <c r="N77" s="53"/>
      <c r="O77" s="53"/>
      <c r="P77" s="53"/>
      <c r="Q77" s="1169"/>
      <c r="R77" s="1170"/>
    </row>
    <row r="78">
      <c r="B78" s="1165"/>
      <c r="F78" s="1166"/>
      <c r="L78" s="53"/>
      <c r="M78" s="1167"/>
      <c r="N78" s="53"/>
      <c r="O78" s="53"/>
      <c r="P78" s="53"/>
      <c r="Q78" s="1169"/>
      <c r="R78" s="1170"/>
    </row>
    <row r="79">
      <c r="B79" s="1165"/>
      <c r="F79" s="1166"/>
      <c r="L79" s="53"/>
      <c r="M79" s="1167"/>
      <c r="N79" s="53"/>
      <c r="O79" s="53"/>
      <c r="P79" s="53"/>
      <c r="Q79" s="1169"/>
      <c r="R79" s="1170"/>
    </row>
    <row r="80">
      <c r="B80" s="1165"/>
      <c r="F80" s="1166"/>
      <c r="L80" s="53"/>
      <c r="M80" s="1167"/>
      <c r="N80" s="53"/>
      <c r="O80" s="53"/>
      <c r="P80" s="53"/>
      <c r="Q80" s="1169"/>
      <c r="R80" s="1170"/>
    </row>
    <row r="81">
      <c r="B81" s="1165"/>
      <c r="F81" s="1166"/>
      <c r="L81" s="53"/>
      <c r="M81" s="1167"/>
      <c r="N81" s="53"/>
      <c r="O81" s="53"/>
      <c r="P81" s="53"/>
      <c r="Q81" s="1169"/>
      <c r="R81" s="1170"/>
    </row>
    <row r="82">
      <c r="B82" s="1165"/>
      <c r="F82" s="1166"/>
      <c r="L82" s="53"/>
      <c r="M82" s="1167"/>
      <c r="N82" s="53"/>
      <c r="O82" s="53"/>
      <c r="P82" s="53"/>
      <c r="Q82" s="1169"/>
      <c r="R82" s="1170"/>
    </row>
    <row r="83">
      <c r="B83" s="1165"/>
      <c r="F83" s="1166"/>
      <c r="L83" s="53"/>
      <c r="M83" s="1167"/>
      <c r="N83" s="53"/>
      <c r="O83" s="53"/>
      <c r="P83" s="53"/>
      <c r="Q83" s="1169"/>
      <c r="R83" s="1170"/>
    </row>
    <row r="84">
      <c r="B84" s="1165"/>
      <c r="F84" s="1166"/>
      <c r="L84" s="53"/>
      <c r="M84" s="1167"/>
      <c r="N84" s="53"/>
      <c r="O84" s="53"/>
      <c r="P84" s="53"/>
      <c r="Q84" s="1169"/>
      <c r="R84" s="1170"/>
    </row>
    <row r="85">
      <c r="B85" s="1165"/>
      <c r="F85" s="1166"/>
      <c r="L85" s="53"/>
      <c r="M85" s="1167"/>
      <c r="N85" s="53"/>
      <c r="O85" s="53"/>
      <c r="P85" s="53"/>
      <c r="Q85" s="1169"/>
      <c r="R85" s="1170"/>
    </row>
    <row r="86">
      <c r="B86" s="1165"/>
      <c r="F86" s="1166"/>
      <c r="L86" s="53"/>
      <c r="M86" s="1167"/>
      <c r="N86" s="53"/>
      <c r="O86" s="53"/>
      <c r="P86" s="53"/>
      <c r="Q86" s="1169"/>
      <c r="R86" s="1170"/>
    </row>
    <row r="87">
      <c r="B87" s="1165"/>
      <c r="F87" s="1166"/>
      <c r="L87" s="53"/>
      <c r="M87" s="1167"/>
      <c r="N87" s="53"/>
      <c r="O87" s="53"/>
      <c r="P87" s="53"/>
      <c r="Q87" s="1169"/>
      <c r="R87" s="1170"/>
    </row>
    <row r="88">
      <c r="B88" s="1165"/>
      <c r="F88" s="1166"/>
      <c r="L88" s="53"/>
      <c r="M88" s="1167"/>
      <c r="N88" s="53"/>
      <c r="O88" s="53"/>
      <c r="P88" s="53"/>
      <c r="Q88" s="1169"/>
      <c r="R88" s="1170"/>
    </row>
    <row r="89">
      <c r="B89" s="1165"/>
      <c r="F89" s="1166"/>
      <c r="L89" s="53"/>
      <c r="M89" s="1167"/>
      <c r="N89" s="53"/>
      <c r="O89" s="53"/>
      <c r="P89" s="53"/>
      <c r="Q89" s="1169"/>
      <c r="R89" s="1170"/>
    </row>
    <row r="90">
      <c r="B90" s="1165"/>
      <c r="F90" s="1166"/>
      <c r="L90" s="53"/>
      <c r="M90" s="1167"/>
      <c r="N90" s="53"/>
      <c r="O90" s="53"/>
      <c r="P90" s="53"/>
      <c r="Q90" s="1169"/>
      <c r="R90" s="1170"/>
    </row>
    <row r="91">
      <c r="B91" s="1165"/>
      <c r="F91" s="1166"/>
      <c r="L91" s="53"/>
      <c r="M91" s="1167"/>
      <c r="N91" s="53"/>
      <c r="O91" s="53"/>
      <c r="P91" s="53"/>
      <c r="Q91" s="1169"/>
      <c r="R91" s="1170"/>
    </row>
    <row r="92">
      <c r="B92" s="1165"/>
      <c r="F92" s="1166"/>
      <c r="L92" s="53"/>
      <c r="M92" s="1167"/>
      <c r="N92" s="53"/>
      <c r="O92" s="53"/>
      <c r="P92" s="53"/>
      <c r="Q92" s="1169"/>
      <c r="R92" s="1170"/>
    </row>
    <row r="93">
      <c r="B93" s="1165"/>
      <c r="F93" s="1166"/>
      <c r="L93" s="53"/>
      <c r="M93" s="1167"/>
      <c r="N93" s="53"/>
      <c r="O93" s="53"/>
      <c r="P93" s="53"/>
      <c r="Q93" s="1169"/>
      <c r="R93" s="1170"/>
    </row>
    <row r="94">
      <c r="B94" s="1165"/>
      <c r="F94" s="1166"/>
      <c r="L94" s="53"/>
      <c r="M94" s="1167"/>
      <c r="N94" s="53"/>
      <c r="O94" s="53"/>
      <c r="P94" s="53"/>
      <c r="Q94" s="1169"/>
      <c r="R94" s="1170"/>
    </row>
    <row r="95">
      <c r="B95" s="1165"/>
      <c r="F95" s="1166"/>
      <c r="L95" s="53"/>
      <c r="M95" s="1167"/>
      <c r="N95" s="53"/>
      <c r="O95" s="53"/>
      <c r="P95" s="53"/>
      <c r="Q95" s="1169"/>
      <c r="R95" s="1170"/>
    </row>
    <row r="96">
      <c r="B96" s="1165"/>
      <c r="F96" s="1166"/>
      <c r="L96" s="53"/>
      <c r="M96" s="1167"/>
      <c r="N96" s="53"/>
      <c r="O96" s="53"/>
      <c r="P96" s="53"/>
      <c r="Q96" s="1169"/>
      <c r="R96" s="1170"/>
    </row>
    <row r="97">
      <c r="B97" s="1165"/>
      <c r="F97" s="1166"/>
      <c r="L97" s="53"/>
      <c r="M97" s="1167"/>
      <c r="N97" s="53"/>
      <c r="O97" s="53"/>
      <c r="P97" s="53"/>
      <c r="Q97" s="1169"/>
      <c r="R97" s="1170"/>
    </row>
    <row r="98">
      <c r="B98" s="1165"/>
      <c r="F98" s="1166"/>
      <c r="L98" s="53"/>
      <c r="M98" s="1167"/>
      <c r="N98" s="53"/>
      <c r="O98" s="53"/>
      <c r="P98" s="53"/>
      <c r="Q98" s="1169"/>
      <c r="R98" s="1170"/>
    </row>
    <row r="99">
      <c r="B99" s="1165"/>
      <c r="F99" s="1166"/>
      <c r="L99" s="53"/>
      <c r="M99" s="1167"/>
      <c r="N99" s="53"/>
      <c r="O99" s="53"/>
      <c r="P99" s="53"/>
      <c r="Q99" s="1169"/>
      <c r="R99" s="1170"/>
    </row>
    <row r="100">
      <c r="B100" s="1165"/>
      <c r="F100" s="1166"/>
      <c r="L100" s="53"/>
      <c r="M100" s="1167"/>
      <c r="N100" s="53"/>
      <c r="O100" s="53"/>
      <c r="P100" s="53"/>
      <c r="Q100" s="1169"/>
      <c r="R100" s="1170"/>
    </row>
    <row r="101">
      <c r="B101" s="1165"/>
      <c r="F101" s="1166"/>
      <c r="L101" s="53"/>
      <c r="M101" s="1167"/>
      <c r="N101" s="53"/>
      <c r="O101" s="53"/>
      <c r="P101" s="53"/>
      <c r="Q101" s="1169"/>
      <c r="R101" s="1170"/>
    </row>
    <row r="102">
      <c r="B102" s="1165"/>
      <c r="F102" s="1166"/>
      <c r="L102" s="53"/>
      <c r="M102" s="1167"/>
      <c r="N102" s="53"/>
      <c r="O102" s="53"/>
      <c r="P102" s="53"/>
      <c r="Q102" s="1169"/>
      <c r="R102" s="1170"/>
    </row>
    <row r="103">
      <c r="B103" s="1165"/>
      <c r="F103" s="1166"/>
      <c r="L103" s="53"/>
      <c r="M103" s="1167"/>
      <c r="N103" s="53"/>
      <c r="O103" s="53"/>
      <c r="P103" s="53"/>
      <c r="Q103" s="1169"/>
      <c r="R103" s="1170"/>
    </row>
    <row r="104">
      <c r="B104" s="1165"/>
      <c r="F104" s="1166"/>
      <c r="L104" s="53"/>
      <c r="M104" s="1167"/>
      <c r="N104" s="53"/>
      <c r="O104" s="53"/>
      <c r="P104" s="53"/>
      <c r="Q104" s="1169"/>
      <c r="R104" s="1170"/>
    </row>
    <row r="105">
      <c r="B105" s="1165"/>
      <c r="F105" s="1166"/>
      <c r="L105" s="53"/>
      <c r="M105" s="1167"/>
      <c r="N105" s="53"/>
      <c r="O105" s="53"/>
      <c r="P105" s="53"/>
      <c r="Q105" s="1169"/>
      <c r="R105" s="1170"/>
    </row>
    <row r="106">
      <c r="B106" s="1165"/>
      <c r="F106" s="1166"/>
      <c r="L106" s="53"/>
      <c r="M106" s="1167"/>
      <c r="N106" s="53"/>
      <c r="O106" s="53"/>
      <c r="P106" s="53"/>
      <c r="Q106" s="1169"/>
      <c r="R106" s="1170"/>
    </row>
    <row r="107">
      <c r="B107" s="1165"/>
      <c r="F107" s="1166"/>
      <c r="L107" s="53"/>
      <c r="M107" s="1167"/>
      <c r="N107" s="53"/>
      <c r="O107" s="53"/>
      <c r="P107" s="53"/>
      <c r="Q107" s="1169"/>
      <c r="R107" s="1170"/>
    </row>
    <row r="108">
      <c r="B108" s="1165"/>
      <c r="F108" s="1166"/>
      <c r="L108" s="53"/>
      <c r="M108" s="1167"/>
      <c r="N108" s="53"/>
      <c r="O108" s="53"/>
      <c r="P108" s="53"/>
      <c r="Q108" s="1169"/>
      <c r="R108" s="1170"/>
    </row>
    <row r="109">
      <c r="B109" s="1165"/>
      <c r="F109" s="1166"/>
      <c r="L109" s="53"/>
      <c r="M109" s="1167"/>
      <c r="N109" s="53"/>
      <c r="O109" s="53"/>
      <c r="P109" s="53"/>
      <c r="Q109" s="1169"/>
      <c r="R109" s="1170"/>
    </row>
    <row r="110">
      <c r="B110" s="1165"/>
      <c r="F110" s="1166"/>
      <c r="L110" s="53"/>
      <c r="M110" s="1167"/>
      <c r="N110" s="53"/>
      <c r="O110" s="53"/>
      <c r="P110" s="53"/>
      <c r="Q110" s="1169"/>
      <c r="R110" s="1170"/>
    </row>
    <row r="111">
      <c r="B111" s="1165"/>
      <c r="F111" s="1166"/>
      <c r="L111" s="53"/>
      <c r="M111" s="1167"/>
      <c r="N111" s="53"/>
      <c r="O111" s="53"/>
      <c r="P111" s="53"/>
      <c r="Q111" s="1169"/>
      <c r="R111" s="1170"/>
    </row>
    <row r="112">
      <c r="B112" s="1165"/>
      <c r="F112" s="1166"/>
      <c r="L112" s="53"/>
      <c r="M112" s="1167"/>
      <c r="N112" s="53"/>
      <c r="O112" s="53"/>
      <c r="P112" s="53"/>
      <c r="Q112" s="1169"/>
      <c r="R112" s="1170"/>
    </row>
    <row r="113">
      <c r="B113" s="1165"/>
      <c r="F113" s="1166"/>
      <c r="L113" s="53"/>
      <c r="M113" s="1167"/>
      <c r="N113" s="53"/>
      <c r="O113" s="53"/>
      <c r="P113" s="53"/>
      <c r="Q113" s="1169"/>
      <c r="R113" s="1170"/>
    </row>
    <row r="114">
      <c r="B114" s="1165"/>
      <c r="F114" s="1166"/>
      <c r="L114" s="53"/>
      <c r="M114" s="1167"/>
      <c r="N114" s="53"/>
      <c r="O114" s="53"/>
      <c r="P114" s="53"/>
      <c r="Q114" s="1169"/>
      <c r="R114" s="1170"/>
    </row>
    <row r="115">
      <c r="B115" s="1165"/>
      <c r="F115" s="1166"/>
      <c r="L115" s="53"/>
      <c r="M115" s="1167"/>
      <c r="N115" s="53"/>
      <c r="O115" s="53"/>
      <c r="P115" s="53"/>
      <c r="Q115" s="1169"/>
      <c r="R115" s="1170"/>
    </row>
    <row r="116">
      <c r="B116" s="1165"/>
      <c r="F116" s="1166"/>
      <c r="L116" s="53"/>
      <c r="M116" s="1167"/>
      <c r="N116" s="53"/>
      <c r="O116" s="53"/>
      <c r="P116" s="53"/>
      <c r="Q116" s="1169"/>
      <c r="R116" s="1170"/>
    </row>
    <row r="117">
      <c r="B117" s="1165"/>
      <c r="F117" s="1166"/>
      <c r="L117" s="53"/>
      <c r="M117" s="1167"/>
      <c r="N117" s="53"/>
      <c r="O117" s="53"/>
      <c r="P117" s="53"/>
      <c r="Q117" s="1169"/>
      <c r="R117" s="1170"/>
    </row>
    <row r="118">
      <c r="B118" s="1165"/>
      <c r="F118" s="1166"/>
      <c r="L118" s="53"/>
      <c r="M118" s="1167"/>
      <c r="N118" s="53"/>
      <c r="O118" s="53"/>
      <c r="P118" s="53"/>
      <c r="Q118" s="1169"/>
      <c r="R118" s="1170"/>
    </row>
    <row r="119">
      <c r="B119" s="1165"/>
      <c r="F119" s="1166"/>
      <c r="L119" s="53"/>
      <c r="M119" s="1167"/>
      <c r="N119" s="53"/>
      <c r="O119" s="53"/>
      <c r="P119" s="53"/>
      <c r="Q119" s="1169"/>
      <c r="R119" s="1170"/>
    </row>
    <row r="120">
      <c r="B120" s="1165"/>
      <c r="F120" s="1166"/>
      <c r="L120" s="53"/>
      <c r="M120" s="1167"/>
      <c r="N120" s="53"/>
      <c r="O120" s="53"/>
      <c r="P120" s="53"/>
      <c r="Q120" s="1169"/>
      <c r="R120" s="1170"/>
    </row>
    <row r="121">
      <c r="B121" s="1165"/>
      <c r="F121" s="1166"/>
      <c r="L121" s="53"/>
      <c r="M121" s="1167"/>
      <c r="N121" s="53"/>
      <c r="O121" s="53"/>
      <c r="P121" s="53"/>
      <c r="Q121" s="1169"/>
      <c r="R121" s="1170"/>
    </row>
    <row r="122">
      <c r="B122" s="1165"/>
      <c r="F122" s="1166"/>
      <c r="L122" s="53"/>
      <c r="M122" s="1167"/>
      <c r="N122" s="53"/>
      <c r="O122" s="53"/>
      <c r="P122" s="53"/>
      <c r="Q122" s="1169"/>
      <c r="R122" s="1170"/>
    </row>
    <row r="123">
      <c r="B123" s="1165"/>
      <c r="F123" s="1166"/>
      <c r="L123" s="53"/>
      <c r="M123" s="1167"/>
      <c r="N123" s="53"/>
      <c r="O123" s="53"/>
      <c r="P123" s="53"/>
      <c r="Q123" s="1169"/>
      <c r="R123" s="1170"/>
    </row>
    <row r="124">
      <c r="B124" s="1165"/>
      <c r="F124" s="1166"/>
      <c r="L124" s="53"/>
      <c r="M124" s="1167"/>
      <c r="N124" s="53"/>
      <c r="O124" s="53"/>
      <c r="P124" s="53"/>
      <c r="Q124" s="1169"/>
      <c r="R124" s="1170"/>
    </row>
    <row r="125">
      <c r="B125" s="1165"/>
      <c r="F125" s="1166"/>
      <c r="L125" s="53"/>
      <c r="M125" s="1167"/>
      <c r="N125" s="53"/>
      <c r="O125" s="53"/>
      <c r="P125" s="53"/>
      <c r="Q125" s="1169"/>
      <c r="R125" s="1170"/>
    </row>
    <row r="126">
      <c r="B126" s="1165"/>
      <c r="F126" s="1166"/>
      <c r="L126" s="53"/>
      <c r="M126" s="1167"/>
      <c r="N126" s="53"/>
      <c r="O126" s="53"/>
      <c r="P126" s="53"/>
      <c r="Q126" s="1169"/>
      <c r="R126" s="1170"/>
    </row>
    <row r="127">
      <c r="B127" s="1165"/>
      <c r="F127" s="1166"/>
      <c r="L127" s="53"/>
      <c r="M127" s="1167"/>
      <c r="N127" s="53"/>
      <c r="O127" s="53"/>
      <c r="P127" s="53"/>
      <c r="Q127" s="1169"/>
      <c r="R127" s="1170"/>
    </row>
    <row r="128">
      <c r="B128" s="1165"/>
      <c r="F128" s="1166"/>
      <c r="L128" s="53"/>
      <c r="M128" s="1167"/>
      <c r="N128" s="53"/>
      <c r="O128" s="53"/>
      <c r="P128" s="53"/>
      <c r="Q128" s="1169"/>
      <c r="R128" s="1170"/>
    </row>
    <row r="129">
      <c r="B129" s="1165"/>
      <c r="F129" s="1166"/>
      <c r="L129" s="53"/>
      <c r="M129" s="1167"/>
      <c r="N129" s="53"/>
      <c r="O129" s="53"/>
      <c r="P129" s="53"/>
      <c r="Q129" s="1169"/>
      <c r="R129" s="1170"/>
    </row>
    <row r="130">
      <c r="B130" s="1165"/>
      <c r="F130" s="1166"/>
      <c r="L130" s="53"/>
      <c r="M130" s="1167"/>
      <c r="N130" s="53"/>
      <c r="O130" s="53"/>
      <c r="P130" s="53"/>
      <c r="Q130" s="1169"/>
      <c r="R130" s="1170"/>
    </row>
    <row r="131">
      <c r="B131" s="1165"/>
      <c r="F131" s="1166"/>
      <c r="L131" s="53"/>
      <c r="M131" s="1167"/>
      <c r="N131" s="53"/>
      <c r="O131" s="53"/>
      <c r="P131" s="53"/>
      <c r="Q131" s="1169"/>
      <c r="R131" s="1170"/>
    </row>
    <row r="132">
      <c r="B132" s="1165"/>
      <c r="F132" s="1166"/>
      <c r="L132" s="53"/>
      <c r="M132" s="1167"/>
      <c r="N132" s="53"/>
      <c r="O132" s="53"/>
      <c r="P132" s="53"/>
      <c r="Q132" s="1169"/>
      <c r="R132" s="1170"/>
    </row>
    <row r="133">
      <c r="B133" s="1165"/>
      <c r="F133" s="1166"/>
      <c r="L133" s="53"/>
      <c r="M133" s="1167"/>
      <c r="N133" s="53"/>
      <c r="O133" s="53"/>
      <c r="P133" s="53"/>
      <c r="Q133" s="1169"/>
      <c r="R133" s="1170"/>
    </row>
    <row r="134">
      <c r="B134" s="1165"/>
      <c r="F134" s="1166"/>
      <c r="L134" s="53"/>
      <c r="M134" s="1167"/>
      <c r="N134" s="53"/>
      <c r="O134" s="53"/>
      <c r="P134" s="53"/>
      <c r="Q134" s="1169"/>
      <c r="R134" s="1170"/>
    </row>
    <row r="135">
      <c r="B135" s="1165"/>
      <c r="F135" s="1166"/>
      <c r="L135" s="53"/>
      <c r="M135" s="1167"/>
      <c r="N135" s="53"/>
      <c r="O135" s="53"/>
      <c r="P135" s="53"/>
      <c r="Q135" s="1169"/>
      <c r="R135" s="1170"/>
    </row>
    <row r="136">
      <c r="B136" s="1165"/>
      <c r="F136" s="1166"/>
      <c r="L136" s="53"/>
      <c r="M136" s="1167"/>
      <c r="N136" s="53"/>
      <c r="O136" s="53"/>
      <c r="P136" s="53"/>
      <c r="Q136" s="1169"/>
      <c r="R136" s="1170"/>
    </row>
    <row r="137">
      <c r="B137" s="1165"/>
      <c r="F137" s="1166"/>
      <c r="L137" s="53"/>
      <c r="M137" s="1167"/>
      <c r="N137" s="53"/>
      <c r="O137" s="53"/>
      <c r="P137" s="53"/>
      <c r="Q137" s="1169"/>
      <c r="R137" s="1170"/>
    </row>
    <row r="138">
      <c r="B138" s="1165"/>
      <c r="F138" s="1166"/>
      <c r="L138" s="53"/>
      <c r="M138" s="1167"/>
      <c r="N138" s="53"/>
      <c r="O138" s="53"/>
      <c r="P138" s="53"/>
      <c r="Q138" s="1169"/>
      <c r="R138" s="1170"/>
    </row>
    <row r="139">
      <c r="B139" s="1165"/>
      <c r="F139" s="1166"/>
      <c r="L139" s="53"/>
      <c r="M139" s="1167"/>
      <c r="N139" s="53"/>
      <c r="O139" s="53"/>
      <c r="P139" s="53"/>
      <c r="Q139" s="1169"/>
      <c r="R139" s="1170"/>
    </row>
    <row r="140">
      <c r="B140" s="1165"/>
      <c r="F140" s="1166"/>
      <c r="L140" s="53"/>
      <c r="M140" s="1167"/>
      <c r="N140" s="53"/>
      <c r="O140" s="53"/>
      <c r="P140" s="53"/>
      <c r="Q140" s="1169"/>
      <c r="R140" s="1170"/>
    </row>
    <row r="141">
      <c r="B141" s="1165"/>
      <c r="F141" s="1166"/>
      <c r="L141" s="53"/>
      <c r="M141" s="1167"/>
      <c r="N141" s="53"/>
      <c r="O141" s="53"/>
      <c r="P141" s="53"/>
      <c r="Q141" s="1169"/>
      <c r="R141" s="1170"/>
    </row>
    <row r="142">
      <c r="B142" s="1165"/>
      <c r="F142" s="1166"/>
      <c r="L142" s="53"/>
      <c r="M142" s="1167"/>
      <c r="N142" s="53"/>
      <c r="O142" s="53"/>
      <c r="P142" s="53"/>
      <c r="Q142" s="1169"/>
      <c r="R142" s="1170"/>
    </row>
    <row r="143">
      <c r="B143" s="1165"/>
      <c r="F143" s="1166"/>
      <c r="L143" s="53"/>
      <c r="M143" s="1167"/>
      <c r="N143" s="53"/>
      <c r="O143" s="53"/>
      <c r="P143" s="53"/>
      <c r="Q143" s="1169"/>
      <c r="R143" s="1170"/>
    </row>
    <row r="144">
      <c r="B144" s="1165"/>
      <c r="F144" s="1166"/>
      <c r="L144" s="53"/>
      <c r="M144" s="1167"/>
      <c r="N144" s="53"/>
      <c r="O144" s="53"/>
      <c r="P144" s="53"/>
      <c r="Q144" s="1169"/>
      <c r="R144" s="1170"/>
    </row>
    <row r="145">
      <c r="B145" s="1165"/>
      <c r="F145" s="1166"/>
      <c r="L145" s="53"/>
      <c r="M145" s="1167"/>
      <c r="N145" s="53"/>
      <c r="O145" s="53"/>
      <c r="P145" s="53"/>
      <c r="Q145" s="1169"/>
      <c r="R145" s="1170"/>
    </row>
    <row r="146">
      <c r="B146" s="1165"/>
      <c r="F146" s="1166"/>
      <c r="L146" s="53"/>
      <c r="M146" s="1167"/>
      <c r="N146" s="53"/>
      <c r="O146" s="53"/>
      <c r="P146" s="53"/>
      <c r="Q146" s="1169"/>
      <c r="R146" s="1170"/>
    </row>
    <row r="147">
      <c r="B147" s="1165"/>
      <c r="F147" s="1166"/>
      <c r="L147" s="53"/>
      <c r="M147" s="1167"/>
      <c r="N147" s="53"/>
      <c r="O147" s="53"/>
      <c r="P147" s="53"/>
      <c r="Q147" s="1169"/>
      <c r="R147" s="1170"/>
    </row>
    <row r="148">
      <c r="B148" s="1165"/>
      <c r="F148" s="1166"/>
      <c r="L148" s="53"/>
      <c r="M148" s="1167"/>
      <c r="N148" s="53"/>
      <c r="O148" s="53"/>
      <c r="P148" s="53"/>
      <c r="Q148" s="1169"/>
      <c r="R148" s="1170"/>
    </row>
    <row r="149">
      <c r="B149" s="1165"/>
      <c r="F149" s="1166"/>
      <c r="L149" s="53"/>
      <c r="M149" s="1167"/>
      <c r="N149" s="53"/>
      <c r="O149" s="53"/>
      <c r="P149" s="53"/>
      <c r="Q149" s="1169"/>
      <c r="R149" s="1170"/>
    </row>
    <row r="150">
      <c r="B150" s="1165"/>
      <c r="F150" s="1166"/>
      <c r="L150" s="53"/>
      <c r="M150" s="1167"/>
      <c r="N150" s="53"/>
      <c r="O150" s="53"/>
      <c r="P150" s="53"/>
      <c r="Q150" s="1169"/>
      <c r="R150" s="1170"/>
    </row>
    <row r="151">
      <c r="B151" s="1165"/>
      <c r="F151" s="1166"/>
      <c r="L151" s="53"/>
      <c r="M151" s="1167"/>
      <c r="N151" s="53"/>
      <c r="O151" s="53"/>
      <c r="P151" s="53"/>
      <c r="Q151" s="1169"/>
      <c r="R151" s="1170"/>
    </row>
    <row r="152">
      <c r="B152" s="1165"/>
      <c r="F152" s="1166"/>
      <c r="L152" s="53"/>
      <c r="M152" s="1167"/>
      <c r="N152" s="53"/>
      <c r="O152" s="53"/>
      <c r="P152" s="53"/>
      <c r="Q152" s="1169"/>
      <c r="R152" s="1170"/>
    </row>
    <row r="153">
      <c r="B153" s="1165"/>
      <c r="F153" s="1166"/>
      <c r="L153" s="53"/>
      <c r="M153" s="1167"/>
      <c r="N153" s="53"/>
      <c r="O153" s="53"/>
      <c r="P153" s="53"/>
      <c r="Q153" s="1169"/>
      <c r="R153" s="1170"/>
    </row>
    <row r="154">
      <c r="B154" s="1165"/>
      <c r="F154" s="1166"/>
      <c r="L154" s="53"/>
      <c r="M154" s="1167"/>
      <c r="N154" s="53"/>
      <c r="O154" s="53"/>
      <c r="P154" s="53"/>
      <c r="Q154" s="1169"/>
      <c r="R154" s="1170"/>
    </row>
    <row r="155">
      <c r="B155" s="1165"/>
      <c r="F155" s="1166"/>
      <c r="L155" s="53"/>
      <c r="M155" s="1167"/>
      <c r="N155" s="53"/>
      <c r="O155" s="53"/>
      <c r="P155" s="53"/>
      <c r="Q155" s="1169"/>
      <c r="R155" s="1170"/>
    </row>
    <row r="156">
      <c r="B156" s="1165"/>
      <c r="F156" s="1166"/>
      <c r="L156" s="53"/>
      <c r="M156" s="1167"/>
      <c r="N156" s="53"/>
      <c r="O156" s="53"/>
      <c r="P156" s="53"/>
      <c r="Q156" s="1169"/>
      <c r="R156" s="1170"/>
    </row>
    <row r="157">
      <c r="B157" s="1165"/>
      <c r="F157" s="1166"/>
      <c r="L157" s="53"/>
      <c r="M157" s="1167"/>
      <c r="N157" s="53"/>
      <c r="O157" s="53"/>
      <c r="P157" s="53"/>
      <c r="Q157" s="1169"/>
      <c r="R157" s="1170"/>
    </row>
    <row r="158">
      <c r="B158" s="1165"/>
      <c r="F158" s="1166"/>
      <c r="L158" s="53"/>
      <c r="M158" s="1167"/>
      <c r="N158" s="53"/>
      <c r="O158" s="53"/>
      <c r="P158" s="53"/>
      <c r="Q158" s="1169"/>
      <c r="R158" s="1170"/>
    </row>
    <row r="159">
      <c r="B159" s="1165"/>
      <c r="F159" s="1166"/>
      <c r="L159" s="53"/>
      <c r="M159" s="1167"/>
      <c r="N159" s="53"/>
      <c r="O159" s="53"/>
      <c r="P159" s="53"/>
      <c r="Q159" s="1169"/>
      <c r="R159" s="1170"/>
    </row>
    <row r="160">
      <c r="B160" s="1165"/>
      <c r="F160" s="1166"/>
      <c r="L160" s="53"/>
      <c r="M160" s="1167"/>
      <c r="N160" s="53"/>
      <c r="O160" s="53"/>
      <c r="P160" s="53"/>
      <c r="Q160" s="1169"/>
      <c r="R160" s="1170"/>
    </row>
    <row r="161">
      <c r="B161" s="1165"/>
      <c r="F161" s="1166"/>
      <c r="L161" s="53"/>
      <c r="M161" s="1167"/>
      <c r="N161" s="53"/>
      <c r="O161" s="53"/>
      <c r="P161" s="53"/>
      <c r="Q161" s="1169"/>
      <c r="R161" s="1170"/>
    </row>
    <row r="162">
      <c r="B162" s="1165"/>
      <c r="F162" s="1166"/>
      <c r="L162" s="53"/>
      <c r="M162" s="1167"/>
      <c r="N162" s="53"/>
      <c r="O162" s="53"/>
      <c r="P162" s="53"/>
      <c r="Q162" s="1169"/>
      <c r="R162" s="1170"/>
    </row>
    <row r="163">
      <c r="B163" s="1165"/>
      <c r="F163" s="1166"/>
      <c r="L163" s="53"/>
      <c r="M163" s="1167"/>
      <c r="N163" s="53"/>
      <c r="O163" s="53"/>
      <c r="P163" s="53"/>
      <c r="Q163" s="1169"/>
      <c r="R163" s="1170"/>
    </row>
    <row r="164">
      <c r="B164" s="1165"/>
      <c r="F164" s="1166"/>
      <c r="L164" s="53"/>
      <c r="M164" s="1167"/>
      <c r="N164" s="53"/>
      <c r="O164" s="53"/>
      <c r="P164" s="53"/>
      <c r="Q164" s="1169"/>
      <c r="R164" s="1170"/>
    </row>
    <row r="165">
      <c r="B165" s="1165"/>
      <c r="F165" s="1166"/>
      <c r="L165" s="53"/>
      <c r="M165" s="1167"/>
      <c r="N165" s="53"/>
      <c r="O165" s="53"/>
      <c r="P165" s="53"/>
      <c r="Q165" s="1169"/>
      <c r="R165" s="1170"/>
    </row>
    <row r="166">
      <c r="B166" s="1165"/>
      <c r="F166" s="1166"/>
      <c r="L166" s="53"/>
      <c r="M166" s="1167"/>
      <c r="N166" s="53"/>
      <c r="O166" s="53"/>
      <c r="P166" s="53"/>
      <c r="Q166" s="1169"/>
      <c r="R166" s="1170"/>
    </row>
    <row r="167">
      <c r="B167" s="1165"/>
      <c r="F167" s="1166"/>
      <c r="L167" s="53"/>
      <c r="M167" s="1167"/>
      <c r="N167" s="53"/>
      <c r="O167" s="53"/>
      <c r="P167" s="53"/>
      <c r="Q167" s="1169"/>
      <c r="R167" s="1170"/>
    </row>
    <row r="168">
      <c r="B168" s="1165"/>
      <c r="F168" s="1166"/>
      <c r="L168" s="53"/>
      <c r="M168" s="1167"/>
      <c r="N168" s="53"/>
      <c r="O168" s="53"/>
      <c r="P168" s="53"/>
      <c r="Q168" s="1169"/>
      <c r="R168" s="1170"/>
    </row>
    <row r="169">
      <c r="B169" s="1165"/>
      <c r="F169" s="1166"/>
      <c r="L169" s="53"/>
      <c r="M169" s="1167"/>
      <c r="N169" s="53"/>
      <c r="O169" s="53"/>
      <c r="P169" s="53"/>
      <c r="Q169" s="1169"/>
      <c r="R169" s="1170"/>
    </row>
    <row r="170">
      <c r="B170" s="1165"/>
      <c r="F170" s="1166"/>
      <c r="L170" s="53"/>
      <c r="M170" s="1167"/>
      <c r="N170" s="53"/>
      <c r="O170" s="53"/>
      <c r="P170" s="53"/>
      <c r="Q170" s="1169"/>
      <c r="R170" s="1170"/>
    </row>
    <row r="171">
      <c r="B171" s="1165"/>
      <c r="F171" s="1166"/>
      <c r="L171" s="53"/>
      <c r="M171" s="1167"/>
      <c r="N171" s="53"/>
      <c r="O171" s="53"/>
      <c r="P171" s="53"/>
      <c r="Q171" s="1169"/>
      <c r="R171" s="1170"/>
    </row>
    <row r="172">
      <c r="B172" s="1165"/>
      <c r="F172" s="1166"/>
      <c r="L172" s="53"/>
      <c r="M172" s="1167"/>
      <c r="N172" s="53"/>
      <c r="O172" s="53"/>
      <c r="P172" s="53"/>
      <c r="Q172" s="1169"/>
      <c r="R172" s="1170"/>
    </row>
    <row r="173">
      <c r="B173" s="1165"/>
      <c r="F173" s="1166"/>
      <c r="L173" s="53"/>
      <c r="M173" s="1167"/>
      <c r="N173" s="53"/>
      <c r="O173" s="53"/>
      <c r="P173" s="53"/>
      <c r="Q173" s="1169"/>
      <c r="R173" s="1170"/>
    </row>
    <row r="174">
      <c r="B174" s="1165"/>
      <c r="F174" s="1166"/>
      <c r="L174" s="53"/>
      <c r="M174" s="1167"/>
      <c r="N174" s="53"/>
      <c r="O174" s="53"/>
      <c r="P174" s="53"/>
      <c r="Q174" s="1169"/>
      <c r="R174" s="1170"/>
    </row>
    <row r="175">
      <c r="B175" s="1165"/>
      <c r="F175" s="1166"/>
      <c r="L175" s="53"/>
      <c r="M175" s="1167"/>
      <c r="N175" s="53"/>
      <c r="O175" s="53"/>
      <c r="P175" s="53"/>
      <c r="Q175" s="1169"/>
      <c r="R175" s="1170"/>
    </row>
    <row r="176">
      <c r="B176" s="1165"/>
      <c r="F176" s="1166"/>
      <c r="L176" s="53"/>
      <c r="M176" s="1167"/>
      <c r="N176" s="53"/>
      <c r="O176" s="53"/>
      <c r="P176" s="53"/>
      <c r="Q176" s="1169"/>
      <c r="R176" s="1170"/>
    </row>
    <row r="177">
      <c r="B177" s="1165"/>
      <c r="F177" s="1166"/>
      <c r="L177" s="53"/>
      <c r="M177" s="1167"/>
      <c r="N177" s="53"/>
      <c r="O177" s="53"/>
      <c r="P177" s="53"/>
      <c r="Q177" s="1169"/>
      <c r="R177" s="1170"/>
    </row>
    <row r="178">
      <c r="B178" s="1165"/>
      <c r="F178" s="1166"/>
      <c r="L178" s="53"/>
      <c r="M178" s="1167"/>
      <c r="N178" s="53"/>
      <c r="O178" s="53"/>
      <c r="P178" s="53"/>
      <c r="Q178" s="1169"/>
      <c r="R178" s="1170"/>
    </row>
    <row r="179">
      <c r="B179" s="1165"/>
      <c r="F179" s="1166"/>
      <c r="L179" s="53"/>
      <c r="M179" s="1167"/>
      <c r="N179" s="53"/>
      <c r="O179" s="53"/>
      <c r="P179" s="53"/>
      <c r="Q179" s="1169"/>
      <c r="R179" s="1170"/>
    </row>
    <row r="180">
      <c r="B180" s="1165"/>
      <c r="F180" s="1166"/>
      <c r="L180" s="53"/>
      <c r="M180" s="1167"/>
      <c r="N180" s="53"/>
      <c r="O180" s="53"/>
      <c r="P180" s="53"/>
      <c r="Q180" s="1169"/>
      <c r="R180" s="1170"/>
    </row>
    <row r="181">
      <c r="B181" s="1165"/>
      <c r="F181" s="1166"/>
      <c r="L181" s="53"/>
      <c r="M181" s="1167"/>
      <c r="N181" s="53"/>
      <c r="O181" s="53"/>
      <c r="P181" s="53"/>
      <c r="Q181" s="1169"/>
      <c r="R181" s="1170"/>
    </row>
    <row r="182">
      <c r="B182" s="1165"/>
      <c r="F182" s="1166"/>
      <c r="L182" s="53"/>
      <c r="M182" s="1167"/>
      <c r="N182" s="53"/>
      <c r="O182" s="53"/>
      <c r="P182" s="53"/>
      <c r="Q182" s="1169"/>
      <c r="R182" s="1170"/>
    </row>
    <row r="183">
      <c r="B183" s="1165"/>
      <c r="F183" s="1166"/>
      <c r="L183" s="53"/>
      <c r="M183" s="1167"/>
      <c r="N183" s="53"/>
      <c r="O183" s="53"/>
      <c r="P183" s="53"/>
      <c r="Q183" s="1169"/>
      <c r="R183" s="1170"/>
    </row>
    <row r="184">
      <c r="B184" s="1165"/>
      <c r="F184" s="1166"/>
      <c r="L184" s="53"/>
      <c r="M184" s="1167"/>
      <c r="N184" s="53"/>
      <c r="O184" s="53"/>
      <c r="P184" s="53"/>
      <c r="Q184" s="1169"/>
      <c r="R184" s="1170"/>
    </row>
    <row r="185">
      <c r="B185" s="1165"/>
      <c r="F185" s="1166"/>
      <c r="L185" s="53"/>
      <c r="M185" s="1167"/>
      <c r="N185" s="53"/>
      <c r="O185" s="53"/>
      <c r="P185" s="53"/>
      <c r="Q185" s="1169"/>
      <c r="R185" s="1170"/>
    </row>
    <row r="186">
      <c r="B186" s="1165"/>
      <c r="F186" s="1166"/>
      <c r="L186" s="53"/>
      <c r="M186" s="1167"/>
      <c r="N186" s="53"/>
      <c r="O186" s="53"/>
      <c r="P186" s="53"/>
      <c r="Q186" s="1169"/>
      <c r="R186" s="1170"/>
    </row>
    <row r="187">
      <c r="B187" s="1165"/>
      <c r="F187" s="1166"/>
      <c r="L187" s="53"/>
      <c r="M187" s="1167"/>
      <c r="N187" s="53"/>
      <c r="O187" s="53"/>
      <c r="P187" s="53"/>
      <c r="Q187" s="1169"/>
      <c r="R187" s="1170"/>
    </row>
    <row r="188">
      <c r="B188" s="1165"/>
      <c r="F188" s="1166"/>
      <c r="L188" s="53"/>
      <c r="M188" s="1167"/>
      <c r="N188" s="53"/>
      <c r="O188" s="53"/>
      <c r="P188" s="53"/>
      <c r="Q188" s="1169"/>
      <c r="R188" s="1170"/>
    </row>
    <row r="189">
      <c r="B189" s="1165"/>
      <c r="F189" s="1166"/>
      <c r="L189" s="53"/>
      <c r="M189" s="1167"/>
      <c r="N189" s="53"/>
      <c r="O189" s="53"/>
      <c r="P189" s="53"/>
      <c r="Q189" s="1169"/>
      <c r="R189" s="1170"/>
    </row>
    <row r="190">
      <c r="B190" s="1165"/>
      <c r="F190" s="1166"/>
      <c r="L190" s="53"/>
      <c r="M190" s="1167"/>
      <c r="N190" s="53"/>
      <c r="O190" s="53"/>
      <c r="P190" s="53"/>
      <c r="Q190" s="1169"/>
      <c r="R190" s="1170"/>
    </row>
    <row r="191">
      <c r="B191" s="1165"/>
      <c r="F191" s="1166"/>
      <c r="L191" s="53"/>
      <c r="M191" s="1167"/>
      <c r="N191" s="53"/>
      <c r="O191" s="53"/>
      <c r="P191" s="53"/>
      <c r="Q191" s="1169"/>
      <c r="R191" s="1170"/>
    </row>
    <row r="192">
      <c r="B192" s="1165"/>
      <c r="F192" s="1166"/>
      <c r="L192" s="53"/>
      <c r="M192" s="1167"/>
      <c r="N192" s="53"/>
      <c r="O192" s="53"/>
      <c r="P192" s="53"/>
      <c r="Q192" s="1169"/>
      <c r="R192" s="1170"/>
    </row>
    <row r="193">
      <c r="B193" s="1165"/>
      <c r="F193" s="1166"/>
      <c r="L193" s="53"/>
      <c r="M193" s="1167"/>
      <c r="N193" s="53"/>
      <c r="O193" s="53"/>
      <c r="P193" s="53"/>
      <c r="Q193" s="1169"/>
      <c r="R193" s="1170"/>
    </row>
    <row r="194">
      <c r="B194" s="1165"/>
      <c r="F194" s="1166"/>
      <c r="L194" s="53"/>
      <c r="M194" s="1167"/>
      <c r="N194" s="53"/>
      <c r="O194" s="53"/>
      <c r="P194" s="53"/>
      <c r="Q194" s="1169"/>
      <c r="R194" s="1170"/>
    </row>
    <row r="195">
      <c r="B195" s="1165"/>
      <c r="F195" s="1166"/>
      <c r="L195" s="53"/>
      <c r="M195" s="1167"/>
      <c r="N195" s="53"/>
      <c r="O195" s="53"/>
      <c r="P195" s="53"/>
      <c r="Q195" s="1169"/>
      <c r="R195" s="1170"/>
    </row>
    <row r="196">
      <c r="B196" s="1165"/>
      <c r="F196" s="1166"/>
      <c r="L196" s="53"/>
      <c r="M196" s="1167"/>
      <c r="N196" s="53"/>
      <c r="O196" s="53"/>
      <c r="P196" s="53"/>
      <c r="Q196" s="1169"/>
      <c r="R196" s="1170"/>
    </row>
    <row r="197">
      <c r="B197" s="1165"/>
      <c r="F197" s="1166"/>
      <c r="L197" s="53"/>
      <c r="M197" s="1167"/>
      <c r="N197" s="53"/>
      <c r="O197" s="53"/>
      <c r="P197" s="53"/>
      <c r="Q197" s="1169"/>
      <c r="R197" s="1170"/>
    </row>
    <row r="198">
      <c r="B198" s="1165"/>
      <c r="F198" s="1166"/>
      <c r="L198" s="53"/>
      <c r="M198" s="1167"/>
      <c r="N198" s="53"/>
      <c r="O198" s="53"/>
      <c r="P198" s="53"/>
      <c r="Q198" s="1169"/>
      <c r="R198" s="1170"/>
    </row>
    <row r="199">
      <c r="B199" s="1165"/>
      <c r="F199" s="1166"/>
      <c r="L199" s="53"/>
      <c r="M199" s="1167"/>
      <c r="N199" s="53"/>
      <c r="O199" s="53"/>
      <c r="P199" s="53"/>
      <c r="Q199" s="1169"/>
      <c r="R199" s="1170"/>
    </row>
    <row r="200">
      <c r="B200" s="1165"/>
      <c r="F200" s="1166"/>
      <c r="L200" s="53"/>
      <c r="M200" s="1167"/>
      <c r="N200" s="53"/>
      <c r="O200" s="53"/>
      <c r="P200" s="53"/>
      <c r="Q200" s="1169"/>
      <c r="R200" s="1170"/>
    </row>
    <row r="201">
      <c r="B201" s="1165"/>
      <c r="F201" s="1166"/>
      <c r="L201" s="53"/>
      <c r="M201" s="1167"/>
      <c r="N201" s="53"/>
      <c r="O201" s="53"/>
      <c r="P201" s="53"/>
      <c r="Q201" s="1169"/>
      <c r="R201" s="1170"/>
    </row>
    <row r="202">
      <c r="B202" s="1165"/>
      <c r="F202" s="1166"/>
      <c r="L202" s="53"/>
      <c r="M202" s="1167"/>
      <c r="N202" s="53"/>
      <c r="O202" s="53"/>
      <c r="P202" s="53"/>
      <c r="Q202" s="1169"/>
      <c r="R202" s="1170"/>
    </row>
    <row r="203">
      <c r="B203" s="1165"/>
      <c r="F203" s="1166"/>
      <c r="L203" s="53"/>
      <c r="M203" s="1167"/>
      <c r="N203" s="53"/>
      <c r="O203" s="53"/>
      <c r="P203" s="53"/>
      <c r="Q203" s="1169"/>
      <c r="R203" s="1170"/>
    </row>
    <row r="204">
      <c r="B204" s="1165"/>
      <c r="F204" s="1166"/>
      <c r="L204" s="53"/>
      <c r="M204" s="1167"/>
      <c r="N204" s="53"/>
      <c r="O204" s="53"/>
      <c r="P204" s="53"/>
      <c r="Q204" s="1169"/>
      <c r="R204" s="1170"/>
    </row>
    <row r="205">
      <c r="B205" s="1165"/>
      <c r="F205" s="1166"/>
      <c r="L205" s="53"/>
      <c r="M205" s="1167"/>
      <c r="N205" s="53"/>
      <c r="O205" s="53"/>
      <c r="P205" s="53"/>
      <c r="Q205" s="1169"/>
      <c r="R205" s="1170"/>
    </row>
    <row r="206">
      <c r="B206" s="1165"/>
      <c r="F206" s="1166"/>
      <c r="L206" s="53"/>
      <c r="M206" s="1167"/>
      <c r="N206" s="53"/>
      <c r="O206" s="53"/>
      <c r="P206" s="53"/>
      <c r="Q206" s="1169"/>
      <c r="R206" s="1170"/>
    </row>
    <row r="207">
      <c r="B207" s="1165"/>
      <c r="F207" s="1166"/>
      <c r="L207" s="53"/>
      <c r="M207" s="1167"/>
      <c r="N207" s="53"/>
      <c r="O207" s="53"/>
      <c r="P207" s="53"/>
      <c r="Q207" s="1169"/>
      <c r="R207" s="1170"/>
    </row>
    <row r="208">
      <c r="B208" s="1165"/>
      <c r="F208" s="1166"/>
      <c r="L208" s="53"/>
      <c r="M208" s="1167"/>
      <c r="N208" s="53"/>
      <c r="O208" s="53"/>
      <c r="P208" s="53"/>
      <c r="Q208" s="1169"/>
      <c r="R208" s="1170"/>
    </row>
    <row r="209">
      <c r="B209" s="1165"/>
      <c r="F209" s="1166"/>
      <c r="L209" s="53"/>
      <c r="M209" s="1167"/>
      <c r="N209" s="53"/>
      <c r="O209" s="53"/>
      <c r="P209" s="53"/>
      <c r="Q209" s="1169"/>
      <c r="R209" s="1170"/>
    </row>
    <row r="210">
      <c r="B210" s="1165"/>
      <c r="F210" s="1166"/>
      <c r="L210" s="53"/>
      <c r="M210" s="1167"/>
      <c r="N210" s="53"/>
      <c r="O210" s="53"/>
      <c r="P210" s="53"/>
      <c r="Q210" s="1169"/>
      <c r="R210" s="1170"/>
    </row>
    <row r="211">
      <c r="B211" s="1165"/>
      <c r="F211" s="1166"/>
      <c r="L211" s="53"/>
      <c r="M211" s="1167"/>
      <c r="N211" s="53"/>
      <c r="O211" s="53"/>
      <c r="P211" s="53"/>
      <c r="Q211" s="1169"/>
      <c r="R211" s="1170"/>
    </row>
    <row r="212">
      <c r="B212" s="1165"/>
      <c r="F212" s="1166"/>
      <c r="L212" s="53"/>
      <c r="M212" s="1167"/>
      <c r="N212" s="53"/>
      <c r="O212" s="53"/>
      <c r="P212" s="53"/>
      <c r="Q212" s="1169"/>
      <c r="R212" s="1170"/>
    </row>
    <row r="213">
      <c r="B213" s="1165"/>
      <c r="F213" s="1166"/>
      <c r="L213" s="53"/>
      <c r="M213" s="1167"/>
      <c r="N213" s="53"/>
      <c r="O213" s="53"/>
      <c r="P213" s="53"/>
      <c r="Q213" s="1169"/>
      <c r="R213" s="1170"/>
    </row>
    <row r="214">
      <c r="B214" s="1165"/>
      <c r="F214" s="1166"/>
      <c r="L214" s="53"/>
      <c r="M214" s="1167"/>
      <c r="N214" s="53"/>
      <c r="O214" s="53"/>
      <c r="P214" s="53"/>
      <c r="Q214" s="1169"/>
      <c r="R214" s="1170"/>
    </row>
    <row r="215">
      <c r="B215" s="1165"/>
      <c r="F215" s="1166"/>
      <c r="L215" s="53"/>
      <c r="M215" s="1167"/>
      <c r="N215" s="53"/>
      <c r="O215" s="53"/>
      <c r="P215" s="53"/>
      <c r="Q215" s="1169"/>
      <c r="R215" s="1170"/>
    </row>
    <row r="216">
      <c r="B216" s="1165"/>
      <c r="F216" s="1166"/>
      <c r="L216" s="53"/>
      <c r="M216" s="1167"/>
      <c r="N216" s="53"/>
      <c r="O216" s="53"/>
      <c r="P216" s="53"/>
      <c r="Q216" s="1169"/>
      <c r="R216" s="1170"/>
    </row>
    <row r="217">
      <c r="B217" s="1165"/>
      <c r="F217" s="1166"/>
      <c r="L217" s="53"/>
      <c r="M217" s="1167"/>
      <c r="N217" s="53"/>
      <c r="O217" s="53"/>
      <c r="P217" s="53"/>
      <c r="Q217" s="1169"/>
      <c r="R217" s="1170"/>
    </row>
    <row r="218">
      <c r="B218" s="1165"/>
      <c r="F218" s="1166"/>
      <c r="L218" s="53"/>
      <c r="M218" s="1167"/>
      <c r="N218" s="53"/>
      <c r="O218" s="53"/>
      <c r="P218" s="53"/>
      <c r="Q218" s="1169"/>
      <c r="R218" s="1170"/>
    </row>
    <row r="219">
      <c r="B219" s="1165"/>
      <c r="F219" s="1166"/>
      <c r="L219" s="53"/>
      <c r="M219" s="1167"/>
      <c r="N219" s="53"/>
      <c r="O219" s="53"/>
      <c r="P219" s="53"/>
      <c r="Q219" s="1169"/>
      <c r="R219" s="1170"/>
    </row>
    <row r="220">
      <c r="B220" s="1165"/>
      <c r="F220" s="1166"/>
      <c r="L220" s="53"/>
      <c r="M220" s="1167"/>
      <c r="N220" s="53"/>
      <c r="O220" s="53"/>
      <c r="P220" s="53"/>
      <c r="Q220" s="1169"/>
      <c r="R220" s="1170"/>
    </row>
    <row r="221">
      <c r="B221" s="1165"/>
      <c r="F221" s="1166"/>
      <c r="L221" s="53"/>
      <c r="M221" s="1167"/>
      <c r="N221" s="53"/>
      <c r="O221" s="53"/>
      <c r="P221" s="53"/>
      <c r="Q221" s="1169"/>
      <c r="R221" s="1170"/>
    </row>
    <row r="222">
      <c r="B222" s="1165"/>
      <c r="F222" s="1166"/>
      <c r="L222" s="53"/>
      <c r="M222" s="1167"/>
      <c r="N222" s="53"/>
      <c r="O222" s="53"/>
      <c r="P222" s="53"/>
      <c r="Q222" s="1169"/>
      <c r="R222" s="1170"/>
    </row>
    <row r="223">
      <c r="B223" s="1165"/>
      <c r="F223" s="1166"/>
      <c r="L223" s="53"/>
      <c r="M223" s="1167"/>
      <c r="N223" s="53"/>
      <c r="O223" s="53"/>
      <c r="P223" s="53"/>
      <c r="Q223" s="1169"/>
      <c r="R223" s="1170"/>
    </row>
    <row r="224">
      <c r="B224" s="1165"/>
      <c r="F224" s="1166"/>
      <c r="L224" s="53"/>
      <c r="M224" s="1167"/>
      <c r="N224" s="53"/>
      <c r="O224" s="53"/>
      <c r="P224" s="53"/>
      <c r="Q224" s="1169"/>
      <c r="R224" s="1170"/>
    </row>
    <row r="225">
      <c r="B225" s="1165"/>
      <c r="F225" s="1166"/>
      <c r="L225" s="53"/>
      <c r="M225" s="1167"/>
      <c r="N225" s="53"/>
      <c r="O225" s="53"/>
      <c r="P225" s="53"/>
      <c r="Q225" s="1169"/>
      <c r="R225" s="1170"/>
    </row>
    <row r="226">
      <c r="B226" s="1165"/>
      <c r="F226" s="1166"/>
      <c r="L226" s="53"/>
      <c r="M226" s="1167"/>
      <c r="N226" s="53"/>
      <c r="O226" s="53"/>
      <c r="P226" s="53"/>
      <c r="Q226" s="1169"/>
      <c r="R226" s="1170"/>
    </row>
    <row r="227">
      <c r="B227" s="1165"/>
      <c r="F227" s="1166"/>
      <c r="L227" s="53"/>
      <c r="M227" s="1167"/>
      <c r="N227" s="53"/>
      <c r="O227" s="53"/>
      <c r="P227" s="53"/>
      <c r="Q227" s="1169"/>
      <c r="R227" s="1170"/>
    </row>
    <row r="228">
      <c r="B228" s="1165"/>
      <c r="F228" s="1166"/>
      <c r="L228" s="53"/>
      <c r="M228" s="1167"/>
      <c r="N228" s="53"/>
      <c r="O228" s="53"/>
      <c r="P228" s="53"/>
      <c r="Q228" s="1169"/>
      <c r="R228" s="1170"/>
    </row>
    <row r="229">
      <c r="B229" s="1165"/>
      <c r="F229" s="1166"/>
      <c r="L229" s="53"/>
      <c r="M229" s="1167"/>
      <c r="N229" s="53"/>
      <c r="O229" s="53"/>
      <c r="P229" s="53"/>
      <c r="Q229" s="1169"/>
      <c r="R229" s="1170"/>
    </row>
    <row r="230">
      <c r="B230" s="1165"/>
      <c r="F230" s="1166"/>
      <c r="L230" s="53"/>
      <c r="M230" s="1167"/>
      <c r="N230" s="53"/>
      <c r="O230" s="53"/>
      <c r="P230" s="53"/>
      <c r="Q230" s="1169"/>
      <c r="R230" s="1170"/>
    </row>
    <row r="231">
      <c r="B231" s="1165"/>
      <c r="F231" s="1166"/>
      <c r="L231" s="53"/>
      <c r="M231" s="1167"/>
      <c r="N231" s="53"/>
      <c r="O231" s="53"/>
      <c r="P231" s="53"/>
      <c r="Q231" s="1169"/>
      <c r="R231" s="1170"/>
    </row>
    <row r="232">
      <c r="B232" s="1165"/>
      <c r="F232" s="1166"/>
      <c r="L232" s="53"/>
      <c r="M232" s="1167"/>
      <c r="N232" s="53"/>
      <c r="O232" s="53"/>
      <c r="P232" s="53"/>
      <c r="Q232" s="1169"/>
      <c r="R232" s="1170"/>
    </row>
    <row r="233">
      <c r="B233" s="1165"/>
      <c r="F233" s="1166"/>
      <c r="L233" s="53"/>
      <c r="M233" s="1167"/>
      <c r="N233" s="53"/>
      <c r="O233" s="53"/>
      <c r="P233" s="53"/>
      <c r="Q233" s="1169"/>
      <c r="R233" s="1170"/>
    </row>
    <row r="234">
      <c r="B234" s="1165"/>
      <c r="F234" s="1166"/>
      <c r="L234" s="53"/>
      <c r="M234" s="1167"/>
      <c r="N234" s="53"/>
      <c r="O234" s="53"/>
      <c r="P234" s="53"/>
      <c r="Q234" s="1169"/>
      <c r="R234" s="1170"/>
    </row>
    <row r="235">
      <c r="B235" s="1165"/>
      <c r="F235" s="1166"/>
      <c r="L235" s="53"/>
      <c r="M235" s="1167"/>
      <c r="N235" s="53"/>
      <c r="O235" s="53"/>
      <c r="P235" s="53"/>
      <c r="Q235" s="1169"/>
      <c r="R235" s="1170"/>
    </row>
    <row r="236">
      <c r="B236" s="1165"/>
      <c r="F236" s="1166"/>
      <c r="L236" s="53"/>
      <c r="M236" s="1167"/>
      <c r="N236" s="53"/>
      <c r="O236" s="53"/>
      <c r="P236" s="53"/>
      <c r="Q236" s="1169"/>
      <c r="R236" s="1170"/>
    </row>
    <row r="237">
      <c r="B237" s="1165"/>
      <c r="F237" s="1166"/>
      <c r="L237" s="53"/>
      <c r="M237" s="1167"/>
      <c r="N237" s="53"/>
      <c r="O237" s="53"/>
      <c r="P237" s="53"/>
      <c r="Q237" s="1169"/>
      <c r="R237" s="1170"/>
    </row>
    <row r="238">
      <c r="B238" s="1165"/>
      <c r="F238" s="1166"/>
      <c r="L238" s="53"/>
      <c r="M238" s="1167"/>
      <c r="N238" s="53"/>
      <c r="O238" s="53"/>
      <c r="P238" s="53"/>
      <c r="Q238" s="1169"/>
      <c r="R238" s="1170"/>
    </row>
    <row r="239">
      <c r="B239" s="1165"/>
      <c r="F239" s="1166"/>
      <c r="L239" s="53"/>
      <c r="M239" s="1167"/>
      <c r="N239" s="53"/>
      <c r="O239" s="53"/>
      <c r="P239" s="53"/>
      <c r="Q239" s="1169"/>
      <c r="R239" s="1170"/>
    </row>
    <row r="240">
      <c r="B240" s="1165"/>
      <c r="F240" s="1166"/>
      <c r="L240" s="53"/>
      <c r="M240" s="1167"/>
      <c r="N240" s="53"/>
      <c r="O240" s="53"/>
      <c r="P240" s="53"/>
      <c r="Q240" s="1169"/>
      <c r="R240" s="1170"/>
    </row>
    <row r="241">
      <c r="B241" s="1165"/>
      <c r="F241" s="1166"/>
      <c r="L241" s="53"/>
      <c r="M241" s="1167"/>
      <c r="N241" s="53"/>
      <c r="O241" s="53"/>
      <c r="P241" s="53"/>
      <c r="Q241" s="1169"/>
      <c r="R241" s="1170"/>
    </row>
    <row r="242">
      <c r="B242" s="1165"/>
      <c r="F242" s="1166"/>
      <c r="L242" s="53"/>
      <c r="M242" s="1167"/>
      <c r="N242" s="53"/>
      <c r="O242" s="53"/>
      <c r="P242" s="53"/>
      <c r="Q242" s="1169"/>
      <c r="R242" s="1170"/>
    </row>
    <row r="243">
      <c r="B243" s="1165"/>
      <c r="F243" s="1166"/>
      <c r="L243" s="53"/>
      <c r="M243" s="1167"/>
      <c r="N243" s="53"/>
      <c r="O243" s="53"/>
      <c r="P243" s="53"/>
      <c r="Q243" s="1169"/>
      <c r="R243" s="1170"/>
    </row>
    <row r="244">
      <c r="B244" s="1165"/>
      <c r="F244" s="1166"/>
      <c r="L244" s="53"/>
      <c r="M244" s="1167"/>
      <c r="N244" s="53"/>
      <c r="O244" s="53"/>
      <c r="P244" s="53"/>
      <c r="Q244" s="1169"/>
      <c r="R244" s="1170"/>
    </row>
    <row r="245">
      <c r="B245" s="1165"/>
      <c r="F245" s="1166"/>
      <c r="L245" s="53"/>
      <c r="M245" s="1167"/>
      <c r="N245" s="53"/>
      <c r="O245" s="53"/>
      <c r="P245" s="53"/>
      <c r="Q245" s="1169"/>
      <c r="R245" s="1170"/>
    </row>
    <row r="246">
      <c r="B246" s="1165"/>
      <c r="F246" s="1166"/>
      <c r="L246" s="53"/>
      <c r="M246" s="1167"/>
      <c r="N246" s="53"/>
      <c r="O246" s="53"/>
      <c r="P246" s="53"/>
      <c r="Q246" s="1169"/>
      <c r="R246" s="1170"/>
    </row>
    <row r="247">
      <c r="B247" s="1165"/>
      <c r="F247" s="1166"/>
      <c r="L247" s="53"/>
      <c r="M247" s="1167"/>
      <c r="N247" s="53"/>
      <c r="O247" s="53"/>
      <c r="P247" s="53"/>
      <c r="Q247" s="1169"/>
      <c r="R247" s="1170"/>
    </row>
    <row r="248">
      <c r="B248" s="1165"/>
      <c r="F248" s="1166"/>
      <c r="L248" s="53"/>
      <c r="M248" s="1167"/>
      <c r="N248" s="53"/>
      <c r="O248" s="53"/>
      <c r="P248" s="53"/>
      <c r="Q248" s="1169"/>
      <c r="R248" s="1170"/>
    </row>
    <row r="249">
      <c r="B249" s="1165"/>
      <c r="F249" s="1166"/>
      <c r="L249" s="53"/>
      <c r="M249" s="1167"/>
      <c r="N249" s="53"/>
      <c r="O249" s="53"/>
      <c r="P249" s="53"/>
      <c r="Q249" s="1169"/>
      <c r="R249" s="1170"/>
    </row>
    <row r="250">
      <c r="B250" s="1165"/>
      <c r="F250" s="1166"/>
      <c r="L250" s="53"/>
      <c r="M250" s="1167"/>
      <c r="N250" s="53"/>
      <c r="O250" s="53"/>
      <c r="P250" s="53"/>
      <c r="Q250" s="1169"/>
      <c r="R250" s="1170"/>
    </row>
    <row r="251">
      <c r="B251" s="1165"/>
      <c r="F251" s="1166"/>
      <c r="L251" s="53"/>
      <c r="M251" s="1167"/>
      <c r="N251" s="53"/>
      <c r="O251" s="53"/>
      <c r="P251" s="53"/>
      <c r="Q251" s="1169"/>
      <c r="R251" s="1170"/>
    </row>
    <row r="252">
      <c r="B252" s="1165"/>
      <c r="F252" s="1166"/>
      <c r="L252" s="53"/>
      <c r="M252" s="1167"/>
      <c r="N252" s="53"/>
      <c r="O252" s="53"/>
      <c r="P252" s="53"/>
      <c r="Q252" s="1169"/>
      <c r="R252" s="1170"/>
    </row>
    <row r="253">
      <c r="B253" s="1165"/>
      <c r="F253" s="1166"/>
      <c r="L253" s="53"/>
      <c r="M253" s="1167"/>
      <c r="N253" s="53"/>
      <c r="O253" s="53"/>
      <c r="P253" s="53"/>
      <c r="Q253" s="1169"/>
      <c r="R253" s="1170"/>
    </row>
    <row r="254">
      <c r="B254" s="1165"/>
      <c r="F254" s="1166"/>
      <c r="L254" s="53"/>
      <c r="M254" s="1167"/>
      <c r="N254" s="53"/>
      <c r="O254" s="53"/>
      <c r="P254" s="53"/>
      <c r="Q254" s="1169"/>
      <c r="R254" s="1170"/>
    </row>
    <row r="255">
      <c r="B255" s="1165"/>
      <c r="F255" s="1166"/>
      <c r="L255" s="53"/>
      <c r="M255" s="1167"/>
      <c r="N255" s="53"/>
      <c r="O255" s="53"/>
      <c r="P255" s="53"/>
      <c r="Q255" s="1169"/>
      <c r="R255" s="1170"/>
    </row>
    <row r="256">
      <c r="B256" s="1165"/>
      <c r="F256" s="1166"/>
      <c r="L256" s="53"/>
      <c r="M256" s="1167"/>
      <c r="N256" s="53"/>
      <c r="O256" s="53"/>
      <c r="P256" s="53"/>
      <c r="Q256" s="1169"/>
      <c r="R256" s="1170"/>
    </row>
    <row r="257">
      <c r="B257" s="1165"/>
      <c r="F257" s="1166"/>
      <c r="L257" s="53"/>
      <c r="M257" s="1167"/>
      <c r="N257" s="53"/>
      <c r="O257" s="53"/>
      <c r="P257" s="53"/>
      <c r="Q257" s="1169"/>
      <c r="R257" s="1170"/>
    </row>
    <row r="258">
      <c r="B258" s="1165"/>
      <c r="F258" s="1166"/>
      <c r="L258" s="53"/>
      <c r="M258" s="1167"/>
      <c r="N258" s="53"/>
      <c r="O258" s="53"/>
      <c r="P258" s="53"/>
      <c r="Q258" s="1169"/>
      <c r="R258" s="1170"/>
    </row>
    <row r="259">
      <c r="B259" s="1165"/>
      <c r="F259" s="1166"/>
      <c r="L259" s="53"/>
      <c r="M259" s="1167"/>
      <c r="N259" s="53"/>
      <c r="O259" s="53"/>
      <c r="P259" s="53"/>
      <c r="Q259" s="1169"/>
      <c r="R259" s="1170"/>
    </row>
    <row r="260">
      <c r="B260" s="1165"/>
      <c r="F260" s="1166"/>
      <c r="L260" s="53"/>
      <c r="M260" s="1167"/>
      <c r="N260" s="53"/>
      <c r="O260" s="53"/>
      <c r="P260" s="53"/>
      <c r="Q260" s="1169"/>
      <c r="R260" s="1170"/>
    </row>
    <row r="261">
      <c r="B261" s="1165"/>
      <c r="F261" s="1166"/>
      <c r="L261" s="53"/>
      <c r="M261" s="1167"/>
      <c r="N261" s="53"/>
      <c r="O261" s="53"/>
      <c r="P261" s="53"/>
      <c r="Q261" s="1169"/>
      <c r="R261" s="1170"/>
    </row>
    <row r="262">
      <c r="B262" s="1165"/>
      <c r="F262" s="1166"/>
      <c r="L262" s="53"/>
      <c r="M262" s="1167"/>
      <c r="N262" s="53"/>
      <c r="O262" s="53"/>
      <c r="P262" s="53"/>
      <c r="Q262" s="1169"/>
      <c r="R262" s="1170"/>
    </row>
    <row r="263">
      <c r="B263" s="1165"/>
      <c r="F263" s="1166"/>
      <c r="L263" s="53"/>
      <c r="M263" s="1167"/>
      <c r="N263" s="53"/>
      <c r="O263" s="53"/>
      <c r="P263" s="53"/>
      <c r="Q263" s="1169"/>
      <c r="R263" s="1170"/>
    </row>
    <row r="264">
      <c r="B264" s="1165"/>
      <c r="F264" s="1166"/>
      <c r="L264" s="53"/>
      <c r="M264" s="1167"/>
      <c r="N264" s="53"/>
      <c r="O264" s="53"/>
      <c r="P264" s="53"/>
      <c r="Q264" s="1169"/>
      <c r="R264" s="1170"/>
    </row>
    <row r="265">
      <c r="B265" s="1165"/>
      <c r="F265" s="1166"/>
      <c r="L265" s="53"/>
      <c r="M265" s="1167"/>
      <c r="N265" s="53"/>
      <c r="O265" s="53"/>
      <c r="P265" s="53"/>
      <c r="Q265" s="1169"/>
      <c r="R265" s="1170"/>
    </row>
    <row r="266">
      <c r="B266" s="1165"/>
      <c r="F266" s="1166"/>
      <c r="L266" s="53"/>
      <c r="M266" s="1167"/>
      <c r="N266" s="53"/>
      <c r="O266" s="53"/>
      <c r="P266" s="53"/>
      <c r="Q266" s="1169"/>
      <c r="R266" s="1170"/>
    </row>
    <row r="267">
      <c r="B267" s="1165"/>
      <c r="F267" s="1166"/>
      <c r="L267" s="53"/>
      <c r="M267" s="1167"/>
      <c r="N267" s="53"/>
      <c r="O267" s="53"/>
      <c r="P267" s="53"/>
      <c r="Q267" s="1169"/>
      <c r="R267" s="1170"/>
    </row>
    <row r="268">
      <c r="B268" s="1165"/>
      <c r="F268" s="1166"/>
      <c r="L268" s="53"/>
      <c r="M268" s="1167"/>
      <c r="N268" s="53"/>
      <c r="O268" s="53"/>
      <c r="P268" s="53"/>
      <c r="Q268" s="1169"/>
      <c r="R268" s="1170"/>
    </row>
    <row r="269">
      <c r="B269" s="1165"/>
      <c r="F269" s="1166"/>
      <c r="L269" s="53"/>
      <c r="M269" s="1167"/>
      <c r="N269" s="53"/>
      <c r="O269" s="53"/>
      <c r="P269" s="53"/>
      <c r="Q269" s="1169"/>
      <c r="R269" s="1170"/>
    </row>
    <row r="270">
      <c r="B270" s="1165"/>
      <c r="F270" s="1166"/>
      <c r="L270" s="53"/>
      <c r="M270" s="1167"/>
      <c r="N270" s="53"/>
      <c r="O270" s="53"/>
      <c r="P270" s="53"/>
      <c r="Q270" s="1169"/>
      <c r="R270" s="1170"/>
    </row>
    <row r="271">
      <c r="B271" s="1165"/>
      <c r="F271" s="1166"/>
      <c r="L271" s="53"/>
      <c r="M271" s="1167"/>
      <c r="N271" s="53"/>
      <c r="O271" s="53"/>
      <c r="P271" s="53"/>
      <c r="Q271" s="1169"/>
      <c r="R271" s="1170"/>
    </row>
    <row r="272">
      <c r="B272" s="1165"/>
      <c r="F272" s="1166"/>
      <c r="L272" s="53"/>
      <c r="M272" s="1167"/>
      <c r="N272" s="53"/>
      <c r="O272" s="53"/>
      <c r="P272" s="53"/>
      <c r="Q272" s="1169"/>
      <c r="R272" s="1170"/>
    </row>
    <row r="273">
      <c r="B273" s="1165"/>
      <c r="F273" s="1166"/>
      <c r="L273" s="53"/>
      <c r="M273" s="1167"/>
      <c r="N273" s="53"/>
      <c r="O273" s="53"/>
      <c r="P273" s="53"/>
      <c r="Q273" s="1169"/>
      <c r="R273" s="1170"/>
    </row>
    <row r="274">
      <c r="B274" s="1165"/>
      <c r="F274" s="1166"/>
      <c r="L274" s="53"/>
      <c r="M274" s="1167"/>
      <c r="N274" s="53"/>
      <c r="O274" s="53"/>
      <c r="P274" s="53"/>
      <c r="Q274" s="1169"/>
      <c r="R274" s="1170"/>
    </row>
    <row r="275">
      <c r="B275" s="1165"/>
      <c r="F275" s="1166"/>
      <c r="L275" s="53"/>
      <c r="M275" s="1167"/>
      <c r="N275" s="53"/>
      <c r="O275" s="53"/>
      <c r="P275" s="53"/>
      <c r="Q275" s="1169"/>
      <c r="R275" s="1170"/>
    </row>
    <row r="276">
      <c r="B276" s="1165"/>
      <c r="F276" s="1166"/>
      <c r="L276" s="53"/>
      <c r="M276" s="1167"/>
      <c r="N276" s="53"/>
      <c r="O276" s="53"/>
      <c r="P276" s="53"/>
      <c r="Q276" s="1169"/>
      <c r="R276" s="1170"/>
    </row>
    <row r="277">
      <c r="B277" s="1165"/>
      <c r="F277" s="1166"/>
      <c r="L277" s="53"/>
      <c r="M277" s="1167"/>
      <c r="N277" s="53"/>
      <c r="O277" s="53"/>
      <c r="P277" s="53"/>
      <c r="Q277" s="1169"/>
      <c r="R277" s="1170"/>
    </row>
    <row r="278">
      <c r="B278" s="1165"/>
      <c r="F278" s="1166"/>
      <c r="L278" s="53"/>
      <c r="M278" s="1167"/>
      <c r="N278" s="53"/>
      <c r="O278" s="53"/>
      <c r="P278" s="53"/>
      <c r="Q278" s="1169"/>
      <c r="R278" s="1170"/>
    </row>
    <row r="279">
      <c r="B279" s="1165"/>
      <c r="F279" s="1166"/>
      <c r="L279" s="53"/>
      <c r="M279" s="1167"/>
      <c r="N279" s="53"/>
      <c r="O279" s="53"/>
      <c r="P279" s="53"/>
      <c r="Q279" s="1169"/>
      <c r="R279" s="1170"/>
    </row>
    <row r="280">
      <c r="B280" s="1165"/>
      <c r="F280" s="1166"/>
      <c r="L280" s="53"/>
      <c r="M280" s="1167"/>
      <c r="N280" s="53"/>
      <c r="O280" s="53"/>
      <c r="P280" s="53"/>
      <c r="Q280" s="1169"/>
      <c r="R280" s="1170"/>
    </row>
    <row r="281">
      <c r="B281" s="1165"/>
      <c r="F281" s="1166"/>
      <c r="L281" s="53"/>
      <c r="M281" s="1167"/>
      <c r="N281" s="53"/>
      <c r="O281" s="53"/>
      <c r="P281" s="53"/>
      <c r="Q281" s="1169"/>
      <c r="R281" s="1170"/>
    </row>
    <row r="282">
      <c r="B282" s="1165"/>
      <c r="F282" s="1166"/>
      <c r="L282" s="53"/>
      <c r="M282" s="1167"/>
      <c r="N282" s="53"/>
      <c r="O282" s="53"/>
      <c r="P282" s="53"/>
      <c r="Q282" s="1169"/>
      <c r="R282" s="1170"/>
    </row>
    <row r="283">
      <c r="B283" s="1165"/>
      <c r="F283" s="1166"/>
      <c r="L283" s="53"/>
      <c r="M283" s="1167"/>
      <c r="N283" s="53"/>
      <c r="O283" s="53"/>
      <c r="P283" s="53"/>
      <c r="Q283" s="1169"/>
      <c r="R283" s="1170"/>
    </row>
    <row r="284">
      <c r="B284" s="1165"/>
      <c r="F284" s="1166"/>
      <c r="L284" s="53"/>
      <c r="M284" s="1167"/>
      <c r="N284" s="53"/>
      <c r="O284" s="53"/>
      <c r="P284" s="53"/>
      <c r="Q284" s="1169"/>
      <c r="R284" s="1170"/>
    </row>
    <row r="285">
      <c r="B285" s="1165"/>
      <c r="F285" s="1166"/>
      <c r="L285" s="53"/>
      <c r="M285" s="1167"/>
      <c r="N285" s="53"/>
      <c r="O285" s="53"/>
      <c r="P285" s="53"/>
      <c r="Q285" s="1169"/>
      <c r="R285" s="1170"/>
    </row>
    <row r="286">
      <c r="B286" s="1165"/>
      <c r="F286" s="1166"/>
      <c r="L286" s="53"/>
      <c r="M286" s="1167"/>
      <c r="N286" s="53"/>
      <c r="O286" s="53"/>
      <c r="P286" s="53"/>
      <c r="Q286" s="1169"/>
      <c r="R286" s="1170"/>
    </row>
    <row r="287">
      <c r="B287" s="1165"/>
      <c r="F287" s="1166"/>
      <c r="L287" s="53"/>
      <c r="M287" s="1167"/>
      <c r="N287" s="53"/>
      <c r="O287" s="53"/>
      <c r="P287" s="53"/>
      <c r="Q287" s="1169"/>
      <c r="R287" s="1170"/>
    </row>
    <row r="288">
      <c r="B288" s="1165"/>
      <c r="F288" s="1166"/>
      <c r="L288" s="53"/>
      <c r="M288" s="1167"/>
      <c r="N288" s="53"/>
      <c r="O288" s="53"/>
      <c r="P288" s="53"/>
      <c r="Q288" s="1169"/>
      <c r="R288" s="1170"/>
    </row>
    <row r="289">
      <c r="B289" s="1165"/>
      <c r="F289" s="1166"/>
      <c r="L289" s="53"/>
      <c r="M289" s="1167"/>
      <c r="N289" s="53"/>
      <c r="O289" s="53"/>
      <c r="P289" s="53"/>
      <c r="Q289" s="1169"/>
      <c r="R289" s="1170"/>
    </row>
    <row r="290">
      <c r="B290" s="1165"/>
      <c r="F290" s="1166"/>
      <c r="L290" s="53"/>
      <c r="M290" s="1167"/>
      <c r="N290" s="53"/>
      <c r="O290" s="53"/>
      <c r="P290" s="53"/>
      <c r="Q290" s="1169"/>
      <c r="R290" s="1170"/>
    </row>
    <row r="291">
      <c r="B291" s="1165"/>
      <c r="F291" s="1166"/>
      <c r="L291" s="53"/>
      <c r="M291" s="1167"/>
      <c r="N291" s="53"/>
      <c r="O291" s="53"/>
      <c r="P291" s="53"/>
      <c r="Q291" s="1169"/>
      <c r="R291" s="1170"/>
    </row>
    <row r="292">
      <c r="B292" s="1165"/>
      <c r="F292" s="1166"/>
      <c r="L292" s="53"/>
      <c r="M292" s="1167"/>
      <c r="N292" s="53"/>
      <c r="O292" s="53"/>
      <c r="P292" s="53"/>
      <c r="Q292" s="1169"/>
      <c r="R292" s="1170"/>
    </row>
    <row r="293">
      <c r="B293" s="1165"/>
      <c r="F293" s="1166"/>
      <c r="L293" s="53"/>
      <c r="M293" s="1167"/>
      <c r="N293" s="53"/>
      <c r="O293" s="53"/>
      <c r="P293" s="53"/>
      <c r="Q293" s="1169"/>
      <c r="R293" s="1170"/>
    </row>
    <row r="294">
      <c r="B294" s="1165"/>
      <c r="F294" s="1166"/>
      <c r="L294" s="53"/>
      <c r="M294" s="1167"/>
      <c r="N294" s="53"/>
      <c r="O294" s="53"/>
      <c r="P294" s="53"/>
      <c r="Q294" s="1169"/>
      <c r="R294" s="1170"/>
    </row>
    <row r="295">
      <c r="B295" s="1165"/>
      <c r="F295" s="1166"/>
      <c r="L295" s="53"/>
      <c r="M295" s="1167"/>
      <c r="N295" s="53"/>
      <c r="O295" s="53"/>
      <c r="P295" s="53"/>
      <c r="Q295" s="1169"/>
      <c r="R295" s="1170"/>
    </row>
    <row r="296">
      <c r="B296" s="1165"/>
      <c r="F296" s="1166"/>
      <c r="L296" s="53"/>
      <c r="M296" s="1167"/>
      <c r="N296" s="53"/>
      <c r="O296" s="53"/>
      <c r="P296" s="53"/>
      <c r="Q296" s="1169"/>
      <c r="R296" s="1170"/>
    </row>
    <row r="297">
      <c r="B297" s="1165"/>
      <c r="F297" s="1166"/>
      <c r="L297" s="53"/>
      <c r="M297" s="1167"/>
      <c r="N297" s="53"/>
      <c r="O297" s="53"/>
      <c r="P297" s="53"/>
      <c r="Q297" s="1169"/>
      <c r="R297" s="1170"/>
    </row>
    <row r="298">
      <c r="B298" s="1165"/>
      <c r="F298" s="1166"/>
      <c r="L298" s="53"/>
      <c r="M298" s="1167"/>
      <c r="N298" s="53"/>
      <c r="O298" s="53"/>
      <c r="P298" s="53"/>
      <c r="Q298" s="1169"/>
      <c r="R298" s="1170"/>
    </row>
    <row r="299">
      <c r="B299" s="1165"/>
      <c r="F299" s="1166"/>
      <c r="L299" s="53"/>
      <c r="M299" s="1167"/>
      <c r="N299" s="53"/>
      <c r="O299" s="53"/>
      <c r="P299" s="53"/>
      <c r="Q299" s="1169"/>
      <c r="R299" s="1170"/>
    </row>
    <row r="300">
      <c r="B300" s="1165"/>
      <c r="F300" s="1166"/>
      <c r="L300" s="53"/>
      <c r="M300" s="1167"/>
      <c r="N300" s="53"/>
      <c r="O300" s="53"/>
      <c r="P300" s="53"/>
      <c r="Q300" s="1169"/>
      <c r="R300" s="1170"/>
    </row>
    <row r="301">
      <c r="B301" s="1165"/>
      <c r="F301" s="1166"/>
      <c r="L301" s="53"/>
      <c r="M301" s="1167"/>
      <c r="N301" s="53"/>
      <c r="O301" s="53"/>
      <c r="P301" s="53"/>
      <c r="Q301" s="1169"/>
      <c r="R301" s="1170"/>
    </row>
    <row r="302">
      <c r="B302" s="1165"/>
      <c r="F302" s="1166"/>
      <c r="L302" s="53"/>
      <c r="M302" s="1167"/>
      <c r="N302" s="53"/>
      <c r="O302" s="53"/>
      <c r="P302" s="53"/>
      <c r="Q302" s="1169"/>
      <c r="R302" s="1170"/>
    </row>
    <row r="303">
      <c r="B303" s="1165"/>
      <c r="F303" s="1166"/>
      <c r="L303" s="53"/>
      <c r="M303" s="1167"/>
      <c r="N303" s="53"/>
      <c r="O303" s="53"/>
      <c r="P303" s="53"/>
      <c r="Q303" s="1169"/>
      <c r="R303" s="1170"/>
    </row>
    <row r="304">
      <c r="B304" s="1165"/>
      <c r="F304" s="1166"/>
      <c r="L304" s="53"/>
      <c r="M304" s="1167"/>
      <c r="N304" s="53"/>
      <c r="O304" s="53"/>
      <c r="P304" s="53"/>
      <c r="Q304" s="1169"/>
      <c r="R304" s="1170"/>
    </row>
    <row r="305">
      <c r="B305" s="1165"/>
      <c r="F305" s="1166"/>
      <c r="L305" s="53"/>
      <c r="M305" s="1167"/>
      <c r="N305" s="53"/>
      <c r="O305" s="53"/>
      <c r="P305" s="53"/>
      <c r="Q305" s="1169"/>
      <c r="R305" s="1170"/>
    </row>
    <row r="306">
      <c r="B306" s="1165"/>
      <c r="F306" s="1166"/>
      <c r="L306" s="53"/>
      <c r="M306" s="1167"/>
      <c r="N306" s="53"/>
      <c r="O306" s="53"/>
      <c r="P306" s="53"/>
      <c r="Q306" s="1169"/>
      <c r="R306" s="1170"/>
    </row>
    <row r="307">
      <c r="B307" s="1165"/>
      <c r="F307" s="1166"/>
      <c r="L307" s="53"/>
      <c r="M307" s="1167"/>
      <c r="N307" s="53"/>
      <c r="O307" s="53"/>
      <c r="P307" s="53"/>
      <c r="Q307" s="1169"/>
      <c r="R307" s="1170"/>
    </row>
    <row r="308">
      <c r="B308" s="1165"/>
      <c r="F308" s="1166"/>
      <c r="L308" s="53"/>
      <c r="M308" s="1167"/>
      <c r="N308" s="53"/>
      <c r="O308" s="53"/>
      <c r="P308" s="53"/>
      <c r="Q308" s="1169"/>
      <c r="R308" s="1170"/>
    </row>
    <row r="309">
      <c r="B309" s="1165"/>
      <c r="F309" s="1166"/>
      <c r="L309" s="53"/>
      <c r="M309" s="1167"/>
      <c r="N309" s="53"/>
      <c r="O309" s="53"/>
      <c r="P309" s="53"/>
      <c r="Q309" s="1169"/>
      <c r="R309" s="1170"/>
    </row>
    <row r="310">
      <c r="B310" s="1165"/>
      <c r="F310" s="1166"/>
      <c r="L310" s="53"/>
      <c r="M310" s="1167"/>
      <c r="N310" s="53"/>
      <c r="O310" s="53"/>
      <c r="P310" s="53"/>
      <c r="Q310" s="1169"/>
      <c r="R310" s="1170"/>
    </row>
    <row r="311">
      <c r="B311" s="1165"/>
      <c r="F311" s="1166"/>
      <c r="L311" s="53"/>
      <c r="M311" s="1167"/>
      <c r="N311" s="53"/>
      <c r="O311" s="53"/>
      <c r="P311" s="53"/>
      <c r="Q311" s="1169"/>
      <c r="R311" s="1170"/>
    </row>
    <row r="312">
      <c r="B312" s="1165"/>
      <c r="F312" s="1166"/>
      <c r="L312" s="53"/>
      <c r="M312" s="1167"/>
      <c r="N312" s="53"/>
      <c r="O312" s="53"/>
      <c r="P312" s="53"/>
      <c r="Q312" s="1169"/>
      <c r="R312" s="1170"/>
    </row>
    <row r="313">
      <c r="B313" s="1165"/>
      <c r="F313" s="1166"/>
      <c r="L313" s="53"/>
      <c r="M313" s="1167"/>
      <c r="N313" s="53"/>
      <c r="O313" s="53"/>
      <c r="P313" s="53"/>
      <c r="Q313" s="1169"/>
      <c r="R313" s="1170"/>
    </row>
    <row r="314">
      <c r="B314" s="1165"/>
      <c r="F314" s="1166"/>
      <c r="L314" s="53"/>
      <c r="M314" s="1167"/>
      <c r="N314" s="53"/>
      <c r="O314" s="53"/>
      <c r="P314" s="53"/>
      <c r="Q314" s="1169"/>
      <c r="R314" s="1170"/>
    </row>
    <row r="315">
      <c r="B315" s="1165"/>
      <c r="F315" s="1166"/>
      <c r="L315" s="53"/>
      <c r="M315" s="1167"/>
      <c r="N315" s="53"/>
      <c r="O315" s="53"/>
      <c r="P315" s="53"/>
      <c r="Q315" s="1169"/>
      <c r="R315" s="1170"/>
    </row>
    <row r="316">
      <c r="B316" s="1165"/>
      <c r="F316" s="1166"/>
      <c r="L316" s="53"/>
      <c r="M316" s="1167"/>
      <c r="N316" s="53"/>
      <c r="O316" s="53"/>
      <c r="P316" s="53"/>
      <c r="Q316" s="1169"/>
      <c r="R316" s="1170"/>
    </row>
    <row r="317">
      <c r="B317" s="1165"/>
      <c r="F317" s="1166"/>
      <c r="L317" s="53"/>
      <c r="M317" s="1167"/>
      <c r="N317" s="53"/>
      <c r="O317" s="53"/>
      <c r="P317" s="53"/>
      <c r="Q317" s="1169"/>
      <c r="R317" s="1170"/>
    </row>
    <row r="318">
      <c r="B318" s="1165"/>
      <c r="F318" s="1166"/>
      <c r="L318" s="53"/>
      <c r="M318" s="1167"/>
      <c r="N318" s="53"/>
      <c r="O318" s="53"/>
      <c r="P318" s="53"/>
      <c r="Q318" s="1169"/>
      <c r="R318" s="1170"/>
    </row>
    <row r="319">
      <c r="B319" s="1165"/>
      <c r="F319" s="1166"/>
      <c r="L319" s="53"/>
      <c r="M319" s="1167"/>
      <c r="N319" s="53"/>
      <c r="O319" s="53"/>
      <c r="P319" s="53"/>
      <c r="Q319" s="1169"/>
      <c r="R319" s="1170"/>
    </row>
    <row r="320">
      <c r="B320" s="1165"/>
      <c r="F320" s="1166"/>
      <c r="L320" s="53"/>
      <c r="M320" s="1167"/>
      <c r="N320" s="53"/>
      <c r="O320" s="53"/>
      <c r="P320" s="53"/>
      <c r="Q320" s="1169"/>
      <c r="R320" s="1170"/>
    </row>
    <row r="321">
      <c r="B321" s="1165"/>
      <c r="F321" s="1166"/>
      <c r="L321" s="53"/>
      <c r="M321" s="1167"/>
      <c r="N321" s="53"/>
      <c r="O321" s="53"/>
      <c r="P321" s="53"/>
      <c r="Q321" s="1169"/>
      <c r="R321" s="1170"/>
    </row>
    <row r="322">
      <c r="B322" s="1165"/>
      <c r="F322" s="1166"/>
      <c r="L322" s="53"/>
      <c r="M322" s="1167"/>
      <c r="N322" s="53"/>
      <c r="O322" s="53"/>
      <c r="P322" s="53"/>
      <c r="Q322" s="1169"/>
      <c r="R322" s="1170"/>
    </row>
    <row r="323">
      <c r="B323" s="1165"/>
      <c r="F323" s="1166"/>
      <c r="L323" s="53"/>
      <c r="M323" s="1167"/>
      <c r="N323" s="53"/>
      <c r="O323" s="53"/>
      <c r="P323" s="53"/>
      <c r="Q323" s="1169"/>
      <c r="R323" s="1170"/>
    </row>
    <row r="324">
      <c r="B324" s="1165"/>
      <c r="F324" s="1166"/>
      <c r="L324" s="53"/>
      <c r="M324" s="1167"/>
      <c r="N324" s="53"/>
      <c r="O324" s="53"/>
      <c r="P324" s="53"/>
      <c r="Q324" s="1169"/>
      <c r="R324" s="1170"/>
    </row>
    <row r="325">
      <c r="B325" s="1165"/>
      <c r="F325" s="1166"/>
      <c r="L325" s="53"/>
      <c r="M325" s="1167"/>
      <c r="N325" s="53"/>
      <c r="O325" s="53"/>
      <c r="P325" s="53"/>
      <c r="Q325" s="1169"/>
      <c r="R325" s="1170"/>
    </row>
    <row r="326">
      <c r="B326" s="1165"/>
      <c r="F326" s="1166"/>
      <c r="L326" s="53"/>
      <c r="M326" s="1167"/>
      <c r="N326" s="53"/>
      <c r="O326" s="53"/>
      <c r="P326" s="53"/>
      <c r="Q326" s="1169"/>
      <c r="R326" s="1170"/>
    </row>
    <row r="327">
      <c r="B327" s="1165"/>
      <c r="F327" s="1166"/>
      <c r="L327" s="53"/>
      <c r="M327" s="1167"/>
      <c r="N327" s="53"/>
      <c r="O327" s="53"/>
      <c r="P327" s="53"/>
      <c r="Q327" s="1169"/>
      <c r="R327" s="1170"/>
    </row>
    <row r="328">
      <c r="B328" s="1165"/>
      <c r="F328" s="1166"/>
      <c r="L328" s="53"/>
      <c r="M328" s="1167"/>
      <c r="N328" s="53"/>
      <c r="O328" s="53"/>
      <c r="P328" s="53"/>
      <c r="Q328" s="1169"/>
      <c r="R328" s="1170"/>
    </row>
    <row r="329">
      <c r="B329" s="1165"/>
      <c r="F329" s="1166"/>
      <c r="L329" s="53"/>
      <c r="M329" s="1167"/>
      <c r="N329" s="53"/>
      <c r="O329" s="53"/>
      <c r="P329" s="53"/>
      <c r="Q329" s="1169"/>
      <c r="R329" s="1170"/>
    </row>
    <row r="330">
      <c r="B330" s="1165"/>
      <c r="F330" s="1166"/>
      <c r="L330" s="53"/>
      <c r="M330" s="1167"/>
      <c r="N330" s="53"/>
      <c r="O330" s="53"/>
      <c r="P330" s="53"/>
      <c r="Q330" s="1169"/>
      <c r="R330" s="1170"/>
    </row>
    <row r="331">
      <c r="B331" s="1165"/>
      <c r="F331" s="1166"/>
      <c r="L331" s="53"/>
      <c r="M331" s="1167"/>
      <c r="N331" s="53"/>
      <c r="O331" s="53"/>
      <c r="P331" s="53"/>
      <c r="Q331" s="1169"/>
      <c r="R331" s="1170"/>
    </row>
    <row r="332">
      <c r="B332" s="1165"/>
      <c r="F332" s="1166"/>
      <c r="L332" s="53"/>
      <c r="M332" s="1167"/>
      <c r="N332" s="53"/>
      <c r="O332" s="53"/>
      <c r="P332" s="53"/>
      <c r="Q332" s="1169"/>
      <c r="R332" s="1170"/>
    </row>
    <row r="333">
      <c r="B333" s="1165"/>
      <c r="F333" s="1166"/>
      <c r="L333" s="53"/>
      <c r="M333" s="1167"/>
      <c r="N333" s="53"/>
      <c r="O333" s="53"/>
      <c r="P333" s="53"/>
      <c r="Q333" s="1169"/>
      <c r="R333" s="1170"/>
    </row>
    <row r="334">
      <c r="B334" s="1165"/>
      <c r="F334" s="1166"/>
      <c r="L334" s="53"/>
      <c r="M334" s="1167"/>
      <c r="N334" s="53"/>
      <c r="O334" s="53"/>
      <c r="P334" s="53"/>
      <c r="Q334" s="1169"/>
      <c r="R334" s="1170"/>
    </row>
    <row r="335">
      <c r="B335" s="1165"/>
      <c r="F335" s="1166"/>
      <c r="L335" s="53"/>
      <c r="M335" s="1167"/>
      <c r="N335" s="53"/>
      <c r="O335" s="53"/>
      <c r="P335" s="53"/>
      <c r="Q335" s="1169"/>
      <c r="R335" s="1170"/>
    </row>
    <row r="336">
      <c r="B336" s="1165"/>
      <c r="F336" s="1166"/>
      <c r="L336" s="53"/>
      <c r="M336" s="1167"/>
      <c r="N336" s="53"/>
      <c r="O336" s="53"/>
      <c r="P336" s="53"/>
      <c r="Q336" s="1169"/>
      <c r="R336" s="1170"/>
    </row>
    <row r="337">
      <c r="B337" s="1165"/>
      <c r="F337" s="1166"/>
      <c r="L337" s="53"/>
      <c r="M337" s="1167"/>
      <c r="N337" s="53"/>
      <c r="O337" s="53"/>
      <c r="P337" s="53"/>
      <c r="Q337" s="1169"/>
      <c r="R337" s="1170"/>
    </row>
    <row r="338">
      <c r="B338" s="1165"/>
      <c r="F338" s="1166"/>
      <c r="L338" s="53"/>
      <c r="M338" s="1167"/>
      <c r="N338" s="53"/>
      <c r="O338" s="53"/>
      <c r="P338" s="53"/>
      <c r="Q338" s="1169"/>
      <c r="R338" s="1170"/>
    </row>
    <row r="339">
      <c r="B339" s="1165"/>
      <c r="F339" s="1166"/>
      <c r="L339" s="53"/>
      <c r="M339" s="1167"/>
      <c r="N339" s="53"/>
      <c r="O339" s="53"/>
      <c r="P339" s="53"/>
      <c r="Q339" s="1169"/>
      <c r="R339" s="1170"/>
    </row>
    <row r="340">
      <c r="B340" s="1165"/>
      <c r="F340" s="1166"/>
      <c r="L340" s="53"/>
      <c r="M340" s="1167"/>
      <c r="N340" s="53"/>
      <c r="O340" s="53"/>
      <c r="P340" s="53"/>
      <c r="Q340" s="1169"/>
      <c r="R340" s="1170"/>
    </row>
    <row r="341">
      <c r="B341" s="1165"/>
      <c r="F341" s="1166"/>
      <c r="L341" s="53"/>
      <c r="M341" s="1167"/>
      <c r="N341" s="53"/>
      <c r="O341" s="53"/>
      <c r="P341" s="53"/>
      <c r="Q341" s="1169"/>
      <c r="R341" s="1170"/>
    </row>
    <row r="342">
      <c r="B342" s="1165"/>
      <c r="F342" s="1166"/>
      <c r="L342" s="53"/>
      <c r="M342" s="1167"/>
      <c r="N342" s="53"/>
      <c r="O342" s="53"/>
      <c r="P342" s="53"/>
      <c r="Q342" s="1169"/>
      <c r="R342" s="1170"/>
    </row>
    <row r="343">
      <c r="B343" s="1165"/>
      <c r="F343" s="1166"/>
      <c r="L343" s="53"/>
      <c r="M343" s="1167"/>
      <c r="N343" s="53"/>
      <c r="O343" s="53"/>
      <c r="P343" s="53"/>
      <c r="Q343" s="1169"/>
      <c r="R343" s="1170"/>
    </row>
    <row r="344">
      <c r="B344" s="1165"/>
      <c r="F344" s="1166"/>
      <c r="L344" s="53"/>
      <c r="M344" s="1167"/>
      <c r="N344" s="53"/>
      <c r="O344" s="53"/>
      <c r="P344" s="53"/>
      <c r="Q344" s="1169"/>
      <c r="R344" s="1170"/>
    </row>
    <row r="345">
      <c r="B345" s="1165"/>
      <c r="F345" s="1166"/>
      <c r="L345" s="53"/>
      <c r="M345" s="1167"/>
      <c r="N345" s="53"/>
      <c r="O345" s="53"/>
      <c r="P345" s="53"/>
      <c r="Q345" s="1169"/>
      <c r="R345" s="1170"/>
    </row>
    <row r="346">
      <c r="B346" s="1165"/>
      <c r="F346" s="1166"/>
      <c r="L346" s="53"/>
      <c r="M346" s="1167"/>
      <c r="N346" s="53"/>
      <c r="O346" s="53"/>
      <c r="P346" s="53"/>
      <c r="Q346" s="1169"/>
      <c r="R346" s="1170"/>
    </row>
    <row r="347">
      <c r="B347" s="1165"/>
      <c r="F347" s="1166"/>
      <c r="L347" s="53"/>
      <c r="M347" s="1167"/>
      <c r="N347" s="53"/>
      <c r="O347" s="53"/>
      <c r="P347" s="53"/>
      <c r="Q347" s="1169"/>
      <c r="R347" s="1170"/>
    </row>
    <row r="348">
      <c r="B348" s="1165"/>
      <c r="F348" s="1166"/>
      <c r="L348" s="53"/>
      <c r="M348" s="1167"/>
      <c r="N348" s="53"/>
      <c r="O348" s="53"/>
      <c r="P348" s="53"/>
      <c r="Q348" s="1169"/>
      <c r="R348" s="1170"/>
    </row>
    <row r="349">
      <c r="B349" s="1165"/>
      <c r="F349" s="1166"/>
      <c r="L349" s="53"/>
      <c r="M349" s="1167"/>
      <c r="N349" s="53"/>
      <c r="O349" s="53"/>
      <c r="P349" s="53"/>
      <c r="Q349" s="1169"/>
      <c r="R349" s="1170"/>
    </row>
    <row r="350">
      <c r="B350" s="1165"/>
      <c r="F350" s="1166"/>
      <c r="L350" s="53"/>
      <c r="M350" s="1167"/>
      <c r="N350" s="53"/>
      <c r="O350" s="53"/>
      <c r="P350" s="53"/>
      <c r="Q350" s="1169"/>
      <c r="R350" s="1170"/>
    </row>
    <row r="351">
      <c r="B351" s="1165"/>
      <c r="F351" s="1166"/>
      <c r="L351" s="53"/>
      <c r="M351" s="1167"/>
      <c r="N351" s="53"/>
      <c r="O351" s="53"/>
      <c r="P351" s="53"/>
      <c r="Q351" s="1169"/>
      <c r="R351" s="1170"/>
    </row>
    <row r="352">
      <c r="B352" s="1165"/>
      <c r="F352" s="1166"/>
      <c r="L352" s="53"/>
      <c r="M352" s="1167"/>
      <c r="N352" s="53"/>
      <c r="O352" s="53"/>
      <c r="P352" s="53"/>
      <c r="Q352" s="1169"/>
      <c r="R352" s="1170"/>
    </row>
    <row r="353">
      <c r="B353" s="1165"/>
      <c r="F353" s="1166"/>
      <c r="L353" s="53"/>
      <c r="M353" s="1167"/>
      <c r="N353" s="53"/>
      <c r="O353" s="53"/>
      <c r="P353" s="53"/>
      <c r="Q353" s="1169"/>
      <c r="R353" s="1170"/>
    </row>
    <row r="354">
      <c r="B354" s="1165"/>
      <c r="F354" s="1166"/>
      <c r="L354" s="53"/>
      <c r="M354" s="1167"/>
      <c r="N354" s="53"/>
      <c r="O354" s="53"/>
      <c r="P354" s="53"/>
      <c r="Q354" s="1169"/>
      <c r="R354" s="1170"/>
    </row>
    <row r="355">
      <c r="B355" s="1165"/>
      <c r="F355" s="1166"/>
      <c r="L355" s="53"/>
      <c r="M355" s="1167"/>
      <c r="N355" s="53"/>
      <c r="O355" s="53"/>
      <c r="P355" s="53"/>
      <c r="Q355" s="1169"/>
      <c r="R355" s="1170"/>
    </row>
    <row r="356">
      <c r="B356" s="1165"/>
      <c r="F356" s="1166"/>
      <c r="L356" s="53"/>
      <c r="M356" s="1167"/>
      <c r="N356" s="53"/>
      <c r="O356" s="53"/>
      <c r="P356" s="53"/>
      <c r="Q356" s="1169"/>
      <c r="R356" s="1170"/>
    </row>
    <row r="357">
      <c r="B357" s="1165"/>
      <c r="F357" s="1166"/>
      <c r="L357" s="53"/>
      <c r="M357" s="1167"/>
      <c r="N357" s="53"/>
      <c r="O357" s="53"/>
      <c r="P357" s="53"/>
      <c r="Q357" s="1169"/>
      <c r="R357" s="1170"/>
    </row>
    <row r="358">
      <c r="B358" s="1165"/>
      <c r="F358" s="1166"/>
      <c r="L358" s="53"/>
      <c r="M358" s="1167"/>
      <c r="N358" s="53"/>
      <c r="O358" s="53"/>
      <c r="P358" s="53"/>
      <c r="Q358" s="1169"/>
      <c r="R358" s="1170"/>
    </row>
    <row r="359">
      <c r="B359" s="1165"/>
      <c r="F359" s="1166"/>
      <c r="L359" s="53"/>
      <c r="M359" s="1167"/>
      <c r="N359" s="53"/>
      <c r="O359" s="53"/>
      <c r="P359" s="53"/>
      <c r="Q359" s="1169"/>
      <c r="R359" s="1170"/>
    </row>
    <row r="360">
      <c r="B360" s="1165"/>
      <c r="F360" s="1166"/>
      <c r="L360" s="53"/>
      <c r="M360" s="1167"/>
      <c r="N360" s="53"/>
      <c r="O360" s="53"/>
      <c r="P360" s="53"/>
      <c r="Q360" s="1169"/>
      <c r="R360" s="1170"/>
    </row>
    <row r="361">
      <c r="B361" s="1165"/>
      <c r="F361" s="1166"/>
      <c r="L361" s="53"/>
      <c r="M361" s="1167"/>
      <c r="N361" s="53"/>
      <c r="O361" s="53"/>
      <c r="P361" s="53"/>
      <c r="Q361" s="1169"/>
      <c r="R361" s="1170"/>
    </row>
    <row r="362">
      <c r="B362" s="1165"/>
      <c r="F362" s="1166"/>
      <c r="L362" s="53"/>
      <c r="M362" s="1167"/>
      <c r="N362" s="53"/>
      <c r="O362" s="53"/>
      <c r="P362" s="53"/>
      <c r="Q362" s="1169"/>
      <c r="R362" s="1170"/>
    </row>
    <row r="363">
      <c r="B363" s="1165"/>
      <c r="F363" s="1166"/>
      <c r="L363" s="53"/>
      <c r="M363" s="1167"/>
      <c r="N363" s="53"/>
      <c r="O363" s="53"/>
      <c r="P363" s="53"/>
      <c r="Q363" s="1169"/>
      <c r="R363" s="1170"/>
    </row>
    <row r="364">
      <c r="B364" s="1165"/>
      <c r="F364" s="1166"/>
      <c r="L364" s="53"/>
      <c r="M364" s="1167"/>
      <c r="N364" s="53"/>
      <c r="O364" s="53"/>
      <c r="P364" s="53"/>
      <c r="Q364" s="1169"/>
      <c r="R364" s="1170"/>
    </row>
    <row r="365">
      <c r="B365" s="1165"/>
      <c r="F365" s="1166"/>
      <c r="L365" s="53"/>
      <c r="M365" s="1167"/>
      <c r="N365" s="53"/>
      <c r="O365" s="53"/>
      <c r="P365" s="53"/>
      <c r="Q365" s="1169"/>
      <c r="R365" s="1170"/>
    </row>
    <row r="366">
      <c r="B366" s="1165"/>
      <c r="F366" s="1166"/>
      <c r="L366" s="53"/>
      <c r="M366" s="1167"/>
      <c r="N366" s="53"/>
      <c r="O366" s="53"/>
      <c r="P366" s="53"/>
      <c r="Q366" s="1169"/>
      <c r="R366" s="1170"/>
    </row>
    <row r="367">
      <c r="B367" s="1165"/>
      <c r="F367" s="1166"/>
      <c r="L367" s="53"/>
      <c r="M367" s="1167"/>
      <c r="N367" s="53"/>
      <c r="O367" s="53"/>
      <c r="P367" s="53"/>
      <c r="Q367" s="1169"/>
      <c r="R367" s="1170"/>
    </row>
    <row r="368">
      <c r="B368" s="1165"/>
      <c r="F368" s="1166"/>
      <c r="L368" s="53"/>
      <c r="M368" s="1167"/>
      <c r="N368" s="53"/>
      <c r="O368" s="53"/>
      <c r="P368" s="53"/>
      <c r="Q368" s="1169"/>
      <c r="R368" s="1170"/>
    </row>
    <row r="369">
      <c r="B369" s="1165"/>
      <c r="F369" s="1166"/>
      <c r="L369" s="53"/>
      <c r="M369" s="1167"/>
      <c r="N369" s="53"/>
      <c r="O369" s="53"/>
      <c r="P369" s="53"/>
      <c r="Q369" s="1169"/>
      <c r="R369" s="1170"/>
    </row>
    <row r="370">
      <c r="B370" s="1165"/>
      <c r="F370" s="1166"/>
      <c r="L370" s="53"/>
      <c r="M370" s="1167"/>
      <c r="N370" s="53"/>
      <c r="O370" s="53"/>
      <c r="P370" s="53"/>
      <c r="Q370" s="1169"/>
      <c r="R370" s="1170"/>
    </row>
    <row r="371">
      <c r="B371" s="1165"/>
      <c r="F371" s="1166"/>
      <c r="L371" s="53"/>
      <c r="M371" s="1167"/>
      <c r="N371" s="53"/>
      <c r="O371" s="53"/>
      <c r="P371" s="53"/>
      <c r="Q371" s="1169"/>
      <c r="R371" s="1170"/>
    </row>
    <row r="372">
      <c r="B372" s="1165"/>
      <c r="F372" s="1166"/>
      <c r="L372" s="53"/>
      <c r="M372" s="1167"/>
      <c r="N372" s="53"/>
      <c r="O372" s="53"/>
      <c r="P372" s="53"/>
      <c r="Q372" s="1169"/>
      <c r="R372" s="1170"/>
    </row>
    <row r="373">
      <c r="B373" s="1165"/>
      <c r="F373" s="1166"/>
      <c r="L373" s="53"/>
      <c r="M373" s="1167"/>
      <c r="N373" s="53"/>
      <c r="O373" s="53"/>
      <c r="P373" s="53"/>
      <c r="Q373" s="1169"/>
      <c r="R373" s="1170"/>
    </row>
    <row r="374">
      <c r="B374" s="1165"/>
      <c r="F374" s="1166"/>
      <c r="L374" s="53"/>
      <c r="M374" s="1167"/>
      <c r="N374" s="53"/>
      <c r="O374" s="53"/>
      <c r="P374" s="53"/>
      <c r="Q374" s="1169"/>
      <c r="R374" s="1170"/>
    </row>
    <row r="375">
      <c r="B375" s="1165"/>
      <c r="F375" s="1166"/>
      <c r="L375" s="53"/>
      <c r="M375" s="1167"/>
      <c r="N375" s="53"/>
      <c r="O375" s="53"/>
      <c r="P375" s="53"/>
      <c r="Q375" s="1169"/>
      <c r="R375" s="1170"/>
    </row>
    <row r="376">
      <c r="B376" s="1165"/>
      <c r="F376" s="1166"/>
      <c r="L376" s="53"/>
      <c r="M376" s="1167"/>
      <c r="N376" s="53"/>
      <c r="O376" s="53"/>
      <c r="P376" s="53"/>
      <c r="Q376" s="1169"/>
      <c r="R376" s="1170"/>
    </row>
    <row r="377">
      <c r="B377" s="1165"/>
      <c r="F377" s="1166"/>
      <c r="L377" s="53"/>
      <c r="M377" s="1167"/>
      <c r="N377" s="53"/>
      <c r="O377" s="53"/>
      <c r="P377" s="53"/>
      <c r="Q377" s="1169"/>
      <c r="R377" s="1170"/>
    </row>
    <row r="378">
      <c r="B378" s="1165"/>
      <c r="F378" s="1166"/>
      <c r="L378" s="53"/>
      <c r="M378" s="1167"/>
      <c r="N378" s="53"/>
      <c r="O378" s="53"/>
      <c r="P378" s="53"/>
      <c r="Q378" s="1169"/>
      <c r="R378" s="1170"/>
    </row>
    <row r="379">
      <c r="B379" s="1165"/>
      <c r="F379" s="1166"/>
      <c r="L379" s="53"/>
      <c r="M379" s="1167"/>
      <c r="N379" s="53"/>
      <c r="O379" s="53"/>
      <c r="P379" s="53"/>
      <c r="Q379" s="1169"/>
      <c r="R379" s="1170"/>
    </row>
    <row r="380">
      <c r="B380" s="1165"/>
      <c r="F380" s="1166"/>
      <c r="L380" s="53"/>
      <c r="M380" s="1167"/>
      <c r="N380" s="53"/>
      <c r="O380" s="53"/>
      <c r="P380" s="53"/>
      <c r="Q380" s="1169"/>
      <c r="R380" s="1170"/>
    </row>
    <row r="381">
      <c r="B381" s="1165"/>
      <c r="F381" s="1166"/>
      <c r="L381" s="53"/>
      <c r="M381" s="1167"/>
      <c r="N381" s="53"/>
      <c r="O381" s="53"/>
      <c r="P381" s="53"/>
      <c r="Q381" s="1169"/>
      <c r="R381" s="1170"/>
    </row>
    <row r="382">
      <c r="B382" s="1165"/>
      <c r="F382" s="1166"/>
      <c r="L382" s="53"/>
      <c r="M382" s="1167"/>
      <c r="N382" s="53"/>
      <c r="O382" s="53"/>
      <c r="P382" s="53"/>
      <c r="Q382" s="1169"/>
      <c r="R382" s="1170"/>
    </row>
    <row r="383">
      <c r="B383" s="1165"/>
      <c r="F383" s="1166"/>
      <c r="L383" s="53"/>
      <c r="M383" s="1167"/>
      <c r="N383" s="53"/>
      <c r="O383" s="53"/>
      <c r="P383" s="53"/>
      <c r="Q383" s="1169"/>
      <c r="R383" s="1170"/>
    </row>
    <row r="384">
      <c r="B384" s="1165"/>
      <c r="F384" s="1166"/>
      <c r="L384" s="53"/>
      <c r="M384" s="1167"/>
      <c r="N384" s="53"/>
      <c r="O384" s="53"/>
      <c r="P384" s="53"/>
      <c r="Q384" s="1169"/>
      <c r="R384" s="1170"/>
    </row>
    <row r="385">
      <c r="B385" s="1165"/>
      <c r="F385" s="1166"/>
      <c r="L385" s="53"/>
      <c r="M385" s="1167"/>
      <c r="N385" s="53"/>
      <c r="O385" s="53"/>
      <c r="P385" s="53"/>
      <c r="Q385" s="1169"/>
      <c r="R385" s="1170"/>
    </row>
    <row r="386">
      <c r="B386" s="1165"/>
      <c r="F386" s="1166"/>
      <c r="L386" s="53"/>
      <c r="M386" s="1167"/>
      <c r="N386" s="53"/>
      <c r="O386" s="53"/>
      <c r="P386" s="53"/>
      <c r="Q386" s="1169"/>
      <c r="R386" s="1170"/>
    </row>
    <row r="387">
      <c r="B387" s="1165"/>
      <c r="F387" s="1166"/>
      <c r="L387" s="53"/>
      <c r="M387" s="1167"/>
      <c r="N387" s="53"/>
      <c r="O387" s="53"/>
      <c r="P387" s="53"/>
      <c r="Q387" s="1169"/>
      <c r="R387" s="1170"/>
    </row>
    <row r="388">
      <c r="B388" s="1165"/>
      <c r="F388" s="1166"/>
      <c r="L388" s="53"/>
      <c r="M388" s="1167"/>
      <c r="N388" s="53"/>
      <c r="O388" s="53"/>
      <c r="P388" s="53"/>
      <c r="Q388" s="1169"/>
      <c r="R388" s="1170"/>
    </row>
    <row r="389">
      <c r="B389" s="1165"/>
      <c r="F389" s="1166"/>
      <c r="L389" s="53"/>
      <c r="M389" s="1167"/>
      <c r="N389" s="53"/>
      <c r="O389" s="53"/>
      <c r="P389" s="53"/>
      <c r="Q389" s="1169"/>
      <c r="R389" s="1170"/>
    </row>
    <row r="390">
      <c r="B390" s="1165"/>
      <c r="F390" s="1166"/>
      <c r="L390" s="53"/>
      <c r="M390" s="1167"/>
      <c r="N390" s="53"/>
      <c r="O390" s="53"/>
      <c r="P390" s="53"/>
      <c r="Q390" s="1169"/>
      <c r="R390" s="1170"/>
    </row>
    <row r="391">
      <c r="B391" s="1165"/>
      <c r="F391" s="1166"/>
      <c r="L391" s="53"/>
      <c r="M391" s="1167"/>
      <c r="N391" s="53"/>
      <c r="O391" s="53"/>
      <c r="P391" s="53"/>
      <c r="Q391" s="1169"/>
      <c r="R391" s="1170"/>
    </row>
    <row r="392">
      <c r="B392" s="1165"/>
      <c r="F392" s="1166"/>
      <c r="L392" s="53"/>
      <c r="M392" s="1167"/>
      <c r="N392" s="53"/>
      <c r="O392" s="53"/>
      <c r="P392" s="53"/>
      <c r="Q392" s="1169"/>
      <c r="R392" s="1170"/>
    </row>
    <row r="393">
      <c r="B393" s="1165"/>
      <c r="F393" s="1166"/>
      <c r="L393" s="53"/>
      <c r="M393" s="1167"/>
      <c r="N393" s="53"/>
      <c r="O393" s="53"/>
      <c r="P393" s="53"/>
      <c r="Q393" s="1169"/>
      <c r="R393" s="1170"/>
    </row>
    <row r="394">
      <c r="B394" s="1165"/>
      <c r="F394" s="1166"/>
      <c r="L394" s="53"/>
      <c r="M394" s="1167"/>
      <c r="N394" s="53"/>
      <c r="O394" s="53"/>
      <c r="P394" s="53"/>
      <c r="Q394" s="1169"/>
      <c r="R394" s="1170"/>
    </row>
    <row r="395">
      <c r="B395" s="1165"/>
      <c r="F395" s="1166"/>
      <c r="L395" s="53"/>
      <c r="M395" s="1167"/>
      <c r="N395" s="53"/>
      <c r="O395" s="53"/>
      <c r="P395" s="53"/>
      <c r="Q395" s="1169"/>
      <c r="R395" s="1170"/>
    </row>
    <row r="396">
      <c r="B396" s="1165"/>
      <c r="F396" s="1166"/>
      <c r="L396" s="53"/>
      <c r="M396" s="1167"/>
      <c r="N396" s="53"/>
      <c r="O396" s="53"/>
      <c r="P396" s="53"/>
      <c r="Q396" s="1169"/>
      <c r="R396" s="1170"/>
    </row>
    <row r="397">
      <c r="B397" s="1165"/>
      <c r="F397" s="1166"/>
      <c r="L397" s="53"/>
      <c r="M397" s="1167"/>
      <c r="N397" s="53"/>
      <c r="O397" s="53"/>
      <c r="P397" s="53"/>
      <c r="Q397" s="1169"/>
      <c r="R397" s="1170"/>
    </row>
    <row r="398">
      <c r="B398" s="1165"/>
      <c r="F398" s="1166"/>
      <c r="L398" s="53"/>
      <c r="M398" s="1167"/>
      <c r="N398" s="53"/>
      <c r="O398" s="53"/>
      <c r="P398" s="53"/>
      <c r="Q398" s="1169"/>
      <c r="R398" s="1170"/>
    </row>
    <row r="399">
      <c r="B399" s="1165"/>
      <c r="F399" s="1166"/>
      <c r="L399" s="53"/>
      <c r="M399" s="1167"/>
      <c r="N399" s="53"/>
      <c r="O399" s="53"/>
      <c r="P399" s="53"/>
      <c r="Q399" s="1169"/>
      <c r="R399" s="1170"/>
    </row>
    <row r="400">
      <c r="B400" s="1165"/>
      <c r="F400" s="1166"/>
      <c r="L400" s="53"/>
      <c r="M400" s="1167"/>
      <c r="N400" s="53"/>
      <c r="O400" s="53"/>
      <c r="P400" s="53"/>
      <c r="Q400" s="1169"/>
      <c r="R400" s="1170"/>
    </row>
    <row r="401">
      <c r="B401" s="1165"/>
      <c r="F401" s="1166"/>
      <c r="L401" s="53"/>
      <c r="M401" s="1167"/>
      <c r="N401" s="53"/>
      <c r="O401" s="53"/>
      <c r="P401" s="53"/>
      <c r="Q401" s="1169"/>
      <c r="R401" s="1170"/>
    </row>
    <row r="402">
      <c r="B402" s="1165"/>
      <c r="F402" s="1166"/>
      <c r="L402" s="53"/>
      <c r="M402" s="1167"/>
      <c r="N402" s="53"/>
      <c r="O402" s="53"/>
      <c r="P402" s="53"/>
      <c r="Q402" s="1169"/>
      <c r="R402" s="1170"/>
    </row>
    <row r="403">
      <c r="B403" s="1165"/>
      <c r="F403" s="1166"/>
      <c r="L403" s="53"/>
      <c r="M403" s="1167"/>
      <c r="N403" s="53"/>
      <c r="O403" s="53"/>
      <c r="P403" s="53"/>
      <c r="Q403" s="1169"/>
      <c r="R403" s="1170"/>
    </row>
    <row r="404">
      <c r="B404" s="1165"/>
      <c r="F404" s="1166"/>
      <c r="L404" s="53"/>
      <c r="M404" s="1167"/>
      <c r="N404" s="53"/>
      <c r="O404" s="53"/>
      <c r="P404" s="53"/>
      <c r="Q404" s="1169"/>
      <c r="R404" s="1170"/>
    </row>
    <row r="405">
      <c r="B405" s="1165"/>
      <c r="F405" s="1166"/>
      <c r="L405" s="53"/>
      <c r="M405" s="1167"/>
      <c r="N405" s="53"/>
      <c r="O405" s="53"/>
      <c r="P405" s="53"/>
      <c r="Q405" s="1169"/>
      <c r="R405" s="1170"/>
    </row>
    <row r="406">
      <c r="B406" s="1165"/>
      <c r="F406" s="1166"/>
      <c r="L406" s="53"/>
      <c r="M406" s="1167"/>
      <c r="N406" s="53"/>
      <c r="O406" s="53"/>
      <c r="P406" s="53"/>
      <c r="Q406" s="1169"/>
      <c r="R406" s="1170"/>
    </row>
    <row r="407">
      <c r="B407" s="1165"/>
      <c r="F407" s="1166"/>
      <c r="L407" s="53"/>
      <c r="M407" s="1167"/>
      <c r="N407" s="53"/>
      <c r="O407" s="53"/>
      <c r="P407" s="53"/>
      <c r="Q407" s="1169"/>
      <c r="R407" s="1170"/>
    </row>
    <row r="408">
      <c r="B408" s="1165"/>
      <c r="F408" s="1166"/>
      <c r="L408" s="53"/>
      <c r="M408" s="1167"/>
      <c r="N408" s="53"/>
      <c r="O408" s="53"/>
      <c r="P408" s="53"/>
      <c r="Q408" s="1169"/>
      <c r="R408" s="1170"/>
    </row>
    <row r="409">
      <c r="B409" s="1165"/>
      <c r="F409" s="1166"/>
      <c r="L409" s="53"/>
      <c r="M409" s="1167"/>
      <c r="N409" s="53"/>
      <c r="O409" s="53"/>
      <c r="P409" s="53"/>
      <c r="Q409" s="1169"/>
      <c r="R409" s="1170"/>
    </row>
    <row r="410">
      <c r="B410" s="1165"/>
      <c r="F410" s="1166"/>
      <c r="L410" s="53"/>
      <c r="M410" s="1167"/>
      <c r="N410" s="53"/>
      <c r="O410" s="53"/>
      <c r="P410" s="53"/>
      <c r="Q410" s="1169"/>
      <c r="R410" s="1170"/>
    </row>
    <row r="411">
      <c r="B411" s="1165"/>
      <c r="F411" s="1166"/>
      <c r="L411" s="53"/>
      <c r="M411" s="1167"/>
      <c r="N411" s="53"/>
      <c r="O411" s="53"/>
      <c r="P411" s="53"/>
      <c r="Q411" s="1169"/>
      <c r="R411" s="1170"/>
    </row>
    <row r="412">
      <c r="B412" s="1165"/>
      <c r="F412" s="1166"/>
      <c r="L412" s="53"/>
      <c r="M412" s="1167"/>
      <c r="N412" s="53"/>
      <c r="O412" s="53"/>
      <c r="P412" s="53"/>
      <c r="Q412" s="1169"/>
      <c r="R412" s="1170"/>
    </row>
    <row r="413">
      <c r="B413" s="1165"/>
      <c r="F413" s="1166"/>
      <c r="L413" s="53"/>
      <c r="M413" s="1167"/>
      <c r="N413" s="53"/>
      <c r="O413" s="53"/>
      <c r="P413" s="53"/>
      <c r="Q413" s="1169"/>
      <c r="R413" s="1170"/>
    </row>
    <row r="414">
      <c r="B414" s="1165"/>
      <c r="F414" s="1166"/>
      <c r="L414" s="53"/>
      <c r="M414" s="1167"/>
      <c r="N414" s="53"/>
      <c r="O414" s="53"/>
      <c r="P414" s="53"/>
      <c r="Q414" s="1169"/>
      <c r="R414" s="1170"/>
    </row>
    <row r="415">
      <c r="B415" s="1165"/>
      <c r="F415" s="1166"/>
      <c r="L415" s="53"/>
      <c r="M415" s="1167"/>
      <c r="N415" s="53"/>
      <c r="O415" s="53"/>
      <c r="P415" s="53"/>
      <c r="Q415" s="1169"/>
      <c r="R415" s="1170"/>
    </row>
    <row r="416">
      <c r="B416" s="1165"/>
      <c r="F416" s="1166"/>
      <c r="L416" s="53"/>
      <c r="M416" s="1167"/>
      <c r="N416" s="53"/>
      <c r="O416" s="53"/>
      <c r="P416" s="53"/>
      <c r="Q416" s="1169"/>
      <c r="R416" s="1170"/>
    </row>
    <row r="417">
      <c r="B417" s="1165"/>
      <c r="F417" s="1166"/>
      <c r="L417" s="53"/>
      <c r="M417" s="1167"/>
      <c r="N417" s="53"/>
      <c r="O417" s="53"/>
      <c r="P417" s="53"/>
      <c r="Q417" s="1169"/>
      <c r="R417" s="1170"/>
    </row>
    <row r="418">
      <c r="B418" s="1165"/>
      <c r="F418" s="1166"/>
      <c r="L418" s="53"/>
      <c r="M418" s="1167"/>
      <c r="N418" s="53"/>
      <c r="O418" s="53"/>
      <c r="P418" s="53"/>
      <c r="Q418" s="1169"/>
      <c r="R418" s="1170"/>
    </row>
    <row r="419">
      <c r="B419" s="1165"/>
      <c r="F419" s="1166"/>
      <c r="L419" s="53"/>
      <c r="M419" s="1167"/>
      <c r="N419" s="53"/>
      <c r="O419" s="53"/>
      <c r="P419" s="53"/>
      <c r="Q419" s="1169"/>
      <c r="R419" s="1170"/>
    </row>
    <row r="420">
      <c r="B420" s="1165"/>
      <c r="F420" s="1166"/>
      <c r="L420" s="53"/>
      <c r="M420" s="1167"/>
      <c r="N420" s="53"/>
      <c r="O420" s="53"/>
      <c r="P420" s="53"/>
      <c r="Q420" s="1169"/>
      <c r="R420" s="1170"/>
    </row>
    <row r="421">
      <c r="B421" s="1165"/>
      <c r="F421" s="1166"/>
      <c r="L421" s="53"/>
      <c r="M421" s="1167"/>
      <c r="N421" s="53"/>
      <c r="O421" s="53"/>
      <c r="P421" s="53"/>
      <c r="Q421" s="1169"/>
      <c r="R421" s="1170"/>
    </row>
    <row r="422">
      <c r="B422" s="1165"/>
      <c r="F422" s="1166"/>
      <c r="L422" s="53"/>
      <c r="M422" s="1167"/>
      <c r="N422" s="53"/>
      <c r="O422" s="53"/>
      <c r="P422" s="53"/>
      <c r="Q422" s="1169"/>
      <c r="R422" s="1170"/>
    </row>
    <row r="423">
      <c r="B423" s="1165"/>
      <c r="F423" s="1166"/>
      <c r="L423" s="53"/>
      <c r="M423" s="1167"/>
      <c r="N423" s="53"/>
      <c r="O423" s="53"/>
      <c r="P423" s="53"/>
      <c r="Q423" s="1169"/>
      <c r="R423" s="1170"/>
    </row>
    <row r="424">
      <c r="B424" s="1165"/>
      <c r="F424" s="1166"/>
      <c r="L424" s="53"/>
      <c r="M424" s="1167"/>
      <c r="N424" s="53"/>
      <c r="O424" s="53"/>
      <c r="P424" s="53"/>
      <c r="Q424" s="1169"/>
      <c r="R424" s="1170"/>
    </row>
    <row r="425">
      <c r="B425" s="1165"/>
      <c r="F425" s="1166"/>
      <c r="L425" s="53"/>
      <c r="M425" s="1167"/>
      <c r="N425" s="53"/>
      <c r="O425" s="53"/>
      <c r="P425" s="53"/>
      <c r="Q425" s="1169"/>
      <c r="R425" s="1170"/>
    </row>
    <row r="426">
      <c r="B426" s="1165"/>
      <c r="F426" s="1166"/>
      <c r="L426" s="53"/>
      <c r="M426" s="1167"/>
      <c r="N426" s="53"/>
      <c r="O426" s="53"/>
      <c r="P426" s="53"/>
      <c r="Q426" s="1169"/>
      <c r="R426" s="1170"/>
    </row>
    <row r="427">
      <c r="B427" s="1165"/>
      <c r="F427" s="1166"/>
      <c r="L427" s="53"/>
      <c r="M427" s="1167"/>
      <c r="N427" s="53"/>
      <c r="O427" s="53"/>
      <c r="P427" s="53"/>
      <c r="Q427" s="1169"/>
      <c r="R427" s="1170"/>
    </row>
    <row r="428">
      <c r="B428" s="1165"/>
      <c r="F428" s="1166"/>
      <c r="L428" s="53"/>
      <c r="M428" s="1167"/>
      <c r="N428" s="53"/>
      <c r="O428" s="53"/>
      <c r="P428" s="53"/>
      <c r="Q428" s="1169"/>
      <c r="R428" s="1170"/>
    </row>
    <row r="429">
      <c r="B429" s="1165"/>
      <c r="F429" s="1166"/>
      <c r="L429" s="53"/>
      <c r="M429" s="1167"/>
      <c r="N429" s="53"/>
      <c r="O429" s="53"/>
      <c r="P429" s="53"/>
      <c r="Q429" s="1169"/>
      <c r="R429" s="1170"/>
    </row>
    <row r="430">
      <c r="B430" s="1165"/>
      <c r="F430" s="1166"/>
      <c r="L430" s="53"/>
      <c r="M430" s="1167"/>
      <c r="N430" s="53"/>
      <c r="O430" s="53"/>
      <c r="P430" s="53"/>
      <c r="Q430" s="1169"/>
      <c r="R430" s="1170"/>
    </row>
    <row r="431">
      <c r="B431" s="1165"/>
      <c r="F431" s="1166"/>
      <c r="L431" s="53"/>
      <c r="M431" s="1167"/>
      <c r="N431" s="53"/>
      <c r="O431" s="53"/>
      <c r="P431" s="53"/>
      <c r="Q431" s="1169"/>
      <c r="R431" s="1170"/>
    </row>
    <row r="432">
      <c r="B432" s="1165"/>
      <c r="F432" s="1166"/>
      <c r="L432" s="53"/>
      <c r="M432" s="1167"/>
      <c r="N432" s="53"/>
      <c r="O432" s="53"/>
      <c r="P432" s="53"/>
      <c r="Q432" s="1169"/>
      <c r="R432" s="1170"/>
    </row>
    <row r="433">
      <c r="B433" s="1165"/>
      <c r="F433" s="1166"/>
      <c r="L433" s="53"/>
      <c r="M433" s="1167"/>
      <c r="N433" s="53"/>
      <c r="O433" s="53"/>
      <c r="P433" s="53"/>
      <c r="Q433" s="1169"/>
      <c r="R433" s="1170"/>
    </row>
    <row r="434">
      <c r="B434" s="1165"/>
      <c r="F434" s="1166"/>
      <c r="L434" s="53"/>
      <c r="M434" s="1167"/>
      <c r="N434" s="53"/>
      <c r="O434" s="53"/>
      <c r="P434" s="53"/>
      <c r="Q434" s="1169"/>
      <c r="R434" s="1170"/>
    </row>
    <row r="435">
      <c r="B435" s="1165"/>
      <c r="F435" s="1166"/>
      <c r="L435" s="53"/>
      <c r="M435" s="1167"/>
      <c r="N435" s="53"/>
      <c r="O435" s="53"/>
      <c r="P435" s="53"/>
      <c r="Q435" s="1169"/>
      <c r="R435" s="1170"/>
    </row>
    <row r="436">
      <c r="B436" s="1165"/>
      <c r="F436" s="1166"/>
      <c r="L436" s="53"/>
      <c r="M436" s="1167"/>
      <c r="N436" s="53"/>
      <c r="O436" s="53"/>
      <c r="P436" s="53"/>
      <c r="Q436" s="1169"/>
      <c r="R436" s="1170"/>
    </row>
    <row r="437">
      <c r="B437" s="1165"/>
      <c r="F437" s="1166"/>
      <c r="L437" s="53"/>
      <c r="M437" s="1167"/>
      <c r="N437" s="53"/>
      <c r="O437" s="53"/>
      <c r="P437" s="53"/>
      <c r="Q437" s="1169"/>
      <c r="R437" s="1170"/>
    </row>
    <row r="438">
      <c r="B438" s="1165"/>
      <c r="F438" s="1166"/>
      <c r="L438" s="53"/>
      <c r="M438" s="1167"/>
      <c r="N438" s="53"/>
      <c r="O438" s="53"/>
      <c r="P438" s="53"/>
      <c r="Q438" s="1169"/>
      <c r="R438" s="1170"/>
    </row>
    <row r="439">
      <c r="B439" s="1165"/>
      <c r="F439" s="1166"/>
      <c r="L439" s="53"/>
      <c r="M439" s="1167"/>
      <c r="N439" s="53"/>
      <c r="O439" s="53"/>
      <c r="P439" s="53"/>
      <c r="Q439" s="1169"/>
      <c r="R439" s="1170"/>
    </row>
    <row r="440">
      <c r="B440" s="1165"/>
      <c r="F440" s="1166"/>
      <c r="L440" s="53"/>
      <c r="M440" s="1167"/>
      <c r="N440" s="53"/>
      <c r="O440" s="53"/>
      <c r="P440" s="53"/>
      <c r="Q440" s="1169"/>
      <c r="R440" s="1170"/>
    </row>
    <row r="441">
      <c r="B441" s="1165"/>
      <c r="F441" s="1166"/>
      <c r="L441" s="53"/>
      <c r="M441" s="1167"/>
      <c r="N441" s="53"/>
      <c r="O441" s="53"/>
      <c r="P441" s="53"/>
      <c r="Q441" s="1169"/>
      <c r="R441" s="1170"/>
    </row>
    <row r="442">
      <c r="B442" s="1165"/>
      <c r="F442" s="1166"/>
      <c r="L442" s="53"/>
      <c r="M442" s="1167"/>
      <c r="N442" s="53"/>
      <c r="O442" s="53"/>
      <c r="P442" s="53"/>
      <c r="Q442" s="1169"/>
      <c r="R442" s="1170"/>
    </row>
    <row r="443">
      <c r="B443" s="1165"/>
      <c r="F443" s="1166"/>
      <c r="L443" s="53"/>
      <c r="M443" s="1167"/>
      <c r="N443" s="53"/>
      <c r="O443" s="53"/>
      <c r="P443" s="53"/>
      <c r="Q443" s="1169"/>
      <c r="R443" s="1170"/>
    </row>
    <row r="444">
      <c r="B444" s="1165"/>
      <c r="F444" s="1166"/>
      <c r="L444" s="53"/>
      <c r="M444" s="1167"/>
      <c r="N444" s="53"/>
      <c r="O444" s="53"/>
      <c r="P444" s="53"/>
      <c r="Q444" s="1169"/>
      <c r="R444" s="1170"/>
    </row>
    <row r="445">
      <c r="B445" s="1165"/>
      <c r="F445" s="1166"/>
      <c r="L445" s="53"/>
      <c r="M445" s="1167"/>
      <c r="N445" s="53"/>
      <c r="O445" s="53"/>
      <c r="P445" s="53"/>
      <c r="Q445" s="1169"/>
      <c r="R445" s="1170"/>
    </row>
    <row r="446">
      <c r="B446" s="1165"/>
      <c r="F446" s="1166"/>
      <c r="L446" s="53"/>
      <c r="M446" s="1167"/>
      <c r="N446" s="53"/>
      <c r="O446" s="53"/>
      <c r="P446" s="53"/>
      <c r="Q446" s="1169"/>
      <c r="R446" s="1170"/>
    </row>
    <row r="447">
      <c r="B447" s="1165"/>
      <c r="F447" s="1166"/>
      <c r="L447" s="53"/>
      <c r="M447" s="1167"/>
      <c r="N447" s="53"/>
      <c r="O447" s="53"/>
      <c r="P447" s="53"/>
      <c r="Q447" s="1169"/>
      <c r="R447" s="1170"/>
    </row>
    <row r="448">
      <c r="B448" s="1165"/>
      <c r="F448" s="1166"/>
      <c r="L448" s="53"/>
      <c r="M448" s="1167"/>
      <c r="N448" s="53"/>
      <c r="O448" s="53"/>
      <c r="P448" s="53"/>
      <c r="Q448" s="1169"/>
      <c r="R448" s="1170"/>
    </row>
    <row r="449">
      <c r="B449" s="1165"/>
      <c r="F449" s="1166"/>
      <c r="L449" s="53"/>
      <c r="M449" s="1167"/>
      <c r="N449" s="53"/>
      <c r="O449" s="53"/>
      <c r="P449" s="53"/>
      <c r="Q449" s="1169"/>
      <c r="R449" s="1170"/>
    </row>
    <row r="450">
      <c r="B450" s="1165"/>
      <c r="F450" s="1166"/>
      <c r="L450" s="53"/>
      <c r="M450" s="1167"/>
      <c r="N450" s="53"/>
      <c r="O450" s="53"/>
      <c r="P450" s="53"/>
      <c r="Q450" s="1169"/>
      <c r="R450" s="1170"/>
    </row>
    <row r="451">
      <c r="B451" s="1165"/>
      <c r="F451" s="1166"/>
      <c r="L451" s="53"/>
      <c r="M451" s="1167"/>
      <c r="N451" s="53"/>
      <c r="O451" s="53"/>
      <c r="P451" s="53"/>
      <c r="Q451" s="1169"/>
      <c r="R451" s="1170"/>
    </row>
    <row r="452">
      <c r="B452" s="1165"/>
      <c r="F452" s="1166"/>
      <c r="L452" s="53"/>
      <c r="M452" s="1167"/>
      <c r="N452" s="53"/>
      <c r="O452" s="53"/>
      <c r="P452" s="53"/>
      <c r="Q452" s="1169"/>
      <c r="R452" s="1170"/>
    </row>
    <row r="453">
      <c r="B453" s="1165"/>
      <c r="F453" s="1166"/>
      <c r="L453" s="53"/>
      <c r="M453" s="1167"/>
      <c r="N453" s="53"/>
      <c r="O453" s="53"/>
      <c r="P453" s="53"/>
      <c r="Q453" s="1169"/>
      <c r="R453" s="1170"/>
    </row>
    <row r="454">
      <c r="B454" s="1165"/>
      <c r="F454" s="1166"/>
      <c r="L454" s="53"/>
      <c r="M454" s="1167"/>
      <c r="N454" s="53"/>
      <c r="O454" s="53"/>
      <c r="P454" s="53"/>
      <c r="Q454" s="1169"/>
      <c r="R454" s="1170"/>
    </row>
    <row r="455">
      <c r="B455" s="1165"/>
      <c r="F455" s="1166"/>
      <c r="L455" s="53"/>
      <c r="M455" s="1167"/>
      <c r="N455" s="53"/>
      <c r="O455" s="53"/>
      <c r="P455" s="53"/>
      <c r="Q455" s="1169"/>
      <c r="R455" s="1170"/>
    </row>
    <row r="456">
      <c r="B456" s="1165"/>
      <c r="F456" s="1166"/>
      <c r="L456" s="53"/>
      <c r="M456" s="1167"/>
      <c r="N456" s="53"/>
      <c r="O456" s="53"/>
      <c r="P456" s="53"/>
      <c r="Q456" s="1169"/>
      <c r="R456" s="1170"/>
    </row>
    <row r="457">
      <c r="B457" s="1165"/>
      <c r="F457" s="1166"/>
      <c r="L457" s="53"/>
      <c r="M457" s="1167"/>
      <c r="N457" s="53"/>
      <c r="O457" s="53"/>
      <c r="P457" s="53"/>
      <c r="Q457" s="1169"/>
      <c r="R457" s="1170"/>
    </row>
    <row r="458">
      <c r="B458" s="1165"/>
      <c r="F458" s="1166"/>
      <c r="L458" s="53"/>
      <c r="M458" s="1167"/>
      <c r="N458" s="53"/>
      <c r="O458" s="53"/>
      <c r="P458" s="53"/>
      <c r="Q458" s="1169"/>
      <c r="R458" s="1170"/>
    </row>
    <row r="459">
      <c r="B459" s="1165"/>
      <c r="F459" s="1166"/>
      <c r="L459" s="53"/>
      <c r="M459" s="1167"/>
      <c r="N459" s="53"/>
      <c r="O459" s="53"/>
      <c r="P459" s="53"/>
      <c r="Q459" s="1169"/>
      <c r="R459" s="1170"/>
    </row>
    <row r="460">
      <c r="B460" s="1165"/>
      <c r="F460" s="1166"/>
      <c r="L460" s="53"/>
      <c r="M460" s="1167"/>
      <c r="N460" s="53"/>
      <c r="O460" s="53"/>
      <c r="P460" s="53"/>
      <c r="Q460" s="1169"/>
      <c r="R460" s="1170"/>
    </row>
    <row r="461">
      <c r="B461" s="1165"/>
      <c r="F461" s="1166"/>
      <c r="L461" s="53"/>
      <c r="M461" s="1167"/>
      <c r="N461" s="53"/>
      <c r="O461" s="53"/>
      <c r="P461" s="53"/>
      <c r="Q461" s="1169"/>
      <c r="R461" s="1170"/>
    </row>
    <row r="462">
      <c r="B462" s="1165"/>
      <c r="F462" s="1166"/>
      <c r="L462" s="53"/>
      <c r="M462" s="1167"/>
      <c r="N462" s="53"/>
      <c r="O462" s="53"/>
      <c r="P462" s="53"/>
      <c r="Q462" s="1169"/>
      <c r="R462" s="1170"/>
    </row>
    <row r="463">
      <c r="B463" s="1165"/>
      <c r="F463" s="1166"/>
      <c r="L463" s="53"/>
      <c r="M463" s="1167"/>
      <c r="N463" s="53"/>
      <c r="O463" s="53"/>
      <c r="P463" s="53"/>
      <c r="Q463" s="1169"/>
      <c r="R463" s="1170"/>
    </row>
    <row r="464">
      <c r="B464" s="1165"/>
      <c r="F464" s="1166"/>
      <c r="L464" s="53"/>
      <c r="M464" s="1167"/>
      <c r="N464" s="53"/>
      <c r="O464" s="53"/>
      <c r="P464" s="53"/>
      <c r="Q464" s="1169"/>
      <c r="R464" s="1170"/>
    </row>
    <row r="465">
      <c r="B465" s="1165"/>
      <c r="F465" s="1166"/>
      <c r="L465" s="53"/>
      <c r="M465" s="1167"/>
      <c r="N465" s="53"/>
      <c r="O465" s="53"/>
      <c r="P465" s="53"/>
      <c r="Q465" s="1169"/>
      <c r="R465" s="1170"/>
    </row>
    <row r="466">
      <c r="B466" s="1165"/>
      <c r="F466" s="1166"/>
      <c r="L466" s="53"/>
      <c r="M466" s="1167"/>
      <c r="N466" s="53"/>
      <c r="O466" s="53"/>
      <c r="P466" s="53"/>
      <c r="Q466" s="1169"/>
      <c r="R466" s="1170"/>
    </row>
    <row r="467">
      <c r="B467" s="1165"/>
      <c r="F467" s="1166"/>
      <c r="L467" s="53"/>
      <c r="M467" s="1167"/>
      <c r="N467" s="53"/>
      <c r="O467" s="53"/>
      <c r="P467" s="53"/>
      <c r="Q467" s="1169"/>
      <c r="R467" s="1170"/>
    </row>
    <row r="468">
      <c r="B468" s="1165"/>
      <c r="F468" s="1166"/>
      <c r="L468" s="53"/>
      <c r="M468" s="1167"/>
      <c r="N468" s="53"/>
      <c r="O468" s="53"/>
      <c r="P468" s="53"/>
      <c r="Q468" s="1169"/>
      <c r="R468" s="1170"/>
    </row>
    <row r="469">
      <c r="B469" s="1165"/>
      <c r="F469" s="1166"/>
      <c r="L469" s="53"/>
      <c r="M469" s="1167"/>
      <c r="N469" s="53"/>
      <c r="O469" s="53"/>
      <c r="P469" s="53"/>
      <c r="Q469" s="1169"/>
      <c r="R469" s="1170"/>
    </row>
    <row r="470">
      <c r="B470" s="1165"/>
      <c r="F470" s="1166"/>
      <c r="L470" s="53"/>
      <c r="M470" s="1167"/>
      <c r="N470" s="53"/>
      <c r="O470" s="53"/>
      <c r="P470" s="53"/>
      <c r="Q470" s="1169"/>
      <c r="R470" s="1170"/>
    </row>
    <row r="471">
      <c r="B471" s="1165"/>
      <c r="F471" s="1166"/>
      <c r="L471" s="53"/>
      <c r="M471" s="1167"/>
      <c r="N471" s="53"/>
      <c r="O471" s="53"/>
      <c r="P471" s="53"/>
      <c r="Q471" s="1169"/>
      <c r="R471" s="1170"/>
    </row>
    <row r="472">
      <c r="B472" s="1165"/>
      <c r="F472" s="1166"/>
      <c r="L472" s="53"/>
      <c r="M472" s="1167"/>
      <c r="N472" s="53"/>
      <c r="O472" s="53"/>
      <c r="P472" s="53"/>
      <c r="Q472" s="1169"/>
      <c r="R472" s="1170"/>
    </row>
    <row r="473">
      <c r="B473" s="1165"/>
      <c r="F473" s="1166"/>
      <c r="L473" s="53"/>
      <c r="M473" s="1167"/>
      <c r="N473" s="53"/>
      <c r="O473" s="53"/>
      <c r="P473" s="53"/>
      <c r="Q473" s="1169"/>
      <c r="R473" s="1170"/>
    </row>
    <row r="474">
      <c r="B474" s="1165"/>
      <c r="F474" s="1166"/>
      <c r="L474" s="53"/>
      <c r="M474" s="1167"/>
      <c r="N474" s="53"/>
      <c r="O474" s="53"/>
      <c r="P474" s="53"/>
      <c r="Q474" s="1169"/>
      <c r="R474" s="1170"/>
    </row>
    <row r="475">
      <c r="B475" s="1165"/>
      <c r="F475" s="1166"/>
      <c r="L475" s="53"/>
      <c r="M475" s="1167"/>
      <c r="N475" s="53"/>
      <c r="O475" s="53"/>
      <c r="P475" s="53"/>
      <c r="Q475" s="1169"/>
      <c r="R475" s="1170"/>
    </row>
    <row r="476">
      <c r="B476" s="1165"/>
      <c r="F476" s="1166"/>
      <c r="L476" s="53"/>
      <c r="M476" s="1167"/>
      <c r="N476" s="53"/>
      <c r="O476" s="53"/>
      <c r="P476" s="53"/>
      <c r="Q476" s="1169"/>
      <c r="R476" s="1170"/>
    </row>
    <row r="477">
      <c r="B477" s="1165"/>
      <c r="F477" s="1166"/>
      <c r="L477" s="53"/>
      <c r="M477" s="1167"/>
      <c r="N477" s="53"/>
      <c r="O477" s="53"/>
      <c r="P477" s="53"/>
      <c r="Q477" s="1169"/>
      <c r="R477" s="1170"/>
    </row>
    <row r="478">
      <c r="B478" s="1165"/>
      <c r="F478" s="1166"/>
      <c r="L478" s="53"/>
      <c r="M478" s="1167"/>
      <c r="N478" s="53"/>
      <c r="O478" s="53"/>
      <c r="P478" s="53"/>
      <c r="Q478" s="1169"/>
      <c r="R478" s="1170"/>
    </row>
    <row r="479">
      <c r="B479" s="1165"/>
      <c r="F479" s="1166"/>
      <c r="L479" s="53"/>
      <c r="M479" s="1167"/>
      <c r="N479" s="53"/>
      <c r="O479" s="53"/>
      <c r="P479" s="53"/>
      <c r="Q479" s="1169"/>
      <c r="R479" s="1170"/>
    </row>
    <row r="480">
      <c r="B480" s="1165"/>
      <c r="F480" s="1166"/>
      <c r="L480" s="53"/>
      <c r="M480" s="1167"/>
      <c r="N480" s="53"/>
      <c r="O480" s="53"/>
      <c r="P480" s="53"/>
      <c r="Q480" s="1169"/>
      <c r="R480" s="1170"/>
    </row>
    <row r="481">
      <c r="B481" s="1165"/>
      <c r="F481" s="1166"/>
      <c r="L481" s="53"/>
      <c r="M481" s="1167"/>
      <c r="N481" s="53"/>
      <c r="O481" s="53"/>
      <c r="P481" s="53"/>
      <c r="Q481" s="1169"/>
      <c r="R481" s="1170"/>
    </row>
    <row r="482">
      <c r="B482" s="1165"/>
      <c r="F482" s="1166"/>
      <c r="L482" s="53"/>
      <c r="M482" s="1167"/>
      <c r="N482" s="53"/>
      <c r="O482" s="53"/>
      <c r="P482" s="53"/>
      <c r="Q482" s="1169"/>
      <c r="R482" s="1170"/>
    </row>
    <row r="483">
      <c r="B483" s="1165"/>
      <c r="F483" s="1166"/>
      <c r="L483" s="53"/>
      <c r="M483" s="1167"/>
      <c r="N483" s="53"/>
      <c r="O483" s="53"/>
      <c r="P483" s="53"/>
      <c r="Q483" s="1169"/>
      <c r="R483" s="1170"/>
    </row>
    <row r="484">
      <c r="B484" s="1165"/>
      <c r="F484" s="1166"/>
      <c r="L484" s="53"/>
      <c r="M484" s="1167"/>
      <c r="N484" s="53"/>
      <c r="O484" s="53"/>
      <c r="P484" s="53"/>
      <c r="Q484" s="1169"/>
      <c r="R484" s="1170"/>
    </row>
    <row r="485">
      <c r="B485" s="1165"/>
      <c r="F485" s="1166"/>
      <c r="L485" s="53"/>
      <c r="M485" s="1167"/>
      <c r="N485" s="53"/>
      <c r="O485" s="53"/>
      <c r="P485" s="53"/>
      <c r="Q485" s="1169"/>
      <c r="R485" s="1170"/>
    </row>
    <row r="486">
      <c r="B486" s="1165"/>
      <c r="F486" s="1166"/>
      <c r="L486" s="53"/>
      <c r="M486" s="1167"/>
      <c r="N486" s="53"/>
      <c r="O486" s="53"/>
      <c r="P486" s="53"/>
      <c r="Q486" s="1169"/>
      <c r="R486" s="1170"/>
    </row>
    <row r="487">
      <c r="B487" s="1165"/>
      <c r="F487" s="1166"/>
      <c r="L487" s="53"/>
      <c r="M487" s="1167"/>
      <c r="N487" s="53"/>
      <c r="O487" s="53"/>
      <c r="P487" s="53"/>
      <c r="Q487" s="1169"/>
      <c r="R487" s="1170"/>
    </row>
    <row r="488">
      <c r="B488" s="1165"/>
      <c r="F488" s="1166"/>
      <c r="L488" s="53"/>
      <c r="M488" s="1167"/>
      <c r="N488" s="53"/>
      <c r="O488" s="53"/>
      <c r="P488" s="53"/>
      <c r="Q488" s="1169"/>
      <c r="R488" s="1170"/>
    </row>
    <row r="489">
      <c r="B489" s="1165"/>
      <c r="F489" s="1166"/>
      <c r="L489" s="53"/>
      <c r="M489" s="1167"/>
      <c r="N489" s="53"/>
      <c r="O489" s="53"/>
      <c r="P489" s="53"/>
      <c r="Q489" s="1169"/>
      <c r="R489" s="1170"/>
    </row>
    <row r="490">
      <c r="B490" s="1165"/>
      <c r="F490" s="1166"/>
      <c r="L490" s="53"/>
      <c r="M490" s="1167"/>
      <c r="N490" s="53"/>
      <c r="O490" s="53"/>
      <c r="P490" s="53"/>
      <c r="Q490" s="1169"/>
      <c r="R490" s="1170"/>
    </row>
    <row r="491">
      <c r="B491" s="1165"/>
      <c r="F491" s="1166"/>
      <c r="L491" s="53"/>
      <c r="M491" s="1167"/>
      <c r="N491" s="53"/>
      <c r="O491" s="53"/>
      <c r="P491" s="53"/>
      <c r="Q491" s="1169"/>
      <c r="R491" s="1170"/>
    </row>
    <row r="492">
      <c r="B492" s="1165"/>
      <c r="F492" s="1166"/>
      <c r="L492" s="53"/>
      <c r="M492" s="1167"/>
      <c r="N492" s="53"/>
      <c r="O492" s="53"/>
      <c r="P492" s="53"/>
      <c r="Q492" s="1169"/>
      <c r="R492" s="1170"/>
    </row>
    <row r="493">
      <c r="B493" s="1165"/>
      <c r="F493" s="1166"/>
      <c r="L493" s="53"/>
      <c r="M493" s="1167"/>
      <c r="N493" s="53"/>
      <c r="O493" s="53"/>
      <c r="P493" s="53"/>
      <c r="Q493" s="1169"/>
      <c r="R493" s="1170"/>
    </row>
    <row r="494">
      <c r="B494" s="1165"/>
      <c r="F494" s="1166"/>
      <c r="L494" s="53"/>
      <c r="M494" s="1167"/>
      <c r="N494" s="53"/>
      <c r="O494" s="53"/>
      <c r="P494" s="53"/>
      <c r="Q494" s="1169"/>
      <c r="R494" s="1170"/>
    </row>
    <row r="495">
      <c r="B495" s="1165"/>
      <c r="F495" s="1166"/>
      <c r="L495" s="53"/>
      <c r="M495" s="1167"/>
      <c r="N495" s="53"/>
      <c r="O495" s="53"/>
      <c r="P495" s="53"/>
      <c r="Q495" s="1169"/>
      <c r="R495" s="1170"/>
    </row>
    <row r="496">
      <c r="B496" s="1165"/>
      <c r="F496" s="1166"/>
      <c r="L496" s="53"/>
      <c r="M496" s="1167"/>
      <c r="N496" s="53"/>
      <c r="O496" s="53"/>
      <c r="P496" s="53"/>
      <c r="Q496" s="1169"/>
      <c r="R496" s="1170"/>
    </row>
    <row r="497">
      <c r="B497" s="1165"/>
      <c r="F497" s="1166"/>
      <c r="L497" s="53"/>
      <c r="M497" s="1167"/>
      <c r="N497" s="53"/>
      <c r="O497" s="53"/>
      <c r="P497" s="53"/>
      <c r="Q497" s="1169"/>
      <c r="R497" s="1170"/>
    </row>
    <row r="498">
      <c r="B498" s="1165"/>
      <c r="F498" s="1166"/>
      <c r="L498" s="53"/>
      <c r="M498" s="1167"/>
      <c r="N498" s="53"/>
      <c r="O498" s="53"/>
      <c r="P498" s="53"/>
      <c r="Q498" s="1169"/>
      <c r="R498" s="1170"/>
    </row>
    <row r="499">
      <c r="B499" s="1165"/>
      <c r="F499" s="1166"/>
      <c r="L499" s="53"/>
      <c r="M499" s="1167"/>
      <c r="N499" s="53"/>
      <c r="O499" s="53"/>
      <c r="P499" s="53"/>
      <c r="Q499" s="1169"/>
      <c r="R499" s="1170"/>
    </row>
    <row r="500">
      <c r="B500" s="1165"/>
      <c r="F500" s="1166"/>
      <c r="L500" s="53"/>
      <c r="M500" s="1167"/>
      <c r="N500" s="53"/>
      <c r="O500" s="53"/>
      <c r="P500" s="53"/>
      <c r="Q500" s="1169"/>
      <c r="R500" s="1170"/>
    </row>
    <row r="501">
      <c r="B501" s="1165"/>
      <c r="F501" s="1166"/>
      <c r="L501" s="53"/>
      <c r="M501" s="1167"/>
      <c r="N501" s="53"/>
      <c r="O501" s="53"/>
      <c r="P501" s="53"/>
      <c r="Q501" s="1169"/>
      <c r="R501" s="1170"/>
    </row>
    <row r="502">
      <c r="B502" s="1165"/>
      <c r="F502" s="1166"/>
      <c r="L502" s="53"/>
      <c r="M502" s="1167"/>
      <c r="N502" s="53"/>
      <c r="O502" s="53"/>
      <c r="P502" s="53"/>
      <c r="Q502" s="1169"/>
      <c r="R502" s="1170"/>
    </row>
    <row r="503">
      <c r="B503" s="1165"/>
      <c r="F503" s="1166"/>
      <c r="L503" s="53"/>
      <c r="M503" s="1167"/>
      <c r="N503" s="53"/>
      <c r="O503" s="53"/>
      <c r="P503" s="53"/>
      <c r="Q503" s="1169"/>
      <c r="R503" s="1170"/>
    </row>
    <row r="504">
      <c r="B504" s="1165"/>
      <c r="F504" s="1166"/>
      <c r="L504" s="53"/>
      <c r="M504" s="1167"/>
      <c r="N504" s="53"/>
      <c r="O504" s="53"/>
      <c r="P504" s="53"/>
      <c r="Q504" s="1169"/>
      <c r="R504" s="1170"/>
    </row>
    <row r="505">
      <c r="B505" s="1165"/>
      <c r="F505" s="1166"/>
      <c r="L505" s="53"/>
      <c r="M505" s="1167"/>
      <c r="N505" s="53"/>
      <c r="O505" s="53"/>
      <c r="P505" s="53"/>
      <c r="Q505" s="1169"/>
      <c r="R505" s="1170"/>
    </row>
    <row r="506">
      <c r="B506" s="1165"/>
      <c r="F506" s="1166"/>
      <c r="L506" s="53"/>
      <c r="M506" s="1167"/>
      <c r="N506" s="53"/>
      <c r="O506" s="53"/>
      <c r="P506" s="53"/>
      <c r="Q506" s="1169"/>
      <c r="R506" s="1170"/>
    </row>
    <row r="507">
      <c r="B507" s="1165"/>
      <c r="F507" s="1166"/>
      <c r="L507" s="53"/>
      <c r="M507" s="1167"/>
      <c r="N507" s="53"/>
      <c r="O507" s="53"/>
      <c r="P507" s="53"/>
      <c r="Q507" s="1169"/>
      <c r="R507" s="1170"/>
    </row>
    <row r="508">
      <c r="B508" s="1165"/>
      <c r="F508" s="1166"/>
      <c r="L508" s="53"/>
      <c r="M508" s="1167"/>
      <c r="N508" s="53"/>
      <c r="O508" s="53"/>
      <c r="P508" s="53"/>
      <c r="Q508" s="1169"/>
      <c r="R508" s="1170"/>
    </row>
    <row r="509">
      <c r="B509" s="1165"/>
      <c r="F509" s="1166"/>
      <c r="L509" s="53"/>
      <c r="M509" s="1167"/>
      <c r="N509" s="53"/>
      <c r="O509" s="53"/>
      <c r="P509" s="53"/>
      <c r="Q509" s="1169"/>
      <c r="R509" s="1170"/>
    </row>
    <row r="510">
      <c r="B510" s="1165"/>
      <c r="F510" s="1166"/>
      <c r="L510" s="53"/>
      <c r="M510" s="1167"/>
      <c r="N510" s="53"/>
      <c r="O510" s="53"/>
      <c r="P510" s="53"/>
      <c r="Q510" s="1169"/>
      <c r="R510" s="1170"/>
    </row>
    <row r="511">
      <c r="B511" s="1165"/>
      <c r="F511" s="1166"/>
      <c r="L511" s="53"/>
      <c r="M511" s="1167"/>
      <c r="N511" s="53"/>
      <c r="O511" s="53"/>
      <c r="P511" s="53"/>
      <c r="Q511" s="1169"/>
      <c r="R511" s="1170"/>
    </row>
    <row r="512">
      <c r="B512" s="1165"/>
      <c r="F512" s="1166"/>
      <c r="L512" s="53"/>
      <c r="M512" s="1167"/>
      <c r="N512" s="53"/>
      <c r="O512" s="53"/>
      <c r="P512" s="53"/>
      <c r="Q512" s="1169"/>
      <c r="R512" s="1170"/>
    </row>
    <row r="513">
      <c r="B513" s="1165"/>
      <c r="F513" s="1166"/>
      <c r="L513" s="53"/>
      <c r="M513" s="1167"/>
      <c r="N513" s="53"/>
      <c r="O513" s="53"/>
      <c r="P513" s="53"/>
      <c r="Q513" s="1169"/>
      <c r="R513" s="1170"/>
    </row>
    <row r="514">
      <c r="B514" s="1165"/>
      <c r="F514" s="1166"/>
      <c r="L514" s="53"/>
      <c r="M514" s="1167"/>
      <c r="N514" s="53"/>
      <c r="O514" s="53"/>
      <c r="P514" s="53"/>
      <c r="Q514" s="1169"/>
      <c r="R514" s="1170"/>
    </row>
    <row r="515">
      <c r="B515" s="1165"/>
      <c r="F515" s="1166"/>
      <c r="L515" s="53"/>
      <c r="M515" s="1167"/>
      <c r="N515" s="53"/>
      <c r="O515" s="53"/>
      <c r="P515" s="53"/>
      <c r="Q515" s="1169"/>
      <c r="R515" s="1170"/>
    </row>
    <row r="516">
      <c r="B516" s="1165"/>
      <c r="F516" s="1166"/>
      <c r="L516" s="53"/>
      <c r="M516" s="1167"/>
      <c r="N516" s="53"/>
      <c r="O516" s="53"/>
      <c r="P516" s="53"/>
      <c r="Q516" s="1169"/>
      <c r="R516" s="1170"/>
    </row>
    <row r="517">
      <c r="B517" s="1165"/>
      <c r="F517" s="1166"/>
      <c r="L517" s="53"/>
      <c r="M517" s="1167"/>
      <c r="N517" s="53"/>
      <c r="O517" s="53"/>
      <c r="P517" s="53"/>
      <c r="Q517" s="1169"/>
      <c r="R517" s="1170"/>
    </row>
    <row r="518">
      <c r="B518" s="1165"/>
      <c r="F518" s="1166"/>
      <c r="L518" s="53"/>
      <c r="M518" s="1167"/>
      <c r="N518" s="53"/>
      <c r="O518" s="53"/>
      <c r="P518" s="53"/>
      <c r="Q518" s="1169"/>
      <c r="R518" s="1170"/>
    </row>
    <row r="519">
      <c r="B519" s="1165"/>
      <c r="F519" s="1166"/>
      <c r="L519" s="53"/>
      <c r="M519" s="1167"/>
      <c r="N519" s="53"/>
      <c r="O519" s="53"/>
      <c r="P519" s="53"/>
      <c r="Q519" s="1169"/>
      <c r="R519" s="1170"/>
    </row>
    <row r="520">
      <c r="B520" s="1165"/>
      <c r="F520" s="1166"/>
      <c r="L520" s="53"/>
      <c r="M520" s="1167"/>
      <c r="N520" s="53"/>
      <c r="O520" s="53"/>
      <c r="P520" s="53"/>
      <c r="Q520" s="1169"/>
      <c r="R520" s="1170"/>
    </row>
    <row r="521">
      <c r="B521" s="1165"/>
      <c r="F521" s="1166"/>
      <c r="L521" s="53"/>
      <c r="M521" s="1167"/>
      <c r="N521" s="53"/>
      <c r="O521" s="53"/>
      <c r="P521" s="53"/>
      <c r="Q521" s="1169"/>
      <c r="R521" s="1170"/>
    </row>
    <row r="522">
      <c r="B522" s="1165"/>
      <c r="F522" s="1166"/>
      <c r="L522" s="53"/>
      <c r="M522" s="1167"/>
      <c r="N522" s="53"/>
      <c r="O522" s="53"/>
      <c r="P522" s="53"/>
      <c r="Q522" s="1169"/>
      <c r="R522" s="1170"/>
    </row>
    <row r="523">
      <c r="B523" s="1165"/>
      <c r="F523" s="1166"/>
      <c r="L523" s="53"/>
      <c r="M523" s="1167"/>
      <c r="N523" s="53"/>
      <c r="O523" s="53"/>
      <c r="P523" s="53"/>
      <c r="Q523" s="1169"/>
      <c r="R523" s="1170"/>
    </row>
    <row r="524">
      <c r="B524" s="1165"/>
      <c r="F524" s="1166"/>
      <c r="L524" s="53"/>
      <c r="M524" s="1167"/>
      <c r="N524" s="53"/>
      <c r="O524" s="53"/>
      <c r="P524" s="53"/>
      <c r="Q524" s="1169"/>
      <c r="R524" s="1170"/>
    </row>
    <row r="525">
      <c r="B525" s="1165"/>
      <c r="F525" s="1166"/>
      <c r="L525" s="53"/>
      <c r="M525" s="1167"/>
      <c r="N525" s="53"/>
      <c r="O525" s="53"/>
      <c r="P525" s="53"/>
      <c r="Q525" s="1169"/>
      <c r="R525" s="1170"/>
    </row>
    <row r="526">
      <c r="B526" s="1165"/>
      <c r="F526" s="1166"/>
      <c r="L526" s="53"/>
      <c r="M526" s="1167"/>
      <c r="N526" s="53"/>
      <c r="O526" s="53"/>
      <c r="P526" s="53"/>
      <c r="Q526" s="1169"/>
      <c r="R526" s="1170"/>
    </row>
    <row r="527">
      <c r="B527" s="1165"/>
      <c r="F527" s="1166"/>
      <c r="L527" s="53"/>
      <c r="M527" s="1167"/>
      <c r="N527" s="53"/>
      <c r="O527" s="53"/>
      <c r="P527" s="53"/>
      <c r="Q527" s="1169"/>
      <c r="R527" s="1170"/>
    </row>
    <row r="528">
      <c r="B528" s="1165"/>
      <c r="F528" s="1166"/>
      <c r="L528" s="53"/>
      <c r="M528" s="1167"/>
      <c r="N528" s="53"/>
      <c r="O528" s="53"/>
      <c r="P528" s="53"/>
      <c r="Q528" s="1169"/>
      <c r="R528" s="1170"/>
    </row>
    <row r="529">
      <c r="B529" s="1165"/>
      <c r="F529" s="1166"/>
      <c r="L529" s="53"/>
      <c r="M529" s="1167"/>
      <c r="N529" s="53"/>
      <c r="O529" s="53"/>
      <c r="P529" s="53"/>
      <c r="Q529" s="1169"/>
      <c r="R529" s="1170"/>
    </row>
    <row r="530">
      <c r="B530" s="1165"/>
      <c r="F530" s="1166"/>
      <c r="L530" s="53"/>
      <c r="M530" s="1167"/>
      <c r="N530" s="53"/>
      <c r="O530" s="53"/>
      <c r="P530" s="53"/>
      <c r="Q530" s="1169"/>
      <c r="R530" s="1170"/>
    </row>
    <row r="531">
      <c r="B531" s="1165"/>
      <c r="F531" s="1166"/>
      <c r="L531" s="53"/>
      <c r="M531" s="1167"/>
      <c r="N531" s="53"/>
      <c r="O531" s="53"/>
      <c r="P531" s="53"/>
      <c r="Q531" s="1169"/>
      <c r="R531" s="1170"/>
    </row>
    <row r="532">
      <c r="B532" s="1165"/>
      <c r="F532" s="1166"/>
      <c r="L532" s="53"/>
      <c r="M532" s="1167"/>
      <c r="N532" s="53"/>
      <c r="O532" s="53"/>
      <c r="P532" s="53"/>
      <c r="Q532" s="1169"/>
      <c r="R532" s="1170"/>
    </row>
    <row r="533">
      <c r="B533" s="1165"/>
      <c r="F533" s="1166"/>
      <c r="L533" s="53"/>
      <c r="M533" s="1167"/>
      <c r="N533" s="53"/>
      <c r="O533" s="53"/>
      <c r="P533" s="53"/>
      <c r="Q533" s="1169"/>
      <c r="R533" s="1170"/>
    </row>
    <row r="534">
      <c r="B534" s="1165"/>
      <c r="F534" s="1166"/>
      <c r="L534" s="53"/>
      <c r="M534" s="1167"/>
      <c r="N534" s="53"/>
      <c r="O534" s="53"/>
      <c r="P534" s="53"/>
      <c r="Q534" s="1169"/>
      <c r="R534" s="1170"/>
    </row>
    <row r="535">
      <c r="B535" s="1165"/>
      <c r="F535" s="1166"/>
      <c r="L535" s="53"/>
      <c r="M535" s="1167"/>
      <c r="N535" s="53"/>
      <c r="O535" s="53"/>
      <c r="P535" s="53"/>
      <c r="Q535" s="1169"/>
      <c r="R535" s="1170"/>
    </row>
    <row r="536">
      <c r="B536" s="1165"/>
      <c r="F536" s="1166"/>
      <c r="L536" s="53"/>
      <c r="M536" s="1167"/>
      <c r="N536" s="53"/>
      <c r="O536" s="53"/>
      <c r="P536" s="53"/>
      <c r="Q536" s="1169"/>
      <c r="R536" s="1170"/>
    </row>
    <row r="537">
      <c r="B537" s="1165"/>
      <c r="F537" s="1166"/>
      <c r="L537" s="53"/>
      <c r="M537" s="1167"/>
      <c r="N537" s="53"/>
      <c r="O537" s="53"/>
      <c r="P537" s="53"/>
      <c r="Q537" s="1169"/>
      <c r="R537" s="1170"/>
    </row>
    <row r="538">
      <c r="B538" s="1165"/>
      <c r="F538" s="1166"/>
      <c r="L538" s="53"/>
      <c r="M538" s="1167"/>
      <c r="N538" s="53"/>
      <c r="O538" s="53"/>
      <c r="P538" s="53"/>
      <c r="Q538" s="1169"/>
      <c r="R538" s="1170"/>
    </row>
    <row r="539">
      <c r="B539" s="1165"/>
      <c r="F539" s="1166"/>
      <c r="L539" s="53"/>
      <c r="M539" s="1167"/>
      <c r="N539" s="53"/>
      <c r="O539" s="53"/>
      <c r="P539" s="53"/>
      <c r="Q539" s="1169"/>
      <c r="R539" s="1170"/>
    </row>
    <row r="540">
      <c r="B540" s="1165"/>
      <c r="F540" s="1166"/>
      <c r="L540" s="53"/>
      <c r="M540" s="1167"/>
      <c r="N540" s="53"/>
      <c r="O540" s="53"/>
      <c r="P540" s="53"/>
      <c r="Q540" s="1169"/>
      <c r="R540" s="1170"/>
    </row>
    <row r="541">
      <c r="B541" s="1165"/>
      <c r="F541" s="1166"/>
      <c r="L541" s="53"/>
      <c r="M541" s="1167"/>
      <c r="N541" s="53"/>
      <c r="O541" s="53"/>
      <c r="P541" s="53"/>
      <c r="Q541" s="1169"/>
      <c r="R541" s="1170"/>
    </row>
    <row r="542">
      <c r="B542" s="1165"/>
      <c r="F542" s="1166"/>
      <c r="L542" s="53"/>
      <c r="M542" s="1167"/>
      <c r="N542" s="53"/>
      <c r="O542" s="53"/>
      <c r="P542" s="53"/>
      <c r="Q542" s="1169"/>
      <c r="R542" s="1170"/>
    </row>
    <row r="543">
      <c r="B543" s="1165"/>
      <c r="F543" s="1166"/>
      <c r="L543" s="53"/>
      <c r="M543" s="1167"/>
      <c r="N543" s="53"/>
      <c r="O543" s="53"/>
      <c r="P543" s="53"/>
      <c r="Q543" s="1169"/>
      <c r="R543" s="1170"/>
    </row>
    <row r="544">
      <c r="B544" s="1165"/>
      <c r="F544" s="1166"/>
      <c r="L544" s="53"/>
      <c r="M544" s="1167"/>
      <c r="N544" s="53"/>
      <c r="O544" s="53"/>
      <c r="P544" s="53"/>
      <c r="Q544" s="1169"/>
      <c r="R544" s="1170"/>
    </row>
    <row r="545">
      <c r="B545" s="1165"/>
      <c r="F545" s="1166"/>
      <c r="L545" s="53"/>
      <c r="M545" s="1167"/>
      <c r="N545" s="53"/>
      <c r="O545" s="53"/>
      <c r="P545" s="53"/>
      <c r="Q545" s="1169"/>
      <c r="R545" s="1170"/>
    </row>
    <row r="546">
      <c r="B546" s="1165"/>
      <c r="F546" s="1166"/>
      <c r="L546" s="53"/>
      <c r="M546" s="1167"/>
      <c r="N546" s="53"/>
      <c r="O546" s="53"/>
      <c r="P546" s="53"/>
      <c r="Q546" s="1169"/>
      <c r="R546" s="1170"/>
    </row>
    <row r="547">
      <c r="B547" s="1165"/>
      <c r="F547" s="1166"/>
      <c r="L547" s="53"/>
      <c r="M547" s="1167"/>
      <c r="N547" s="53"/>
      <c r="O547" s="53"/>
      <c r="P547" s="53"/>
      <c r="Q547" s="1169"/>
      <c r="R547" s="1170"/>
    </row>
    <row r="548">
      <c r="B548" s="1165"/>
      <c r="F548" s="1166"/>
      <c r="L548" s="53"/>
      <c r="M548" s="1167"/>
      <c r="N548" s="53"/>
      <c r="O548" s="53"/>
      <c r="P548" s="53"/>
      <c r="Q548" s="1169"/>
      <c r="R548" s="1170"/>
    </row>
    <row r="549">
      <c r="B549" s="1165"/>
      <c r="F549" s="1166"/>
      <c r="L549" s="53"/>
      <c r="M549" s="1167"/>
      <c r="N549" s="53"/>
      <c r="O549" s="53"/>
      <c r="P549" s="53"/>
      <c r="Q549" s="1169"/>
      <c r="R549" s="1170"/>
    </row>
    <row r="550">
      <c r="B550" s="1165"/>
      <c r="F550" s="1166"/>
      <c r="L550" s="53"/>
      <c r="M550" s="1167"/>
      <c r="N550" s="53"/>
      <c r="O550" s="53"/>
      <c r="P550" s="53"/>
      <c r="Q550" s="1169"/>
      <c r="R550" s="1170"/>
    </row>
    <row r="551">
      <c r="B551" s="1165"/>
      <c r="F551" s="1166"/>
      <c r="L551" s="53"/>
      <c r="M551" s="1167"/>
      <c r="N551" s="53"/>
      <c r="O551" s="53"/>
      <c r="P551" s="53"/>
      <c r="Q551" s="1169"/>
      <c r="R551" s="1170"/>
    </row>
    <row r="552">
      <c r="B552" s="1165"/>
      <c r="F552" s="1166"/>
      <c r="L552" s="53"/>
      <c r="M552" s="1167"/>
      <c r="N552" s="53"/>
      <c r="O552" s="53"/>
      <c r="P552" s="53"/>
      <c r="Q552" s="1169"/>
      <c r="R552" s="1170"/>
    </row>
    <row r="553">
      <c r="B553" s="1165"/>
      <c r="F553" s="1166"/>
      <c r="L553" s="53"/>
      <c r="M553" s="1167"/>
      <c r="N553" s="53"/>
      <c r="O553" s="53"/>
      <c r="P553" s="53"/>
      <c r="Q553" s="1169"/>
      <c r="R553" s="1170"/>
    </row>
    <row r="554">
      <c r="B554" s="1165"/>
      <c r="F554" s="1166"/>
      <c r="L554" s="53"/>
      <c r="M554" s="1167"/>
      <c r="N554" s="53"/>
      <c r="O554" s="53"/>
      <c r="P554" s="53"/>
      <c r="Q554" s="1169"/>
      <c r="R554" s="1170"/>
    </row>
    <row r="555">
      <c r="B555" s="1165"/>
      <c r="F555" s="1166"/>
      <c r="L555" s="53"/>
      <c r="M555" s="1167"/>
      <c r="N555" s="53"/>
      <c r="O555" s="53"/>
      <c r="P555" s="53"/>
      <c r="Q555" s="1169"/>
      <c r="R555" s="1170"/>
    </row>
    <row r="556">
      <c r="B556" s="1165"/>
      <c r="F556" s="1166"/>
      <c r="L556" s="53"/>
      <c r="M556" s="1167"/>
      <c r="N556" s="53"/>
      <c r="O556" s="53"/>
      <c r="P556" s="53"/>
      <c r="Q556" s="1169"/>
      <c r="R556" s="1170"/>
    </row>
    <row r="557">
      <c r="B557" s="1165"/>
      <c r="F557" s="1166"/>
      <c r="L557" s="53"/>
      <c r="M557" s="1167"/>
      <c r="N557" s="53"/>
      <c r="O557" s="53"/>
      <c r="P557" s="53"/>
      <c r="Q557" s="1169"/>
      <c r="R557" s="1170"/>
    </row>
    <row r="558">
      <c r="B558" s="1165"/>
      <c r="F558" s="1166"/>
      <c r="L558" s="53"/>
      <c r="M558" s="1167"/>
      <c r="N558" s="53"/>
      <c r="O558" s="53"/>
      <c r="P558" s="53"/>
      <c r="Q558" s="1169"/>
      <c r="R558" s="1170"/>
    </row>
    <row r="559">
      <c r="B559" s="1165"/>
      <c r="F559" s="1166"/>
      <c r="L559" s="53"/>
      <c r="M559" s="1167"/>
      <c r="N559" s="53"/>
      <c r="O559" s="53"/>
      <c r="P559" s="53"/>
      <c r="Q559" s="1169"/>
      <c r="R559" s="1170"/>
    </row>
    <row r="560">
      <c r="B560" s="1165"/>
      <c r="F560" s="1166"/>
      <c r="L560" s="53"/>
      <c r="M560" s="1167"/>
      <c r="N560" s="53"/>
      <c r="O560" s="53"/>
      <c r="P560" s="53"/>
      <c r="Q560" s="1169"/>
      <c r="R560" s="1170"/>
    </row>
    <row r="561">
      <c r="B561" s="1165"/>
      <c r="F561" s="1166"/>
      <c r="L561" s="53"/>
      <c r="M561" s="1167"/>
      <c r="N561" s="53"/>
      <c r="O561" s="53"/>
      <c r="P561" s="53"/>
      <c r="Q561" s="1169"/>
      <c r="R561" s="1170"/>
    </row>
    <row r="562">
      <c r="B562" s="1165"/>
      <c r="F562" s="1166"/>
      <c r="L562" s="53"/>
      <c r="M562" s="1167"/>
      <c r="N562" s="53"/>
      <c r="O562" s="53"/>
      <c r="P562" s="53"/>
      <c r="Q562" s="1169"/>
      <c r="R562" s="1170"/>
    </row>
    <row r="563">
      <c r="B563" s="1165"/>
      <c r="F563" s="1166"/>
      <c r="L563" s="53"/>
      <c r="M563" s="1167"/>
      <c r="N563" s="53"/>
      <c r="O563" s="53"/>
      <c r="P563" s="53"/>
      <c r="Q563" s="1169"/>
      <c r="R563" s="1170"/>
    </row>
    <row r="564">
      <c r="B564" s="1165"/>
      <c r="F564" s="1166"/>
      <c r="L564" s="53"/>
      <c r="M564" s="1167"/>
      <c r="N564" s="53"/>
      <c r="O564" s="53"/>
      <c r="P564" s="53"/>
      <c r="Q564" s="1169"/>
      <c r="R564" s="1170"/>
    </row>
    <row r="565">
      <c r="B565" s="1165"/>
      <c r="F565" s="1166"/>
      <c r="L565" s="53"/>
      <c r="M565" s="1167"/>
      <c r="N565" s="53"/>
      <c r="O565" s="53"/>
      <c r="P565" s="53"/>
      <c r="Q565" s="1169"/>
      <c r="R565" s="1170"/>
    </row>
    <row r="566">
      <c r="B566" s="1165"/>
      <c r="F566" s="1166"/>
      <c r="L566" s="53"/>
      <c r="M566" s="1167"/>
      <c r="N566" s="53"/>
      <c r="O566" s="53"/>
      <c r="P566" s="53"/>
      <c r="Q566" s="1169"/>
      <c r="R566" s="1170"/>
    </row>
    <row r="567">
      <c r="B567" s="1165"/>
      <c r="F567" s="1166"/>
      <c r="L567" s="53"/>
      <c r="M567" s="1167"/>
      <c r="N567" s="53"/>
      <c r="O567" s="53"/>
      <c r="P567" s="53"/>
      <c r="Q567" s="1169"/>
      <c r="R567" s="1170"/>
    </row>
    <row r="568">
      <c r="B568" s="1165"/>
      <c r="F568" s="1166"/>
      <c r="L568" s="53"/>
      <c r="M568" s="1167"/>
      <c r="N568" s="53"/>
      <c r="O568" s="53"/>
      <c r="P568" s="53"/>
      <c r="Q568" s="1169"/>
      <c r="R568" s="1170"/>
    </row>
    <row r="569">
      <c r="B569" s="1165"/>
      <c r="F569" s="1166"/>
      <c r="L569" s="53"/>
      <c r="M569" s="1167"/>
      <c r="N569" s="53"/>
      <c r="O569" s="53"/>
      <c r="P569" s="53"/>
      <c r="Q569" s="1169"/>
      <c r="R569" s="1170"/>
    </row>
    <row r="570">
      <c r="B570" s="1165"/>
      <c r="F570" s="1166"/>
      <c r="L570" s="53"/>
      <c r="M570" s="1167"/>
      <c r="N570" s="53"/>
      <c r="O570" s="53"/>
      <c r="P570" s="53"/>
      <c r="Q570" s="1169"/>
      <c r="R570" s="1170"/>
    </row>
    <row r="571">
      <c r="B571" s="1165"/>
      <c r="F571" s="1166"/>
      <c r="L571" s="53"/>
      <c r="M571" s="1167"/>
      <c r="N571" s="53"/>
      <c r="O571" s="53"/>
      <c r="P571" s="53"/>
      <c r="Q571" s="1169"/>
      <c r="R571" s="1170"/>
    </row>
    <row r="572">
      <c r="B572" s="1165"/>
      <c r="F572" s="1166"/>
      <c r="L572" s="53"/>
      <c r="M572" s="1167"/>
      <c r="N572" s="53"/>
      <c r="O572" s="53"/>
      <c r="P572" s="53"/>
      <c r="Q572" s="1169"/>
      <c r="R572" s="1170"/>
    </row>
    <row r="573">
      <c r="B573" s="1165"/>
      <c r="F573" s="1166"/>
      <c r="L573" s="53"/>
      <c r="M573" s="1167"/>
      <c r="N573" s="53"/>
      <c r="O573" s="53"/>
      <c r="P573" s="53"/>
      <c r="Q573" s="1169"/>
      <c r="R573" s="1170"/>
    </row>
    <row r="574">
      <c r="B574" s="1165"/>
      <c r="F574" s="1166"/>
      <c r="L574" s="53"/>
      <c r="M574" s="1167"/>
      <c r="N574" s="53"/>
      <c r="O574" s="53"/>
      <c r="P574" s="53"/>
      <c r="Q574" s="1169"/>
      <c r="R574" s="1170"/>
    </row>
    <row r="575">
      <c r="B575" s="1165"/>
      <c r="F575" s="1166"/>
      <c r="L575" s="53"/>
      <c r="M575" s="1167"/>
      <c r="N575" s="53"/>
      <c r="O575" s="53"/>
      <c r="P575" s="53"/>
      <c r="Q575" s="1169"/>
      <c r="R575" s="1170"/>
    </row>
    <row r="576">
      <c r="B576" s="1165"/>
      <c r="F576" s="1166"/>
      <c r="L576" s="53"/>
      <c r="M576" s="1167"/>
      <c r="N576" s="53"/>
      <c r="O576" s="53"/>
      <c r="P576" s="53"/>
      <c r="Q576" s="1169"/>
      <c r="R576" s="1170"/>
    </row>
    <row r="577">
      <c r="B577" s="1165"/>
      <c r="F577" s="1166"/>
      <c r="L577" s="53"/>
      <c r="M577" s="1167"/>
      <c r="N577" s="53"/>
      <c r="O577" s="53"/>
      <c r="P577" s="53"/>
      <c r="Q577" s="1169"/>
      <c r="R577" s="1170"/>
    </row>
    <row r="578">
      <c r="B578" s="1165"/>
      <c r="F578" s="1166"/>
      <c r="L578" s="53"/>
      <c r="M578" s="1167"/>
      <c r="N578" s="53"/>
      <c r="O578" s="53"/>
      <c r="P578" s="53"/>
      <c r="Q578" s="1169"/>
      <c r="R578" s="1170"/>
    </row>
    <row r="579">
      <c r="B579" s="1165"/>
      <c r="F579" s="1166"/>
      <c r="L579" s="53"/>
      <c r="M579" s="1167"/>
      <c r="N579" s="53"/>
      <c r="O579" s="53"/>
      <c r="P579" s="53"/>
      <c r="Q579" s="1169"/>
      <c r="R579" s="1170"/>
    </row>
    <row r="580">
      <c r="B580" s="1165"/>
      <c r="F580" s="1166"/>
      <c r="L580" s="53"/>
      <c r="M580" s="1167"/>
      <c r="N580" s="53"/>
      <c r="O580" s="53"/>
      <c r="P580" s="53"/>
      <c r="Q580" s="1169"/>
      <c r="R580" s="1170"/>
    </row>
    <row r="581">
      <c r="B581" s="1165"/>
      <c r="F581" s="1166"/>
      <c r="L581" s="53"/>
      <c r="M581" s="1167"/>
      <c r="N581" s="53"/>
      <c r="O581" s="53"/>
      <c r="P581" s="53"/>
      <c r="Q581" s="1169"/>
      <c r="R581" s="1170"/>
    </row>
    <row r="582">
      <c r="B582" s="1165"/>
      <c r="F582" s="1166"/>
      <c r="L582" s="53"/>
      <c r="M582" s="1167"/>
      <c r="N582" s="53"/>
      <c r="O582" s="53"/>
      <c r="P582" s="53"/>
      <c r="Q582" s="1169"/>
      <c r="R582" s="1170"/>
    </row>
    <row r="583">
      <c r="B583" s="1165"/>
      <c r="F583" s="1166"/>
      <c r="L583" s="53"/>
      <c r="M583" s="1167"/>
      <c r="N583" s="53"/>
      <c r="O583" s="53"/>
      <c r="P583" s="53"/>
      <c r="Q583" s="1169"/>
      <c r="R583" s="1170"/>
    </row>
    <row r="584">
      <c r="B584" s="1165"/>
      <c r="F584" s="1166"/>
      <c r="L584" s="53"/>
      <c r="M584" s="1167"/>
      <c r="N584" s="53"/>
      <c r="O584" s="53"/>
      <c r="P584" s="53"/>
      <c r="Q584" s="1169"/>
      <c r="R584" s="1170"/>
    </row>
    <row r="585">
      <c r="B585" s="1165"/>
      <c r="F585" s="1166"/>
      <c r="L585" s="53"/>
      <c r="M585" s="1167"/>
      <c r="N585" s="53"/>
      <c r="O585" s="53"/>
      <c r="P585" s="53"/>
      <c r="Q585" s="1169"/>
      <c r="R585" s="1170"/>
    </row>
    <row r="586">
      <c r="B586" s="1165"/>
      <c r="F586" s="1166"/>
      <c r="L586" s="53"/>
      <c r="M586" s="1167"/>
      <c r="N586" s="53"/>
      <c r="O586" s="53"/>
      <c r="P586" s="53"/>
      <c r="Q586" s="1169"/>
      <c r="R586" s="1170"/>
    </row>
    <row r="587">
      <c r="B587" s="1165"/>
      <c r="F587" s="1166"/>
      <c r="L587" s="53"/>
      <c r="M587" s="1167"/>
      <c r="N587" s="53"/>
      <c r="O587" s="53"/>
      <c r="P587" s="53"/>
      <c r="Q587" s="1169"/>
      <c r="R587" s="1170"/>
    </row>
    <row r="588">
      <c r="B588" s="1165"/>
      <c r="F588" s="1166"/>
      <c r="L588" s="53"/>
      <c r="M588" s="1167"/>
      <c r="N588" s="53"/>
      <c r="O588" s="53"/>
      <c r="P588" s="53"/>
      <c r="Q588" s="1169"/>
      <c r="R588" s="1170"/>
    </row>
    <row r="589">
      <c r="B589" s="1165"/>
      <c r="F589" s="1166"/>
      <c r="L589" s="53"/>
      <c r="M589" s="1167"/>
      <c r="N589" s="53"/>
      <c r="O589" s="53"/>
      <c r="P589" s="53"/>
      <c r="Q589" s="1169"/>
      <c r="R589" s="1170"/>
    </row>
    <row r="590">
      <c r="B590" s="1165"/>
      <c r="F590" s="1166"/>
      <c r="L590" s="53"/>
      <c r="M590" s="1167"/>
      <c r="N590" s="53"/>
      <c r="O590" s="53"/>
      <c r="P590" s="53"/>
      <c r="Q590" s="1169"/>
      <c r="R590" s="1170"/>
    </row>
    <row r="591">
      <c r="B591" s="1165"/>
      <c r="F591" s="1166"/>
      <c r="L591" s="53"/>
      <c r="M591" s="1167"/>
      <c r="N591" s="53"/>
      <c r="O591" s="53"/>
      <c r="P591" s="53"/>
      <c r="Q591" s="1169"/>
      <c r="R591" s="1170"/>
    </row>
    <row r="592">
      <c r="B592" s="1165"/>
      <c r="F592" s="1166"/>
      <c r="L592" s="53"/>
      <c r="M592" s="1167"/>
      <c r="N592" s="53"/>
      <c r="O592" s="53"/>
      <c r="P592" s="53"/>
      <c r="Q592" s="1169"/>
      <c r="R592" s="1170"/>
    </row>
    <row r="593">
      <c r="B593" s="1165"/>
      <c r="F593" s="1166"/>
      <c r="L593" s="53"/>
      <c r="M593" s="1167"/>
      <c r="N593" s="53"/>
      <c r="O593" s="53"/>
      <c r="P593" s="53"/>
      <c r="Q593" s="1169"/>
      <c r="R593" s="1170"/>
    </row>
    <row r="594">
      <c r="B594" s="1165"/>
      <c r="F594" s="1166"/>
      <c r="L594" s="53"/>
      <c r="M594" s="1167"/>
      <c r="N594" s="53"/>
      <c r="O594" s="53"/>
      <c r="P594" s="53"/>
      <c r="Q594" s="1169"/>
      <c r="R594" s="1170"/>
    </row>
    <row r="595">
      <c r="B595" s="1165"/>
      <c r="F595" s="1166"/>
      <c r="L595" s="53"/>
      <c r="M595" s="1167"/>
      <c r="N595" s="53"/>
      <c r="O595" s="53"/>
      <c r="P595" s="53"/>
      <c r="Q595" s="1169"/>
      <c r="R595" s="1170"/>
    </row>
    <row r="596">
      <c r="B596" s="1165"/>
      <c r="F596" s="1166"/>
      <c r="L596" s="53"/>
      <c r="M596" s="1167"/>
      <c r="N596" s="53"/>
      <c r="O596" s="53"/>
      <c r="P596" s="53"/>
      <c r="Q596" s="1169"/>
      <c r="R596" s="1170"/>
    </row>
    <row r="597">
      <c r="B597" s="1165"/>
      <c r="F597" s="1166"/>
      <c r="L597" s="53"/>
      <c r="M597" s="1167"/>
      <c r="N597" s="53"/>
      <c r="O597" s="53"/>
      <c r="P597" s="53"/>
      <c r="Q597" s="1169"/>
      <c r="R597" s="1170"/>
    </row>
    <row r="598">
      <c r="B598" s="1165"/>
      <c r="F598" s="1166"/>
      <c r="L598" s="53"/>
      <c r="M598" s="1167"/>
      <c r="N598" s="53"/>
      <c r="O598" s="53"/>
      <c r="P598" s="53"/>
      <c r="Q598" s="1169"/>
      <c r="R598" s="1170"/>
    </row>
    <row r="599">
      <c r="B599" s="1165"/>
      <c r="F599" s="1166"/>
      <c r="L599" s="53"/>
      <c r="M599" s="1167"/>
      <c r="N599" s="53"/>
      <c r="O599" s="53"/>
      <c r="P599" s="53"/>
      <c r="Q599" s="1169"/>
      <c r="R599" s="1170"/>
    </row>
    <row r="600">
      <c r="B600" s="1165"/>
      <c r="F600" s="1166"/>
      <c r="L600" s="53"/>
      <c r="M600" s="1167"/>
      <c r="N600" s="53"/>
      <c r="O600" s="53"/>
      <c r="P600" s="53"/>
      <c r="Q600" s="1169"/>
      <c r="R600" s="1170"/>
    </row>
    <row r="601">
      <c r="B601" s="1165"/>
      <c r="F601" s="1166"/>
      <c r="L601" s="53"/>
      <c r="M601" s="1167"/>
      <c r="N601" s="53"/>
      <c r="O601" s="53"/>
      <c r="P601" s="53"/>
      <c r="Q601" s="1169"/>
      <c r="R601" s="1170"/>
    </row>
    <row r="602">
      <c r="B602" s="1165"/>
      <c r="F602" s="1166"/>
      <c r="L602" s="53"/>
      <c r="M602" s="1167"/>
      <c r="N602" s="53"/>
      <c r="O602" s="53"/>
      <c r="P602" s="53"/>
      <c r="Q602" s="1169"/>
      <c r="R602" s="1170"/>
    </row>
    <row r="603">
      <c r="B603" s="1165"/>
      <c r="F603" s="1166"/>
      <c r="L603" s="53"/>
      <c r="M603" s="1167"/>
      <c r="N603" s="53"/>
      <c r="O603" s="53"/>
      <c r="P603" s="53"/>
      <c r="Q603" s="1169"/>
      <c r="R603" s="1170"/>
    </row>
    <row r="604">
      <c r="B604" s="1165"/>
      <c r="F604" s="1166"/>
      <c r="L604" s="53"/>
      <c r="M604" s="1167"/>
      <c r="N604" s="53"/>
      <c r="O604" s="53"/>
      <c r="P604" s="53"/>
      <c r="Q604" s="1169"/>
      <c r="R604" s="1170"/>
    </row>
    <row r="605">
      <c r="B605" s="1165"/>
      <c r="F605" s="1166"/>
      <c r="L605" s="53"/>
      <c r="M605" s="1167"/>
      <c r="N605" s="53"/>
      <c r="O605" s="53"/>
      <c r="P605" s="53"/>
      <c r="Q605" s="1169"/>
      <c r="R605" s="1170"/>
    </row>
    <row r="606">
      <c r="B606" s="1165"/>
      <c r="F606" s="1166"/>
      <c r="L606" s="53"/>
      <c r="M606" s="1167"/>
      <c r="N606" s="53"/>
      <c r="O606" s="53"/>
      <c r="P606" s="53"/>
      <c r="Q606" s="1169"/>
      <c r="R606" s="1170"/>
    </row>
    <row r="607">
      <c r="B607" s="1165"/>
      <c r="F607" s="1166"/>
      <c r="L607" s="53"/>
      <c r="M607" s="1167"/>
      <c r="N607" s="53"/>
      <c r="O607" s="53"/>
      <c r="P607" s="53"/>
      <c r="Q607" s="1169"/>
      <c r="R607" s="1170"/>
    </row>
    <row r="608">
      <c r="B608" s="1165"/>
      <c r="F608" s="1166"/>
      <c r="L608" s="53"/>
      <c r="M608" s="1167"/>
      <c r="N608" s="53"/>
      <c r="O608" s="53"/>
      <c r="P608" s="53"/>
      <c r="Q608" s="1169"/>
      <c r="R608" s="1170"/>
    </row>
    <row r="609">
      <c r="B609" s="1165"/>
      <c r="F609" s="1166"/>
      <c r="L609" s="53"/>
      <c r="M609" s="1167"/>
      <c r="N609" s="53"/>
      <c r="O609" s="53"/>
      <c r="P609" s="53"/>
      <c r="Q609" s="1169"/>
      <c r="R609" s="1170"/>
    </row>
    <row r="610">
      <c r="B610" s="1165"/>
      <c r="F610" s="1166"/>
      <c r="L610" s="53"/>
      <c r="M610" s="1167"/>
      <c r="N610" s="53"/>
      <c r="O610" s="53"/>
      <c r="P610" s="53"/>
      <c r="Q610" s="1169"/>
      <c r="R610" s="1170"/>
    </row>
    <row r="611">
      <c r="B611" s="1165"/>
      <c r="F611" s="1166"/>
      <c r="L611" s="53"/>
      <c r="M611" s="1167"/>
      <c r="N611" s="53"/>
      <c r="O611" s="53"/>
      <c r="P611" s="53"/>
      <c r="Q611" s="1169"/>
      <c r="R611" s="1170"/>
    </row>
    <row r="612">
      <c r="B612" s="1165"/>
      <c r="F612" s="1166"/>
      <c r="L612" s="53"/>
      <c r="M612" s="1167"/>
      <c r="N612" s="53"/>
      <c r="O612" s="53"/>
      <c r="P612" s="53"/>
      <c r="Q612" s="1169"/>
      <c r="R612" s="1170"/>
    </row>
    <row r="613">
      <c r="B613" s="1165"/>
      <c r="F613" s="1166"/>
      <c r="L613" s="53"/>
      <c r="M613" s="1167"/>
      <c r="N613" s="53"/>
      <c r="O613" s="53"/>
      <c r="P613" s="53"/>
      <c r="Q613" s="1169"/>
      <c r="R613" s="1170"/>
    </row>
    <row r="614">
      <c r="B614" s="1165"/>
      <c r="F614" s="1166"/>
      <c r="L614" s="53"/>
      <c r="M614" s="1167"/>
      <c r="N614" s="53"/>
      <c r="O614" s="53"/>
      <c r="P614" s="53"/>
      <c r="Q614" s="1169"/>
      <c r="R614" s="1170"/>
    </row>
    <row r="615">
      <c r="B615" s="1165"/>
      <c r="F615" s="1166"/>
      <c r="L615" s="53"/>
      <c r="M615" s="1167"/>
      <c r="N615" s="53"/>
      <c r="O615" s="53"/>
      <c r="P615" s="53"/>
      <c r="Q615" s="1169"/>
      <c r="R615" s="1170"/>
    </row>
    <row r="616">
      <c r="B616" s="1165"/>
      <c r="F616" s="1166"/>
      <c r="L616" s="53"/>
      <c r="M616" s="1167"/>
      <c r="N616" s="53"/>
      <c r="O616" s="53"/>
      <c r="P616" s="53"/>
      <c r="Q616" s="1169"/>
      <c r="R616" s="1170"/>
    </row>
    <row r="617">
      <c r="B617" s="1165"/>
      <c r="F617" s="1166"/>
      <c r="L617" s="53"/>
      <c r="M617" s="1167"/>
      <c r="N617" s="53"/>
      <c r="O617" s="53"/>
      <c r="P617" s="53"/>
      <c r="Q617" s="1169"/>
      <c r="R617" s="1170"/>
    </row>
    <row r="618">
      <c r="B618" s="1165"/>
      <c r="F618" s="1166"/>
      <c r="L618" s="53"/>
      <c r="M618" s="1167"/>
      <c r="N618" s="53"/>
      <c r="O618" s="53"/>
      <c r="P618" s="53"/>
      <c r="Q618" s="1169"/>
      <c r="R618" s="1170"/>
    </row>
    <row r="619">
      <c r="B619" s="1165"/>
      <c r="F619" s="1166"/>
      <c r="L619" s="53"/>
      <c r="M619" s="1167"/>
      <c r="N619" s="53"/>
      <c r="O619" s="53"/>
      <c r="P619" s="53"/>
      <c r="Q619" s="1169"/>
      <c r="R619" s="1170"/>
    </row>
    <row r="620">
      <c r="B620" s="1165"/>
      <c r="F620" s="1166"/>
      <c r="L620" s="53"/>
      <c r="M620" s="1167"/>
      <c r="N620" s="53"/>
      <c r="O620" s="53"/>
      <c r="P620" s="53"/>
      <c r="Q620" s="1169"/>
      <c r="R620" s="1170"/>
    </row>
    <row r="621">
      <c r="B621" s="1165"/>
      <c r="F621" s="1166"/>
      <c r="L621" s="53"/>
      <c r="M621" s="1167"/>
      <c r="N621" s="53"/>
      <c r="O621" s="53"/>
      <c r="P621" s="53"/>
      <c r="Q621" s="1169"/>
      <c r="R621" s="1170"/>
    </row>
    <row r="622">
      <c r="B622" s="1165"/>
      <c r="F622" s="1166"/>
      <c r="L622" s="53"/>
      <c r="M622" s="1167"/>
      <c r="N622" s="53"/>
      <c r="O622" s="53"/>
      <c r="P622" s="53"/>
      <c r="Q622" s="1169"/>
      <c r="R622" s="1170"/>
    </row>
    <row r="623">
      <c r="B623" s="1165"/>
      <c r="F623" s="1166"/>
      <c r="L623" s="53"/>
      <c r="M623" s="1167"/>
      <c r="N623" s="53"/>
      <c r="O623" s="53"/>
      <c r="P623" s="53"/>
      <c r="Q623" s="1169"/>
      <c r="R623" s="1170"/>
    </row>
    <row r="624">
      <c r="B624" s="1165"/>
      <c r="F624" s="1166"/>
      <c r="L624" s="53"/>
      <c r="M624" s="1167"/>
      <c r="N624" s="53"/>
      <c r="O624" s="53"/>
      <c r="P624" s="53"/>
      <c r="Q624" s="1169"/>
      <c r="R624" s="1170"/>
    </row>
    <row r="625">
      <c r="B625" s="1165"/>
      <c r="F625" s="1166"/>
      <c r="L625" s="53"/>
      <c r="M625" s="1167"/>
      <c r="N625" s="53"/>
      <c r="O625" s="53"/>
      <c r="P625" s="53"/>
      <c r="Q625" s="1169"/>
      <c r="R625" s="1170"/>
    </row>
    <row r="626">
      <c r="B626" s="1165"/>
      <c r="F626" s="1166"/>
      <c r="L626" s="53"/>
      <c r="M626" s="1167"/>
      <c r="N626" s="53"/>
      <c r="O626" s="53"/>
      <c r="P626" s="53"/>
      <c r="Q626" s="1169"/>
      <c r="R626" s="1170"/>
    </row>
    <row r="627">
      <c r="B627" s="1165"/>
      <c r="F627" s="1166"/>
      <c r="L627" s="53"/>
      <c r="M627" s="1167"/>
      <c r="N627" s="53"/>
      <c r="O627" s="53"/>
      <c r="P627" s="53"/>
      <c r="Q627" s="1169"/>
      <c r="R627" s="1170"/>
    </row>
    <row r="628">
      <c r="B628" s="1165"/>
      <c r="F628" s="1166"/>
      <c r="L628" s="53"/>
      <c r="M628" s="1167"/>
      <c r="N628" s="53"/>
      <c r="O628" s="53"/>
      <c r="P628" s="53"/>
      <c r="Q628" s="1169"/>
      <c r="R628" s="1170"/>
    </row>
    <row r="629">
      <c r="B629" s="1165"/>
      <c r="F629" s="1166"/>
      <c r="L629" s="53"/>
      <c r="M629" s="1167"/>
      <c r="N629" s="53"/>
      <c r="O629" s="53"/>
      <c r="P629" s="53"/>
      <c r="Q629" s="1169"/>
      <c r="R629" s="1170"/>
    </row>
    <row r="630">
      <c r="B630" s="1165"/>
      <c r="F630" s="1166"/>
      <c r="L630" s="53"/>
      <c r="M630" s="1167"/>
      <c r="N630" s="53"/>
      <c r="O630" s="53"/>
      <c r="P630" s="53"/>
      <c r="Q630" s="1169"/>
      <c r="R630" s="1170"/>
    </row>
    <row r="631">
      <c r="B631" s="1165"/>
      <c r="F631" s="1166"/>
      <c r="L631" s="53"/>
      <c r="M631" s="1167"/>
      <c r="N631" s="53"/>
      <c r="O631" s="53"/>
      <c r="P631" s="53"/>
      <c r="Q631" s="1169"/>
      <c r="R631" s="1170"/>
    </row>
    <row r="632">
      <c r="B632" s="1165"/>
      <c r="F632" s="1166"/>
      <c r="L632" s="53"/>
      <c r="M632" s="1167"/>
      <c r="N632" s="53"/>
      <c r="O632" s="53"/>
      <c r="P632" s="53"/>
      <c r="Q632" s="1169"/>
      <c r="R632" s="1170"/>
    </row>
    <row r="633">
      <c r="B633" s="1165"/>
      <c r="F633" s="1166"/>
      <c r="L633" s="53"/>
      <c r="M633" s="1167"/>
      <c r="N633" s="53"/>
      <c r="O633" s="53"/>
      <c r="P633" s="53"/>
      <c r="Q633" s="1169"/>
      <c r="R633" s="1170"/>
    </row>
    <row r="634">
      <c r="B634" s="1165"/>
      <c r="F634" s="1166"/>
      <c r="L634" s="53"/>
      <c r="M634" s="1167"/>
      <c r="N634" s="53"/>
      <c r="O634" s="53"/>
      <c r="P634" s="53"/>
      <c r="Q634" s="1169"/>
      <c r="R634" s="1170"/>
    </row>
    <row r="635">
      <c r="B635" s="1165"/>
      <c r="F635" s="1166"/>
      <c r="L635" s="53"/>
      <c r="M635" s="1167"/>
      <c r="N635" s="53"/>
      <c r="O635" s="53"/>
      <c r="P635" s="53"/>
      <c r="Q635" s="1169"/>
      <c r="R635" s="1170"/>
    </row>
    <row r="636">
      <c r="B636" s="1165"/>
      <c r="F636" s="1166"/>
      <c r="L636" s="53"/>
      <c r="M636" s="1167"/>
      <c r="N636" s="53"/>
      <c r="O636" s="53"/>
      <c r="P636" s="53"/>
      <c r="Q636" s="1169"/>
      <c r="R636" s="1170"/>
    </row>
    <row r="637">
      <c r="B637" s="1165"/>
      <c r="F637" s="1166"/>
      <c r="L637" s="53"/>
      <c r="M637" s="1167"/>
      <c r="N637" s="53"/>
      <c r="O637" s="53"/>
      <c r="P637" s="53"/>
      <c r="Q637" s="1169"/>
      <c r="R637" s="1170"/>
    </row>
    <row r="638">
      <c r="B638" s="1165"/>
      <c r="F638" s="1166"/>
      <c r="L638" s="53"/>
      <c r="M638" s="1167"/>
      <c r="N638" s="53"/>
      <c r="O638" s="53"/>
      <c r="P638" s="53"/>
      <c r="Q638" s="1169"/>
      <c r="R638" s="1170"/>
    </row>
    <row r="639">
      <c r="B639" s="1165"/>
      <c r="F639" s="1166"/>
      <c r="L639" s="53"/>
      <c r="M639" s="1167"/>
      <c r="N639" s="53"/>
      <c r="O639" s="53"/>
      <c r="P639" s="53"/>
      <c r="Q639" s="1169"/>
      <c r="R639" s="1170"/>
    </row>
    <row r="640">
      <c r="B640" s="1165"/>
      <c r="F640" s="1166"/>
      <c r="L640" s="53"/>
      <c r="M640" s="1167"/>
      <c r="N640" s="53"/>
      <c r="O640" s="53"/>
      <c r="P640" s="53"/>
      <c r="Q640" s="1169"/>
      <c r="R640" s="1170"/>
    </row>
    <row r="641">
      <c r="B641" s="1165"/>
      <c r="F641" s="1166"/>
      <c r="L641" s="53"/>
      <c r="M641" s="1167"/>
      <c r="N641" s="53"/>
      <c r="O641" s="53"/>
      <c r="P641" s="53"/>
      <c r="Q641" s="1169"/>
      <c r="R641" s="1170"/>
    </row>
    <row r="642">
      <c r="B642" s="1165"/>
      <c r="F642" s="1166"/>
      <c r="L642" s="53"/>
      <c r="M642" s="1167"/>
      <c r="N642" s="53"/>
      <c r="O642" s="53"/>
      <c r="P642" s="53"/>
      <c r="Q642" s="1169"/>
      <c r="R642" s="1170"/>
    </row>
    <row r="643">
      <c r="B643" s="1165"/>
      <c r="F643" s="1166"/>
      <c r="L643" s="53"/>
      <c r="M643" s="1167"/>
      <c r="N643" s="53"/>
      <c r="O643" s="53"/>
      <c r="P643" s="53"/>
      <c r="Q643" s="1169"/>
      <c r="R643" s="1170"/>
    </row>
    <row r="644">
      <c r="B644" s="1165"/>
      <c r="F644" s="1166"/>
      <c r="L644" s="53"/>
      <c r="M644" s="1167"/>
      <c r="N644" s="53"/>
      <c r="O644" s="53"/>
      <c r="P644" s="53"/>
      <c r="Q644" s="1169"/>
      <c r="R644" s="1170"/>
    </row>
    <row r="645">
      <c r="B645" s="1165"/>
      <c r="F645" s="1166"/>
      <c r="L645" s="53"/>
      <c r="M645" s="1167"/>
      <c r="N645" s="53"/>
      <c r="O645" s="53"/>
      <c r="P645" s="53"/>
      <c r="Q645" s="1169"/>
      <c r="R645" s="1170"/>
    </row>
    <row r="646">
      <c r="B646" s="1165"/>
      <c r="F646" s="1166"/>
      <c r="L646" s="53"/>
      <c r="M646" s="1167"/>
      <c r="N646" s="53"/>
      <c r="O646" s="53"/>
      <c r="P646" s="53"/>
      <c r="Q646" s="1169"/>
      <c r="R646" s="1170"/>
    </row>
    <row r="647">
      <c r="B647" s="1165"/>
      <c r="F647" s="1166"/>
      <c r="L647" s="53"/>
      <c r="M647" s="1167"/>
      <c r="N647" s="53"/>
      <c r="O647" s="53"/>
      <c r="P647" s="53"/>
      <c r="Q647" s="1169"/>
      <c r="R647" s="1170"/>
    </row>
    <row r="648">
      <c r="B648" s="1165"/>
      <c r="F648" s="1166"/>
      <c r="L648" s="53"/>
      <c r="M648" s="1167"/>
      <c r="N648" s="53"/>
      <c r="O648" s="53"/>
      <c r="P648" s="53"/>
      <c r="Q648" s="1169"/>
      <c r="R648" s="1170"/>
    </row>
    <row r="649">
      <c r="B649" s="1165"/>
      <c r="F649" s="1166"/>
      <c r="L649" s="53"/>
      <c r="M649" s="1167"/>
      <c r="N649" s="53"/>
      <c r="O649" s="53"/>
      <c r="P649" s="53"/>
      <c r="Q649" s="1169"/>
      <c r="R649" s="1170"/>
    </row>
    <row r="650">
      <c r="B650" s="1165"/>
      <c r="F650" s="1166"/>
      <c r="L650" s="53"/>
      <c r="M650" s="1167"/>
      <c r="N650" s="53"/>
      <c r="O650" s="53"/>
      <c r="P650" s="53"/>
      <c r="Q650" s="1169"/>
      <c r="R650" s="1170"/>
    </row>
    <row r="651">
      <c r="B651" s="1165"/>
      <c r="F651" s="1166"/>
      <c r="L651" s="53"/>
      <c r="M651" s="1167"/>
      <c r="N651" s="53"/>
      <c r="O651" s="53"/>
      <c r="P651" s="53"/>
      <c r="Q651" s="1169"/>
      <c r="R651" s="1170"/>
    </row>
    <row r="652">
      <c r="B652" s="1165"/>
      <c r="F652" s="1166"/>
      <c r="L652" s="53"/>
      <c r="M652" s="1167"/>
      <c r="N652" s="53"/>
      <c r="O652" s="53"/>
      <c r="P652" s="53"/>
      <c r="Q652" s="1169"/>
      <c r="R652" s="1170"/>
    </row>
    <row r="653">
      <c r="B653" s="1165"/>
      <c r="F653" s="1166"/>
      <c r="L653" s="53"/>
      <c r="M653" s="1167"/>
      <c r="N653" s="53"/>
      <c r="O653" s="53"/>
      <c r="P653" s="53"/>
      <c r="Q653" s="1169"/>
      <c r="R653" s="1170"/>
    </row>
    <row r="654">
      <c r="B654" s="1165"/>
      <c r="F654" s="1166"/>
      <c r="L654" s="53"/>
      <c r="M654" s="1167"/>
      <c r="N654" s="53"/>
      <c r="O654" s="53"/>
      <c r="P654" s="53"/>
      <c r="Q654" s="1169"/>
      <c r="R654" s="1170"/>
    </row>
    <row r="655">
      <c r="B655" s="1165"/>
      <c r="F655" s="1166"/>
      <c r="L655" s="53"/>
      <c r="M655" s="1167"/>
      <c r="N655" s="53"/>
      <c r="O655" s="53"/>
      <c r="P655" s="53"/>
      <c r="Q655" s="1169"/>
      <c r="R655" s="1170"/>
    </row>
    <row r="656">
      <c r="B656" s="1165"/>
      <c r="F656" s="1166"/>
      <c r="L656" s="53"/>
      <c r="M656" s="1167"/>
      <c r="N656" s="53"/>
      <c r="O656" s="53"/>
      <c r="P656" s="53"/>
      <c r="Q656" s="1169"/>
      <c r="R656" s="1170"/>
    </row>
    <row r="657">
      <c r="B657" s="1165"/>
      <c r="F657" s="1166"/>
      <c r="L657" s="53"/>
      <c r="M657" s="1167"/>
      <c r="N657" s="53"/>
      <c r="O657" s="53"/>
      <c r="P657" s="53"/>
      <c r="Q657" s="1169"/>
      <c r="R657" s="1170"/>
    </row>
    <row r="658">
      <c r="B658" s="1165"/>
      <c r="F658" s="1166"/>
      <c r="L658" s="53"/>
      <c r="M658" s="1167"/>
      <c r="N658" s="53"/>
      <c r="O658" s="53"/>
      <c r="P658" s="53"/>
      <c r="Q658" s="1169"/>
      <c r="R658" s="1170"/>
    </row>
    <row r="659">
      <c r="B659" s="1165"/>
      <c r="F659" s="1166"/>
      <c r="L659" s="53"/>
      <c r="M659" s="1167"/>
      <c r="N659" s="53"/>
      <c r="O659" s="53"/>
      <c r="P659" s="53"/>
      <c r="Q659" s="1169"/>
      <c r="R659" s="1170"/>
    </row>
    <row r="660">
      <c r="B660" s="1165"/>
      <c r="F660" s="1166"/>
      <c r="L660" s="53"/>
      <c r="M660" s="1167"/>
      <c r="N660" s="53"/>
      <c r="O660" s="53"/>
      <c r="P660" s="53"/>
      <c r="Q660" s="1169"/>
      <c r="R660" s="1170"/>
    </row>
    <row r="661">
      <c r="B661" s="1165"/>
      <c r="F661" s="1166"/>
      <c r="L661" s="53"/>
      <c r="M661" s="1167"/>
      <c r="N661" s="53"/>
      <c r="O661" s="53"/>
      <c r="P661" s="53"/>
      <c r="Q661" s="1169"/>
      <c r="R661" s="1170"/>
    </row>
    <row r="662">
      <c r="B662" s="1165"/>
      <c r="F662" s="1166"/>
      <c r="L662" s="53"/>
      <c r="M662" s="1167"/>
      <c r="N662" s="53"/>
      <c r="O662" s="53"/>
      <c r="P662" s="53"/>
      <c r="Q662" s="1169"/>
      <c r="R662" s="1170"/>
    </row>
    <row r="663">
      <c r="B663" s="1165"/>
      <c r="F663" s="1166"/>
      <c r="L663" s="53"/>
      <c r="M663" s="1167"/>
      <c r="N663" s="53"/>
      <c r="O663" s="53"/>
      <c r="P663" s="53"/>
      <c r="Q663" s="1169"/>
      <c r="R663" s="1170"/>
    </row>
    <row r="664">
      <c r="B664" s="1165"/>
      <c r="F664" s="1166"/>
      <c r="L664" s="53"/>
      <c r="M664" s="1167"/>
      <c r="N664" s="53"/>
      <c r="O664" s="53"/>
      <c r="P664" s="53"/>
      <c r="Q664" s="1169"/>
      <c r="R664" s="1170"/>
    </row>
    <row r="665">
      <c r="B665" s="1165"/>
      <c r="F665" s="1166"/>
      <c r="L665" s="53"/>
      <c r="M665" s="1167"/>
      <c r="N665" s="53"/>
      <c r="O665" s="53"/>
      <c r="P665" s="53"/>
      <c r="Q665" s="1169"/>
      <c r="R665" s="1170"/>
    </row>
    <row r="666">
      <c r="B666" s="1165"/>
      <c r="F666" s="1166"/>
      <c r="L666" s="53"/>
      <c r="M666" s="1167"/>
      <c r="N666" s="53"/>
      <c r="O666" s="53"/>
      <c r="P666" s="53"/>
      <c r="Q666" s="1169"/>
      <c r="R666" s="1170"/>
    </row>
    <row r="667">
      <c r="B667" s="1165"/>
      <c r="F667" s="1166"/>
      <c r="L667" s="53"/>
      <c r="M667" s="1167"/>
      <c r="N667" s="53"/>
      <c r="O667" s="53"/>
      <c r="P667" s="53"/>
      <c r="Q667" s="1169"/>
      <c r="R667" s="1170"/>
    </row>
    <row r="668">
      <c r="B668" s="1165"/>
      <c r="F668" s="1166"/>
      <c r="L668" s="53"/>
      <c r="M668" s="1167"/>
      <c r="N668" s="53"/>
      <c r="O668" s="53"/>
      <c r="P668" s="53"/>
      <c r="Q668" s="1169"/>
      <c r="R668" s="1170"/>
    </row>
    <row r="669">
      <c r="B669" s="1165"/>
      <c r="F669" s="1166"/>
      <c r="L669" s="53"/>
      <c r="M669" s="1167"/>
      <c r="N669" s="53"/>
      <c r="O669" s="53"/>
      <c r="P669" s="53"/>
      <c r="Q669" s="1169"/>
      <c r="R669" s="1170"/>
    </row>
    <row r="670">
      <c r="B670" s="1165"/>
      <c r="F670" s="1166"/>
      <c r="L670" s="53"/>
      <c r="M670" s="1167"/>
      <c r="N670" s="53"/>
      <c r="O670" s="53"/>
      <c r="P670" s="53"/>
      <c r="Q670" s="1169"/>
      <c r="R670" s="1170"/>
    </row>
    <row r="671">
      <c r="B671" s="1165"/>
      <c r="F671" s="1166"/>
      <c r="L671" s="53"/>
      <c r="M671" s="1167"/>
      <c r="N671" s="53"/>
      <c r="O671" s="53"/>
      <c r="P671" s="53"/>
      <c r="Q671" s="1169"/>
      <c r="R671" s="1170"/>
    </row>
    <row r="672">
      <c r="B672" s="1165"/>
      <c r="F672" s="1166"/>
      <c r="L672" s="53"/>
      <c r="M672" s="1167"/>
      <c r="N672" s="53"/>
      <c r="O672" s="53"/>
      <c r="P672" s="53"/>
      <c r="Q672" s="1169"/>
      <c r="R672" s="1170"/>
    </row>
    <row r="673">
      <c r="B673" s="1165"/>
      <c r="F673" s="1166"/>
      <c r="L673" s="53"/>
      <c r="M673" s="1167"/>
      <c r="N673" s="53"/>
      <c r="O673" s="53"/>
      <c r="P673" s="53"/>
      <c r="Q673" s="1169"/>
      <c r="R673" s="1170"/>
    </row>
    <row r="674">
      <c r="B674" s="1165"/>
      <c r="F674" s="1166"/>
      <c r="L674" s="53"/>
      <c r="M674" s="1167"/>
      <c r="N674" s="53"/>
      <c r="O674" s="53"/>
      <c r="P674" s="53"/>
      <c r="Q674" s="1169"/>
      <c r="R674" s="1170"/>
    </row>
    <row r="675">
      <c r="B675" s="1165"/>
      <c r="F675" s="1166"/>
      <c r="L675" s="53"/>
      <c r="M675" s="1167"/>
      <c r="N675" s="53"/>
      <c r="O675" s="53"/>
      <c r="P675" s="53"/>
      <c r="Q675" s="1169"/>
      <c r="R675" s="1170"/>
    </row>
    <row r="676">
      <c r="B676" s="1165"/>
      <c r="F676" s="1166"/>
      <c r="L676" s="53"/>
      <c r="M676" s="1167"/>
      <c r="N676" s="53"/>
      <c r="O676" s="53"/>
      <c r="P676" s="53"/>
      <c r="Q676" s="1169"/>
      <c r="R676" s="1170"/>
    </row>
    <row r="677">
      <c r="B677" s="1165"/>
      <c r="F677" s="1166"/>
      <c r="L677" s="53"/>
      <c r="M677" s="1167"/>
      <c r="N677" s="53"/>
      <c r="O677" s="53"/>
      <c r="P677" s="53"/>
      <c r="Q677" s="1169"/>
      <c r="R677" s="1170"/>
    </row>
    <row r="678">
      <c r="B678" s="1165"/>
      <c r="F678" s="1166"/>
      <c r="L678" s="53"/>
      <c r="M678" s="1167"/>
      <c r="N678" s="53"/>
      <c r="O678" s="53"/>
      <c r="P678" s="53"/>
      <c r="Q678" s="1169"/>
      <c r="R678" s="1170"/>
    </row>
    <row r="679">
      <c r="B679" s="1165"/>
      <c r="F679" s="1166"/>
      <c r="L679" s="53"/>
      <c r="M679" s="1167"/>
      <c r="N679" s="53"/>
      <c r="O679" s="53"/>
      <c r="P679" s="53"/>
      <c r="Q679" s="1169"/>
      <c r="R679" s="1170"/>
    </row>
    <row r="680">
      <c r="B680" s="1165"/>
      <c r="F680" s="1166"/>
      <c r="L680" s="53"/>
      <c r="M680" s="1167"/>
      <c r="N680" s="53"/>
      <c r="O680" s="53"/>
      <c r="P680" s="53"/>
      <c r="Q680" s="1169"/>
      <c r="R680" s="1170"/>
    </row>
    <row r="681">
      <c r="B681" s="1165"/>
      <c r="F681" s="1166"/>
      <c r="L681" s="53"/>
      <c r="M681" s="1167"/>
      <c r="N681" s="53"/>
      <c r="O681" s="53"/>
      <c r="P681" s="53"/>
      <c r="Q681" s="1169"/>
      <c r="R681" s="1170"/>
    </row>
    <row r="682">
      <c r="B682" s="1165"/>
      <c r="F682" s="1166"/>
      <c r="L682" s="53"/>
      <c r="M682" s="1167"/>
      <c r="N682" s="53"/>
      <c r="O682" s="53"/>
      <c r="P682" s="53"/>
      <c r="Q682" s="1169"/>
      <c r="R682" s="1170"/>
    </row>
    <row r="683">
      <c r="B683" s="1165"/>
      <c r="F683" s="1166"/>
      <c r="L683" s="53"/>
      <c r="M683" s="1167"/>
      <c r="N683" s="53"/>
      <c r="O683" s="53"/>
      <c r="P683" s="53"/>
      <c r="Q683" s="1169"/>
      <c r="R683" s="1170"/>
    </row>
    <row r="684">
      <c r="B684" s="1165"/>
      <c r="F684" s="1166"/>
      <c r="L684" s="53"/>
      <c r="M684" s="1167"/>
      <c r="N684" s="53"/>
      <c r="O684" s="53"/>
      <c r="P684" s="53"/>
      <c r="Q684" s="1169"/>
      <c r="R684" s="1170"/>
    </row>
    <row r="685">
      <c r="B685" s="1165"/>
      <c r="F685" s="1166"/>
      <c r="L685" s="53"/>
      <c r="M685" s="1167"/>
      <c r="N685" s="53"/>
      <c r="O685" s="53"/>
      <c r="P685" s="53"/>
      <c r="Q685" s="1169"/>
      <c r="R685" s="1170"/>
    </row>
    <row r="686">
      <c r="B686" s="1165"/>
      <c r="F686" s="1166"/>
      <c r="L686" s="53"/>
      <c r="M686" s="1167"/>
      <c r="N686" s="53"/>
      <c r="O686" s="53"/>
      <c r="P686" s="53"/>
      <c r="Q686" s="1169"/>
      <c r="R686" s="1170"/>
    </row>
    <row r="687">
      <c r="B687" s="1165"/>
      <c r="F687" s="1166"/>
      <c r="L687" s="53"/>
      <c r="M687" s="1167"/>
      <c r="N687" s="53"/>
      <c r="O687" s="53"/>
      <c r="P687" s="53"/>
      <c r="Q687" s="1169"/>
      <c r="R687" s="1170"/>
    </row>
    <row r="688">
      <c r="B688" s="1165"/>
      <c r="F688" s="1166"/>
      <c r="L688" s="53"/>
      <c r="M688" s="1167"/>
      <c r="N688" s="53"/>
      <c r="O688" s="53"/>
      <c r="P688" s="53"/>
      <c r="Q688" s="1169"/>
      <c r="R688" s="1170"/>
    </row>
    <row r="689">
      <c r="B689" s="1165"/>
      <c r="F689" s="1166"/>
      <c r="L689" s="53"/>
      <c r="M689" s="1167"/>
      <c r="N689" s="53"/>
      <c r="O689" s="53"/>
      <c r="P689" s="53"/>
      <c r="Q689" s="1169"/>
      <c r="R689" s="1170"/>
    </row>
    <row r="690">
      <c r="B690" s="1165"/>
      <c r="F690" s="1166"/>
      <c r="L690" s="53"/>
      <c r="M690" s="1167"/>
      <c r="N690" s="53"/>
      <c r="O690" s="53"/>
      <c r="P690" s="53"/>
      <c r="Q690" s="1169"/>
      <c r="R690" s="1170"/>
    </row>
    <row r="691">
      <c r="B691" s="1165"/>
      <c r="F691" s="1166"/>
      <c r="L691" s="53"/>
      <c r="M691" s="1167"/>
      <c r="N691" s="53"/>
      <c r="O691" s="53"/>
      <c r="P691" s="53"/>
      <c r="Q691" s="1169"/>
      <c r="R691" s="1170"/>
    </row>
    <row r="692">
      <c r="B692" s="1165"/>
      <c r="F692" s="1166"/>
      <c r="L692" s="53"/>
      <c r="M692" s="1167"/>
      <c r="N692" s="53"/>
      <c r="O692" s="53"/>
      <c r="P692" s="53"/>
      <c r="Q692" s="1169"/>
      <c r="R692" s="1170"/>
    </row>
    <row r="693">
      <c r="B693" s="1165"/>
      <c r="F693" s="1166"/>
      <c r="L693" s="53"/>
      <c r="M693" s="1167"/>
      <c r="N693" s="53"/>
      <c r="O693" s="53"/>
      <c r="P693" s="53"/>
      <c r="Q693" s="1169"/>
      <c r="R693" s="1170"/>
    </row>
    <row r="694">
      <c r="B694" s="1165"/>
      <c r="F694" s="1166"/>
      <c r="L694" s="53"/>
      <c r="M694" s="1167"/>
      <c r="N694" s="53"/>
      <c r="O694" s="53"/>
      <c r="P694" s="53"/>
      <c r="Q694" s="1169"/>
      <c r="R694" s="1170"/>
    </row>
    <row r="695">
      <c r="B695" s="1165"/>
      <c r="F695" s="1166"/>
      <c r="L695" s="53"/>
      <c r="M695" s="1167"/>
      <c r="N695" s="53"/>
      <c r="O695" s="53"/>
      <c r="P695" s="53"/>
      <c r="Q695" s="1169"/>
      <c r="R695" s="1170"/>
    </row>
    <row r="696">
      <c r="B696" s="1165"/>
      <c r="F696" s="1166"/>
      <c r="L696" s="53"/>
      <c r="M696" s="1167"/>
      <c r="N696" s="53"/>
      <c r="O696" s="53"/>
      <c r="P696" s="53"/>
      <c r="Q696" s="1169"/>
      <c r="R696" s="1170"/>
    </row>
    <row r="697">
      <c r="B697" s="1165"/>
      <c r="F697" s="1166"/>
      <c r="L697" s="53"/>
      <c r="M697" s="1167"/>
      <c r="N697" s="53"/>
      <c r="O697" s="53"/>
      <c r="P697" s="53"/>
      <c r="Q697" s="1169"/>
      <c r="R697" s="1170"/>
    </row>
    <row r="698">
      <c r="B698" s="1165"/>
      <c r="F698" s="1166"/>
      <c r="L698" s="53"/>
      <c r="M698" s="1167"/>
      <c r="N698" s="53"/>
      <c r="O698" s="53"/>
      <c r="P698" s="53"/>
      <c r="Q698" s="1169"/>
      <c r="R698" s="1170"/>
    </row>
    <row r="699">
      <c r="B699" s="1165"/>
      <c r="F699" s="1166"/>
      <c r="L699" s="53"/>
      <c r="M699" s="1167"/>
      <c r="N699" s="53"/>
      <c r="O699" s="53"/>
      <c r="P699" s="53"/>
      <c r="Q699" s="1169"/>
      <c r="R699" s="1170"/>
    </row>
    <row r="700">
      <c r="B700" s="1165"/>
      <c r="F700" s="1166"/>
      <c r="L700" s="53"/>
      <c r="M700" s="1167"/>
      <c r="N700" s="53"/>
      <c r="O700" s="53"/>
      <c r="P700" s="53"/>
      <c r="Q700" s="1169"/>
      <c r="R700" s="1170"/>
    </row>
    <row r="701">
      <c r="B701" s="1165"/>
      <c r="F701" s="1166"/>
      <c r="L701" s="53"/>
      <c r="M701" s="1167"/>
      <c r="N701" s="53"/>
      <c r="O701" s="53"/>
      <c r="P701" s="53"/>
      <c r="Q701" s="1169"/>
      <c r="R701" s="1170"/>
    </row>
    <row r="702">
      <c r="B702" s="1165"/>
      <c r="F702" s="1166"/>
      <c r="L702" s="53"/>
      <c r="M702" s="1167"/>
      <c r="N702" s="53"/>
      <c r="O702" s="53"/>
      <c r="P702" s="53"/>
      <c r="Q702" s="1169"/>
      <c r="R702" s="1170"/>
    </row>
    <row r="703">
      <c r="B703" s="1165"/>
      <c r="F703" s="1166"/>
      <c r="L703" s="53"/>
      <c r="M703" s="1167"/>
      <c r="N703" s="53"/>
      <c r="O703" s="53"/>
      <c r="P703" s="53"/>
      <c r="Q703" s="1169"/>
      <c r="R703" s="1170"/>
    </row>
    <row r="704">
      <c r="B704" s="1165"/>
      <c r="F704" s="1166"/>
      <c r="L704" s="53"/>
      <c r="M704" s="1167"/>
      <c r="N704" s="53"/>
      <c r="O704" s="53"/>
      <c r="P704" s="53"/>
      <c r="Q704" s="1169"/>
      <c r="R704" s="1170"/>
    </row>
    <row r="705">
      <c r="B705" s="1165"/>
      <c r="F705" s="1166"/>
      <c r="L705" s="53"/>
      <c r="M705" s="1167"/>
      <c r="N705" s="53"/>
      <c r="O705" s="53"/>
      <c r="P705" s="53"/>
      <c r="Q705" s="1169"/>
      <c r="R705" s="1170"/>
    </row>
    <row r="706">
      <c r="B706" s="1165"/>
      <c r="F706" s="1166"/>
      <c r="L706" s="53"/>
      <c r="M706" s="1167"/>
      <c r="N706" s="53"/>
      <c r="O706" s="53"/>
      <c r="P706" s="53"/>
      <c r="Q706" s="1169"/>
      <c r="R706" s="1170"/>
    </row>
    <row r="707">
      <c r="B707" s="1165"/>
      <c r="F707" s="1166"/>
      <c r="L707" s="53"/>
      <c r="M707" s="1167"/>
      <c r="N707" s="53"/>
      <c r="O707" s="53"/>
      <c r="P707" s="53"/>
      <c r="Q707" s="1169"/>
      <c r="R707" s="1170"/>
    </row>
    <row r="708">
      <c r="B708" s="1165"/>
      <c r="F708" s="1166"/>
      <c r="L708" s="53"/>
      <c r="M708" s="1167"/>
      <c r="N708" s="53"/>
      <c r="O708" s="53"/>
      <c r="P708" s="53"/>
      <c r="Q708" s="1169"/>
      <c r="R708" s="1170"/>
    </row>
    <row r="709">
      <c r="B709" s="1165"/>
      <c r="F709" s="1166"/>
      <c r="L709" s="53"/>
      <c r="M709" s="1167"/>
      <c r="N709" s="53"/>
      <c r="O709" s="53"/>
      <c r="P709" s="53"/>
      <c r="Q709" s="1169"/>
      <c r="R709" s="1170"/>
    </row>
    <row r="710">
      <c r="B710" s="1165"/>
      <c r="F710" s="1166"/>
      <c r="L710" s="53"/>
      <c r="M710" s="1167"/>
      <c r="N710" s="53"/>
      <c r="O710" s="53"/>
      <c r="P710" s="53"/>
      <c r="Q710" s="1169"/>
      <c r="R710" s="1170"/>
    </row>
    <row r="711">
      <c r="B711" s="1165"/>
      <c r="F711" s="1166"/>
      <c r="L711" s="53"/>
      <c r="M711" s="1167"/>
      <c r="N711" s="53"/>
      <c r="O711" s="53"/>
      <c r="P711" s="53"/>
      <c r="Q711" s="1169"/>
      <c r="R711" s="1170"/>
    </row>
    <row r="712">
      <c r="B712" s="1165"/>
      <c r="F712" s="1166"/>
      <c r="L712" s="53"/>
      <c r="M712" s="1167"/>
      <c r="N712" s="53"/>
      <c r="O712" s="53"/>
      <c r="P712" s="53"/>
      <c r="Q712" s="1169"/>
      <c r="R712" s="1170"/>
    </row>
    <row r="713">
      <c r="B713" s="1165"/>
      <c r="F713" s="1166"/>
      <c r="L713" s="53"/>
      <c r="M713" s="1167"/>
      <c r="N713" s="53"/>
      <c r="O713" s="53"/>
      <c r="P713" s="53"/>
      <c r="Q713" s="1169"/>
      <c r="R713" s="1170"/>
    </row>
    <row r="714">
      <c r="B714" s="1165"/>
      <c r="F714" s="1166"/>
      <c r="L714" s="53"/>
      <c r="M714" s="1167"/>
      <c r="N714" s="53"/>
      <c r="O714" s="53"/>
      <c r="P714" s="53"/>
      <c r="Q714" s="1169"/>
      <c r="R714" s="1170"/>
    </row>
    <row r="715">
      <c r="B715" s="1165"/>
      <c r="F715" s="1166"/>
      <c r="L715" s="53"/>
      <c r="M715" s="1167"/>
      <c r="N715" s="53"/>
      <c r="O715" s="53"/>
      <c r="P715" s="53"/>
      <c r="Q715" s="1169"/>
      <c r="R715" s="1170"/>
    </row>
    <row r="716">
      <c r="B716" s="1165"/>
      <c r="F716" s="1166"/>
      <c r="L716" s="53"/>
      <c r="M716" s="1167"/>
      <c r="N716" s="53"/>
      <c r="O716" s="53"/>
      <c r="P716" s="53"/>
      <c r="Q716" s="1169"/>
      <c r="R716" s="1170"/>
    </row>
    <row r="717">
      <c r="B717" s="1165"/>
      <c r="F717" s="1166"/>
      <c r="L717" s="53"/>
      <c r="M717" s="1167"/>
      <c r="N717" s="53"/>
      <c r="O717" s="53"/>
      <c r="P717" s="53"/>
      <c r="Q717" s="1169"/>
      <c r="R717" s="1170"/>
    </row>
    <row r="718">
      <c r="B718" s="1165"/>
      <c r="F718" s="1166"/>
      <c r="L718" s="53"/>
      <c r="M718" s="1167"/>
      <c r="N718" s="53"/>
      <c r="O718" s="53"/>
      <c r="P718" s="53"/>
      <c r="Q718" s="1169"/>
      <c r="R718" s="1170"/>
    </row>
    <row r="719">
      <c r="B719" s="1165"/>
      <c r="F719" s="1166"/>
      <c r="L719" s="53"/>
      <c r="M719" s="1167"/>
      <c r="N719" s="53"/>
      <c r="O719" s="53"/>
      <c r="P719" s="53"/>
      <c r="Q719" s="1169"/>
      <c r="R719" s="1170"/>
    </row>
    <row r="720">
      <c r="B720" s="1165"/>
      <c r="F720" s="1166"/>
      <c r="L720" s="53"/>
      <c r="M720" s="1167"/>
      <c r="N720" s="53"/>
      <c r="O720" s="53"/>
      <c r="P720" s="53"/>
      <c r="Q720" s="1169"/>
      <c r="R720" s="1170"/>
    </row>
    <row r="721">
      <c r="B721" s="1165"/>
      <c r="F721" s="1166"/>
      <c r="L721" s="53"/>
      <c r="M721" s="1167"/>
      <c r="N721" s="53"/>
      <c r="O721" s="53"/>
      <c r="P721" s="53"/>
      <c r="Q721" s="1169"/>
      <c r="R721" s="1170"/>
    </row>
    <row r="722">
      <c r="B722" s="1165"/>
      <c r="F722" s="1166"/>
      <c r="L722" s="53"/>
      <c r="M722" s="1167"/>
      <c r="N722" s="53"/>
      <c r="O722" s="53"/>
      <c r="P722" s="53"/>
      <c r="Q722" s="1169"/>
      <c r="R722" s="1170"/>
    </row>
    <row r="723">
      <c r="B723" s="1165"/>
      <c r="F723" s="1166"/>
      <c r="L723" s="53"/>
      <c r="M723" s="1167"/>
      <c r="N723" s="53"/>
      <c r="O723" s="53"/>
      <c r="P723" s="53"/>
      <c r="Q723" s="1169"/>
      <c r="R723" s="1170"/>
    </row>
    <row r="724">
      <c r="B724" s="1165"/>
      <c r="F724" s="1166"/>
      <c r="L724" s="53"/>
      <c r="M724" s="1167"/>
      <c r="N724" s="53"/>
      <c r="O724" s="53"/>
      <c r="P724" s="53"/>
      <c r="Q724" s="1169"/>
      <c r="R724" s="1170"/>
    </row>
    <row r="725">
      <c r="B725" s="1165"/>
      <c r="F725" s="1166"/>
      <c r="L725" s="53"/>
      <c r="M725" s="1167"/>
      <c r="N725" s="53"/>
      <c r="O725" s="53"/>
      <c r="P725" s="53"/>
      <c r="Q725" s="1169"/>
      <c r="R725" s="1170"/>
    </row>
    <row r="726">
      <c r="B726" s="1165"/>
      <c r="F726" s="1166"/>
      <c r="L726" s="53"/>
      <c r="M726" s="1167"/>
      <c r="N726" s="53"/>
      <c r="O726" s="53"/>
      <c r="P726" s="53"/>
      <c r="Q726" s="1169"/>
      <c r="R726" s="1170"/>
    </row>
    <row r="727">
      <c r="B727" s="1165"/>
      <c r="F727" s="1166"/>
      <c r="L727" s="53"/>
      <c r="M727" s="1167"/>
      <c r="N727" s="53"/>
      <c r="O727" s="53"/>
      <c r="P727" s="53"/>
      <c r="Q727" s="1169"/>
      <c r="R727" s="1170"/>
    </row>
    <row r="728">
      <c r="B728" s="1165"/>
      <c r="F728" s="1166"/>
      <c r="L728" s="53"/>
      <c r="M728" s="1167"/>
      <c r="N728" s="53"/>
      <c r="O728" s="53"/>
      <c r="P728" s="53"/>
      <c r="Q728" s="1169"/>
      <c r="R728" s="1170"/>
    </row>
    <row r="729">
      <c r="B729" s="1165"/>
      <c r="F729" s="1166"/>
      <c r="L729" s="53"/>
      <c r="M729" s="1167"/>
      <c r="N729" s="53"/>
      <c r="O729" s="53"/>
      <c r="P729" s="53"/>
      <c r="Q729" s="1169"/>
      <c r="R729" s="1170"/>
    </row>
    <row r="730">
      <c r="B730" s="1165"/>
      <c r="F730" s="1166"/>
      <c r="L730" s="53"/>
      <c r="M730" s="1167"/>
      <c r="N730" s="53"/>
      <c r="O730" s="53"/>
      <c r="P730" s="53"/>
      <c r="Q730" s="1169"/>
      <c r="R730" s="1170"/>
    </row>
    <row r="731">
      <c r="B731" s="1165"/>
      <c r="F731" s="1166"/>
      <c r="L731" s="53"/>
      <c r="M731" s="1167"/>
      <c r="N731" s="53"/>
      <c r="O731" s="53"/>
      <c r="P731" s="53"/>
      <c r="Q731" s="1169"/>
      <c r="R731" s="1170"/>
    </row>
    <row r="732">
      <c r="B732" s="1165"/>
      <c r="F732" s="1166"/>
      <c r="L732" s="53"/>
      <c r="M732" s="1167"/>
      <c r="N732" s="53"/>
      <c r="O732" s="53"/>
      <c r="P732" s="53"/>
      <c r="Q732" s="1169"/>
      <c r="R732" s="1170"/>
    </row>
    <row r="733">
      <c r="B733" s="1165"/>
      <c r="F733" s="1166"/>
      <c r="L733" s="53"/>
      <c r="M733" s="1167"/>
      <c r="N733" s="53"/>
      <c r="O733" s="53"/>
      <c r="P733" s="53"/>
      <c r="Q733" s="1169"/>
      <c r="R733" s="1170"/>
    </row>
    <row r="734">
      <c r="B734" s="1165"/>
      <c r="F734" s="1166"/>
      <c r="L734" s="53"/>
      <c r="M734" s="1167"/>
      <c r="N734" s="53"/>
      <c r="O734" s="53"/>
      <c r="P734" s="53"/>
      <c r="Q734" s="1169"/>
      <c r="R734" s="1170"/>
    </row>
    <row r="735">
      <c r="B735" s="1165"/>
      <c r="F735" s="1166"/>
      <c r="L735" s="53"/>
      <c r="M735" s="1167"/>
      <c r="N735" s="53"/>
      <c r="O735" s="53"/>
      <c r="P735" s="53"/>
      <c r="Q735" s="1169"/>
      <c r="R735" s="1170"/>
    </row>
    <row r="736">
      <c r="B736" s="1165"/>
      <c r="F736" s="1166"/>
      <c r="L736" s="53"/>
      <c r="M736" s="1167"/>
      <c r="N736" s="53"/>
      <c r="O736" s="53"/>
      <c r="P736" s="53"/>
      <c r="Q736" s="1169"/>
      <c r="R736" s="1170"/>
    </row>
    <row r="737">
      <c r="B737" s="1165"/>
      <c r="F737" s="1166"/>
      <c r="L737" s="53"/>
      <c r="M737" s="1167"/>
      <c r="N737" s="53"/>
      <c r="O737" s="53"/>
      <c r="P737" s="53"/>
      <c r="Q737" s="1169"/>
      <c r="R737" s="1170"/>
    </row>
    <row r="738">
      <c r="B738" s="1165"/>
      <c r="F738" s="1166"/>
      <c r="L738" s="53"/>
      <c r="M738" s="1167"/>
      <c r="N738" s="53"/>
      <c r="O738" s="53"/>
      <c r="P738" s="53"/>
      <c r="Q738" s="1169"/>
      <c r="R738" s="1170"/>
    </row>
    <row r="739">
      <c r="B739" s="1165"/>
      <c r="F739" s="1166"/>
      <c r="L739" s="53"/>
      <c r="M739" s="1167"/>
      <c r="N739" s="53"/>
      <c r="O739" s="53"/>
      <c r="P739" s="53"/>
      <c r="Q739" s="1169"/>
      <c r="R739" s="1170"/>
    </row>
    <row r="740">
      <c r="B740" s="1165"/>
      <c r="F740" s="1166"/>
      <c r="L740" s="53"/>
      <c r="M740" s="1167"/>
      <c r="N740" s="53"/>
      <c r="O740" s="53"/>
      <c r="P740" s="53"/>
      <c r="Q740" s="1169"/>
      <c r="R740" s="1170"/>
    </row>
    <row r="741">
      <c r="B741" s="1165"/>
      <c r="F741" s="1166"/>
      <c r="L741" s="53"/>
      <c r="M741" s="1167"/>
      <c r="N741" s="53"/>
      <c r="O741" s="53"/>
      <c r="P741" s="53"/>
      <c r="Q741" s="1169"/>
      <c r="R741" s="1170"/>
    </row>
    <row r="742">
      <c r="B742" s="1165"/>
      <c r="F742" s="1166"/>
      <c r="L742" s="53"/>
      <c r="M742" s="1167"/>
      <c r="N742" s="53"/>
      <c r="O742" s="53"/>
      <c r="P742" s="53"/>
      <c r="Q742" s="1169"/>
      <c r="R742" s="1170"/>
    </row>
    <row r="743">
      <c r="B743" s="1165"/>
      <c r="F743" s="1166"/>
      <c r="L743" s="53"/>
      <c r="M743" s="1167"/>
      <c r="N743" s="53"/>
      <c r="O743" s="53"/>
      <c r="P743" s="53"/>
      <c r="Q743" s="1169"/>
      <c r="R743" s="1170"/>
    </row>
    <row r="744">
      <c r="B744" s="1165"/>
      <c r="F744" s="1166"/>
      <c r="L744" s="53"/>
      <c r="M744" s="1167"/>
      <c r="N744" s="53"/>
      <c r="O744" s="53"/>
      <c r="P744" s="53"/>
      <c r="Q744" s="1169"/>
      <c r="R744" s="1170"/>
    </row>
    <row r="745">
      <c r="B745" s="1165"/>
      <c r="F745" s="1166"/>
      <c r="L745" s="53"/>
      <c r="M745" s="1167"/>
      <c r="N745" s="53"/>
      <c r="O745" s="53"/>
      <c r="P745" s="53"/>
      <c r="Q745" s="1169"/>
      <c r="R745" s="1170"/>
    </row>
    <row r="746">
      <c r="B746" s="1165"/>
      <c r="F746" s="1166"/>
      <c r="L746" s="53"/>
      <c r="M746" s="1167"/>
      <c r="N746" s="53"/>
      <c r="O746" s="53"/>
      <c r="P746" s="53"/>
      <c r="Q746" s="1169"/>
      <c r="R746" s="1170"/>
    </row>
    <row r="747">
      <c r="B747" s="1165"/>
      <c r="F747" s="1166"/>
      <c r="L747" s="53"/>
      <c r="M747" s="1167"/>
      <c r="N747" s="53"/>
      <c r="O747" s="53"/>
      <c r="P747" s="53"/>
      <c r="Q747" s="1169"/>
      <c r="R747" s="1170"/>
    </row>
    <row r="748">
      <c r="B748" s="1165"/>
      <c r="F748" s="1166"/>
      <c r="L748" s="53"/>
      <c r="M748" s="1167"/>
      <c r="N748" s="53"/>
      <c r="O748" s="53"/>
      <c r="P748" s="53"/>
      <c r="Q748" s="1169"/>
      <c r="R748" s="1170"/>
    </row>
    <row r="749">
      <c r="B749" s="1165"/>
      <c r="F749" s="1166"/>
      <c r="L749" s="53"/>
      <c r="M749" s="1167"/>
      <c r="N749" s="53"/>
      <c r="O749" s="53"/>
      <c r="P749" s="53"/>
      <c r="Q749" s="1169"/>
      <c r="R749" s="1170"/>
    </row>
    <row r="750">
      <c r="B750" s="1165"/>
      <c r="F750" s="1166"/>
      <c r="L750" s="53"/>
      <c r="M750" s="1167"/>
      <c r="N750" s="53"/>
      <c r="O750" s="53"/>
      <c r="P750" s="53"/>
      <c r="Q750" s="1169"/>
      <c r="R750" s="1170"/>
    </row>
    <row r="751">
      <c r="B751" s="1165"/>
      <c r="F751" s="1166"/>
      <c r="L751" s="53"/>
      <c r="M751" s="1167"/>
      <c r="N751" s="53"/>
      <c r="O751" s="53"/>
      <c r="P751" s="53"/>
      <c r="Q751" s="1169"/>
      <c r="R751" s="1170"/>
    </row>
    <row r="752">
      <c r="B752" s="1165"/>
      <c r="F752" s="1166"/>
      <c r="L752" s="53"/>
      <c r="M752" s="1167"/>
      <c r="N752" s="53"/>
      <c r="O752" s="53"/>
      <c r="P752" s="53"/>
      <c r="Q752" s="1169"/>
      <c r="R752" s="1170"/>
    </row>
    <row r="753">
      <c r="B753" s="1165"/>
      <c r="F753" s="1166"/>
      <c r="L753" s="53"/>
      <c r="M753" s="1167"/>
      <c r="N753" s="53"/>
      <c r="O753" s="53"/>
      <c r="P753" s="53"/>
      <c r="Q753" s="1169"/>
      <c r="R753" s="1170"/>
    </row>
    <row r="754">
      <c r="B754" s="1165"/>
      <c r="F754" s="1166"/>
      <c r="L754" s="53"/>
      <c r="M754" s="1167"/>
      <c r="N754" s="53"/>
      <c r="O754" s="53"/>
      <c r="P754" s="53"/>
      <c r="Q754" s="1169"/>
      <c r="R754" s="1170"/>
    </row>
    <row r="755">
      <c r="B755" s="1165"/>
      <c r="F755" s="1166"/>
      <c r="L755" s="53"/>
      <c r="M755" s="1167"/>
      <c r="N755" s="53"/>
      <c r="O755" s="53"/>
      <c r="P755" s="53"/>
      <c r="Q755" s="1169"/>
      <c r="R755" s="1170"/>
    </row>
    <row r="756">
      <c r="B756" s="1165"/>
      <c r="F756" s="1166"/>
      <c r="L756" s="53"/>
      <c r="M756" s="1167"/>
      <c r="N756" s="53"/>
      <c r="O756" s="53"/>
      <c r="P756" s="53"/>
      <c r="Q756" s="1169"/>
      <c r="R756" s="1170"/>
    </row>
    <row r="757">
      <c r="B757" s="1165"/>
      <c r="F757" s="1166"/>
      <c r="L757" s="53"/>
      <c r="M757" s="1167"/>
      <c r="N757" s="53"/>
      <c r="O757" s="53"/>
      <c r="P757" s="53"/>
      <c r="Q757" s="1169"/>
      <c r="R757" s="1170"/>
    </row>
    <row r="758">
      <c r="B758" s="1165"/>
      <c r="F758" s="1166"/>
      <c r="L758" s="53"/>
      <c r="M758" s="1167"/>
      <c r="N758" s="53"/>
      <c r="O758" s="53"/>
      <c r="P758" s="53"/>
      <c r="Q758" s="1169"/>
      <c r="R758" s="1170"/>
    </row>
    <row r="759">
      <c r="B759" s="1165"/>
      <c r="F759" s="1166"/>
      <c r="L759" s="53"/>
      <c r="M759" s="1167"/>
      <c r="N759" s="53"/>
      <c r="O759" s="53"/>
      <c r="P759" s="53"/>
      <c r="Q759" s="1169"/>
      <c r="R759" s="1170"/>
    </row>
    <row r="760">
      <c r="B760" s="1165"/>
      <c r="F760" s="1166"/>
      <c r="L760" s="53"/>
      <c r="M760" s="1167"/>
      <c r="N760" s="53"/>
      <c r="O760" s="53"/>
      <c r="P760" s="53"/>
      <c r="Q760" s="1169"/>
      <c r="R760" s="1170"/>
    </row>
    <row r="761">
      <c r="B761" s="1165"/>
      <c r="F761" s="1166"/>
      <c r="L761" s="53"/>
      <c r="M761" s="1167"/>
      <c r="N761" s="53"/>
      <c r="O761" s="53"/>
      <c r="P761" s="53"/>
      <c r="Q761" s="1169"/>
      <c r="R761" s="1170"/>
    </row>
    <row r="762">
      <c r="B762" s="1165"/>
      <c r="F762" s="1166"/>
      <c r="L762" s="53"/>
      <c r="M762" s="1167"/>
      <c r="N762" s="53"/>
      <c r="O762" s="53"/>
      <c r="P762" s="53"/>
      <c r="Q762" s="1169"/>
      <c r="R762" s="1170"/>
    </row>
    <row r="763">
      <c r="B763" s="1165"/>
      <c r="F763" s="1166"/>
      <c r="L763" s="53"/>
      <c r="M763" s="1167"/>
      <c r="N763" s="53"/>
      <c r="O763" s="53"/>
      <c r="P763" s="53"/>
      <c r="Q763" s="1169"/>
      <c r="R763" s="1170"/>
    </row>
    <row r="764">
      <c r="B764" s="1165"/>
      <c r="F764" s="1166"/>
      <c r="L764" s="53"/>
      <c r="M764" s="1167"/>
      <c r="N764" s="53"/>
      <c r="O764" s="53"/>
      <c r="P764" s="53"/>
      <c r="Q764" s="1169"/>
      <c r="R764" s="1170"/>
    </row>
    <row r="765">
      <c r="B765" s="1165"/>
      <c r="F765" s="1166"/>
      <c r="L765" s="53"/>
      <c r="M765" s="1167"/>
      <c r="N765" s="53"/>
      <c r="O765" s="53"/>
      <c r="P765" s="53"/>
      <c r="Q765" s="1169"/>
      <c r="R765" s="1170"/>
    </row>
    <row r="766">
      <c r="B766" s="1165"/>
      <c r="F766" s="1166"/>
      <c r="L766" s="53"/>
      <c r="M766" s="1167"/>
      <c r="N766" s="53"/>
      <c r="O766" s="53"/>
      <c r="P766" s="53"/>
      <c r="Q766" s="1169"/>
      <c r="R766" s="1170"/>
    </row>
    <row r="767">
      <c r="B767" s="1165"/>
      <c r="F767" s="1166"/>
      <c r="L767" s="53"/>
      <c r="M767" s="1167"/>
      <c r="N767" s="53"/>
      <c r="O767" s="53"/>
      <c r="P767" s="53"/>
      <c r="Q767" s="1169"/>
      <c r="R767" s="1170"/>
    </row>
    <row r="768">
      <c r="B768" s="1165"/>
      <c r="F768" s="1166"/>
      <c r="L768" s="53"/>
      <c r="M768" s="1167"/>
      <c r="N768" s="53"/>
      <c r="O768" s="53"/>
      <c r="P768" s="53"/>
      <c r="Q768" s="1169"/>
      <c r="R768" s="1170"/>
    </row>
    <row r="769">
      <c r="B769" s="1165"/>
      <c r="F769" s="1166"/>
      <c r="L769" s="53"/>
      <c r="M769" s="1167"/>
      <c r="N769" s="53"/>
      <c r="O769" s="53"/>
      <c r="P769" s="53"/>
      <c r="Q769" s="1169"/>
      <c r="R769" s="1170"/>
    </row>
    <row r="770">
      <c r="B770" s="1165"/>
      <c r="F770" s="1166"/>
      <c r="L770" s="53"/>
      <c r="M770" s="1167"/>
      <c r="N770" s="53"/>
      <c r="O770" s="53"/>
      <c r="P770" s="53"/>
      <c r="Q770" s="1169"/>
      <c r="R770" s="1170"/>
    </row>
    <row r="771">
      <c r="B771" s="1165"/>
      <c r="F771" s="1166"/>
      <c r="L771" s="53"/>
      <c r="M771" s="1167"/>
      <c r="N771" s="53"/>
      <c r="O771" s="53"/>
      <c r="P771" s="53"/>
      <c r="Q771" s="1169"/>
      <c r="R771" s="1170"/>
    </row>
    <row r="772">
      <c r="B772" s="1165"/>
      <c r="F772" s="1166"/>
      <c r="L772" s="53"/>
      <c r="M772" s="1167"/>
      <c r="N772" s="53"/>
      <c r="O772" s="53"/>
      <c r="P772" s="53"/>
      <c r="Q772" s="1169"/>
      <c r="R772" s="1170"/>
    </row>
    <row r="773">
      <c r="B773" s="1165"/>
      <c r="F773" s="1166"/>
      <c r="L773" s="53"/>
      <c r="M773" s="1167"/>
      <c r="N773" s="53"/>
      <c r="O773" s="53"/>
      <c r="P773" s="53"/>
      <c r="Q773" s="1169"/>
      <c r="R773" s="1170"/>
    </row>
    <row r="774">
      <c r="B774" s="1165"/>
      <c r="F774" s="1166"/>
      <c r="L774" s="53"/>
      <c r="M774" s="1167"/>
      <c r="N774" s="53"/>
      <c r="O774" s="53"/>
      <c r="P774" s="53"/>
      <c r="Q774" s="1169"/>
      <c r="R774" s="1170"/>
    </row>
    <row r="775">
      <c r="B775" s="1165"/>
      <c r="F775" s="1166"/>
      <c r="L775" s="53"/>
      <c r="M775" s="1167"/>
      <c r="N775" s="53"/>
      <c r="O775" s="53"/>
      <c r="P775" s="53"/>
      <c r="Q775" s="1169"/>
      <c r="R775" s="1170"/>
    </row>
    <row r="776">
      <c r="B776" s="1165"/>
      <c r="F776" s="1166"/>
      <c r="L776" s="53"/>
      <c r="M776" s="1167"/>
      <c r="N776" s="53"/>
      <c r="O776" s="53"/>
      <c r="P776" s="53"/>
      <c r="Q776" s="1169"/>
      <c r="R776" s="1170"/>
    </row>
    <row r="777">
      <c r="B777" s="1165"/>
      <c r="F777" s="1166"/>
      <c r="L777" s="53"/>
      <c r="M777" s="1167"/>
      <c r="N777" s="53"/>
      <c r="O777" s="53"/>
      <c r="P777" s="53"/>
      <c r="Q777" s="1169"/>
      <c r="R777" s="1170"/>
    </row>
    <row r="778">
      <c r="B778" s="1165"/>
      <c r="F778" s="1166"/>
      <c r="L778" s="53"/>
      <c r="M778" s="1167"/>
      <c r="N778" s="53"/>
      <c r="O778" s="53"/>
      <c r="P778" s="53"/>
      <c r="Q778" s="1169"/>
      <c r="R778" s="1170"/>
    </row>
    <row r="779">
      <c r="B779" s="1165"/>
      <c r="F779" s="1166"/>
      <c r="L779" s="53"/>
      <c r="M779" s="1167"/>
      <c r="N779" s="53"/>
      <c r="O779" s="53"/>
      <c r="P779" s="53"/>
      <c r="Q779" s="1169"/>
      <c r="R779" s="1170"/>
    </row>
    <row r="780">
      <c r="B780" s="1165"/>
      <c r="F780" s="1166"/>
      <c r="L780" s="53"/>
      <c r="M780" s="1167"/>
      <c r="N780" s="53"/>
      <c r="O780" s="53"/>
      <c r="P780" s="53"/>
      <c r="Q780" s="1169"/>
      <c r="R780" s="1170"/>
    </row>
    <row r="781">
      <c r="B781" s="1165"/>
      <c r="F781" s="1166"/>
      <c r="L781" s="53"/>
      <c r="M781" s="1167"/>
      <c r="N781" s="53"/>
      <c r="O781" s="53"/>
      <c r="P781" s="53"/>
      <c r="Q781" s="1169"/>
      <c r="R781" s="1170"/>
    </row>
    <row r="782">
      <c r="B782" s="1165"/>
      <c r="F782" s="1166"/>
      <c r="L782" s="53"/>
      <c r="M782" s="1167"/>
      <c r="N782" s="53"/>
      <c r="O782" s="53"/>
      <c r="P782" s="53"/>
      <c r="Q782" s="1169"/>
      <c r="R782" s="1170"/>
    </row>
    <row r="783">
      <c r="B783" s="1165"/>
      <c r="F783" s="1166"/>
      <c r="L783" s="53"/>
      <c r="M783" s="1167"/>
      <c r="N783" s="53"/>
      <c r="O783" s="53"/>
      <c r="P783" s="53"/>
      <c r="Q783" s="1169"/>
      <c r="R783" s="1170"/>
    </row>
    <row r="784">
      <c r="B784" s="1165"/>
      <c r="F784" s="1166"/>
      <c r="L784" s="53"/>
      <c r="M784" s="1167"/>
      <c r="N784" s="53"/>
      <c r="O784" s="53"/>
      <c r="P784" s="53"/>
      <c r="Q784" s="1169"/>
      <c r="R784" s="1170"/>
    </row>
    <row r="785">
      <c r="B785" s="1165"/>
      <c r="F785" s="1166"/>
      <c r="L785" s="53"/>
      <c r="M785" s="1167"/>
      <c r="N785" s="53"/>
      <c r="O785" s="53"/>
      <c r="P785" s="53"/>
      <c r="Q785" s="1169"/>
      <c r="R785" s="1170"/>
    </row>
    <row r="786">
      <c r="B786" s="1165"/>
      <c r="F786" s="1166"/>
      <c r="L786" s="53"/>
      <c r="M786" s="1167"/>
      <c r="N786" s="53"/>
      <c r="O786" s="53"/>
      <c r="P786" s="53"/>
      <c r="Q786" s="1169"/>
      <c r="R786" s="1170"/>
    </row>
    <row r="787">
      <c r="B787" s="1165"/>
      <c r="F787" s="1166"/>
      <c r="L787" s="53"/>
      <c r="M787" s="1167"/>
      <c r="N787" s="53"/>
      <c r="O787" s="53"/>
      <c r="P787" s="53"/>
      <c r="Q787" s="1169"/>
      <c r="R787" s="1170"/>
    </row>
    <row r="788">
      <c r="B788" s="1165"/>
      <c r="F788" s="1166"/>
      <c r="L788" s="53"/>
      <c r="M788" s="1167"/>
      <c r="N788" s="53"/>
      <c r="O788" s="53"/>
      <c r="P788" s="53"/>
      <c r="Q788" s="1169"/>
      <c r="R788" s="1170"/>
    </row>
    <row r="789">
      <c r="B789" s="1165"/>
      <c r="F789" s="1166"/>
      <c r="L789" s="53"/>
      <c r="M789" s="1167"/>
      <c r="N789" s="53"/>
      <c r="O789" s="53"/>
      <c r="P789" s="53"/>
      <c r="Q789" s="1169"/>
      <c r="R789" s="1170"/>
    </row>
    <row r="790">
      <c r="B790" s="1165"/>
      <c r="F790" s="1166"/>
      <c r="L790" s="53"/>
      <c r="M790" s="1167"/>
      <c r="N790" s="53"/>
      <c r="O790" s="53"/>
      <c r="P790" s="53"/>
      <c r="Q790" s="1169"/>
      <c r="R790" s="1170"/>
    </row>
    <row r="791">
      <c r="B791" s="1165"/>
      <c r="F791" s="1166"/>
      <c r="L791" s="53"/>
      <c r="M791" s="1167"/>
      <c r="N791" s="53"/>
      <c r="O791" s="53"/>
      <c r="P791" s="53"/>
      <c r="Q791" s="1169"/>
      <c r="R791" s="1170"/>
    </row>
    <row r="792">
      <c r="B792" s="1165"/>
      <c r="F792" s="1166"/>
      <c r="L792" s="53"/>
      <c r="M792" s="1167"/>
      <c r="N792" s="53"/>
      <c r="O792" s="53"/>
      <c r="P792" s="53"/>
      <c r="Q792" s="1169"/>
      <c r="R792" s="1170"/>
    </row>
    <row r="793">
      <c r="B793" s="1165"/>
      <c r="F793" s="1166"/>
      <c r="L793" s="53"/>
      <c r="M793" s="1167"/>
      <c r="N793" s="53"/>
      <c r="O793" s="53"/>
      <c r="P793" s="53"/>
      <c r="Q793" s="1169"/>
      <c r="R793" s="1170"/>
    </row>
    <row r="794">
      <c r="B794" s="1165"/>
      <c r="F794" s="1166"/>
      <c r="L794" s="53"/>
      <c r="M794" s="1167"/>
      <c r="N794" s="53"/>
      <c r="O794" s="53"/>
      <c r="P794" s="53"/>
      <c r="Q794" s="1169"/>
      <c r="R794" s="1170"/>
    </row>
    <row r="795">
      <c r="B795" s="1165"/>
      <c r="F795" s="1166"/>
      <c r="L795" s="53"/>
      <c r="M795" s="1167"/>
      <c r="N795" s="53"/>
      <c r="O795" s="53"/>
      <c r="P795" s="53"/>
      <c r="Q795" s="1169"/>
      <c r="R795" s="1170"/>
    </row>
    <row r="796">
      <c r="B796" s="1165"/>
      <c r="F796" s="1166"/>
      <c r="L796" s="53"/>
      <c r="M796" s="1167"/>
      <c r="N796" s="53"/>
      <c r="O796" s="53"/>
      <c r="P796" s="53"/>
      <c r="Q796" s="1169"/>
      <c r="R796" s="1170"/>
    </row>
    <row r="797">
      <c r="B797" s="1165"/>
      <c r="F797" s="1166"/>
      <c r="L797" s="53"/>
      <c r="M797" s="1167"/>
      <c r="N797" s="53"/>
      <c r="O797" s="53"/>
      <c r="P797" s="53"/>
      <c r="Q797" s="1169"/>
      <c r="R797" s="1170"/>
    </row>
    <row r="798">
      <c r="B798" s="1165"/>
      <c r="F798" s="1166"/>
      <c r="L798" s="53"/>
      <c r="M798" s="1167"/>
      <c r="N798" s="53"/>
      <c r="O798" s="53"/>
      <c r="P798" s="53"/>
      <c r="Q798" s="1169"/>
      <c r="R798" s="1170"/>
    </row>
    <row r="799">
      <c r="B799" s="1165"/>
      <c r="F799" s="1166"/>
      <c r="L799" s="53"/>
      <c r="M799" s="1167"/>
      <c r="N799" s="53"/>
      <c r="O799" s="53"/>
      <c r="P799" s="53"/>
      <c r="Q799" s="1169"/>
      <c r="R799" s="1170"/>
    </row>
    <row r="800">
      <c r="B800" s="1165"/>
      <c r="F800" s="1166"/>
      <c r="L800" s="53"/>
      <c r="M800" s="1167"/>
      <c r="N800" s="53"/>
      <c r="O800" s="53"/>
      <c r="P800" s="53"/>
      <c r="Q800" s="1169"/>
      <c r="R800" s="1170"/>
    </row>
    <row r="801">
      <c r="B801" s="1165"/>
      <c r="F801" s="1166"/>
      <c r="L801" s="53"/>
      <c r="M801" s="1167"/>
      <c r="N801" s="53"/>
      <c r="O801" s="53"/>
      <c r="P801" s="53"/>
      <c r="Q801" s="1169"/>
      <c r="R801" s="1170"/>
    </row>
    <row r="802">
      <c r="B802" s="1165"/>
      <c r="F802" s="1166"/>
      <c r="L802" s="53"/>
      <c r="M802" s="1167"/>
      <c r="N802" s="53"/>
      <c r="O802" s="53"/>
      <c r="P802" s="53"/>
      <c r="Q802" s="1169"/>
      <c r="R802" s="1170"/>
    </row>
    <row r="803">
      <c r="B803" s="1165"/>
      <c r="F803" s="1166"/>
      <c r="L803" s="53"/>
      <c r="M803" s="1167"/>
      <c r="N803" s="53"/>
      <c r="O803" s="53"/>
      <c r="P803" s="53"/>
      <c r="Q803" s="1169"/>
      <c r="R803" s="1170"/>
    </row>
    <row r="804">
      <c r="B804" s="1165"/>
      <c r="F804" s="1166"/>
      <c r="L804" s="53"/>
      <c r="M804" s="1167"/>
      <c r="N804" s="53"/>
      <c r="O804" s="53"/>
      <c r="P804" s="53"/>
      <c r="Q804" s="1169"/>
      <c r="R804" s="1170"/>
    </row>
    <row r="805">
      <c r="B805" s="1165"/>
      <c r="F805" s="1166"/>
      <c r="L805" s="53"/>
      <c r="M805" s="1167"/>
      <c r="N805" s="53"/>
      <c r="O805" s="53"/>
      <c r="P805" s="53"/>
      <c r="Q805" s="1169"/>
      <c r="R805" s="1170"/>
    </row>
    <row r="806">
      <c r="B806" s="1165"/>
      <c r="F806" s="1166"/>
      <c r="L806" s="53"/>
      <c r="M806" s="1167"/>
      <c r="N806" s="53"/>
      <c r="O806" s="53"/>
      <c r="P806" s="53"/>
      <c r="Q806" s="1169"/>
      <c r="R806" s="1170"/>
    </row>
    <row r="807">
      <c r="B807" s="1165"/>
      <c r="F807" s="1166"/>
      <c r="L807" s="53"/>
      <c r="M807" s="1167"/>
      <c r="N807" s="53"/>
      <c r="O807" s="53"/>
      <c r="P807" s="53"/>
      <c r="Q807" s="1169"/>
      <c r="R807" s="1170"/>
    </row>
    <row r="808">
      <c r="B808" s="1165"/>
      <c r="F808" s="1166"/>
      <c r="L808" s="53"/>
      <c r="M808" s="1167"/>
      <c r="N808" s="53"/>
      <c r="O808" s="53"/>
      <c r="P808" s="53"/>
      <c r="Q808" s="1169"/>
      <c r="R808" s="1170"/>
    </row>
    <row r="809">
      <c r="B809" s="1165"/>
      <c r="F809" s="1166"/>
      <c r="L809" s="53"/>
      <c r="M809" s="1167"/>
      <c r="N809" s="53"/>
      <c r="O809" s="53"/>
      <c r="P809" s="53"/>
      <c r="Q809" s="1169"/>
      <c r="R809" s="1170"/>
    </row>
    <row r="810">
      <c r="B810" s="1165"/>
      <c r="F810" s="1166"/>
      <c r="L810" s="53"/>
      <c r="M810" s="1167"/>
      <c r="N810" s="53"/>
      <c r="O810" s="53"/>
      <c r="P810" s="53"/>
      <c r="Q810" s="1169"/>
      <c r="R810" s="1170"/>
    </row>
    <row r="811">
      <c r="B811" s="1165"/>
      <c r="F811" s="1166"/>
      <c r="L811" s="53"/>
      <c r="M811" s="1167"/>
      <c r="N811" s="53"/>
      <c r="O811" s="53"/>
      <c r="P811" s="53"/>
      <c r="Q811" s="1169"/>
      <c r="R811" s="1170"/>
    </row>
    <row r="812">
      <c r="B812" s="1165"/>
      <c r="F812" s="1166"/>
      <c r="L812" s="53"/>
      <c r="M812" s="1167"/>
      <c r="N812" s="53"/>
      <c r="O812" s="53"/>
      <c r="P812" s="53"/>
      <c r="Q812" s="1169"/>
      <c r="R812" s="1170"/>
    </row>
    <row r="813">
      <c r="B813" s="1165"/>
      <c r="F813" s="1166"/>
      <c r="L813" s="53"/>
      <c r="M813" s="1167"/>
      <c r="N813" s="53"/>
      <c r="O813" s="53"/>
      <c r="P813" s="53"/>
      <c r="Q813" s="1169"/>
      <c r="R813" s="1170"/>
    </row>
    <row r="814">
      <c r="B814" s="1165"/>
      <c r="F814" s="1166"/>
      <c r="L814" s="53"/>
      <c r="M814" s="1167"/>
      <c r="N814" s="53"/>
      <c r="O814" s="53"/>
      <c r="P814" s="53"/>
      <c r="Q814" s="1169"/>
      <c r="R814" s="1170"/>
    </row>
    <row r="815">
      <c r="B815" s="1165"/>
      <c r="F815" s="1166"/>
      <c r="L815" s="53"/>
      <c r="M815" s="1167"/>
      <c r="N815" s="53"/>
      <c r="O815" s="53"/>
      <c r="P815" s="53"/>
      <c r="Q815" s="1169"/>
      <c r="R815" s="1170"/>
    </row>
    <row r="816">
      <c r="B816" s="1165"/>
      <c r="F816" s="1166"/>
      <c r="L816" s="53"/>
      <c r="M816" s="1167"/>
      <c r="N816" s="53"/>
      <c r="O816" s="53"/>
      <c r="P816" s="53"/>
      <c r="Q816" s="1169"/>
      <c r="R816" s="1170"/>
    </row>
    <row r="817">
      <c r="B817" s="1165"/>
      <c r="F817" s="1166"/>
      <c r="L817" s="53"/>
      <c r="M817" s="1167"/>
      <c r="N817" s="53"/>
      <c r="O817" s="53"/>
      <c r="P817" s="53"/>
      <c r="Q817" s="1169"/>
      <c r="R817" s="1170"/>
    </row>
    <row r="818">
      <c r="B818" s="1165"/>
      <c r="F818" s="1166"/>
      <c r="L818" s="53"/>
      <c r="M818" s="1167"/>
      <c r="N818" s="53"/>
      <c r="O818" s="53"/>
      <c r="P818" s="53"/>
      <c r="Q818" s="1169"/>
      <c r="R818" s="1170"/>
    </row>
    <row r="819">
      <c r="B819" s="1165"/>
      <c r="F819" s="1166"/>
      <c r="L819" s="53"/>
      <c r="M819" s="1167"/>
      <c r="N819" s="53"/>
      <c r="O819" s="53"/>
      <c r="P819" s="53"/>
      <c r="Q819" s="1169"/>
      <c r="R819" s="1170"/>
    </row>
    <row r="820">
      <c r="B820" s="1165"/>
      <c r="F820" s="1166"/>
      <c r="L820" s="53"/>
      <c r="M820" s="1167"/>
      <c r="N820" s="53"/>
      <c r="O820" s="53"/>
      <c r="P820" s="53"/>
      <c r="Q820" s="1169"/>
      <c r="R820" s="1170"/>
    </row>
    <row r="821">
      <c r="B821" s="1165"/>
      <c r="F821" s="1166"/>
      <c r="L821" s="53"/>
      <c r="M821" s="1167"/>
      <c r="N821" s="53"/>
      <c r="O821" s="53"/>
      <c r="P821" s="53"/>
      <c r="Q821" s="1169"/>
      <c r="R821" s="1170"/>
    </row>
    <row r="822">
      <c r="B822" s="1165"/>
      <c r="F822" s="1166"/>
      <c r="L822" s="53"/>
      <c r="M822" s="1167"/>
      <c r="N822" s="53"/>
      <c r="O822" s="53"/>
      <c r="P822" s="53"/>
      <c r="Q822" s="1169"/>
      <c r="R822" s="1170"/>
    </row>
    <row r="823">
      <c r="B823" s="1165"/>
      <c r="F823" s="1166"/>
      <c r="L823" s="53"/>
      <c r="M823" s="1167"/>
      <c r="N823" s="53"/>
      <c r="O823" s="53"/>
      <c r="P823" s="53"/>
      <c r="Q823" s="1169"/>
      <c r="R823" s="1170"/>
    </row>
    <row r="824">
      <c r="B824" s="1165"/>
      <c r="F824" s="1166"/>
      <c r="L824" s="53"/>
      <c r="M824" s="1167"/>
      <c r="N824" s="53"/>
      <c r="O824" s="53"/>
      <c r="P824" s="53"/>
      <c r="Q824" s="1169"/>
      <c r="R824" s="1170"/>
    </row>
    <row r="825">
      <c r="B825" s="1165"/>
      <c r="F825" s="1166"/>
      <c r="L825" s="53"/>
      <c r="M825" s="1167"/>
      <c r="N825" s="53"/>
      <c r="O825" s="53"/>
      <c r="P825" s="53"/>
      <c r="Q825" s="1169"/>
      <c r="R825" s="1170"/>
    </row>
    <row r="826">
      <c r="B826" s="1165"/>
      <c r="F826" s="1166"/>
      <c r="L826" s="53"/>
      <c r="M826" s="1167"/>
      <c r="N826" s="53"/>
      <c r="O826" s="53"/>
      <c r="P826" s="53"/>
      <c r="Q826" s="1169"/>
      <c r="R826" s="1170"/>
    </row>
    <row r="827">
      <c r="B827" s="1165"/>
      <c r="F827" s="1166"/>
      <c r="L827" s="53"/>
      <c r="M827" s="1167"/>
      <c r="N827" s="53"/>
      <c r="O827" s="53"/>
      <c r="P827" s="53"/>
      <c r="Q827" s="1169"/>
      <c r="R827" s="1170"/>
    </row>
    <row r="828">
      <c r="B828" s="1165"/>
      <c r="F828" s="1166"/>
      <c r="L828" s="53"/>
      <c r="M828" s="1167"/>
      <c r="N828" s="53"/>
      <c r="O828" s="53"/>
      <c r="P828" s="53"/>
      <c r="Q828" s="1169"/>
      <c r="R828" s="1170"/>
    </row>
    <row r="829">
      <c r="B829" s="1165"/>
      <c r="F829" s="1166"/>
      <c r="L829" s="53"/>
      <c r="M829" s="1167"/>
      <c r="N829" s="53"/>
      <c r="O829" s="53"/>
      <c r="P829" s="53"/>
      <c r="Q829" s="1169"/>
      <c r="R829" s="1170"/>
    </row>
    <row r="830">
      <c r="B830" s="1165"/>
      <c r="F830" s="1166"/>
      <c r="L830" s="53"/>
      <c r="M830" s="1167"/>
      <c r="N830" s="53"/>
      <c r="O830" s="53"/>
      <c r="P830" s="53"/>
      <c r="Q830" s="1169"/>
      <c r="R830" s="1170"/>
    </row>
    <row r="831">
      <c r="B831" s="1165"/>
      <c r="F831" s="1166"/>
      <c r="L831" s="53"/>
      <c r="M831" s="1167"/>
      <c r="N831" s="53"/>
      <c r="O831" s="53"/>
      <c r="P831" s="53"/>
      <c r="Q831" s="1169"/>
      <c r="R831" s="1170"/>
    </row>
    <row r="832">
      <c r="B832" s="1165"/>
      <c r="F832" s="1166"/>
      <c r="L832" s="53"/>
      <c r="M832" s="1167"/>
      <c r="N832" s="53"/>
      <c r="O832" s="53"/>
      <c r="P832" s="53"/>
      <c r="Q832" s="1169"/>
      <c r="R832" s="1170"/>
    </row>
    <row r="833">
      <c r="B833" s="1165"/>
      <c r="F833" s="1166"/>
      <c r="L833" s="53"/>
      <c r="M833" s="1167"/>
      <c r="N833" s="53"/>
      <c r="O833" s="53"/>
      <c r="P833" s="53"/>
      <c r="Q833" s="1169"/>
      <c r="R833" s="1170"/>
    </row>
    <row r="834">
      <c r="B834" s="1165"/>
      <c r="F834" s="1166"/>
      <c r="L834" s="53"/>
      <c r="M834" s="1167"/>
      <c r="N834" s="53"/>
      <c r="O834" s="53"/>
      <c r="P834" s="53"/>
      <c r="Q834" s="1169"/>
      <c r="R834" s="1170"/>
    </row>
    <row r="835">
      <c r="B835" s="1165"/>
      <c r="F835" s="1166"/>
      <c r="L835" s="53"/>
      <c r="M835" s="1167"/>
      <c r="N835" s="53"/>
      <c r="O835" s="53"/>
      <c r="P835" s="53"/>
      <c r="Q835" s="1169"/>
      <c r="R835" s="1170"/>
    </row>
    <row r="836">
      <c r="B836" s="1165"/>
      <c r="F836" s="1166"/>
      <c r="L836" s="53"/>
      <c r="M836" s="1167"/>
      <c r="N836" s="53"/>
      <c r="O836" s="53"/>
      <c r="P836" s="53"/>
      <c r="Q836" s="1169"/>
      <c r="R836" s="1170"/>
    </row>
    <row r="837">
      <c r="B837" s="1165"/>
      <c r="F837" s="1166"/>
      <c r="L837" s="53"/>
      <c r="M837" s="1167"/>
      <c r="N837" s="53"/>
      <c r="O837" s="53"/>
      <c r="P837" s="53"/>
      <c r="Q837" s="1169"/>
      <c r="R837" s="1170"/>
    </row>
    <row r="838">
      <c r="B838" s="1165"/>
      <c r="F838" s="1166"/>
      <c r="L838" s="53"/>
      <c r="M838" s="1167"/>
      <c r="N838" s="53"/>
      <c r="O838" s="53"/>
      <c r="P838" s="53"/>
      <c r="Q838" s="1169"/>
      <c r="R838" s="1170"/>
    </row>
    <row r="839">
      <c r="B839" s="1165"/>
      <c r="F839" s="1166"/>
      <c r="L839" s="53"/>
      <c r="M839" s="1167"/>
      <c r="N839" s="53"/>
      <c r="O839" s="53"/>
      <c r="P839" s="53"/>
      <c r="Q839" s="1169"/>
      <c r="R839" s="1170"/>
    </row>
    <row r="840">
      <c r="B840" s="1165"/>
      <c r="F840" s="1166"/>
      <c r="L840" s="53"/>
      <c r="M840" s="1167"/>
      <c r="N840" s="53"/>
      <c r="O840" s="53"/>
      <c r="P840" s="53"/>
      <c r="Q840" s="1169"/>
      <c r="R840" s="1170"/>
    </row>
    <row r="841">
      <c r="B841" s="1165"/>
      <c r="F841" s="1166"/>
      <c r="L841" s="53"/>
      <c r="M841" s="1167"/>
      <c r="N841" s="53"/>
      <c r="O841" s="53"/>
      <c r="P841" s="53"/>
      <c r="Q841" s="1169"/>
      <c r="R841" s="1170"/>
    </row>
    <row r="842">
      <c r="B842" s="1165"/>
      <c r="F842" s="1166"/>
      <c r="L842" s="53"/>
      <c r="M842" s="1167"/>
      <c r="N842" s="53"/>
      <c r="O842" s="53"/>
      <c r="P842" s="53"/>
      <c r="Q842" s="1169"/>
      <c r="R842" s="1170"/>
    </row>
    <row r="843">
      <c r="B843" s="1165"/>
      <c r="F843" s="1166"/>
      <c r="L843" s="53"/>
      <c r="M843" s="1167"/>
      <c r="N843" s="53"/>
      <c r="O843" s="53"/>
      <c r="P843" s="53"/>
      <c r="Q843" s="1169"/>
      <c r="R843" s="1170"/>
    </row>
    <row r="844">
      <c r="B844" s="1165"/>
      <c r="F844" s="1166"/>
      <c r="L844" s="53"/>
      <c r="M844" s="1167"/>
      <c r="N844" s="53"/>
      <c r="O844" s="53"/>
      <c r="P844" s="53"/>
      <c r="Q844" s="1169"/>
      <c r="R844" s="1170"/>
    </row>
    <row r="845">
      <c r="B845" s="1165"/>
      <c r="F845" s="1166"/>
      <c r="L845" s="53"/>
      <c r="M845" s="1167"/>
      <c r="N845" s="53"/>
      <c r="O845" s="53"/>
      <c r="P845" s="53"/>
      <c r="Q845" s="1169"/>
      <c r="R845" s="1170"/>
    </row>
    <row r="846">
      <c r="B846" s="1165"/>
      <c r="F846" s="1166"/>
      <c r="L846" s="53"/>
      <c r="M846" s="1167"/>
      <c r="N846" s="53"/>
      <c r="O846" s="53"/>
      <c r="P846" s="53"/>
      <c r="Q846" s="1169"/>
      <c r="R846" s="1170"/>
    </row>
    <row r="847">
      <c r="B847" s="1165"/>
      <c r="F847" s="1166"/>
      <c r="L847" s="53"/>
      <c r="M847" s="1167"/>
      <c r="N847" s="53"/>
      <c r="O847" s="53"/>
      <c r="P847" s="53"/>
      <c r="Q847" s="1169"/>
      <c r="R847" s="1170"/>
    </row>
    <row r="848">
      <c r="B848" s="1165"/>
      <c r="F848" s="1166"/>
      <c r="L848" s="53"/>
      <c r="M848" s="1167"/>
      <c r="N848" s="53"/>
      <c r="O848" s="53"/>
      <c r="P848" s="53"/>
      <c r="Q848" s="1169"/>
      <c r="R848" s="1170"/>
    </row>
    <row r="849">
      <c r="B849" s="1165"/>
      <c r="F849" s="1166"/>
      <c r="L849" s="53"/>
      <c r="M849" s="1167"/>
      <c r="N849" s="53"/>
      <c r="O849" s="53"/>
      <c r="P849" s="53"/>
      <c r="Q849" s="1169"/>
      <c r="R849" s="1170"/>
    </row>
    <row r="850">
      <c r="B850" s="1165"/>
      <c r="F850" s="1166"/>
      <c r="L850" s="53"/>
      <c r="M850" s="1167"/>
      <c r="N850" s="53"/>
      <c r="O850" s="53"/>
      <c r="P850" s="53"/>
      <c r="Q850" s="1169"/>
      <c r="R850" s="1170"/>
    </row>
    <row r="851">
      <c r="B851" s="1165"/>
      <c r="F851" s="1166"/>
      <c r="L851" s="53"/>
      <c r="M851" s="1167"/>
      <c r="N851" s="53"/>
      <c r="O851" s="53"/>
      <c r="P851" s="53"/>
      <c r="Q851" s="1169"/>
      <c r="R851" s="1170"/>
    </row>
    <row r="852">
      <c r="B852" s="1165"/>
      <c r="F852" s="1166"/>
      <c r="L852" s="53"/>
      <c r="M852" s="1167"/>
      <c r="N852" s="53"/>
      <c r="O852" s="53"/>
      <c r="P852" s="53"/>
      <c r="Q852" s="1169"/>
      <c r="R852" s="1170"/>
    </row>
    <row r="853">
      <c r="B853" s="1165"/>
      <c r="F853" s="1166"/>
      <c r="L853" s="53"/>
      <c r="M853" s="1167"/>
      <c r="N853" s="53"/>
      <c r="O853" s="53"/>
      <c r="P853" s="53"/>
      <c r="Q853" s="1169"/>
      <c r="R853" s="1170"/>
    </row>
    <row r="854">
      <c r="B854" s="1165"/>
      <c r="F854" s="1166"/>
      <c r="L854" s="53"/>
      <c r="M854" s="1167"/>
      <c r="N854" s="53"/>
      <c r="O854" s="53"/>
      <c r="P854" s="53"/>
      <c r="Q854" s="1169"/>
      <c r="R854" s="1170"/>
    </row>
    <row r="855">
      <c r="B855" s="1165"/>
      <c r="F855" s="1166"/>
      <c r="L855" s="53"/>
      <c r="M855" s="1167"/>
      <c r="N855" s="53"/>
      <c r="O855" s="53"/>
      <c r="P855" s="53"/>
      <c r="Q855" s="1169"/>
      <c r="R855" s="1170"/>
    </row>
    <row r="856">
      <c r="B856" s="1165"/>
      <c r="F856" s="1166"/>
      <c r="L856" s="53"/>
      <c r="M856" s="1167"/>
      <c r="N856" s="53"/>
      <c r="O856" s="53"/>
      <c r="P856" s="53"/>
      <c r="Q856" s="1169"/>
      <c r="R856" s="1170"/>
    </row>
    <row r="857">
      <c r="B857" s="1165"/>
      <c r="F857" s="1166"/>
      <c r="L857" s="53"/>
      <c r="M857" s="1167"/>
      <c r="N857" s="53"/>
      <c r="O857" s="53"/>
      <c r="P857" s="53"/>
      <c r="Q857" s="1169"/>
      <c r="R857" s="1170"/>
    </row>
    <row r="858">
      <c r="B858" s="1165"/>
      <c r="F858" s="1166"/>
      <c r="L858" s="53"/>
      <c r="M858" s="1167"/>
      <c r="N858" s="53"/>
      <c r="O858" s="53"/>
      <c r="P858" s="53"/>
      <c r="Q858" s="1169"/>
      <c r="R858" s="1170"/>
    </row>
    <row r="859">
      <c r="B859" s="1165"/>
      <c r="F859" s="1166"/>
      <c r="L859" s="53"/>
      <c r="M859" s="1167"/>
      <c r="N859" s="53"/>
      <c r="O859" s="53"/>
      <c r="P859" s="53"/>
      <c r="Q859" s="1169"/>
      <c r="R859" s="1170"/>
    </row>
    <row r="860">
      <c r="B860" s="1165"/>
      <c r="F860" s="1166"/>
      <c r="L860" s="53"/>
      <c r="M860" s="1167"/>
      <c r="N860" s="53"/>
      <c r="O860" s="53"/>
      <c r="P860" s="53"/>
      <c r="Q860" s="1169"/>
      <c r="R860" s="1170"/>
    </row>
    <row r="861">
      <c r="B861" s="1165"/>
      <c r="F861" s="1166"/>
      <c r="L861" s="53"/>
      <c r="M861" s="1167"/>
      <c r="N861" s="53"/>
      <c r="O861" s="53"/>
      <c r="P861" s="53"/>
      <c r="Q861" s="1169"/>
      <c r="R861" s="1170"/>
    </row>
    <row r="862">
      <c r="B862" s="1165"/>
      <c r="F862" s="1166"/>
      <c r="L862" s="53"/>
      <c r="M862" s="1167"/>
      <c r="N862" s="53"/>
      <c r="O862" s="53"/>
      <c r="P862" s="53"/>
      <c r="Q862" s="1169"/>
      <c r="R862" s="1170"/>
    </row>
    <row r="863">
      <c r="B863" s="1165"/>
      <c r="F863" s="1166"/>
      <c r="L863" s="53"/>
      <c r="M863" s="1167"/>
      <c r="N863" s="53"/>
      <c r="O863" s="53"/>
      <c r="P863" s="53"/>
      <c r="Q863" s="1169"/>
      <c r="R863" s="1170"/>
    </row>
    <row r="864">
      <c r="B864" s="1165"/>
      <c r="F864" s="1166"/>
      <c r="L864" s="53"/>
      <c r="M864" s="1167"/>
      <c r="N864" s="53"/>
      <c r="O864" s="53"/>
      <c r="P864" s="53"/>
      <c r="Q864" s="1169"/>
      <c r="R864" s="1170"/>
    </row>
    <row r="865">
      <c r="B865" s="1165"/>
      <c r="F865" s="1166"/>
      <c r="L865" s="53"/>
      <c r="M865" s="1167"/>
      <c r="N865" s="53"/>
      <c r="O865" s="53"/>
      <c r="P865" s="53"/>
      <c r="Q865" s="1169"/>
      <c r="R865" s="1170"/>
    </row>
    <row r="866">
      <c r="B866" s="1165"/>
      <c r="F866" s="1166"/>
      <c r="L866" s="53"/>
      <c r="M866" s="1167"/>
      <c r="N866" s="53"/>
      <c r="O866" s="53"/>
      <c r="P866" s="53"/>
      <c r="Q866" s="1169"/>
      <c r="R866" s="1170"/>
    </row>
    <row r="867">
      <c r="B867" s="1165"/>
      <c r="F867" s="1166"/>
      <c r="L867" s="53"/>
      <c r="M867" s="1167"/>
      <c r="N867" s="53"/>
      <c r="O867" s="53"/>
      <c r="P867" s="53"/>
      <c r="Q867" s="1169"/>
      <c r="R867" s="1170"/>
    </row>
    <row r="868">
      <c r="B868" s="1165"/>
      <c r="F868" s="1166"/>
      <c r="L868" s="53"/>
      <c r="M868" s="1167"/>
      <c r="N868" s="53"/>
      <c r="O868" s="53"/>
      <c r="P868" s="53"/>
      <c r="Q868" s="1169"/>
      <c r="R868" s="1170"/>
    </row>
    <row r="869">
      <c r="B869" s="1165"/>
      <c r="F869" s="1166"/>
      <c r="L869" s="53"/>
      <c r="M869" s="1167"/>
      <c r="N869" s="53"/>
      <c r="O869" s="53"/>
      <c r="P869" s="53"/>
      <c r="Q869" s="1169"/>
      <c r="R869" s="1170"/>
    </row>
    <row r="870">
      <c r="B870" s="1165"/>
      <c r="F870" s="1166"/>
      <c r="L870" s="53"/>
      <c r="M870" s="1167"/>
      <c r="N870" s="53"/>
      <c r="O870" s="53"/>
      <c r="P870" s="53"/>
      <c r="Q870" s="1169"/>
      <c r="R870" s="1170"/>
    </row>
    <row r="871">
      <c r="B871" s="1165"/>
      <c r="F871" s="1166"/>
      <c r="L871" s="53"/>
      <c r="M871" s="1167"/>
      <c r="N871" s="53"/>
      <c r="O871" s="53"/>
      <c r="P871" s="53"/>
      <c r="Q871" s="1169"/>
      <c r="R871" s="1170"/>
    </row>
    <row r="872">
      <c r="B872" s="1165"/>
      <c r="F872" s="1166"/>
      <c r="L872" s="53"/>
      <c r="M872" s="1167"/>
      <c r="N872" s="53"/>
      <c r="O872" s="53"/>
      <c r="P872" s="53"/>
      <c r="Q872" s="1169"/>
      <c r="R872" s="1170"/>
    </row>
    <row r="873">
      <c r="B873" s="1165"/>
      <c r="F873" s="1166"/>
      <c r="L873" s="53"/>
      <c r="M873" s="1167"/>
      <c r="N873" s="53"/>
      <c r="O873" s="53"/>
      <c r="P873" s="53"/>
      <c r="Q873" s="1169"/>
      <c r="R873" s="1170"/>
    </row>
    <row r="874">
      <c r="B874" s="1165"/>
      <c r="F874" s="1166"/>
      <c r="L874" s="53"/>
      <c r="M874" s="1167"/>
      <c r="N874" s="53"/>
      <c r="O874" s="53"/>
      <c r="P874" s="53"/>
      <c r="Q874" s="1169"/>
      <c r="R874" s="1170"/>
    </row>
    <row r="875">
      <c r="B875" s="1165"/>
      <c r="F875" s="1166"/>
      <c r="L875" s="53"/>
      <c r="M875" s="1167"/>
      <c r="N875" s="53"/>
      <c r="O875" s="53"/>
      <c r="P875" s="53"/>
      <c r="Q875" s="1169"/>
      <c r="R875" s="1170"/>
    </row>
    <row r="876">
      <c r="B876" s="1165"/>
      <c r="F876" s="1166"/>
      <c r="L876" s="53"/>
      <c r="M876" s="1167"/>
      <c r="N876" s="53"/>
      <c r="O876" s="53"/>
      <c r="P876" s="53"/>
      <c r="Q876" s="1169"/>
      <c r="R876" s="1170"/>
    </row>
    <row r="877">
      <c r="B877" s="1165"/>
      <c r="F877" s="1166"/>
      <c r="L877" s="53"/>
      <c r="M877" s="1167"/>
      <c r="N877" s="53"/>
      <c r="O877" s="53"/>
      <c r="P877" s="53"/>
      <c r="Q877" s="1169"/>
      <c r="R877" s="1170"/>
    </row>
    <row r="878">
      <c r="B878" s="1165"/>
      <c r="F878" s="1166"/>
      <c r="L878" s="53"/>
      <c r="M878" s="1167"/>
      <c r="N878" s="53"/>
      <c r="O878" s="53"/>
      <c r="P878" s="53"/>
      <c r="Q878" s="1169"/>
      <c r="R878" s="1170"/>
    </row>
    <row r="879">
      <c r="B879" s="1165"/>
      <c r="F879" s="1166"/>
      <c r="L879" s="53"/>
      <c r="M879" s="1167"/>
      <c r="N879" s="53"/>
      <c r="O879" s="53"/>
      <c r="P879" s="53"/>
      <c r="Q879" s="1169"/>
      <c r="R879" s="1170"/>
    </row>
    <row r="880">
      <c r="B880" s="1165"/>
      <c r="F880" s="1166"/>
      <c r="L880" s="53"/>
      <c r="M880" s="1167"/>
      <c r="N880" s="53"/>
      <c r="O880" s="53"/>
      <c r="P880" s="53"/>
      <c r="Q880" s="1169"/>
      <c r="R880" s="1170"/>
    </row>
    <row r="881">
      <c r="B881" s="1165"/>
      <c r="F881" s="1166"/>
      <c r="L881" s="53"/>
      <c r="M881" s="1167"/>
      <c r="N881" s="53"/>
      <c r="O881" s="53"/>
      <c r="P881" s="53"/>
      <c r="Q881" s="1169"/>
      <c r="R881" s="1170"/>
    </row>
    <row r="882">
      <c r="B882" s="1165"/>
      <c r="F882" s="1166"/>
      <c r="L882" s="53"/>
      <c r="M882" s="1167"/>
      <c r="N882" s="53"/>
      <c r="O882" s="53"/>
      <c r="P882" s="53"/>
      <c r="Q882" s="1169"/>
      <c r="R882" s="1170"/>
    </row>
    <row r="883">
      <c r="B883" s="1165"/>
      <c r="F883" s="1166"/>
      <c r="L883" s="53"/>
      <c r="M883" s="1167"/>
      <c r="N883" s="53"/>
      <c r="O883" s="53"/>
      <c r="P883" s="53"/>
      <c r="Q883" s="1169"/>
      <c r="R883" s="1170"/>
    </row>
    <row r="884">
      <c r="B884" s="1165"/>
      <c r="F884" s="1166"/>
      <c r="L884" s="53"/>
      <c r="M884" s="1167"/>
      <c r="N884" s="53"/>
      <c r="O884" s="53"/>
      <c r="P884" s="53"/>
      <c r="Q884" s="1169"/>
      <c r="R884" s="1170"/>
    </row>
    <row r="885">
      <c r="B885" s="1165"/>
      <c r="F885" s="1166"/>
      <c r="L885" s="53"/>
      <c r="M885" s="1167"/>
      <c r="N885" s="53"/>
      <c r="O885" s="53"/>
      <c r="P885" s="53"/>
      <c r="Q885" s="1169"/>
      <c r="R885" s="1170"/>
    </row>
    <row r="886">
      <c r="B886" s="1165"/>
      <c r="F886" s="1166"/>
      <c r="L886" s="53"/>
      <c r="M886" s="1167"/>
      <c r="N886" s="53"/>
      <c r="O886" s="53"/>
      <c r="P886" s="53"/>
      <c r="Q886" s="1169"/>
      <c r="R886" s="1170"/>
    </row>
    <row r="887">
      <c r="B887" s="1165"/>
      <c r="F887" s="1166"/>
      <c r="L887" s="53"/>
      <c r="M887" s="1167"/>
      <c r="N887" s="53"/>
      <c r="O887" s="53"/>
      <c r="P887" s="53"/>
      <c r="Q887" s="1169"/>
      <c r="R887" s="1170"/>
    </row>
    <row r="888">
      <c r="B888" s="1165"/>
      <c r="F888" s="1166"/>
      <c r="L888" s="53"/>
      <c r="M888" s="1167"/>
      <c r="N888" s="53"/>
      <c r="O888" s="53"/>
      <c r="P888" s="53"/>
      <c r="Q888" s="1169"/>
      <c r="R888" s="1170"/>
    </row>
    <row r="889">
      <c r="B889" s="1165"/>
      <c r="F889" s="1166"/>
      <c r="L889" s="53"/>
      <c r="M889" s="1167"/>
      <c r="N889" s="53"/>
      <c r="O889" s="53"/>
      <c r="P889" s="53"/>
      <c r="Q889" s="1169"/>
      <c r="R889" s="1170"/>
    </row>
    <row r="890">
      <c r="B890" s="1165"/>
      <c r="F890" s="1166"/>
      <c r="L890" s="53"/>
      <c r="M890" s="1167"/>
      <c r="N890" s="53"/>
      <c r="O890" s="53"/>
      <c r="P890" s="53"/>
      <c r="Q890" s="1169"/>
      <c r="R890" s="1170"/>
    </row>
    <row r="891">
      <c r="B891" s="1165"/>
      <c r="F891" s="1166"/>
      <c r="L891" s="53"/>
      <c r="M891" s="1167"/>
      <c r="N891" s="53"/>
      <c r="O891" s="53"/>
      <c r="P891" s="53"/>
      <c r="Q891" s="1169"/>
      <c r="R891" s="1170"/>
    </row>
    <row r="892">
      <c r="B892" s="1165"/>
      <c r="F892" s="1166"/>
      <c r="L892" s="53"/>
      <c r="M892" s="1167"/>
      <c r="N892" s="53"/>
      <c r="O892" s="53"/>
      <c r="P892" s="53"/>
      <c r="Q892" s="1169"/>
      <c r="R892" s="1170"/>
    </row>
    <row r="893">
      <c r="B893" s="1165"/>
      <c r="F893" s="1166"/>
      <c r="L893" s="53"/>
      <c r="M893" s="1167"/>
      <c r="N893" s="53"/>
      <c r="O893" s="53"/>
      <c r="P893" s="53"/>
      <c r="Q893" s="1169"/>
      <c r="R893" s="1170"/>
    </row>
    <row r="894">
      <c r="B894" s="1165"/>
      <c r="F894" s="1166"/>
      <c r="L894" s="53"/>
      <c r="M894" s="1167"/>
      <c r="N894" s="53"/>
      <c r="O894" s="53"/>
      <c r="P894" s="53"/>
      <c r="Q894" s="1169"/>
      <c r="R894" s="1170"/>
    </row>
    <row r="895">
      <c r="B895" s="1165"/>
      <c r="F895" s="1166"/>
      <c r="L895" s="53"/>
      <c r="M895" s="1167"/>
      <c r="N895" s="53"/>
      <c r="O895" s="53"/>
      <c r="P895" s="53"/>
      <c r="Q895" s="1169"/>
      <c r="R895" s="1170"/>
    </row>
    <row r="896">
      <c r="B896" s="1165"/>
      <c r="F896" s="1166"/>
      <c r="L896" s="53"/>
      <c r="M896" s="1167"/>
      <c r="N896" s="53"/>
      <c r="O896" s="53"/>
      <c r="P896" s="53"/>
      <c r="Q896" s="1169"/>
      <c r="R896" s="1170"/>
    </row>
    <row r="897">
      <c r="B897" s="1165"/>
      <c r="F897" s="1166"/>
      <c r="L897" s="53"/>
      <c r="M897" s="1167"/>
      <c r="N897" s="53"/>
      <c r="O897" s="53"/>
      <c r="P897" s="53"/>
      <c r="Q897" s="1169"/>
      <c r="R897" s="1170"/>
    </row>
    <row r="898">
      <c r="B898" s="1165"/>
      <c r="F898" s="1166"/>
      <c r="L898" s="53"/>
      <c r="M898" s="1167"/>
      <c r="N898" s="53"/>
      <c r="O898" s="53"/>
      <c r="P898" s="53"/>
      <c r="Q898" s="1169"/>
      <c r="R898" s="1170"/>
    </row>
    <row r="899">
      <c r="B899" s="1165"/>
      <c r="F899" s="1166"/>
      <c r="L899" s="53"/>
      <c r="M899" s="1167"/>
      <c r="N899" s="53"/>
      <c r="O899" s="53"/>
      <c r="P899" s="53"/>
      <c r="Q899" s="1169"/>
      <c r="R899" s="1170"/>
    </row>
    <row r="900">
      <c r="B900" s="1165"/>
      <c r="F900" s="1166"/>
      <c r="L900" s="53"/>
      <c r="M900" s="1167"/>
      <c r="N900" s="53"/>
      <c r="O900" s="53"/>
      <c r="P900" s="53"/>
      <c r="Q900" s="1169"/>
      <c r="R900" s="1170"/>
    </row>
    <row r="901">
      <c r="B901" s="1165"/>
      <c r="F901" s="1166"/>
      <c r="L901" s="53"/>
      <c r="M901" s="1167"/>
      <c r="N901" s="53"/>
      <c r="O901" s="53"/>
      <c r="P901" s="53"/>
      <c r="Q901" s="1169"/>
      <c r="R901" s="1170"/>
    </row>
    <row r="902">
      <c r="B902" s="1165"/>
      <c r="F902" s="1166"/>
      <c r="L902" s="53"/>
      <c r="M902" s="1167"/>
      <c r="N902" s="53"/>
      <c r="O902" s="53"/>
      <c r="P902" s="53"/>
      <c r="Q902" s="1169"/>
      <c r="R902" s="1170"/>
    </row>
    <row r="903">
      <c r="B903" s="1165"/>
      <c r="F903" s="1166"/>
      <c r="L903" s="53"/>
      <c r="M903" s="1167"/>
      <c r="N903" s="53"/>
      <c r="O903" s="53"/>
      <c r="P903" s="53"/>
      <c r="Q903" s="1169"/>
      <c r="R903" s="1170"/>
    </row>
    <row r="904">
      <c r="B904" s="1165"/>
      <c r="F904" s="1166"/>
      <c r="L904" s="53"/>
      <c r="M904" s="1167"/>
      <c r="N904" s="53"/>
      <c r="O904" s="53"/>
      <c r="P904" s="53"/>
      <c r="Q904" s="1169"/>
      <c r="R904" s="1170"/>
    </row>
    <row r="905">
      <c r="B905" s="1165"/>
      <c r="F905" s="1166"/>
      <c r="L905" s="53"/>
      <c r="M905" s="1167"/>
      <c r="N905" s="53"/>
      <c r="O905" s="53"/>
      <c r="P905" s="53"/>
      <c r="Q905" s="1169"/>
      <c r="R905" s="1170"/>
    </row>
    <row r="906">
      <c r="B906" s="1165"/>
      <c r="F906" s="1166"/>
      <c r="L906" s="53"/>
      <c r="M906" s="1167"/>
      <c r="N906" s="53"/>
      <c r="O906" s="53"/>
      <c r="P906" s="53"/>
      <c r="Q906" s="1169"/>
      <c r="R906" s="1170"/>
    </row>
    <row r="907">
      <c r="B907" s="1165"/>
      <c r="F907" s="1166"/>
      <c r="L907" s="53"/>
      <c r="M907" s="1167"/>
      <c r="N907" s="53"/>
      <c r="O907" s="53"/>
      <c r="P907" s="53"/>
      <c r="Q907" s="1169"/>
      <c r="R907" s="1170"/>
    </row>
    <row r="908">
      <c r="B908" s="1165"/>
      <c r="F908" s="1166"/>
      <c r="L908" s="53"/>
      <c r="M908" s="1167"/>
      <c r="N908" s="53"/>
      <c r="O908" s="53"/>
      <c r="P908" s="53"/>
      <c r="Q908" s="1169"/>
      <c r="R908" s="1170"/>
    </row>
    <row r="909">
      <c r="B909" s="1165"/>
      <c r="F909" s="1166"/>
      <c r="L909" s="53"/>
      <c r="M909" s="1167"/>
      <c r="N909" s="53"/>
      <c r="O909" s="53"/>
      <c r="P909" s="53"/>
      <c r="Q909" s="1169"/>
      <c r="R909" s="1170"/>
    </row>
    <row r="910">
      <c r="B910" s="1165"/>
      <c r="F910" s="1166"/>
      <c r="L910" s="53"/>
      <c r="M910" s="1167"/>
      <c r="N910" s="53"/>
      <c r="O910" s="53"/>
      <c r="P910" s="53"/>
      <c r="Q910" s="1169"/>
      <c r="R910" s="1170"/>
    </row>
    <row r="911">
      <c r="B911" s="1165"/>
      <c r="F911" s="1166"/>
      <c r="L911" s="53"/>
      <c r="M911" s="1167"/>
      <c r="N911" s="53"/>
      <c r="O911" s="53"/>
      <c r="P911" s="53"/>
      <c r="Q911" s="1169"/>
      <c r="R911" s="1170"/>
    </row>
    <row r="912">
      <c r="B912" s="1165"/>
      <c r="F912" s="1166"/>
      <c r="L912" s="53"/>
      <c r="M912" s="1167"/>
      <c r="N912" s="53"/>
      <c r="O912" s="53"/>
      <c r="P912" s="53"/>
      <c r="Q912" s="1169"/>
      <c r="R912" s="1170"/>
    </row>
    <row r="913">
      <c r="B913" s="1165"/>
      <c r="F913" s="1166"/>
      <c r="L913" s="53"/>
      <c r="M913" s="1167"/>
      <c r="N913" s="53"/>
      <c r="O913" s="53"/>
      <c r="P913" s="53"/>
      <c r="Q913" s="1169"/>
      <c r="R913" s="1170"/>
    </row>
    <row r="914">
      <c r="B914" s="1165"/>
      <c r="F914" s="1166"/>
      <c r="L914" s="53"/>
      <c r="M914" s="1167"/>
      <c r="N914" s="53"/>
      <c r="O914" s="53"/>
      <c r="P914" s="53"/>
      <c r="Q914" s="1169"/>
      <c r="R914" s="1170"/>
    </row>
    <row r="915">
      <c r="B915" s="1165"/>
      <c r="F915" s="1166"/>
      <c r="L915" s="53"/>
      <c r="M915" s="1167"/>
      <c r="N915" s="53"/>
      <c r="O915" s="53"/>
      <c r="P915" s="53"/>
      <c r="Q915" s="1169"/>
      <c r="R915" s="1170"/>
    </row>
    <row r="916">
      <c r="B916" s="1165"/>
      <c r="F916" s="1166"/>
      <c r="L916" s="53"/>
      <c r="M916" s="1167"/>
      <c r="N916" s="53"/>
      <c r="O916" s="53"/>
      <c r="P916" s="53"/>
      <c r="Q916" s="1169"/>
      <c r="R916" s="1170"/>
    </row>
    <row r="917">
      <c r="B917" s="1165"/>
      <c r="F917" s="1166"/>
      <c r="L917" s="53"/>
      <c r="M917" s="1167"/>
      <c r="N917" s="53"/>
      <c r="O917" s="53"/>
      <c r="P917" s="53"/>
      <c r="Q917" s="1169"/>
      <c r="R917" s="1170"/>
    </row>
    <row r="918">
      <c r="B918" s="1165"/>
      <c r="F918" s="1166"/>
      <c r="L918" s="53"/>
      <c r="M918" s="1167"/>
      <c r="N918" s="53"/>
      <c r="O918" s="53"/>
      <c r="P918" s="53"/>
      <c r="Q918" s="1169"/>
      <c r="R918" s="1170"/>
    </row>
    <row r="919">
      <c r="B919" s="1165"/>
      <c r="F919" s="1166"/>
      <c r="L919" s="53"/>
      <c r="M919" s="1167"/>
      <c r="N919" s="53"/>
      <c r="O919" s="53"/>
      <c r="P919" s="53"/>
      <c r="Q919" s="1169"/>
      <c r="R919" s="1170"/>
    </row>
    <row r="920">
      <c r="B920" s="1165"/>
      <c r="F920" s="1166"/>
      <c r="L920" s="53"/>
      <c r="M920" s="1167"/>
      <c r="N920" s="53"/>
      <c r="O920" s="53"/>
      <c r="P920" s="53"/>
      <c r="Q920" s="1169"/>
      <c r="R920" s="1170"/>
    </row>
    <row r="921">
      <c r="B921" s="1165"/>
      <c r="F921" s="1166"/>
      <c r="L921" s="53"/>
      <c r="M921" s="1167"/>
      <c r="N921" s="53"/>
      <c r="O921" s="53"/>
      <c r="P921" s="53"/>
      <c r="Q921" s="1169"/>
      <c r="R921" s="1170"/>
    </row>
    <row r="922">
      <c r="B922" s="1165"/>
      <c r="F922" s="1166"/>
      <c r="L922" s="53"/>
      <c r="M922" s="1167"/>
      <c r="N922" s="53"/>
      <c r="O922" s="53"/>
      <c r="P922" s="53"/>
      <c r="Q922" s="1169"/>
      <c r="R922" s="1170"/>
    </row>
    <row r="923">
      <c r="B923" s="1165"/>
      <c r="F923" s="1166"/>
      <c r="L923" s="53"/>
      <c r="M923" s="1167"/>
      <c r="N923" s="53"/>
      <c r="O923" s="53"/>
      <c r="P923" s="53"/>
      <c r="Q923" s="1169"/>
      <c r="R923" s="1170"/>
    </row>
    <row r="924">
      <c r="B924" s="1165"/>
      <c r="F924" s="1166"/>
      <c r="L924" s="53"/>
      <c r="M924" s="1167"/>
      <c r="N924" s="53"/>
      <c r="O924" s="53"/>
      <c r="P924" s="53"/>
      <c r="Q924" s="1169"/>
      <c r="R924" s="1170"/>
    </row>
    <row r="925">
      <c r="B925" s="1165"/>
      <c r="F925" s="1166"/>
      <c r="L925" s="53"/>
      <c r="M925" s="1167"/>
      <c r="N925" s="53"/>
      <c r="O925" s="53"/>
      <c r="P925" s="53"/>
      <c r="Q925" s="1169"/>
      <c r="R925" s="1170"/>
    </row>
    <row r="926">
      <c r="B926" s="1165"/>
      <c r="F926" s="1166"/>
      <c r="L926" s="53"/>
      <c r="M926" s="1167"/>
      <c r="N926" s="53"/>
      <c r="O926" s="53"/>
      <c r="P926" s="53"/>
      <c r="Q926" s="1169"/>
      <c r="R926" s="1170"/>
    </row>
    <row r="927">
      <c r="B927" s="1165"/>
      <c r="F927" s="1166"/>
      <c r="L927" s="53"/>
      <c r="M927" s="1167"/>
      <c r="N927" s="53"/>
      <c r="O927" s="53"/>
      <c r="P927" s="53"/>
      <c r="Q927" s="1169"/>
      <c r="R927" s="1170"/>
    </row>
    <row r="928">
      <c r="B928" s="1165"/>
      <c r="F928" s="1166"/>
      <c r="L928" s="53"/>
      <c r="M928" s="1167"/>
      <c r="N928" s="53"/>
      <c r="O928" s="53"/>
      <c r="P928" s="53"/>
      <c r="Q928" s="1169"/>
      <c r="R928" s="1170"/>
    </row>
    <row r="929">
      <c r="B929" s="1165"/>
      <c r="F929" s="1166"/>
      <c r="L929" s="53"/>
      <c r="M929" s="1167"/>
      <c r="N929" s="53"/>
      <c r="O929" s="53"/>
      <c r="P929" s="53"/>
      <c r="Q929" s="1169"/>
      <c r="R929" s="1170"/>
    </row>
    <row r="930">
      <c r="B930" s="1165"/>
      <c r="F930" s="1166"/>
      <c r="L930" s="53"/>
      <c r="M930" s="1167"/>
      <c r="N930" s="53"/>
      <c r="O930" s="53"/>
      <c r="P930" s="53"/>
      <c r="Q930" s="1169"/>
      <c r="R930" s="1170"/>
    </row>
    <row r="931">
      <c r="B931" s="1165"/>
      <c r="F931" s="1166"/>
      <c r="L931" s="53"/>
      <c r="M931" s="1167"/>
      <c r="N931" s="53"/>
      <c r="O931" s="53"/>
      <c r="P931" s="53"/>
      <c r="Q931" s="1169"/>
      <c r="R931" s="1170"/>
    </row>
    <row r="932">
      <c r="B932" s="1165"/>
      <c r="F932" s="1166"/>
      <c r="L932" s="53"/>
      <c r="M932" s="1167"/>
      <c r="N932" s="53"/>
      <c r="O932" s="53"/>
      <c r="P932" s="53"/>
      <c r="Q932" s="1169"/>
      <c r="R932" s="1170"/>
    </row>
    <row r="933">
      <c r="B933" s="1165"/>
      <c r="F933" s="1166"/>
      <c r="L933" s="53"/>
      <c r="M933" s="1167"/>
      <c r="N933" s="53"/>
      <c r="O933" s="53"/>
      <c r="P933" s="53"/>
      <c r="Q933" s="1169"/>
      <c r="R933" s="1170"/>
    </row>
    <row r="934">
      <c r="B934" s="1165"/>
      <c r="F934" s="1166"/>
      <c r="L934" s="53"/>
      <c r="M934" s="1167"/>
      <c r="N934" s="53"/>
      <c r="O934" s="53"/>
      <c r="P934" s="53"/>
      <c r="Q934" s="1169"/>
      <c r="R934" s="1170"/>
    </row>
    <row r="935">
      <c r="B935" s="1165"/>
      <c r="F935" s="1166"/>
      <c r="L935" s="53"/>
      <c r="M935" s="1167"/>
      <c r="N935" s="53"/>
      <c r="O935" s="53"/>
      <c r="P935" s="53"/>
      <c r="Q935" s="1169"/>
      <c r="R935" s="1170"/>
    </row>
    <row r="936">
      <c r="B936" s="1165"/>
      <c r="F936" s="1166"/>
      <c r="L936" s="53"/>
      <c r="M936" s="1167"/>
      <c r="N936" s="53"/>
      <c r="O936" s="53"/>
      <c r="P936" s="53"/>
      <c r="Q936" s="1169"/>
      <c r="R936" s="1170"/>
    </row>
    <row r="937">
      <c r="B937" s="1165"/>
      <c r="F937" s="1166"/>
      <c r="L937" s="53"/>
      <c r="M937" s="1167"/>
      <c r="N937" s="53"/>
      <c r="O937" s="53"/>
      <c r="P937" s="53"/>
      <c r="Q937" s="1169"/>
      <c r="R937" s="1170"/>
    </row>
    <row r="938">
      <c r="B938" s="1165"/>
      <c r="F938" s="1166"/>
      <c r="L938" s="53"/>
      <c r="M938" s="1167"/>
      <c r="N938" s="53"/>
      <c r="O938" s="53"/>
      <c r="P938" s="53"/>
      <c r="Q938" s="1169"/>
      <c r="R938" s="1170"/>
    </row>
    <row r="939">
      <c r="B939" s="1165"/>
      <c r="F939" s="1166"/>
      <c r="L939" s="53"/>
      <c r="M939" s="1167"/>
      <c r="N939" s="53"/>
      <c r="O939" s="53"/>
      <c r="P939" s="53"/>
      <c r="Q939" s="1169"/>
      <c r="R939" s="1170"/>
    </row>
    <row r="940">
      <c r="B940" s="1165"/>
      <c r="F940" s="1166"/>
      <c r="L940" s="53"/>
      <c r="M940" s="1167"/>
      <c r="N940" s="53"/>
      <c r="O940" s="53"/>
      <c r="P940" s="53"/>
      <c r="Q940" s="1169"/>
      <c r="R940" s="1170"/>
    </row>
    <row r="941">
      <c r="B941" s="1165"/>
      <c r="F941" s="1166"/>
      <c r="L941" s="53"/>
      <c r="M941" s="1167"/>
      <c r="N941" s="53"/>
      <c r="O941" s="53"/>
      <c r="P941" s="53"/>
      <c r="Q941" s="1169"/>
      <c r="R941" s="1170"/>
    </row>
    <row r="942">
      <c r="B942" s="1165"/>
      <c r="F942" s="1166"/>
      <c r="L942" s="53"/>
      <c r="M942" s="1167"/>
      <c r="N942" s="53"/>
      <c r="O942" s="53"/>
      <c r="P942" s="53"/>
      <c r="Q942" s="1169"/>
      <c r="R942" s="1170"/>
    </row>
    <row r="943">
      <c r="B943" s="1165"/>
      <c r="F943" s="1166"/>
      <c r="L943" s="53"/>
      <c r="M943" s="1167"/>
      <c r="N943" s="53"/>
      <c r="O943" s="53"/>
      <c r="P943" s="53"/>
      <c r="Q943" s="1169"/>
      <c r="R943" s="1170"/>
    </row>
    <row r="944">
      <c r="B944" s="1165"/>
      <c r="F944" s="1166"/>
      <c r="L944" s="53"/>
      <c r="M944" s="1167"/>
      <c r="N944" s="53"/>
      <c r="O944" s="53"/>
      <c r="P944" s="53"/>
      <c r="Q944" s="1169"/>
      <c r="R944" s="1170"/>
    </row>
    <row r="945">
      <c r="B945" s="1165"/>
      <c r="F945" s="1166"/>
      <c r="L945" s="53"/>
      <c r="M945" s="1167"/>
      <c r="N945" s="53"/>
      <c r="O945" s="53"/>
      <c r="P945" s="53"/>
      <c r="Q945" s="1169"/>
      <c r="R945" s="1170"/>
    </row>
    <row r="946">
      <c r="B946" s="1165"/>
      <c r="F946" s="1166"/>
      <c r="L946" s="53"/>
      <c r="M946" s="1167"/>
      <c r="N946" s="53"/>
      <c r="O946" s="53"/>
      <c r="P946" s="53"/>
      <c r="Q946" s="1169"/>
      <c r="R946" s="1170"/>
    </row>
    <row r="947">
      <c r="B947" s="1165"/>
      <c r="F947" s="1166"/>
      <c r="L947" s="53"/>
      <c r="M947" s="1167"/>
      <c r="N947" s="53"/>
      <c r="O947" s="53"/>
      <c r="P947" s="53"/>
      <c r="Q947" s="1169"/>
      <c r="R947" s="1170"/>
    </row>
    <row r="948">
      <c r="B948" s="1165"/>
      <c r="F948" s="1166"/>
      <c r="L948" s="53"/>
      <c r="M948" s="1167"/>
      <c r="N948" s="53"/>
      <c r="O948" s="53"/>
      <c r="P948" s="53"/>
      <c r="Q948" s="1169"/>
      <c r="R948" s="1170"/>
    </row>
    <row r="949">
      <c r="B949" s="1165"/>
      <c r="F949" s="1166"/>
      <c r="L949" s="53"/>
      <c r="M949" s="1167"/>
      <c r="N949" s="53"/>
      <c r="O949" s="53"/>
      <c r="P949" s="53"/>
      <c r="Q949" s="1169"/>
      <c r="R949" s="1170"/>
    </row>
    <row r="950">
      <c r="B950" s="1165"/>
      <c r="F950" s="1166"/>
      <c r="L950" s="53"/>
      <c r="M950" s="1167"/>
      <c r="N950" s="53"/>
      <c r="O950" s="53"/>
      <c r="P950" s="53"/>
      <c r="Q950" s="1169"/>
      <c r="R950" s="1170"/>
    </row>
    <row r="951">
      <c r="B951" s="1165"/>
      <c r="F951" s="1166"/>
      <c r="L951" s="53"/>
      <c r="M951" s="1167"/>
      <c r="N951" s="53"/>
      <c r="O951" s="53"/>
      <c r="P951" s="53"/>
      <c r="Q951" s="1169"/>
      <c r="R951" s="1170"/>
    </row>
    <row r="952">
      <c r="B952" s="1165"/>
      <c r="F952" s="1166"/>
      <c r="L952" s="53"/>
      <c r="M952" s="1167"/>
      <c r="N952" s="53"/>
      <c r="O952" s="53"/>
      <c r="P952" s="53"/>
      <c r="Q952" s="1169"/>
      <c r="R952" s="1170"/>
    </row>
    <row r="953">
      <c r="B953" s="1165"/>
      <c r="F953" s="1166"/>
      <c r="L953" s="53"/>
      <c r="M953" s="1167"/>
      <c r="N953" s="53"/>
      <c r="O953" s="53"/>
      <c r="P953" s="53"/>
      <c r="Q953" s="1169"/>
      <c r="R953" s="1170"/>
    </row>
    <row r="954">
      <c r="B954" s="1165"/>
      <c r="F954" s="1166"/>
      <c r="L954" s="53"/>
      <c r="M954" s="1167"/>
      <c r="N954" s="53"/>
      <c r="O954" s="53"/>
      <c r="P954" s="53"/>
      <c r="Q954" s="1169"/>
      <c r="R954" s="1170"/>
    </row>
    <row r="955">
      <c r="B955" s="1165"/>
      <c r="F955" s="1166"/>
      <c r="L955" s="53"/>
      <c r="M955" s="1167"/>
      <c r="N955" s="53"/>
      <c r="O955" s="53"/>
      <c r="P955" s="53"/>
      <c r="Q955" s="1169"/>
      <c r="R955" s="1170"/>
    </row>
    <row r="956">
      <c r="B956" s="1165"/>
      <c r="F956" s="1166"/>
      <c r="L956" s="53"/>
      <c r="M956" s="1167"/>
      <c r="N956" s="53"/>
      <c r="O956" s="53"/>
      <c r="P956" s="53"/>
      <c r="Q956" s="1169"/>
      <c r="R956" s="1170"/>
    </row>
    <row r="957">
      <c r="B957" s="1165"/>
      <c r="F957" s="1166"/>
      <c r="L957" s="53"/>
      <c r="M957" s="1167"/>
      <c r="N957" s="53"/>
      <c r="O957" s="53"/>
      <c r="P957" s="53"/>
      <c r="Q957" s="1169"/>
      <c r="R957" s="1170"/>
    </row>
    <row r="958">
      <c r="B958" s="1165"/>
      <c r="F958" s="1166"/>
      <c r="L958" s="53"/>
      <c r="M958" s="1167"/>
      <c r="N958" s="53"/>
      <c r="O958" s="53"/>
      <c r="P958" s="53"/>
      <c r="Q958" s="1169"/>
      <c r="R958" s="1170"/>
    </row>
    <row r="959">
      <c r="B959" s="1165"/>
      <c r="F959" s="1166"/>
      <c r="L959" s="53"/>
      <c r="M959" s="1167"/>
      <c r="N959" s="53"/>
      <c r="O959" s="53"/>
      <c r="P959" s="53"/>
      <c r="Q959" s="1169"/>
      <c r="R959" s="1170"/>
    </row>
    <row r="960">
      <c r="B960" s="1165"/>
      <c r="F960" s="1166"/>
      <c r="L960" s="53"/>
      <c r="M960" s="1167"/>
      <c r="N960" s="53"/>
      <c r="O960" s="53"/>
      <c r="P960" s="53"/>
      <c r="Q960" s="1169"/>
      <c r="R960" s="1170"/>
    </row>
    <row r="961">
      <c r="B961" s="1165"/>
      <c r="F961" s="1166"/>
      <c r="L961" s="53"/>
      <c r="M961" s="1167"/>
      <c r="N961" s="53"/>
      <c r="O961" s="53"/>
      <c r="P961" s="53"/>
      <c r="Q961" s="1169"/>
      <c r="R961" s="1170"/>
    </row>
    <row r="962">
      <c r="B962" s="1165"/>
      <c r="F962" s="1166"/>
      <c r="L962" s="53"/>
      <c r="M962" s="1167"/>
      <c r="N962" s="53"/>
      <c r="O962" s="53"/>
      <c r="P962" s="53"/>
      <c r="Q962" s="1169"/>
      <c r="R962" s="1170"/>
    </row>
    <row r="963">
      <c r="B963" s="1165"/>
      <c r="F963" s="1166"/>
      <c r="L963" s="53"/>
      <c r="M963" s="1167"/>
      <c r="N963" s="53"/>
      <c r="O963" s="53"/>
      <c r="P963" s="53"/>
      <c r="Q963" s="1169"/>
      <c r="R963" s="1170"/>
    </row>
    <row r="964">
      <c r="B964" s="1165"/>
      <c r="F964" s="1166"/>
      <c r="L964" s="53"/>
      <c r="M964" s="1167"/>
      <c r="N964" s="53"/>
      <c r="O964" s="53"/>
      <c r="P964" s="53"/>
      <c r="Q964" s="1169"/>
      <c r="R964" s="1170"/>
    </row>
    <row r="965">
      <c r="B965" s="1165"/>
      <c r="F965" s="1166"/>
      <c r="L965" s="53"/>
      <c r="M965" s="1167"/>
      <c r="N965" s="53"/>
      <c r="O965" s="53"/>
      <c r="P965" s="53"/>
      <c r="Q965" s="1169"/>
      <c r="R965" s="1170"/>
    </row>
    <row r="966">
      <c r="B966" s="1165"/>
      <c r="F966" s="1166"/>
      <c r="L966" s="53"/>
      <c r="M966" s="1167"/>
      <c r="N966" s="53"/>
      <c r="O966" s="53"/>
      <c r="P966" s="53"/>
      <c r="Q966" s="1169"/>
      <c r="R966" s="1170"/>
    </row>
    <row r="967">
      <c r="B967" s="1165"/>
      <c r="F967" s="1166"/>
      <c r="L967" s="53"/>
      <c r="M967" s="1167"/>
      <c r="N967" s="53"/>
      <c r="O967" s="53"/>
      <c r="P967" s="53"/>
      <c r="Q967" s="1169"/>
      <c r="R967" s="1170"/>
    </row>
    <row r="968">
      <c r="B968" s="1165"/>
      <c r="F968" s="1166"/>
      <c r="L968" s="53"/>
      <c r="M968" s="1167"/>
      <c r="N968" s="53"/>
      <c r="O968" s="53"/>
      <c r="P968" s="53"/>
      <c r="Q968" s="1169"/>
      <c r="R968" s="1170"/>
    </row>
    <row r="969">
      <c r="B969" s="1165"/>
      <c r="F969" s="1166"/>
      <c r="L969" s="53"/>
      <c r="M969" s="1167"/>
      <c r="N969" s="53"/>
      <c r="O969" s="53"/>
      <c r="P969" s="53"/>
      <c r="Q969" s="1169"/>
      <c r="R969" s="1170"/>
    </row>
    <row r="970">
      <c r="B970" s="1165"/>
      <c r="F970" s="1166"/>
      <c r="L970" s="53"/>
      <c r="M970" s="1167"/>
      <c r="N970" s="53"/>
      <c r="O970" s="53"/>
      <c r="P970" s="53"/>
      <c r="Q970" s="1169"/>
      <c r="R970" s="1170"/>
    </row>
    <row r="971">
      <c r="B971" s="1165"/>
      <c r="F971" s="1166"/>
      <c r="L971" s="53"/>
      <c r="M971" s="1167"/>
      <c r="N971" s="53"/>
      <c r="O971" s="53"/>
      <c r="P971" s="53"/>
      <c r="Q971" s="1169"/>
      <c r="R971" s="1170"/>
    </row>
    <row r="972">
      <c r="B972" s="1165"/>
      <c r="F972" s="1166"/>
      <c r="L972" s="53"/>
      <c r="M972" s="1167"/>
      <c r="N972" s="53"/>
      <c r="O972" s="53"/>
      <c r="P972" s="53"/>
      <c r="Q972" s="1169"/>
      <c r="R972" s="1170"/>
    </row>
    <row r="973">
      <c r="B973" s="1165"/>
      <c r="F973" s="1166"/>
      <c r="L973" s="53"/>
      <c r="M973" s="1167"/>
      <c r="N973" s="53"/>
      <c r="O973" s="53"/>
      <c r="P973" s="53"/>
      <c r="Q973" s="1169"/>
      <c r="R973" s="1170"/>
    </row>
    <row r="974">
      <c r="B974" s="1165"/>
      <c r="F974" s="1166"/>
      <c r="L974" s="53"/>
      <c r="M974" s="1167"/>
      <c r="N974" s="53"/>
      <c r="O974" s="53"/>
      <c r="P974" s="53"/>
      <c r="Q974" s="1169"/>
      <c r="R974" s="1170"/>
    </row>
    <row r="975">
      <c r="B975" s="1165"/>
      <c r="F975" s="1166"/>
      <c r="L975" s="53"/>
      <c r="M975" s="1167"/>
      <c r="N975" s="53"/>
      <c r="O975" s="53"/>
      <c r="P975" s="53"/>
      <c r="Q975" s="1169"/>
      <c r="R975" s="1170"/>
    </row>
    <row r="976">
      <c r="B976" s="1165"/>
      <c r="F976" s="1166"/>
      <c r="L976" s="53"/>
      <c r="M976" s="1167"/>
      <c r="N976" s="53"/>
      <c r="O976" s="53"/>
      <c r="P976" s="53"/>
      <c r="Q976" s="1169"/>
      <c r="R976" s="1170"/>
    </row>
    <row r="977">
      <c r="B977" s="1165"/>
      <c r="F977" s="1166"/>
      <c r="L977" s="53"/>
      <c r="M977" s="1167"/>
      <c r="N977" s="53"/>
      <c r="O977" s="53"/>
      <c r="P977" s="53"/>
      <c r="Q977" s="1169"/>
      <c r="R977" s="1170"/>
    </row>
    <row r="978">
      <c r="B978" s="1165"/>
      <c r="F978" s="1166"/>
      <c r="L978" s="53"/>
      <c r="M978" s="1167"/>
      <c r="N978" s="53"/>
      <c r="O978" s="53"/>
      <c r="P978" s="53"/>
      <c r="Q978" s="1169"/>
      <c r="R978" s="1170"/>
    </row>
    <row r="979">
      <c r="B979" s="1165"/>
      <c r="F979" s="1166"/>
      <c r="L979" s="53"/>
      <c r="M979" s="1167"/>
      <c r="N979" s="53"/>
      <c r="O979" s="53"/>
      <c r="P979" s="53"/>
      <c r="Q979" s="1169"/>
      <c r="R979" s="1170"/>
    </row>
    <row r="980">
      <c r="B980" s="1165"/>
      <c r="F980" s="1166"/>
      <c r="L980" s="53"/>
      <c r="M980" s="1167"/>
      <c r="N980" s="53"/>
      <c r="O980" s="53"/>
      <c r="P980" s="53"/>
      <c r="Q980" s="1169"/>
      <c r="R980" s="1170"/>
    </row>
    <row r="981">
      <c r="B981" s="1165"/>
      <c r="F981" s="1166"/>
      <c r="L981" s="53"/>
      <c r="M981" s="1167"/>
      <c r="N981" s="53"/>
      <c r="O981" s="53"/>
      <c r="P981" s="53"/>
      <c r="Q981" s="1169"/>
      <c r="R981" s="1170"/>
    </row>
    <row r="982">
      <c r="B982" s="1165"/>
      <c r="F982" s="1166"/>
      <c r="L982" s="53"/>
      <c r="M982" s="1167"/>
      <c r="N982" s="53"/>
      <c r="O982" s="53"/>
      <c r="P982" s="53"/>
      <c r="Q982" s="1169"/>
      <c r="R982" s="1170"/>
    </row>
    <row r="983">
      <c r="B983" s="1165"/>
      <c r="F983" s="1166"/>
      <c r="L983" s="53"/>
      <c r="M983" s="1167"/>
      <c r="N983" s="53"/>
      <c r="O983" s="53"/>
      <c r="P983" s="53"/>
      <c r="Q983" s="1169"/>
      <c r="R983" s="1170"/>
    </row>
    <row r="984">
      <c r="B984" s="1165"/>
      <c r="F984" s="1166"/>
      <c r="L984" s="53"/>
      <c r="M984" s="1167"/>
      <c r="N984" s="53"/>
      <c r="O984" s="53"/>
      <c r="P984" s="53"/>
      <c r="Q984" s="1169"/>
      <c r="R984" s="1170"/>
    </row>
    <row r="985">
      <c r="B985" s="1165"/>
      <c r="F985" s="1166"/>
      <c r="L985" s="53"/>
      <c r="M985" s="1167"/>
      <c r="N985" s="53"/>
      <c r="O985" s="53"/>
      <c r="P985" s="53"/>
      <c r="Q985" s="1169"/>
      <c r="R985" s="1170"/>
    </row>
    <row r="986">
      <c r="B986" s="1165"/>
      <c r="F986" s="1166"/>
      <c r="L986" s="53"/>
      <c r="M986" s="1167"/>
      <c r="N986" s="53"/>
      <c r="O986" s="53"/>
      <c r="P986" s="53"/>
      <c r="Q986" s="1169"/>
      <c r="R986" s="1170"/>
    </row>
    <row r="987">
      <c r="B987" s="1165"/>
      <c r="F987" s="1166"/>
      <c r="L987" s="53"/>
      <c r="M987" s="1167"/>
      <c r="N987" s="53"/>
      <c r="O987" s="53"/>
      <c r="P987" s="53"/>
      <c r="Q987" s="1169"/>
      <c r="R987" s="1170"/>
    </row>
    <row r="988">
      <c r="B988" s="1165"/>
      <c r="F988" s="1166"/>
      <c r="L988" s="53"/>
      <c r="M988" s="1167"/>
      <c r="N988" s="53"/>
      <c r="O988" s="53"/>
      <c r="P988" s="53"/>
      <c r="Q988" s="1169"/>
      <c r="R988" s="1170"/>
    </row>
    <row r="989">
      <c r="B989" s="1165"/>
      <c r="F989" s="1166"/>
      <c r="L989" s="53"/>
      <c r="M989" s="1167"/>
      <c r="N989" s="53"/>
      <c r="O989" s="53"/>
      <c r="P989" s="53"/>
      <c r="Q989" s="1169"/>
      <c r="R989" s="1170"/>
    </row>
    <row r="990">
      <c r="B990" s="1165"/>
      <c r="F990" s="1166"/>
      <c r="L990" s="53"/>
      <c r="M990" s="1167"/>
      <c r="N990" s="53"/>
      <c r="O990" s="53"/>
      <c r="P990" s="53"/>
      <c r="Q990" s="1169"/>
      <c r="R990" s="1170"/>
    </row>
    <row r="991">
      <c r="B991" s="1165"/>
      <c r="F991" s="1166"/>
      <c r="L991" s="53"/>
      <c r="M991" s="1167"/>
      <c r="N991" s="53"/>
      <c r="O991" s="53"/>
      <c r="P991" s="53"/>
      <c r="Q991" s="1169"/>
      <c r="R991" s="1170"/>
    </row>
    <row r="992">
      <c r="B992" s="1165"/>
      <c r="F992" s="1166"/>
      <c r="L992" s="53"/>
      <c r="M992" s="1167"/>
      <c r="N992" s="53"/>
      <c r="O992" s="53"/>
      <c r="P992" s="53"/>
      <c r="Q992" s="1169"/>
      <c r="R992" s="1170"/>
    </row>
    <row r="993">
      <c r="B993" s="1165"/>
      <c r="F993" s="1166"/>
      <c r="L993" s="53"/>
      <c r="M993" s="1167"/>
      <c r="N993" s="53"/>
      <c r="O993" s="53"/>
      <c r="P993" s="53"/>
      <c r="Q993" s="1169"/>
      <c r="R993" s="1170"/>
    </row>
    <row r="994">
      <c r="B994" s="1165"/>
      <c r="F994" s="1166"/>
      <c r="L994" s="53"/>
      <c r="M994" s="1167"/>
      <c r="N994" s="53"/>
      <c r="O994" s="53"/>
      <c r="P994" s="53"/>
      <c r="Q994" s="1169"/>
      <c r="R994" s="1170"/>
    </row>
    <row r="995">
      <c r="B995" s="1165"/>
      <c r="F995" s="1166"/>
      <c r="L995" s="53"/>
      <c r="M995" s="1167"/>
      <c r="N995" s="53"/>
      <c r="O995" s="53"/>
      <c r="P995" s="53"/>
      <c r="Q995" s="1169"/>
      <c r="R995" s="1170"/>
    </row>
    <row r="996">
      <c r="B996" s="1165"/>
      <c r="F996" s="1166"/>
      <c r="L996" s="53"/>
      <c r="M996" s="1167"/>
      <c r="N996" s="53"/>
      <c r="O996" s="53"/>
      <c r="P996" s="53"/>
      <c r="Q996" s="1169"/>
      <c r="R996" s="1170"/>
    </row>
    <row r="997">
      <c r="B997" s="1165"/>
      <c r="F997" s="1166"/>
      <c r="L997" s="53"/>
      <c r="M997" s="1167"/>
      <c r="N997" s="53"/>
      <c r="O997" s="53"/>
      <c r="P997" s="53"/>
      <c r="Q997" s="1169"/>
      <c r="R997" s="1170"/>
    </row>
    <row r="998">
      <c r="B998" s="1165"/>
      <c r="F998" s="1166"/>
      <c r="L998" s="53"/>
      <c r="M998" s="1167"/>
      <c r="N998" s="53"/>
      <c r="O998" s="53"/>
      <c r="P998" s="53"/>
      <c r="Q998" s="1169"/>
      <c r="R998" s="1170"/>
    </row>
  </sheetData>
  <customSheetViews>
    <customSheetView guid="{56E2636F-D181-4FC3-BB81-5101A05507B9}" filter="1" showAutoFilter="1">
      <autoFilter ref="$A$1:$T$59">
        <filterColumn colId="0">
          <filters>
            <filter val="KATIUSKA"/>
          </filters>
        </filterColumn>
      </autoFilter>
    </customSheetView>
  </customSheetViews>
  <dataValidations>
    <dataValidation type="list" allowBlank="1" sqref="A2:A59">
      <formula1>"MARYORY ,JOSELYN,KARINA,SOFIA,KATIUSKA,CHELSEA"</formula1>
    </dataValidation>
    <dataValidation type="list" allowBlank="1" sqref="G2:G59">
      <formula1>"JULIO,AGOSTO,SETIEMBRE,OCTUBRE,NOVIEMBRE,DICIEMBRE,ENERO,FEBRERO,MARZO,ABRIL,MAYO,JUNIO"</formula1>
    </dataValidation>
    <dataValidation type="custom" allowBlank="1" showDropDown="1" sqref="C2:C59">
      <formula1>OR(NOT(ISERROR(DATEVALUE(C2))), AND(ISNUMBER(C2), LEFT(CELL("format", C2))="D"))</formula1>
    </dataValidation>
    <dataValidation type="list" allowBlank="1" sqref="B2:B59">
      <formula1>"DELTRON,AL COSTO,INGRAM"</formula1>
    </dataValidation>
    <dataValidation type="custom" allowBlank="1" showDropDown="1" sqref="L2:T59">
      <formula1>AND(ISNUMBER(L2),(NOT(OR(NOT(ISERROR(DATEVALUE(L2))), AND(ISNUMBER(L2), LEFT(CELL("format", L2))="D")))))</formula1>
    </dataValidation>
    <dataValidation type="list" allowBlank="1" showErrorMessage="1" sqref="I2:I59">
      <formula1>"SI ,NO"</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5"/>
    <col customWidth="1" min="7" max="7" width="15.13"/>
  </cols>
  <sheetData>
    <row r="1">
      <c r="A1" s="1171" t="str">
        <f>IFERROR(__xludf.DUMMYFUNCTION("QUERY(importaciones[#ALL], ""SELECT B, F, AE, AF, H, N, P, R, AG WHERE A = 'MARYORY'"", 1)"),"FECHA DE PEDIDO / VENTA")</f>
        <v>FECHA DE PEDIDO / VENTA</v>
      </c>
      <c r="B1" s="1172" t="str">
        <f>IFERROR(__xludf.DUMMYFUNCTION("""COMPUTED_VALUE"""),"ORDEN DE COMPRA/ código interno")</f>
        <v>ORDEN DE COMPRA/ código interno</v>
      </c>
      <c r="C1" s="1172" t="str">
        <f>IFERROR(__xludf.DUMMYFUNCTION("""COMPUTED_VALUE"""),"COMISIÓN PARA LAPTOP")</f>
        <v>COMISIÓN PARA LAPTOP</v>
      </c>
      <c r="D1" s="1172" t="str">
        <f>IFERROR(__xludf.DUMMYFUNCTION("""COMPUTED_VALUE"""),"COMISIÓN VALIDADA")</f>
        <v>COMISIÓN VALIDADA</v>
      </c>
      <c r="E1" s="1173" t="str">
        <f>IFERROR(__xludf.DUMMYFUNCTION("""COMPUTED_VALUE"""),"Tipo de producto")</f>
        <v>Tipo de producto</v>
      </c>
      <c r="F1" s="1173" t="str">
        <f>IFERROR(__xludf.DUMMYFUNCTION("""COMPUTED_VALUE"""),"PPRECIO EN DOLARES (EEUU)")</f>
        <v>PPRECIO EN DOLARES (EEUU)</v>
      </c>
      <c r="G1" s="1173" t="str">
        <f>IFERROR(__xludf.DUMMYFUNCTION("""COMPUTED_VALUE"""),"(FÓRMULA)
TOTAL EXCEDENTE NETO")</f>
        <v>(FÓRMULA)
TOTAL EXCEDENTE NETO</v>
      </c>
      <c r="H1" s="1173" t="str">
        <f>IFERROR(__xludf.DUMMYFUNCTION("""COMPUTED_VALUE"""),"GARANTIA EXPRESS")</f>
        <v>GARANTIA EXPRESS</v>
      </c>
      <c r="I1" s="1174" t="str">
        <f>IFERROR(__xludf.DUMMYFUNCTION("""COMPUTED_VALUE"""),"COMISIÓN PARA EXCEDENTES")</f>
        <v>COMISIÓN PARA EXCEDENTES</v>
      </c>
      <c r="J1" s="1172" t="str">
        <f>IFERROR(__xludf.DUMMYFUNCTION("QUERY(locales[#ALL], ""SELECT G,D,Q,C where A = 'MARYORY' AND H = TRUE"", 1)"),"COMISIÓN PARA EL MES")</f>
        <v>COMISIÓN PARA EL MES</v>
      </c>
      <c r="K1" s="1172" t="str">
        <f>IFERROR(__xludf.DUMMYFUNCTION("""COMPUTED_VALUE"""),"SN")</f>
        <v>SN</v>
      </c>
      <c r="L1" s="1172" t="str">
        <f>IFERROR(__xludf.DUMMYFUNCTION("""COMPUTED_VALUE"""),"EXCEDENTE PARA PORLLES")</f>
        <v>EXCEDENTE PARA PORLLES</v>
      </c>
      <c r="M1" s="1172" t="str">
        <f>IFERROR(__xludf.DUMMYFUNCTION("""COMPUTED_VALUE"""),"FECHA DE PEDIDO / VENTA")</f>
        <v>FECHA DE PEDIDO / VENTA</v>
      </c>
      <c r="N1" s="1172" t="s">
        <v>2817</v>
      </c>
    </row>
    <row r="2">
      <c r="A2" s="1175">
        <f>IFERROR(__xludf.DUMMYFUNCTION("""COMPUTED_VALUE"""),45750.0)</f>
        <v>45750</v>
      </c>
      <c r="B2" s="1174" t="str">
        <f>IFERROR(__xludf.DUMMYFUNCTION("""COMPUTED_VALUE"""),"K-250403-01")</f>
        <v>K-250403-01</v>
      </c>
      <c r="C2" s="1174"/>
      <c r="D2" s="1174" t="b">
        <f>IFERROR(__xludf.DUMMYFUNCTION("""COMPUTED_VALUE"""),FALSE)</f>
        <v>0</v>
      </c>
      <c r="E2" s="1174" t="str">
        <f>IFERROR(__xludf.DUMMYFUNCTION("""COMPUTED_VALUE"""),"Laptop")</f>
        <v>Laptop</v>
      </c>
      <c r="F2" s="1176">
        <f>IFERROR(__xludf.DUMMYFUNCTION("""COMPUTED_VALUE"""),1299.0)</f>
        <v>1299</v>
      </c>
      <c r="G2" s="1177">
        <f>IFERROR(__xludf.DUMMYFUNCTION("""COMPUTED_VALUE"""),0.0)</f>
        <v>0</v>
      </c>
      <c r="H2" s="1174"/>
      <c r="I2" s="1174"/>
      <c r="N2" s="1174" t="str">
        <f t="shared" ref="N2:N1000" si="1">IF(M2="","",YEAR(M2))</f>
        <v/>
      </c>
    </row>
    <row r="3">
      <c r="A3" s="1175">
        <f>IFERROR(__xludf.DUMMYFUNCTION("""COMPUTED_VALUE"""),45748.0)</f>
        <v>45748</v>
      </c>
      <c r="B3" s="1174" t="str">
        <f>IFERROR(__xludf.DUMMYFUNCTION("""COMPUTED_VALUE"""),"s-e-14-12744-32605")</f>
        <v>s-e-14-12744-32605</v>
      </c>
      <c r="C3" s="1174"/>
      <c r="D3" s="1174" t="b">
        <f>IFERROR(__xludf.DUMMYFUNCTION("""COMPUTED_VALUE"""),FALSE)</f>
        <v>0</v>
      </c>
      <c r="E3" s="1174" t="str">
        <f>IFERROR(__xludf.DUMMYFUNCTION("""COMPUTED_VALUE"""),"Laptop")</f>
        <v>Laptop</v>
      </c>
      <c r="F3" s="1176">
        <f>IFERROR(__xludf.DUMMYFUNCTION("""COMPUTED_VALUE"""),1074.99)</f>
        <v>1074.99</v>
      </c>
      <c r="G3" s="1177">
        <f>IFERROR(__xludf.DUMMYFUNCTION("""COMPUTED_VALUE"""),0.0)</f>
        <v>0</v>
      </c>
      <c r="H3" s="1174"/>
      <c r="I3" s="1174"/>
      <c r="N3" s="1174" t="str">
        <f t="shared" si="1"/>
        <v/>
      </c>
    </row>
    <row r="4">
      <c r="A4" s="1175">
        <f>IFERROR(__xludf.DUMMYFUNCTION("""COMPUTED_VALUE"""),45752.0)</f>
        <v>45752</v>
      </c>
      <c r="B4" s="1174" t="str">
        <f>IFERROR(__xludf.DUMMYFUNCTION("""COMPUTED_VALUE"""),"J-250405-01")</f>
        <v>J-250405-01</v>
      </c>
      <c r="C4" s="1174"/>
      <c r="D4" s="1174" t="b">
        <f>IFERROR(__xludf.DUMMYFUNCTION("""COMPUTED_VALUE"""),FALSE)</f>
        <v>0</v>
      </c>
      <c r="E4" s="1174" t="str">
        <f>IFERROR(__xludf.DUMMYFUNCTION("""COMPUTED_VALUE"""),"Laptop")</f>
        <v>Laptop</v>
      </c>
      <c r="F4" s="1176">
        <f>IFERROR(__xludf.DUMMYFUNCTION("""COMPUTED_VALUE"""),1299.0)</f>
        <v>1299</v>
      </c>
      <c r="G4" s="1177">
        <f>IFERROR(__xludf.DUMMYFUNCTION("""COMPUTED_VALUE"""),0.0)</f>
        <v>0</v>
      </c>
      <c r="H4" s="1174"/>
      <c r="I4" s="1174"/>
      <c r="N4" s="1174" t="str">
        <f t="shared" si="1"/>
        <v/>
      </c>
    </row>
    <row r="5">
      <c r="A5" s="1175">
        <f>IFERROR(__xludf.DUMMYFUNCTION("""COMPUTED_VALUE"""),45754.0)</f>
        <v>45754</v>
      </c>
      <c r="B5" s="1174"/>
      <c r="C5" s="1174"/>
      <c r="D5" s="1174" t="b">
        <f>IFERROR(__xludf.DUMMYFUNCTION("""COMPUTED_VALUE"""),FALSE)</f>
        <v>0</v>
      </c>
      <c r="E5" s="1174" t="str">
        <f>IFERROR(__xludf.DUMMYFUNCTION("""COMPUTED_VALUE"""),"Laptop")</f>
        <v>Laptop</v>
      </c>
      <c r="F5" s="1176">
        <f>IFERROR(__xludf.DUMMYFUNCTION("""COMPUTED_VALUE"""),1499.0)</f>
        <v>1499</v>
      </c>
      <c r="G5" s="1177">
        <f>IFERROR(__xludf.DUMMYFUNCTION("""COMPUTED_VALUE"""),0.0)</f>
        <v>0</v>
      </c>
      <c r="H5" s="1174"/>
      <c r="I5" s="1174"/>
      <c r="N5" s="1174" t="str">
        <f t="shared" si="1"/>
        <v/>
      </c>
    </row>
    <row r="6">
      <c r="A6" s="1175">
        <f>IFERROR(__xludf.DUMMYFUNCTION("""COMPUTED_VALUE"""),45757.0)</f>
        <v>45757</v>
      </c>
      <c r="B6" s="1174" t="str">
        <f>IFERROR(__xludf.DUMMYFUNCTION("""COMPUTED_VALUE"""),"e - 18-12931-78654")</f>
        <v>e - 18-12931-78654</v>
      </c>
      <c r="C6" s="1174"/>
      <c r="D6" s="1174" t="b">
        <f>IFERROR(__xludf.DUMMYFUNCTION("""COMPUTED_VALUE"""),FALSE)</f>
        <v>0</v>
      </c>
      <c r="E6" s="1174" t="str">
        <f>IFERROR(__xludf.DUMMYFUNCTION("""COMPUTED_VALUE"""),"Laptop")</f>
        <v>Laptop</v>
      </c>
      <c r="F6" s="1176">
        <f>IFERROR(__xludf.DUMMYFUNCTION("""COMPUTED_VALUE"""),1199.0)</f>
        <v>1199</v>
      </c>
      <c r="G6" s="1177">
        <f>IFERROR(__xludf.DUMMYFUNCTION("""COMPUTED_VALUE"""),0.0)</f>
        <v>0</v>
      </c>
      <c r="H6" s="1174"/>
      <c r="I6" s="1174"/>
      <c r="N6" s="1174" t="str">
        <f t="shared" si="1"/>
        <v/>
      </c>
    </row>
    <row r="7">
      <c r="A7" s="1175">
        <f>IFERROR(__xludf.DUMMYFUNCTION("""COMPUTED_VALUE"""),45758.0)</f>
        <v>45758</v>
      </c>
      <c r="B7" s="1174" t="str">
        <f>IFERROR(__xludf.DUMMYFUNCTION("""COMPUTED_VALUE"""),"S-BH-1118723376")</f>
        <v>S-BH-1118723376</v>
      </c>
      <c r="C7" s="1174"/>
      <c r="D7" s="1174" t="b">
        <f>IFERROR(__xludf.DUMMYFUNCTION("""COMPUTED_VALUE"""),FALSE)</f>
        <v>0</v>
      </c>
      <c r="E7" s="1174" t="str">
        <f>IFERROR(__xludf.DUMMYFUNCTION("""COMPUTED_VALUE"""),"Laptop")</f>
        <v>Laptop</v>
      </c>
      <c r="F7" s="1176">
        <f>IFERROR(__xludf.DUMMYFUNCTION("""COMPUTED_VALUE"""),1529.0)</f>
        <v>1529</v>
      </c>
      <c r="G7" s="1177">
        <f>IFERROR(__xludf.DUMMYFUNCTION("""COMPUTED_VALUE"""),0.0)</f>
        <v>0</v>
      </c>
      <c r="H7" s="1174"/>
      <c r="I7" s="1174"/>
      <c r="N7" s="1174" t="str">
        <f t="shared" si="1"/>
        <v/>
      </c>
    </row>
    <row r="8">
      <c r="A8" s="1175">
        <f>IFERROR(__xludf.DUMMYFUNCTION("""COMPUTED_VALUE"""),45761.0)</f>
        <v>45761</v>
      </c>
      <c r="B8" s="1174" t="str">
        <f>IFERROR(__xludf.DUMMYFUNCTION("""COMPUTED_VALUE"""),"K-a-114-1053416-3369011")</f>
        <v>K-a-114-1053416-3369011</v>
      </c>
      <c r="C8" s="1174"/>
      <c r="D8" s="1174" t="b">
        <f>IFERROR(__xludf.DUMMYFUNCTION("""COMPUTED_VALUE"""),FALSE)</f>
        <v>0</v>
      </c>
      <c r="E8" s="1174" t="str">
        <f>IFERROR(__xludf.DUMMYFUNCTION("""COMPUTED_VALUE"""),"Laptop")</f>
        <v>Laptop</v>
      </c>
      <c r="F8" s="1176">
        <f>IFERROR(__xludf.DUMMYFUNCTION("""COMPUTED_VALUE"""),999.0)</f>
        <v>999</v>
      </c>
      <c r="G8" s="1177">
        <f>IFERROR(__xludf.DUMMYFUNCTION("""COMPUTED_VALUE"""),0.0)</f>
        <v>0</v>
      </c>
      <c r="H8" s="1174"/>
      <c r="I8" s="1174"/>
      <c r="N8" s="1174" t="str">
        <f t="shared" si="1"/>
        <v/>
      </c>
    </row>
    <row r="9">
      <c r="A9" s="1175">
        <f>IFERROR(__xludf.DUMMYFUNCTION("""COMPUTED_VALUE"""),45763.0)</f>
        <v>45763</v>
      </c>
      <c r="B9" s="1174" t="str">
        <f>IFERROR(__xludf.DUMMYFUNCTION("""COMPUTED_VALUE"""),"K-w-2000130-99157159")</f>
        <v>K-w-2000130-99157159</v>
      </c>
      <c r="C9" s="1174"/>
      <c r="D9" s="1174" t="b">
        <f>IFERROR(__xludf.DUMMYFUNCTION("""COMPUTED_VALUE"""),FALSE)</f>
        <v>0</v>
      </c>
      <c r="E9" s="1174" t="str">
        <f>IFERROR(__xludf.DUMMYFUNCTION("""COMPUTED_VALUE"""),"Laptop")</f>
        <v>Laptop</v>
      </c>
      <c r="F9" s="1176">
        <f>IFERROR(__xludf.DUMMYFUNCTION("""COMPUTED_VALUE"""),998.0)</f>
        <v>998</v>
      </c>
      <c r="G9" s="1177">
        <f>IFERROR(__xludf.DUMMYFUNCTION("""COMPUTED_VALUE"""),0.0)</f>
        <v>0</v>
      </c>
      <c r="H9" s="1174"/>
      <c r="I9" s="1174"/>
      <c r="N9" s="1174" t="str">
        <f t="shared" si="1"/>
        <v/>
      </c>
    </row>
    <row r="10">
      <c r="A10" s="1175">
        <f>IFERROR(__xludf.DUMMYFUNCTION("""COMPUTED_VALUE"""),45770.0)</f>
        <v>45770</v>
      </c>
      <c r="B10" s="1174" t="str">
        <f>IFERROR(__xludf.DUMMYFUNCTION("""COMPUTED_VALUE"""),"K-e-06-12995-62849")</f>
        <v>K-e-06-12995-62849</v>
      </c>
      <c r="C10" s="1174"/>
      <c r="D10" s="1174" t="b">
        <f>IFERROR(__xludf.DUMMYFUNCTION("""COMPUTED_VALUE"""),FALSE)</f>
        <v>0</v>
      </c>
      <c r="E10" s="1174" t="str">
        <f>IFERROR(__xludf.DUMMYFUNCTION("""COMPUTED_VALUE"""),"Laptop")</f>
        <v>Laptop</v>
      </c>
      <c r="F10" s="1176">
        <f>IFERROR(__xludf.DUMMYFUNCTION("""COMPUTED_VALUE"""),1149.0)</f>
        <v>1149</v>
      </c>
      <c r="G10" s="1177">
        <f>IFERROR(__xludf.DUMMYFUNCTION("""COMPUTED_VALUE"""),0.0)</f>
        <v>0</v>
      </c>
      <c r="H10" s="1174"/>
      <c r="I10" s="1174"/>
      <c r="N10" s="1174" t="str">
        <f t="shared" si="1"/>
        <v/>
      </c>
    </row>
    <row r="11">
      <c r="A11" s="1175">
        <f>IFERROR(__xludf.DUMMYFUNCTION("""COMPUTED_VALUE"""),45771.0)</f>
        <v>45771</v>
      </c>
      <c r="B11" s="1174" t="str">
        <f>IFERROR(__xludf.DUMMYFUNCTION("""COMPUTED_VALUE"""),"K-AS-13000280639")</f>
        <v>K-AS-13000280639</v>
      </c>
      <c r="C11" s="1174"/>
      <c r="D11" s="1174" t="b">
        <f>IFERROR(__xludf.DUMMYFUNCTION("""COMPUTED_VALUE"""),FALSE)</f>
        <v>0</v>
      </c>
      <c r="E11" s="1174" t="str">
        <f>IFERROR(__xludf.DUMMYFUNCTION("""COMPUTED_VALUE"""),"Laptop")</f>
        <v>Laptop</v>
      </c>
      <c r="F11" s="1176">
        <f>IFERROR(__xludf.DUMMYFUNCTION("""COMPUTED_VALUE"""),4499.0)</f>
        <v>4499</v>
      </c>
      <c r="G11" s="1177">
        <f>IFERROR(__xludf.DUMMYFUNCTION("""COMPUTED_VALUE"""),0.0)</f>
        <v>0</v>
      </c>
      <c r="H11" s="1174"/>
      <c r="I11" s="1174"/>
      <c r="N11" s="1174" t="str">
        <f t="shared" si="1"/>
        <v/>
      </c>
    </row>
    <row r="12">
      <c r="A12" s="1175">
        <f>IFERROR(__xludf.DUMMYFUNCTION("""COMPUTED_VALUE"""),45782.0)</f>
        <v>45782</v>
      </c>
      <c r="B12" s="1174" t="str">
        <f>IFERROR(__xludf.DUMMYFUNCTION("""COMPUTED_VALUE"""),"K-e-17-13091-88531")</f>
        <v>K-e-17-13091-88531</v>
      </c>
      <c r="C12" s="1174"/>
      <c r="D12" s="1174" t="b">
        <f>IFERROR(__xludf.DUMMYFUNCTION("""COMPUTED_VALUE"""),FALSE)</f>
        <v>0</v>
      </c>
      <c r="E12" s="1174" t="str">
        <f>IFERROR(__xludf.DUMMYFUNCTION("""COMPUTED_VALUE"""),"Laptop")</f>
        <v>Laptop</v>
      </c>
      <c r="F12" s="1176">
        <f>IFERROR(__xludf.DUMMYFUNCTION("""COMPUTED_VALUE"""),999.0)</f>
        <v>999</v>
      </c>
      <c r="G12" s="1177">
        <f>IFERROR(__xludf.DUMMYFUNCTION("""COMPUTED_VALUE"""),0.0)</f>
        <v>0</v>
      </c>
      <c r="H12" s="1174"/>
      <c r="I12" s="1174"/>
      <c r="N12" s="1174" t="str">
        <f t="shared" si="1"/>
        <v/>
      </c>
    </row>
    <row r="13">
      <c r="A13" s="1175">
        <f>IFERROR(__xludf.DUMMYFUNCTION("""COMPUTED_VALUE"""),45785.0)</f>
        <v>45785</v>
      </c>
      <c r="B13" s="1174" t="str">
        <f>IFERROR(__xludf.DUMMYFUNCTION("""COMPUTED_VALUE"""),"K-e-09-13055-99114")</f>
        <v>K-e-09-13055-99114</v>
      </c>
      <c r="C13" s="1174"/>
      <c r="D13" s="1174" t="b">
        <f>IFERROR(__xludf.DUMMYFUNCTION("""COMPUTED_VALUE"""),FALSE)</f>
        <v>0</v>
      </c>
      <c r="E13" s="1174" t="str">
        <f>IFERROR(__xludf.DUMMYFUNCTION("""COMPUTED_VALUE"""),"Laptop")</f>
        <v>Laptop</v>
      </c>
      <c r="F13" s="1176">
        <f>IFERROR(__xludf.DUMMYFUNCTION("""COMPUTED_VALUE"""),1069.49)</f>
        <v>1069.49</v>
      </c>
      <c r="G13" s="1177">
        <f>IFERROR(__xludf.DUMMYFUNCTION("""COMPUTED_VALUE"""),0.0)</f>
        <v>0</v>
      </c>
      <c r="H13" s="1174"/>
      <c r="I13" s="1174"/>
      <c r="N13" s="1174" t="str">
        <f t="shared" si="1"/>
        <v/>
      </c>
    </row>
    <row r="14">
      <c r="A14" s="1175">
        <f>IFERROR(__xludf.DUMMYFUNCTION("""COMPUTED_VALUE"""),45787.0)</f>
        <v>45787</v>
      </c>
      <c r="B14" s="1174" t="str">
        <f>IFERROR(__xludf.DUMMYFUNCTION("""COMPUTED_VALUE"""),"K - BBY01-807058124757")</f>
        <v>K - BBY01-807058124757</v>
      </c>
      <c r="C14" s="1174"/>
      <c r="D14" s="1174" t="b">
        <f>IFERROR(__xludf.DUMMYFUNCTION("""COMPUTED_VALUE"""),FALSE)</f>
        <v>0</v>
      </c>
      <c r="E14" s="1174" t="str">
        <f>IFERROR(__xludf.DUMMYFUNCTION("""COMPUTED_VALUE"""),"Laptop")</f>
        <v>Laptop</v>
      </c>
      <c r="F14" s="1176">
        <f>IFERROR(__xludf.DUMMYFUNCTION("""COMPUTED_VALUE"""),1999.0)</f>
        <v>1999</v>
      </c>
      <c r="G14" s="1177">
        <f>IFERROR(__xludf.DUMMYFUNCTION("""COMPUTED_VALUE"""),0.0)</f>
        <v>0</v>
      </c>
      <c r="H14" s="1174"/>
      <c r="I14" s="1174"/>
      <c r="N14" s="1174" t="str">
        <f t="shared" si="1"/>
        <v/>
      </c>
    </row>
    <row r="15">
      <c r="A15" s="1175">
        <f>IFERROR(__xludf.DUMMYFUNCTION("""COMPUTED_VALUE"""),45789.0)</f>
        <v>45789</v>
      </c>
      <c r="B15" s="1174" t="str">
        <f>IFERROR(__xludf.DUMMYFUNCTION("""COMPUTED_VALUE"""),"k-e-15-12947-33453-1")</f>
        <v>k-e-15-12947-33453-1</v>
      </c>
      <c r="C15" s="1174"/>
      <c r="D15" s="1174" t="b">
        <f>IFERROR(__xludf.DUMMYFUNCTION("""COMPUTED_VALUE"""),FALSE)</f>
        <v>0</v>
      </c>
      <c r="E15" s="1174" t="str">
        <f>IFERROR(__xludf.DUMMYFUNCTION("""COMPUTED_VALUE"""),"Laptop")</f>
        <v>Laptop</v>
      </c>
      <c r="F15" s="1176">
        <f>IFERROR(__xludf.DUMMYFUNCTION("""COMPUTED_VALUE"""),1199.0)</f>
        <v>1199</v>
      </c>
      <c r="G15" s="1177">
        <f>IFERROR(__xludf.DUMMYFUNCTION("""COMPUTED_VALUE"""),0.0)</f>
        <v>0</v>
      </c>
      <c r="H15" s="1174"/>
      <c r="I15" s="1174"/>
      <c r="N15" s="1174" t="str">
        <f t="shared" si="1"/>
        <v/>
      </c>
    </row>
    <row r="16">
      <c r="A16" s="1175">
        <f>IFERROR(__xludf.DUMMYFUNCTION("""COMPUTED_VALUE"""),45794.0)</f>
        <v>45794</v>
      </c>
      <c r="B16" s="1174" t="str">
        <f>IFERROR(__xludf.DUMMYFUNCTION("""COMPUTED_VALUE"""),"K e 01-13086-32815")</f>
        <v>K e 01-13086-32815</v>
      </c>
      <c r="C16" s="1174"/>
      <c r="D16" s="1174" t="b">
        <f>IFERROR(__xludf.DUMMYFUNCTION("""COMPUTED_VALUE"""),FALSE)</f>
        <v>0</v>
      </c>
      <c r="E16" s="1174" t="str">
        <f>IFERROR(__xludf.DUMMYFUNCTION("""COMPUTED_VALUE"""),"Laptop")</f>
        <v>Laptop</v>
      </c>
      <c r="F16" s="1176"/>
      <c r="G16" s="1177">
        <f>IFERROR(__xludf.DUMMYFUNCTION("""COMPUTED_VALUE"""),0.0)</f>
        <v>0</v>
      </c>
      <c r="H16" s="1174"/>
      <c r="I16" s="1174"/>
      <c r="N16" s="1174" t="str">
        <f t="shared" si="1"/>
        <v/>
      </c>
    </row>
    <row r="17">
      <c r="A17" s="1175">
        <f>IFERROR(__xludf.DUMMYFUNCTION("""COMPUTED_VALUE"""),45796.0)</f>
        <v>45796</v>
      </c>
      <c r="B17" s="1174" t="str">
        <f>IFERROR(__xludf.DUMMYFUNCTION("""COMPUTED_VALUE"""),"K e - 13-13084-73357")</f>
        <v>K e - 13-13084-73357</v>
      </c>
      <c r="C17" s="1174"/>
      <c r="D17" s="1174" t="b">
        <f>IFERROR(__xludf.DUMMYFUNCTION("""COMPUTED_VALUE"""),FALSE)</f>
        <v>0</v>
      </c>
      <c r="E17" s="1174" t="str">
        <f>IFERROR(__xludf.DUMMYFUNCTION("""COMPUTED_VALUE"""),"Laptop")</f>
        <v>Laptop</v>
      </c>
      <c r="F17" s="1176">
        <f>IFERROR(__xludf.DUMMYFUNCTION("""COMPUTED_VALUE"""),1191.99)</f>
        <v>1191.99</v>
      </c>
      <c r="G17" s="1177">
        <f>IFERROR(__xludf.DUMMYFUNCTION("""COMPUTED_VALUE"""),0.0)</f>
        <v>0</v>
      </c>
      <c r="H17" s="1174"/>
      <c r="I17" s="1174"/>
      <c r="N17" s="1174" t="str">
        <f t="shared" si="1"/>
        <v/>
      </c>
    </row>
    <row r="18">
      <c r="A18" s="1175">
        <f>IFERROR(__xludf.DUMMYFUNCTION("""COMPUTED_VALUE"""),45798.0)</f>
        <v>45798</v>
      </c>
      <c r="B18" s="1174" t="str">
        <f>IFERROR(__xludf.DUMMYFUNCTION("""COMPUTED_VALUE"""),"
k-e-11-12747-88467")</f>
        <v>
k-e-11-12747-88467</v>
      </c>
      <c r="C18" s="1174"/>
      <c r="D18" s="1174" t="b">
        <f>IFERROR(__xludf.DUMMYFUNCTION("""COMPUTED_VALUE"""),FALSE)</f>
        <v>0</v>
      </c>
      <c r="E18" s="1174" t="str">
        <f>IFERROR(__xludf.DUMMYFUNCTION("""COMPUTED_VALUE"""),"Laptop")</f>
        <v>Laptop</v>
      </c>
      <c r="F18" s="1176">
        <f>IFERROR(__xludf.DUMMYFUNCTION("""COMPUTED_VALUE"""),1074.99)</f>
        <v>1074.99</v>
      </c>
      <c r="G18" s="1177">
        <f>IFERROR(__xludf.DUMMYFUNCTION("""COMPUTED_VALUE"""),0.0)</f>
        <v>0</v>
      </c>
      <c r="H18" s="1174"/>
      <c r="I18" s="1174"/>
      <c r="N18" s="1174" t="str">
        <f t="shared" si="1"/>
        <v/>
      </c>
    </row>
    <row r="19">
      <c r="A19" s="1175">
        <f>IFERROR(__xludf.DUMMYFUNCTION("""COMPUTED_VALUE"""),45799.0)</f>
        <v>45799</v>
      </c>
      <c r="B19" s="1174" t="str">
        <f>IFERROR(__xludf.DUMMYFUNCTION("""COMPUTED_VALUE"""),"L M 220525")</f>
        <v>L M 220525</v>
      </c>
      <c r="C19" s="1174"/>
      <c r="D19" s="1174" t="b">
        <f>IFERROR(__xludf.DUMMYFUNCTION("""COMPUTED_VALUE"""),FALSE)</f>
        <v>0</v>
      </c>
      <c r="E19" s="1174" t="str">
        <f>IFERROR(__xludf.DUMMYFUNCTION("""COMPUTED_VALUE"""),"Laptop")</f>
        <v>Laptop</v>
      </c>
      <c r="F19" s="1176">
        <f>IFERROR(__xludf.DUMMYFUNCTION("""COMPUTED_VALUE"""),1599.0)</f>
        <v>1599</v>
      </c>
      <c r="G19" s="1177">
        <f>IFERROR(__xludf.DUMMYFUNCTION("""COMPUTED_VALUE"""),0.0)</f>
        <v>0</v>
      </c>
      <c r="H19" s="1174"/>
      <c r="I19" s="1174"/>
      <c r="N19" s="1174" t="str">
        <f t="shared" si="1"/>
        <v/>
      </c>
    </row>
    <row r="20">
      <c r="A20" s="1175">
        <f>IFERROR(__xludf.DUMMYFUNCTION("""COMPUTED_VALUE"""),45801.0)</f>
        <v>45801</v>
      </c>
      <c r="B20" s="1174" t="str">
        <f>IFERROR(__xludf.DUMMYFUNCTION("""COMPUTED_VALUE"""),"K-e-04-13095-83906")</f>
        <v>K-e-04-13095-83906</v>
      </c>
      <c r="C20" s="1174"/>
      <c r="D20" s="1174" t="b">
        <f>IFERROR(__xludf.DUMMYFUNCTION("""COMPUTED_VALUE"""),FALSE)</f>
        <v>0</v>
      </c>
      <c r="E20" s="1174" t="str">
        <f>IFERROR(__xludf.DUMMYFUNCTION("""COMPUTED_VALUE"""),"Laptop")</f>
        <v>Laptop</v>
      </c>
      <c r="F20" s="1176"/>
      <c r="G20" s="1177">
        <f>IFERROR(__xludf.DUMMYFUNCTION("""COMPUTED_VALUE"""),0.0)</f>
        <v>0</v>
      </c>
      <c r="H20" s="1174"/>
      <c r="I20" s="1174"/>
      <c r="N20" s="1174" t="str">
        <f t="shared" si="1"/>
        <v/>
      </c>
    </row>
    <row r="21">
      <c r="A21" s="1175">
        <f>IFERROR(__xludf.DUMMYFUNCTION("""COMPUTED_VALUE"""),45805.0)</f>
        <v>45805</v>
      </c>
      <c r="B21" s="1174" t="str">
        <f>IFERROR(__xludf.DUMMYFUNCTION("""COMPUTED_VALUE"""),"M-RA-180525")</f>
        <v>M-RA-180525</v>
      </c>
      <c r="C21" s="1174"/>
      <c r="D21" s="1174" t="b">
        <f>IFERROR(__xludf.DUMMYFUNCTION("""COMPUTED_VALUE"""),FALSE)</f>
        <v>0</v>
      </c>
      <c r="E21" s="1174" t="str">
        <f>IFERROR(__xludf.DUMMYFUNCTION("""COMPUTED_VALUE"""),"Laptop")</f>
        <v>Laptop</v>
      </c>
      <c r="F21" s="1176"/>
      <c r="G21" s="1177">
        <f>IFERROR(__xludf.DUMMYFUNCTION("""COMPUTED_VALUE"""),0.0)</f>
        <v>0</v>
      </c>
      <c r="H21" s="1174"/>
      <c r="I21" s="1174"/>
      <c r="N21" s="1174" t="str">
        <f t="shared" si="1"/>
        <v/>
      </c>
    </row>
    <row r="22">
      <c r="A22" s="1175">
        <f>IFERROR(__xludf.DUMMYFUNCTION("""COMPUTED_VALUE"""),45807.0)</f>
        <v>45807</v>
      </c>
      <c r="B22" s="1174" t="str">
        <f>IFERROR(__xludf.DUMMYFUNCTION("""COMPUTED_VALUE"""),"k-e-17-13105-04478")</f>
        <v>k-e-17-13105-04478</v>
      </c>
      <c r="C22" s="1174"/>
      <c r="D22" s="1174" t="b">
        <f>IFERROR(__xludf.DUMMYFUNCTION("""COMPUTED_VALUE"""),FALSE)</f>
        <v>0</v>
      </c>
      <c r="E22" s="1174" t="str">
        <f>IFERROR(__xludf.DUMMYFUNCTION("""COMPUTED_VALUE"""),"Laptop")</f>
        <v>Laptop</v>
      </c>
      <c r="F22" s="1176"/>
      <c r="G22" s="1177">
        <f>IFERROR(__xludf.DUMMYFUNCTION("""COMPUTED_VALUE"""),0.0)</f>
        <v>0</v>
      </c>
      <c r="H22" s="1174"/>
      <c r="I22" s="1174"/>
      <c r="N22" s="1174" t="str">
        <f t="shared" si="1"/>
        <v/>
      </c>
    </row>
    <row r="23">
      <c r="A23" s="1175">
        <f>IFERROR(__xludf.DUMMYFUNCTION("""COMPUTED_VALUE"""),45808.0)</f>
        <v>45808</v>
      </c>
      <c r="B23" s="1174" t="str">
        <f>IFERROR(__xludf.DUMMYFUNCTION("""COMPUTED_VALUE"""),"K-e-15-13138-72782")</f>
        <v>K-e-15-13138-72782</v>
      </c>
      <c r="C23" s="1174"/>
      <c r="D23" s="1174" t="b">
        <f>IFERROR(__xludf.DUMMYFUNCTION("""COMPUTED_VALUE"""),FALSE)</f>
        <v>0</v>
      </c>
      <c r="E23" s="1174" t="str">
        <f>IFERROR(__xludf.DUMMYFUNCTION("""COMPUTED_VALUE"""),"Laptop")</f>
        <v>Laptop</v>
      </c>
      <c r="F23" s="1176">
        <f>IFERROR(__xludf.DUMMYFUNCTION("""COMPUTED_VALUE"""),3399.99)</f>
        <v>3399.99</v>
      </c>
      <c r="G23" s="1177">
        <f>IFERROR(__xludf.DUMMYFUNCTION("""COMPUTED_VALUE"""),0.0)</f>
        <v>0</v>
      </c>
      <c r="H23" s="1174"/>
      <c r="I23" s="1174"/>
      <c r="N23" s="1174" t="str">
        <f t="shared" si="1"/>
        <v/>
      </c>
    </row>
    <row r="24">
      <c r="A24" s="1175">
        <f>IFERROR(__xludf.DUMMYFUNCTION("""COMPUTED_VALUE"""),45808.0)</f>
        <v>45808</v>
      </c>
      <c r="B24" s="1174" t="str">
        <f>IFERROR(__xludf.DUMMYFUNCTION("""COMPUTED_VALUE"""),"JM 310525")</f>
        <v>JM 310525</v>
      </c>
      <c r="C24" s="1174"/>
      <c r="D24" s="1174" t="b">
        <f>IFERROR(__xludf.DUMMYFUNCTION("""COMPUTED_VALUE"""),FALSE)</f>
        <v>0</v>
      </c>
      <c r="E24" s="1174" t="str">
        <f>IFERROR(__xludf.DUMMYFUNCTION("""COMPUTED_VALUE"""),"Laptop")</f>
        <v>Laptop</v>
      </c>
      <c r="F24" s="1176">
        <f>IFERROR(__xludf.DUMMYFUNCTION("""COMPUTED_VALUE"""),1999.0)</f>
        <v>1999</v>
      </c>
      <c r="G24" s="1177">
        <f>IFERROR(__xludf.DUMMYFUNCTION("""COMPUTED_VALUE"""),0.0)</f>
        <v>0</v>
      </c>
      <c r="H24" s="1174"/>
      <c r="I24" s="1174"/>
      <c r="N24" s="1174" t="str">
        <f t="shared" si="1"/>
        <v/>
      </c>
    </row>
    <row r="25">
      <c r="A25" s="1175">
        <f>IFERROR(__xludf.DUMMYFUNCTION("""COMPUTED_VALUE"""),45813.0)</f>
        <v>45813</v>
      </c>
      <c r="B25" s="1174" t="str">
        <f>IFERROR(__xludf.DUMMYFUNCTION("""COMPUTED_VALUE"""),"K-a-113-5081816-7731437")</f>
        <v>K-a-113-5081816-7731437</v>
      </c>
      <c r="C25" s="1174"/>
      <c r="D25" s="1174" t="b">
        <f>IFERROR(__xludf.DUMMYFUNCTION("""COMPUTED_VALUE"""),FALSE)</f>
        <v>0</v>
      </c>
      <c r="E25" s="1174" t="str">
        <f>IFERROR(__xludf.DUMMYFUNCTION("""COMPUTED_VALUE"""),"Laptop")</f>
        <v>Laptop</v>
      </c>
      <c r="F25" s="1176">
        <f>IFERROR(__xludf.DUMMYFUNCTION("""COMPUTED_VALUE"""),1588.94)</f>
        <v>1588.94</v>
      </c>
      <c r="G25" s="1177">
        <f>IFERROR(__xludf.DUMMYFUNCTION("""COMPUTED_VALUE"""),0.0)</f>
        <v>0</v>
      </c>
      <c r="H25" s="1174"/>
      <c r="I25" s="1174"/>
      <c r="N25" s="1174" t="str">
        <f t="shared" si="1"/>
        <v/>
      </c>
    </row>
    <row r="26">
      <c r="A26" s="1175">
        <f>IFERROR(__xludf.DUMMYFUNCTION("""COMPUTED_VALUE"""),45813.0)</f>
        <v>45813</v>
      </c>
      <c r="B26" s="1174" t="str">
        <f>IFERROR(__xludf.DUMMYFUNCTION("""COMPUTED_VALUE"""),"K-a-113-8788688-4943403")</f>
        <v>K-a-113-8788688-4943403</v>
      </c>
      <c r="C26" s="1174"/>
      <c r="D26" s="1174" t="b">
        <f>IFERROR(__xludf.DUMMYFUNCTION("""COMPUTED_VALUE"""),FALSE)</f>
        <v>0</v>
      </c>
      <c r="E26" s="1174" t="str">
        <f>IFERROR(__xludf.DUMMYFUNCTION("""COMPUTED_VALUE"""),"Laptop")</f>
        <v>Laptop</v>
      </c>
      <c r="F26" s="1176"/>
      <c r="G26" s="1177">
        <f>IFERROR(__xludf.DUMMYFUNCTION("""COMPUTED_VALUE"""),0.0)</f>
        <v>0</v>
      </c>
      <c r="H26" s="1174"/>
      <c r="I26" s="1174"/>
      <c r="N26" s="1174" t="str">
        <f t="shared" si="1"/>
        <v/>
      </c>
    </row>
    <row r="27">
      <c r="A27" s="1175">
        <f>IFERROR(__xludf.DUMMYFUNCTION("""COMPUTED_VALUE"""),45814.0)</f>
        <v>45814</v>
      </c>
      <c r="B27" s="1174" t="str">
        <f>IFERROR(__xludf.DUMMYFUNCTION("""COMPUTED_VALUE"""),"k-e-10-13172-17762")</f>
        <v>k-e-10-13172-17762</v>
      </c>
      <c r="C27" s="1174"/>
      <c r="D27" s="1174" t="b">
        <f>IFERROR(__xludf.DUMMYFUNCTION("""COMPUTED_VALUE"""),FALSE)</f>
        <v>0</v>
      </c>
      <c r="E27" s="1174" t="str">
        <f>IFERROR(__xludf.DUMMYFUNCTION("""COMPUTED_VALUE"""),"Laptop")</f>
        <v>Laptop</v>
      </c>
      <c r="F27" s="1176">
        <f>IFERROR(__xludf.DUMMYFUNCTION("""COMPUTED_VALUE"""),4499.0)</f>
        <v>4499</v>
      </c>
      <c r="G27" s="1177">
        <f>IFERROR(__xludf.DUMMYFUNCTION("""COMPUTED_VALUE"""),0.0)</f>
        <v>0</v>
      </c>
      <c r="H27" s="1174"/>
      <c r="I27" s="1174"/>
      <c r="N27" s="1174" t="str">
        <f t="shared" si="1"/>
        <v/>
      </c>
    </row>
    <row r="28">
      <c r="A28" s="1175">
        <f>IFERROR(__xludf.DUMMYFUNCTION("""COMPUTED_VALUE"""),45814.0)</f>
        <v>45814</v>
      </c>
      <c r="B28" s="1174" t="str">
        <f>IFERROR(__xludf.DUMMYFUNCTION("""COMPUTED_VALUE"""),"k-a-113-1502187-9517000")</f>
        <v>k-a-113-1502187-9517000</v>
      </c>
      <c r="C28" s="1174"/>
      <c r="D28" s="1174" t="b">
        <f>IFERROR(__xludf.DUMMYFUNCTION("""COMPUTED_VALUE"""),FALSE)</f>
        <v>0</v>
      </c>
      <c r="E28" s="1174" t="str">
        <f>IFERROR(__xludf.DUMMYFUNCTION("""COMPUTED_VALUE"""),"Laptop")</f>
        <v>Laptop</v>
      </c>
      <c r="F28" s="1176">
        <f>IFERROR(__xludf.DUMMYFUNCTION("""COMPUTED_VALUE"""),209.99)</f>
        <v>209.99</v>
      </c>
      <c r="G28" s="1177">
        <f>IFERROR(__xludf.DUMMYFUNCTION("""COMPUTED_VALUE"""),0.0)</f>
        <v>0</v>
      </c>
      <c r="H28" s="1174"/>
      <c r="I28" s="1174"/>
      <c r="N28" s="1174" t="str">
        <f t="shared" si="1"/>
        <v/>
      </c>
    </row>
    <row r="29">
      <c r="A29" s="1175">
        <f>IFERROR(__xludf.DUMMYFUNCTION("""COMPUTED_VALUE"""),45815.0)</f>
        <v>45815</v>
      </c>
      <c r="B29" s="1174" t="str">
        <f>IFERROR(__xludf.DUMMYFUNCTION("""COMPUTED_VALUE"""),"k-a-113-1502187-9517000")</f>
        <v>k-a-113-1502187-9517000</v>
      </c>
      <c r="C29" s="1174"/>
      <c r="D29" s="1174" t="b">
        <f>IFERROR(__xludf.DUMMYFUNCTION("""COMPUTED_VALUE"""),FALSE)</f>
        <v>0</v>
      </c>
      <c r="E29" s="1174" t="str">
        <f>IFERROR(__xludf.DUMMYFUNCTION("""COMPUTED_VALUE"""),"Laptop")</f>
        <v>Laptop</v>
      </c>
      <c r="F29" s="1176">
        <f>IFERROR(__xludf.DUMMYFUNCTION("""COMPUTED_VALUE"""),24.19)</f>
        <v>24.19</v>
      </c>
      <c r="G29" s="1177">
        <f>IFERROR(__xludf.DUMMYFUNCTION("""COMPUTED_VALUE"""),0.0)</f>
        <v>0</v>
      </c>
      <c r="H29" s="1174"/>
      <c r="I29" s="1174"/>
      <c r="N29" s="1174" t="str">
        <f t="shared" si="1"/>
        <v/>
      </c>
    </row>
    <row r="30">
      <c r="A30" s="1175">
        <f>IFERROR(__xludf.DUMMYFUNCTION("""COMPUTED_VALUE"""),45816.0)</f>
        <v>45816</v>
      </c>
      <c r="B30" s="1174" t="str">
        <f>IFERROR(__xludf.DUMMYFUNCTION("""COMPUTED_VALUE"""),"k-a-113-1502187-9517000")</f>
        <v>k-a-113-1502187-9517000</v>
      </c>
      <c r="C30" s="1174"/>
      <c r="D30" s="1174" t="b">
        <f>IFERROR(__xludf.DUMMYFUNCTION("""COMPUTED_VALUE"""),FALSE)</f>
        <v>0</v>
      </c>
      <c r="E30" s="1174" t="str">
        <f>IFERROR(__xludf.DUMMYFUNCTION("""COMPUTED_VALUE"""),"Laptop")</f>
        <v>Laptop</v>
      </c>
      <c r="F30" s="1176">
        <f>IFERROR(__xludf.DUMMYFUNCTION("""COMPUTED_VALUE"""),59.99)</f>
        <v>59.99</v>
      </c>
      <c r="G30" s="1177">
        <f>IFERROR(__xludf.DUMMYFUNCTION("""COMPUTED_VALUE"""),0.0)</f>
        <v>0</v>
      </c>
      <c r="H30" s="1174"/>
      <c r="I30" s="1174"/>
      <c r="N30" s="1174" t="str">
        <f t="shared" si="1"/>
        <v/>
      </c>
    </row>
    <row r="31">
      <c r="A31" s="1175">
        <f>IFERROR(__xludf.DUMMYFUNCTION("""COMPUTED_VALUE"""),45835.0)</f>
        <v>45835</v>
      </c>
      <c r="B31" s="1174" t="str">
        <f>IFERROR(__xludf.DUMMYFUNCTION("""COMPUTED_VALUE"""),"k-BBY01-807067674975")</f>
        <v>k-BBY01-807067674975</v>
      </c>
      <c r="C31" s="1174" t="str">
        <f>IFERROR(__xludf.DUMMYFUNCTION("""COMPUTED_VALUE"""),"JULIO")</f>
        <v>JULIO</v>
      </c>
      <c r="D31" s="1174" t="b">
        <f>IFERROR(__xludf.DUMMYFUNCTION("""COMPUTED_VALUE"""),FALSE)</f>
        <v>0</v>
      </c>
      <c r="E31" s="1174" t="str">
        <f>IFERROR(__xludf.DUMMYFUNCTION("""COMPUTED_VALUE"""),"Laptop")</f>
        <v>Laptop</v>
      </c>
      <c r="F31" s="1176">
        <f>IFERROR(__xludf.DUMMYFUNCTION("""COMPUTED_VALUE"""),3059.0)</f>
        <v>3059</v>
      </c>
      <c r="G31" s="1177">
        <f>IFERROR(__xludf.DUMMYFUNCTION("""COMPUTED_VALUE"""),0.0)</f>
        <v>0</v>
      </c>
      <c r="H31" s="1174"/>
      <c r="I31" s="1174"/>
      <c r="N31" s="1174" t="str">
        <f t="shared" si="1"/>
        <v/>
      </c>
    </row>
    <row r="32">
      <c r="A32" s="1175">
        <f>IFERROR(__xludf.DUMMYFUNCTION("""COMPUTED_VALUE"""),45838.0)</f>
        <v>45838</v>
      </c>
      <c r="B32" s="1174" t="str">
        <f>IFERROR(__xludf.DUMMYFUNCTION("""COMPUTED_VALUE"""),"K - e 19-13130-77446")</f>
        <v>K - e 19-13130-77446</v>
      </c>
      <c r="C32" s="1174"/>
      <c r="D32" s="1174" t="b">
        <f>IFERROR(__xludf.DUMMYFUNCTION("""COMPUTED_VALUE"""),FALSE)</f>
        <v>0</v>
      </c>
      <c r="E32" s="1174" t="str">
        <f>IFERROR(__xludf.DUMMYFUNCTION("""COMPUTED_VALUE"""),"Laptop")</f>
        <v>Laptop</v>
      </c>
      <c r="F32" s="1176"/>
      <c r="G32" s="1177">
        <f>IFERROR(__xludf.DUMMYFUNCTION("""COMPUTED_VALUE"""),0.0)</f>
        <v>0</v>
      </c>
      <c r="H32" s="1174"/>
      <c r="I32" s="1174"/>
      <c r="N32" s="1174" t="str">
        <f t="shared" si="1"/>
        <v/>
      </c>
    </row>
    <row r="33">
      <c r="A33" s="1175">
        <f>IFERROR(__xludf.DUMMYFUNCTION("""COMPUTED_VALUE"""),45829.0)</f>
        <v>45829</v>
      </c>
      <c r="B33" s="1174" t="str">
        <f>IFERROR(__xludf.DUMMYFUNCTION("""COMPUTED_VALUE"""),"K BBY01-807058680967")</f>
        <v>K BBY01-807058680967</v>
      </c>
      <c r="C33" s="1174"/>
      <c r="D33" s="1174" t="b">
        <f>IFERROR(__xludf.DUMMYFUNCTION("""COMPUTED_VALUE"""),FALSE)</f>
        <v>0</v>
      </c>
      <c r="E33" s="1174" t="str">
        <f>IFERROR(__xludf.DUMMYFUNCTION("""COMPUTED_VALUE"""),"Laptop")</f>
        <v>Laptop</v>
      </c>
      <c r="F33" s="1176"/>
      <c r="G33" s="1177">
        <f>IFERROR(__xludf.DUMMYFUNCTION("""COMPUTED_VALUE"""),0.0)</f>
        <v>0</v>
      </c>
      <c r="H33" s="1174"/>
      <c r="I33" s="1174"/>
      <c r="N33" s="1174" t="str">
        <f t="shared" si="1"/>
        <v/>
      </c>
    </row>
    <row r="34">
      <c r="A34" s="1175">
        <f>IFERROR(__xludf.DUMMYFUNCTION("""COMPUTED_VALUE"""),45844.0)</f>
        <v>45844</v>
      </c>
      <c r="B34" s="1174" t="str">
        <f>IFERROR(__xludf.DUMMYFUNCTION("""COMPUTED_VALUE"""),"k-113-9915467-1181843")</f>
        <v>k-113-9915467-1181843</v>
      </c>
      <c r="C34" s="1174" t="str">
        <f>IFERROR(__xludf.DUMMYFUNCTION("""COMPUTED_VALUE"""),"JULIO")</f>
        <v>JULIO</v>
      </c>
      <c r="D34" s="1174" t="b">
        <f>IFERROR(__xludf.DUMMYFUNCTION("""COMPUTED_VALUE"""),FALSE)</f>
        <v>0</v>
      </c>
      <c r="E34" s="1174" t="str">
        <f>IFERROR(__xludf.DUMMYFUNCTION("""COMPUTED_VALUE"""),"Laptop")</f>
        <v>Laptop</v>
      </c>
      <c r="F34" s="1176">
        <f>IFERROR(__xludf.DUMMYFUNCTION("""COMPUTED_VALUE"""),1399.99)</f>
        <v>1399.99</v>
      </c>
      <c r="G34" s="1177">
        <f>IFERROR(__xludf.DUMMYFUNCTION("""COMPUTED_VALUE"""),0.0)</f>
        <v>0</v>
      </c>
      <c r="H34" s="1174"/>
      <c r="I34" s="1174"/>
      <c r="N34" s="1174" t="str">
        <f t="shared" si="1"/>
        <v/>
      </c>
    </row>
    <row r="35">
      <c r="A35" s="1175">
        <f>IFERROR(__xludf.DUMMYFUNCTION("""COMPUTED_VALUE"""),45854.0)</f>
        <v>45854</v>
      </c>
      <c r="B35" s="1174" t="str">
        <f>IFERROR(__xludf.DUMMYFUNCTION("""COMPUTED_VALUE"""),"k-as-10001100356")</f>
        <v>k-as-10001100356</v>
      </c>
      <c r="C35" s="1174" t="str">
        <f>IFERROR(__xludf.DUMMYFUNCTION("""COMPUTED_VALUE"""),"JULIO")</f>
        <v>JULIO</v>
      </c>
      <c r="D35" s="1174" t="b">
        <f>IFERROR(__xludf.DUMMYFUNCTION("""COMPUTED_VALUE"""),FALSE)</f>
        <v>0</v>
      </c>
      <c r="E35" s="1174" t="str">
        <f>IFERROR(__xludf.DUMMYFUNCTION("""COMPUTED_VALUE"""),"Laptop")</f>
        <v>Laptop</v>
      </c>
      <c r="F35" s="1176">
        <f>IFERROR(__xludf.DUMMYFUNCTION("""COMPUTED_VALUE"""),2699.0)</f>
        <v>2699</v>
      </c>
      <c r="G35" s="1177">
        <f>IFERROR(__xludf.DUMMYFUNCTION("""COMPUTED_VALUE"""),0.0)</f>
        <v>0</v>
      </c>
      <c r="H35" s="1174"/>
      <c r="I35" s="1174"/>
      <c r="N35" s="1174" t="str">
        <f t="shared" si="1"/>
        <v/>
      </c>
    </row>
    <row r="36">
      <c r="A36" s="1175">
        <f>IFERROR(__xludf.DUMMYFUNCTION("""COMPUTED_VALUE"""),45855.0)</f>
        <v>45855</v>
      </c>
      <c r="B36" s="1174" t="str">
        <f>IFERROR(__xludf.DUMMYFUNCTION("""COMPUTED_VALUE"""),"Ka-.19741153")</f>
        <v>Ka-.19741153</v>
      </c>
      <c r="C36" s="1174" t="str">
        <f>IFERROR(__xludf.DUMMYFUNCTION("""COMPUTED_VALUE"""),"JULIO")</f>
        <v>JULIO</v>
      </c>
      <c r="D36" s="1174" t="b">
        <f>IFERROR(__xludf.DUMMYFUNCTION("""COMPUTED_VALUE"""),FALSE)</f>
        <v>0</v>
      </c>
      <c r="E36" s="1174" t="str">
        <f>IFERROR(__xludf.DUMMYFUNCTION("""COMPUTED_VALUE"""),"Laptop")</f>
        <v>Laptop</v>
      </c>
      <c r="F36" s="1176">
        <f>IFERROR(__xludf.DUMMYFUNCTION("""COMPUTED_VALUE"""),1799.99)</f>
        <v>1799.99</v>
      </c>
      <c r="G36" s="1177">
        <f>IFERROR(__xludf.DUMMYFUNCTION("""COMPUTED_VALUE"""),0.0)</f>
        <v>0</v>
      </c>
      <c r="H36" s="1174"/>
      <c r="I36" s="1174"/>
      <c r="N36" s="1174" t="str">
        <f t="shared" si="1"/>
        <v/>
      </c>
    </row>
    <row r="37">
      <c r="A37" s="1175">
        <f>IFERROR(__xludf.DUMMYFUNCTION("""COMPUTED_VALUE"""),45856.0)</f>
        <v>45856</v>
      </c>
      <c r="B37" s="1174" t="str">
        <f>IFERROR(__xludf.DUMMYFUNCTION("""COMPUTED_VALUE"""),"K-a-113-3882344-1363456")</f>
        <v>K-a-113-3882344-1363456</v>
      </c>
      <c r="C37" s="1174" t="str">
        <f>IFERROR(__xludf.DUMMYFUNCTION("""COMPUTED_VALUE"""),"JULIO")</f>
        <v>JULIO</v>
      </c>
      <c r="D37" s="1174" t="b">
        <f>IFERROR(__xludf.DUMMYFUNCTION("""COMPUTED_VALUE"""),FALSE)</f>
        <v>0</v>
      </c>
      <c r="E37" s="1174" t="str">
        <f>IFERROR(__xludf.DUMMYFUNCTION("""COMPUTED_VALUE"""),"Laptop")</f>
        <v>Laptop</v>
      </c>
      <c r="F37" s="1176"/>
      <c r="G37" s="1177">
        <f>IFERROR(__xludf.DUMMYFUNCTION("""COMPUTED_VALUE"""),0.0)</f>
        <v>0</v>
      </c>
      <c r="H37" s="1174"/>
      <c r="I37" s="1174"/>
      <c r="N37" s="1174" t="str">
        <f t="shared" si="1"/>
        <v/>
      </c>
    </row>
    <row r="38">
      <c r="A38" s="1175">
        <f>IFERROR(__xludf.DUMMYFUNCTION("""COMPUTED_VALUE"""),45856.0)</f>
        <v>45856</v>
      </c>
      <c r="B38" s="1174" t="str">
        <f>IFERROR(__xludf.DUMMYFUNCTION("""COMPUTED_VALUE"""),"k-e-13-13134-32744")</f>
        <v>k-e-13-13134-32744</v>
      </c>
      <c r="C38" s="1174" t="str">
        <f>IFERROR(__xludf.DUMMYFUNCTION("""COMPUTED_VALUE"""),"JULIO")</f>
        <v>JULIO</v>
      </c>
      <c r="D38" s="1174" t="b">
        <f>IFERROR(__xludf.DUMMYFUNCTION("""COMPUTED_VALUE"""),FALSE)</f>
        <v>0</v>
      </c>
      <c r="E38" s="1174" t="str">
        <f>IFERROR(__xludf.DUMMYFUNCTION("""COMPUTED_VALUE"""),"Laptop")</f>
        <v>Laptop</v>
      </c>
      <c r="F38" s="1176"/>
      <c r="G38" s="1177">
        <f>IFERROR(__xludf.DUMMYFUNCTION("""COMPUTED_VALUE"""),0.0)</f>
        <v>0</v>
      </c>
      <c r="H38" s="1174"/>
      <c r="I38" s="1174"/>
      <c r="N38" s="1174" t="str">
        <f t="shared" si="1"/>
        <v/>
      </c>
    </row>
    <row r="39">
      <c r="A39" s="1175">
        <f>IFERROR(__xludf.DUMMYFUNCTION("""COMPUTED_VALUE"""),45856.0)</f>
        <v>45856</v>
      </c>
      <c r="B39" s="1174" t="str">
        <f>IFERROR(__xludf.DUMMYFUNCTION("""COMPUTED_VALUE"""),"k-e-26-13190-72003")</f>
        <v>k-e-26-13190-72003</v>
      </c>
      <c r="C39" s="1174" t="str">
        <f>IFERROR(__xludf.DUMMYFUNCTION("""COMPUTED_VALUE"""),"JULIO")</f>
        <v>JULIO</v>
      </c>
      <c r="D39" s="1174" t="b">
        <f>IFERROR(__xludf.DUMMYFUNCTION("""COMPUTED_VALUE"""),FALSE)</f>
        <v>0</v>
      </c>
      <c r="E39" s="1174" t="str">
        <f>IFERROR(__xludf.DUMMYFUNCTION("""COMPUTED_VALUE"""),"Laptop")</f>
        <v>Laptop</v>
      </c>
      <c r="F39" s="1176"/>
      <c r="G39" s="1177">
        <f>IFERROR(__xludf.DUMMYFUNCTION("""COMPUTED_VALUE"""),0.0)</f>
        <v>0</v>
      </c>
      <c r="H39" s="1174"/>
      <c r="I39" s="1174"/>
      <c r="N39" s="1174" t="str">
        <f t="shared" si="1"/>
        <v/>
      </c>
    </row>
    <row r="40">
      <c r="A40" s="1175">
        <f>IFERROR(__xludf.DUMMYFUNCTION("""COMPUTED_VALUE"""),45856.0)</f>
        <v>45856</v>
      </c>
      <c r="B40" s="1174" t="str">
        <f>IFERROR(__xludf.DUMMYFUNCTION("""COMPUTED_VALUE"""),"k-a-113-1459869-9670617")</f>
        <v>k-a-113-1459869-9670617</v>
      </c>
      <c r="C40" s="1174" t="str">
        <f>IFERROR(__xludf.DUMMYFUNCTION("""COMPUTED_VALUE"""),"JULIO")</f>
        <v>JULIO</v>
      </c>
      <c r="D40" s="1174" t="b">
        <f>IFERROR(__xludf.DUMMYFUNCTION("""COMPUTED_VALUE"""),FALSE)</f>
        <v>0</v>
      </c>
      <c r="E40" s="1174" t="str">
        <f>IFERROR(__xludf.DUMMYFUNCTION("""COMPUTED_VALUE"""),"Laptop")</f>
        <v>Laptop</v>
      </c>
      <c r="F40" s="1176">
        <f>IFERROR(__xludf.DUMMYFUNCTION("""COMPUTED_VALUE"""),1497.99)</f>
        <v>1497.99</v>
      </c>
      <c r="G40" s="1177">
        <f>IFERROR(__xludf.DUMMYFUNCTION("""COMPUTED_VALUE"""),0.0)</f>
        <v>0</v>
      </c>
      <c r="H40" s="1174"/>
      <c r="I40" s="1174"/>
      <c r="N40" s="1174" t="str">
        <f t="shared" si="1"/>
        <v/>
      </c>
    </row>
    <row r="41">
      <c r="A41" s="1175">
        <f>IFERROR(__xludf.DUMMYFUNCTION("""COMPUTED_VALUE"""),45857.0)</f>
        <v>45857</v>
      </c>
      <c r="B41" s="1174" t="str">
        <f>IFERROR(__xludf.DUMMYFUNCTION("""COMPUTED_VALUE"""),"S-e-06-13347-30507")</f>
        <v>S-e-06-13347-30507</v>
      </c>
      <c r="C41" s="1174" t="str">
        <f>IFERROR(__xludf.DUMMYFUNCTION("""COMPUTED_VALUE"""),"JULIO")</f>
        <v>JULIO</v>
      </c>
      <c r="D41" s="1174" t="b">
        <f>IFERROR(__xludf.DUMMYFUNCTION("""COMPUTED_VALUE"""),FALSE)</f>
        <v>0</v>
      </c>
      <c r="E41" s="1174" t="str">
        <f>IFERROR(__xludf.DUMMYFUNCTION("""COMPUTED_VALUE"""),"Laptop")</f>
        <v>Laptop</v>
      </c>
      <c r="F41" s="1176">
        <f>IFERROR(__xludf.DUMMYFUNCTION("""COMPUTED_VALUE"""),1249.99)</f>
        <v>1249.99</v>
      </c>
      <c r="G41" s="1177">
        <f>IFERROR(__xludf.DUMMYFUNCTION("""COMPUTED_VALUE"""),0.0)</f>
        <v>0</v>
      </c>
      <c r="H41" s="1174"/>
      <c r="I41" s="1174"/>
      <c r="N41" s="1174" t="str">
        <f t="shared" si="1"/>
        <v/>
      </c>
    </row>
    <row r="42">
      <c r="A42" s="1175">
        <f>IFERROR(__xludf.DUMMYFUNCTION("""COMPUTED_VALUE"""),45857.0)</f>
        <v>45857</v>
      </c>
      <c r="B42" s="1174" t="str">
        <f>IFERROR(__xludf.DUMMYFUNCTION("""COMPUTED_VALUE"""),"K-e-23-13325-14579")</f>
        <v>K-e-23-13325-14579</v>
      </c>
      <c r="C42" s="1174" t="str">
        <f>IFERROR(__xludf.DUMMYFUNCTION("""COMPUTED_VALUE"""),"JULIO")</f>
        <v>JULIO</v>
      </c>
      <c r="D42" s="1174" t="b">
        <f>IFERROR(__xludf.DUMMYFUNCTION("""COMPUTED_VALUE"""),FALSE)</f>
        <v>0</v>
      </c>
      <c r="E42" s="1174" t="str">
        <f>IFERROR(__xludf.DUMMYFUNCTION("""COMPUTED_VALUE"""),"Laptop")</f>
        <v>Laptop</v>
      </c>
      <c r="F42" s="1176">
        <f>IFERROR(__xludf.DUMMYFUNCTION("""COMPUTED_VALUE"""),2149.99)</f>
        <v>2149.99</v>
      </c>
      <c r="G42" s="1177">
        <f>IFERROR(__xludf.DUMMYFUNCTION("""COMPUTED_VALUE"""),0.0)</f>
        <v>0</v>
      </c>
      <c r="H42" s="1174"/>
      <c r="I42" s="1174"/>
      <c r="N42" s="1174" t="str">
        <f t="shared" si="1"/>
        <v/>
      </c>
    </row>
    <row r="43">
      <c r="A43" s="1175">
        <f>IFERROR(__xludf.DUMMYFUNCTION("""COMPUTED_VALUE"""),45859.0)</f>
        <v>45859</v>
      </c>
      <c r="B43" s="1174" t="str">
        <f>IFERROR(__xludf.DUMMYFUNCTION("""COMPUTED_VALUE"""),"L-M-110625-02")</f>
        <v>L-M-110625-02</v>
      </c>
      <c r="C43" s="1174" t="str">
        <f>IFERROR(__xludf.DUMMYFUNCTION("""COMPUTED_VALUE"""),"JULIO")</f>
        <v>JULIO</v>
      </c>
      <c r="D43" s="1174" t="b">
        <f>IFERROR(__xludf.DUMMYFUNCTION("""COMPUTED_VALUE"""),FALSE)</f>
        <v>0</v>
      </c>
      <c r="E43" s="1174" t="str">
        <f>IFERROR(__xludf.DUMMYFUNCTION("""COMPUTED_VALUE"""),"Laptop")</f>
        <v>Laptop</v>
      </c>
      <c r="F43" s="1176"/>
      <c r="G43" s="1177">
        <f>IFERROR(__xludf.DUMMYFUNCTION("""COMPUTED_VALUE"""),0.0)</f>
        <v>0</v>
      </c>
      <c r="H43" s="1174"/>
      <c r="I43" s="1174"/>
      <c r="N43" s="1174" t="str">
        <f t="shared" si="1"/>
        <v/>
      </c>
    </row>
    <row r="44">
      <c r="A44" s="1175">
        <f>IFERROR(__xludf.DUMMYFUNCTION("""COMPUTED_VALUE"""),45859.0)</f>
        <v>45859</v>
      </c>
      <c r="B44" s="1174" t="str">
        <f>IFERROR(__xludf.DUMMYFUNCTION("""COMPUTED_VALUE"""),"1213072008")</f>
        <v>1213072008</v>
      </c>
      <c r="C44" s="1174" t="str">
        <f>IFERROR(__xludf.DUMMYFUNCTION("""COMPUTED_VALUE"""),"JULIO")</f>
        <v>JULIO</v>
      </c>
      <c r="D44" s="1174" t="b">
        <f>IFERROR(__xludf.DUMMYFUNCTION("""COMPUTED_VALUE"""),FALSE)</f>
        <v>0</v>
      </c>
      <c r="E44" s="1174" t="str">
        <f>IFERROR(__xludf.DUMMYFUNCTION("""COMPUTED_VALUE"""),"Laptop")</f>
        <v>Laptop</v>
      </c>
      <c r="F44" s="1176">
        <f>IFERROR(__xludf.DUMMYFUNCTION("""COMPUTED_VALUE"""),1699.0)</f>
        <v>1699</v>
      </c>
      <c r="G44" s="1177">
        <f>IFERROR(__xludf.DUMMYFUNCTION("""COMPUTED_VALUE"""),0.0)</f>
        <v>0</v>
      </c>
      <c r="H44" s="1174"/>
      <c r="I44" s="1174"/>
      <c r="N44" s="1174" t="str">
        <f t="shared" si="1"/>
        <v/>
      </c>
    </row>
    <row r="45">
      <c r="A45" s="1175">
        <f>IFERROR(__xludf.DUMMYFUNCTION("""COMPUTED_VALUE"""),45864.0)</f>
        <v>45864</v>
      </c>
      <c r="B45" s="1174" t="str">
        <f>IFERROR(__xludf.DUMMYFUNCTION("""COMPUTED_VALUE"""),"K-BBY01-807074538874")</f>
        <v>K-BBY01-807074538874</v>
      </c>
      <c r="C45" s="1174" t="str">
        <f>IFERROR(__xludf.DUMMYFUNCTION("""COMPUTED_VALUE"""),"JULIO")</f>
        <v>JULIO</v>
      </c>
      <c r="D45" s="1174" t="b">
        <f>IFERROR(__xludf.DUMMYFUNCTION("""COMPUTED_VALUE"""),FALSE)</f>
        <v>0</v>
      </c>
      <c r="E45" s="1174" t="str">
        <f>IFERROR(__xludf.DUMMYFUNCTION("""COMPUTED_VALUE"""),"Laptop")</f>
        <v>Laptop</v>
      </c>
      <c r="F45" s="1176"/>
      <c r="G45" s="1177">
        <f>IFERROR(__xludf.DUMMYFUNCTION("""COMPUTED_VALUE"""),0.0)</f>
        <v>0</v>
      </c>
      <c r="H45" s="1174"/>
      <c r="I45" s="1174"/>
      <c r="N45" s="1174" t="str">
        <f t="shared" si="1"/>
        <v/>
      </c>
    </row>
    <row r="46">
      <c r="A46" s="1175">
        <f>IFERROR(__xludf.DUMMYFUNCTION("""COMPUTED_VALUE"""),45864.0)</f>
        <v>45864</v>
      </c>
      <c r="B46" s="1174" t="str">
        <f>IFERROR(__xludf.DUMMYFUNCTION("""COMPUTED_VALUE"""),"k-e-04-13145-70539")</f>
        <v>k-e-04-13145-70539</v>
      </c>
      <c r="C46" s="1174" t="str">
        <f>IFERROR(__xludf.DUMMYFUNCTION("""COMPUTED_VALUE"""),"JULIO")</f>
        <v>JULIO</v>
      </c>
      <c r="D46" s="1174" t="b">
        <f>IFERROR(__xludf.DUMMYFUNCTION("""COMPUTED_VALUE"""),FALSE)</f>
        <v>0</v>
      </c>
      <c r="E46" s="1174" t="str">
        <f>IFERROR(__xludf.DUMMYFUNCTION("""COMPUTED_VALUE"""),"Laptop")</f>
        <v>Laptop</v>
      </c>
      <c r="F46" s="1176"/>
      <c r="G46" s="1177">
        <f>IFERROR(__xludf.DUMMYFUNCTION("""COMPUTED_VALUE"""),0.0)</f>
        <v>0</v>
      </c>
      <c r="H46" s="1174"/>
      <c r="I46" s="1174"/>
      <c r="N46" s="1174" t="str">
        <f t="shared" si="1"/>
        <v/>
      </c>
    </row>
    <row r="47">
      <c r="A47" s="1175">
        <f>IFERROR(__xludf.DUMMYFUNCTION("""COMPUTED_VALUE"""),45869.0)</f>
        <v>45869</v>
      </c>
      <c r="B47" s="1174" t="str">
        <f>IFERROR(__xludf.DUMMYFUNCTION("""COMPUTED_VALUE"""),"k-BBY01-807070599645")</f>
        <v>k-BBY01-807070599645</v>
      </c>
      <c r="C47" s="1174" t="str">
        <f>IFERROR(__xludf.DUMMYFUNCTION("""COMPUTED_VALUE"""),"JULIO")</f>
        <v>JULIO</v>
      </c>
      <c r="D47" s="1174" t="b">
        <f>IFERROR(__xludf.DUMMYFUNCTION("""COMPUTED_VALUE"""),FALSE)</f>
        <v>0</v>
      </c>
      <c r="E47" s="1174" t="str">
        <f>IFERROR(__xludf.DUMMYFUNCTION("""COMPUTED_VALUE"""),"Laptop")</f>
        <v>Laptop</v>
      </c>
      <c r="F47" s="1176"/>
      <c r="G47" s="1177">
        <f>IFERROR(__xludf.DUMMYFUNCTION("""COMPUTED_VALUE"""),0.0)</f>
        <v>0</v>
      </c>
      <c r="H47" s="1174"/>
      <c r="I47" s="1174"/>
      <c r="N47" s="1174" t="str">
        <f t="shared" si="1"/>
        <v/>
      </c>
    </row>
    <row r="48">
      <c r="A48" s="1175">
        <f>IFERROR(__xludf.DUMMYFUNCTION("""COMPUTED_VALUE"""),45871.0)</f>
        <v>45871</v>
      </c>
      <c r="B48" s="1174" t="str">
        <f>IFERROR(__xludf.DUMMYFUNCTION("""COMPUTED_VALUE"""),"K-s-18-13376-88666")</f>
        <v>K-s-18-13376-88666</v>
      </c>
      <c r="C48" s="1174" t="str">
        <f>IFERROR(__xludf.DUMMYFUNCTION("""COMPUTED_VALUE"""),"AGOSTO")</f>
        <v>AGOSTO</v>
      </c>
      <c r="D48" s="1174" t="b">
        <f>IFERROR(__xludf.DUMMYFUNCTION("""COMPUTED_VALUE"""),TRUE)</f>
        <v>1</v>
      </c>
      <c r="E48" s="1174" t="str">
        <f>IFERROR(__xludf.DUMMYFUNCTION("""COMPUTED_VALUE"""),"Laptop")</f>
        <v>Laptop</v>
      </c>
      <c r="F48" s="1176"/>
      <c r="G48" s="1177"/>
      <c r="H48" s="1174"/>
      <c r="I48" s="1174"/>
      <c r="N48" s="1174" t="str">
        <f t="shared" si="1"/>
        <v/>
      </c>
    </row>
    <row r="49">
      <c r="A49" s="1175">
        <f>IFERROR(__xludf.DUMMYFUNCTION("""COMPUTED_VALUE"""),45871.0)</f>
        <v>45871</v>
      </c>
      <c r="B49" s="1174" t="str">
        <f>IFERROR(__xludf.DUMMYFUNCTION("""COMPUTED_VALUE"""),"K-BBY01-807073477876")</f>
        <v>K-BBY01-807073477876</v>
      </c>
      <c r="C49" s="1174" t="str">
        <f>IFERROR(__xludf.DUMMYFUNCTION("""COMPUTED_VALUE"""),"AGOSTO")</f>
        <v>AGOSTO</v>
      </c>
      <c r="D49" s="1174" t="b">
        <f>IFERROR(__xludf.DUMMYFUNCTION("""COMPUTED_VALUE"""),TRUE)</f>
        <v>1</v>
      </c>
      <c r="E49" s="1174" t="str">
        <f>IFERROR(__xludf.DUMMYFUNCTION("""COMPUTED_VALUE"""),"Laptop")</f>
        <v>Laptop</v>
      </c>
      <c r="F49" s="1176"/>
      <c r="G49" s="1177">
        <f>IFERROR(__xludf.DUMMYFUNCTION("""COMPUTED_VALUE"""),0.0)</f>
        <v>0</v>
      </c>
      <c r="H49" s="1174"/>
      <c r="I49" s="1174"/>
      <c r="N49" s="1174" t="str">
        <f t="shared" si="1"/>
        <v/>
      </c>
    </row>
    <row r="50">
      <c r="A50" s="1175">
        <f>IFERROR(__xludf.DUMMYFUNCTION("""COMPUTED_VALUE"""),45876.0)</f>
        <v>45876</v>
      </c>
      <c r="B50" s="1174" t="str">
        <f>IFERROR(__xludf.DUMMYFUNCTION("""COMPUTED_VALUE"""),"k-e-21-13407-54806")</f>
        <v>k-e-21-13407-54806</v>
      </c>
      <c r="C50" s="1174" t="str">
        <f>IFERROR(__xludf.DUMMYFUNCTION("""COMPUTED_VALUE"""),"AGOSTO")</f>
        <v>AGOSTO</v>
      </c>
      <c r="D50" s="1174" t="b">
        <f>IFERROR(__xludf.DUMMYFUNCTION("""COMPUTED_VALUE"""),TRUE)</f>
        <v>1</v>
      </c>
      <c r="E50" s="1174" t="str">
        <f>IFERROR(__xludf.DUMMYFUNCTION("""COMPUTED_VALUE"""),"Laptop")</f>
        <v>Laptop</v>
      </c>
      <c r="F50" s="1176">
        <f>IFERROR(__xludf.DUMMYFUNCTION("""COMPUTED_VALUE"""),1649.0)</f>
        <v>1649</v>
      </c>
      <c r="G50" s="1177"/>
      <c r="H50" s="1174"/>
      <c r="I50" s="1174"/>
      <c r="N50" s="1174" t="str">
        <f t="shared" si="1"/>
        <v/>
      </c>
    </row>
    <row r="51">
      <c r="A51" s="1175">
        <f>IFERROR(__xludf.DUMMYFUNCTION("""COMPUTED_VALUE"""),45877.0)</f>
        <v>45877</v>
      </c>
      <c r="B51" s="1174" t="str">
        <f>IFERROR(__xludf.DUMMYFUNCTION("""COMPUTED_VALUE"""),"J-M-198409012")</f>
        <v>J-M-198409012</v>
      </c>
      <c r="C51" s="1174" t="str">
        <f>IFERROR(__xludf.DUMMYFUNCTION("""COMPUTED_VALUE"""),"AGOSTO")</f>
        <v>AGOSTO</v>
      </c>
      <c r="D51" s="1174" t="b">
        <f>IFERROR(__xludf.DUMMYFUNCTION("""COMPUTED_VALUE"""),TRUE)</f>
        <v>1</v>
      </c>
      <c r="E51" s="1174" t="str">
        <f>IFERROR(__xludf.DUMMYFUNCTION("""COMPUTED_VALUE"""),"Laptop")</f>
        <v>Laptop</v>
      </c>
      <c r="F51" s="1176">
        <f>IFERROR(__xludf.DUMMYFUNCTION("""COMPUTED_VALUE"""),3199.0)</f>
        <v>3199</v>
      </c>
      <c r="G51" s="1177">
        <f>IFERROR(__xludf.DUMMYFUNCTION("""COMPUTED_VALUE"""),0.0)</f>
        <v>0</v>
      </c>
      <c r="H51" s="1174"/>
      <c r="I51" s="1174"/>
      <c r="N51" s="1174" t="str">
        <f t="shared" si="1"/>
        <v/>
      </c>
    </row>
    <row r="52">
      <c r="A52" s="1175">
        <f>IFERROR(__xludf.DUMMYFUNCTION("""COMPUTED_VALUE"""),45877.0)</f>
        <v>45877</v>
      </c>
      <c r="B52" s="1174" t="str">
        <f>IFERROR(__xludf.DUMMYFUNCTION("""COMPUTED_VALUE"""),"1214828689")</f>
        <v>1214828689</v>
      </c>
      <c r="C52" s="1174" t="str">
        <f>IFERROR(__xludf.DUMMYFUNCTION("""COMPUTED_VALUE"""),"AGOSTO")</f>
        <v>AGOSTO</v>
      </c>
      <c r="D52" s="1174" t="b">
        <f>IFERROR(__xludf.DUMMYFUNCTION("""COMPUTED_VALUE"""),TRUE)</f>
        <v>1</v>
      </c>
      <c r="E52" s="1174" t="str">
        <f>IFERROR(__xludf.DUMMYFUNCTION("""COMPUTED_VALUE"""),"Laptop")</f>
        <v>Laptop</v>
      </c>
      <c r="F52" s="1176">
        <f>IFERROR(__xludf.DUMMYFUNCTION("""COMPUTED_VALUE"""),1699.0)</f>
        <v>1699</v>
      </c>
      <c r="G52" s="1177"/>
      <c r="H52" s="1174"/>
      <c r="I52" s="1174"/>
      <c r="N52" s="1174" t="str">
        <f t="shared" si="1"/>
        <v/>
      </c>
    </row>
    <row r="53">
      <c r="A53" s="1175">
        <f>IFERROR(__xludf.DUMMYFUNCTION("""COMPUTED_VALUE"""),45877.0)</f>
        <v>45877</v>
      </c>
      <c r="B53" s="1174" t="str">
        <f>IFERROR(__xludf.DUMMYFUNCTION("""COMPUTED_VALUE"""),"L-M-110625-01")</f>
        <v>L-M-110625-01</v>
      </c>
      <c r="C53" s="1174" t="str">
        <f>IFERROR(__xludf.DUMMYFUNCTION("""COMPUTED_VALUE"""),"AGOSTO")</f>
        <v>AGOSTO</v>
      </c>
      <c r="D53" s="1174" t="b">
        <f>IFERROR(__xludf.DUMMYFUNCTION("""COMPUTED_VALUE"""),TRUE)</f>
        <v>1</v>
      </c>
      <c r="E53" s="1174" t="str">
        <f>IFERROR(__xludf.DUMMYFUNCTION("""COMPUTED_VALUE"""),"Laptop")</f>
        <v>Laptop</v>
      </c>
      <c r="F53" s="1176"/>
      <c r="G53" s="1177">
        <f>IFERROR(__xludf.DUMMYFUNCTION("""COMPUTED_VALUE"""),0.0)</f>
        <v>0</v>
      </c>
      <c r="H53" s="1174"/>
      <c r="I53" s="1174"/>
      <c r="N53" s="1174" t="str">
        <f t="shared" si="1"/>
        <v/>
      </c>
    </row>
    <row r="54">
      <c r="A54" s="1175">
        <f>IFERROR(__xludf.DUMMYFUNCTION("""COMPUTED_VALUE"""),45877.0)</f>
        <v>45877</v>
      </c>
      <c r="B54" s="1174" t="str">
        <f>IFERROR(__xludf.DUMMYFUNCTION("""COMPUTED_VALUE"""),"k-msi-429966")</f>
        <v>k-msi-429966</v>
      </c>
      <c r="C54" s="1174" t="str">
        <f>IFERROR(__xludf.DUMMYFUNCTION("""COMPUTED_VALUE"""),"AGOSTO")</f>
        <v>AGOSTO</v>
      </c>
      <c r="D54" s="1174" t="b">
        <f>IFERROR(__xludf.DUMMYFUNCTION("""COMPUTED_VALUE"""),TRUE)</f>
        <v>1</v>
      </c>
      <c r="E54" s="1174" t="str">
        <f>IFERROR(__xludf.DUMMYFUNCTION("""COMPUTED_VALUE"""),"Laptop")</f>
        <v>Laptop</v>
      </c>
      <c r="F54" s="1176"/>
      <c r="G54" s="1177"/>
      <c r="H54" s="1174"/>
      <c r="I54" s="1174"/>
      <c r="N54" s="1174" t="str">
        <f t="shared" si="1"/>
        <v/>
      </c>
    </row>
    <row r="55">
      <c r="A55" s="1175">
        <f>IFERROR(__xludf.DUMMYFUNCTION("""COMPUTED_VALUE"""),45882.0)</f>
        <v>45882</v>
      </c>
      <c r="B55" s="1174" t="str">
        <f>IFERROR(__xludf.DUMMYFUNCTION("""COMPUTED_VALUE"""),"K- BBY01-807076547420")</f>
        <v>K- BBY01-807076547420</v>
      </c>
      <c r="C55" s="1174" t="str">
        <f>IFERROR(__xludf.DUMMYFUNCTION("""COMPUTED_VALUE"""),"AGOSTO")</f>
        <v>AGOSTO</v>
      </c>
      <c r="D55" s="1174" t="b">
        <f>IFERROR(__xludf.DUMMYFUNCTION("""COMPUTED_VALUE"""),TRUE)</f>
        <v>1</v>
      </c>
      <c r="E55" s="1174" t="str">
        <f>IFERROR(__xludf.DUMMYFUNCTION("""COMPUTED_VALUE"""),"Laptop")</f>
        <v>Laptop</v>
      </c>
      <c r="F55" s="1176"/>
      <c r="G55" s="1177">
        <f>IFERROR(__xludf.DUMMYFUNCTION("""COMPUTED_VALUE"""),0.0)</f>
        <v>0</v>
      </c>
      <c r="H55" s="1174"/>
      <c r="I55" s="1174"/>
      <c r="N55" s="1174" t="str">
        <f t="shared" si="1"/>
        <v/>
      </c>
    </row>
    <row r="56">
      <c r="A56" s="1175">
        <f>IFERROR(__xludf.DUMMYFUNCTION("""COMPUTED_VALUE"""),45885.0)</f>
        <v>45885</v>
      </c>
      <c r="B56" s="1174" t="str">
        <f>IFERROR(__xludf.DUMMYFUNCTION("""COMPUTED_VALUE"""),"k-a-113-0229234-1522664")</f>
        <v>k-a-113-0229234-1522664</v>
      </c>
      <c r="C56" s="1174"/>
      <c r="D56" s="1174" t="b">
        <f>IFERROR(__xludf.DUMMYFUNCTION("""COMPUTED_VALUE"""),FALSE)</f>
        <v>0</v>
      </c>
      <c r="E56" s="1174" t="str">
        <f>IFERROR(__xludf.DUMMYFUNCTION("""COMPUTED_VALUE"""),"Laptop")</f>
        <v>Laptop</v>
      </c>
      <c r="F56" s="1176">
        <f>IFERROR(__xludf.DUMMYFUNCTION("""COMPUTED_VALUE"""),1699.0)</f>
        <v>1699</v>
      </c>
      <c r="G56" s="1177">
        <f>IFERROR(__xludf.DUMMYFUNCTION("""COMPUTED_VALUE"""),0.0)</f>
        <v>0</v>
      </c>
      <c r="H56" s="1174"/>
      <c r="I56" s="1174"/>
      <c r="N56" s="1174" t="str">
        <f t="shared" si="1"/>
        <v/>
      </c>
    </row>
    <row r="57">
      <c r="A57" s="1175">
        <f>IFERROR(__xludf.DUMMYFUNCTION("""COMPUTED_VALUE"""),45885.0)</f>
        <v>45885</v>
      </c>
      <c r="B57" s="1174" t="str">
        <f>IFERROR(__xludf.DUMMYFUNCTION("""COMPUTED_VALUE"""),"K-n-574660831")</f>
        <v>K-n-574660831</v>
      </c>
      <c r="C57" s="1174" t="str">
        <f>IFERROR(__xludf.DUMMYFUNCTION("""COMPUTED_VALUE"""),"AGOSTO")</f>
        <v>AGOSTO</v>
      </c>
      <c r="D57" s="1174" t="b">
        <f>IFERROR(__xludf.DUMMYFUNCTION("""COMPUTED_VALUE"""),TRUE)</f>
        <v>1</v>
      </c>
      <c r="E57" s="1174" t="str">
        <f>IFERROR(__xludf.DUMMYFUNCTION("""COMPUTED_VALUE"""),"Laptop")</f>
        <v>Laptop</v>
      </c>
      <c r="F57" s="1176">
        <f>IFERROR(__xludf.DUMMYFUNCTION("""COMPUTED_VALUE"""),2141.99)</f>
        <v>2141.99</v>
      </c>
      <c r="G57" s="1177">
        <f>IFERROR(__xludf.DUMMYFUNCTION("""COMPUTED_VALUE"""),0.0)</f>
        <v>0</v>
      </c>
      <c r="H57" s="1174"/>
      <c r="I57" s="1174"/>
      <c r="N57" s="1174" t="str">
        <f t="shared" si="1"/>
        <v/>
      </c>
    </row>
    <row r="58">
      <c r="A58" s="1175">
        <f>IFERROR(__xludf.DUMMYFUNCTION("""COMPUTED_VALUE"""),45888.0)</f>
        <v>45888</v>
      </c>
      <c r="B58" s="1174" t="str">
        <f>IFERROR(__xludf.DUMMYFUNCTION("""COMPUTED_VALUE"""),"K-R-BBY01-807074684387  - 2")</f>
        <v>K-R-BBY01-807074684387  - 2</v>
      </c>
      <c r="C58" s="1174" t="str">
        <f>IFERROR(__xludf.DUMMYFUNCTION("""COMPUTED_VALUE"""),"AGOSTO")</f>
        <v>AGOSTO</v>
      </c>
      <c r="D58" s="1174" t="b">
        <f>IFERROR(__xludf.DUMMYFUNCTION("""COMPUTED_VALUE"""),TRUE)</f>
        <v>1</v>
      </c>
      <c r="E58" s="1174" t="str">
        <f>IFERROR(__xludf.DUMMYFUNCTION("""COMPUTED_VALUE"""),"Laptop")</f>
        <v>Laptop</v>
      </c>
      <c r="F58" s="1176">
        <f>IFERROR(__xludf.DUMMYFUNCTION("""COMPUTED_VALUE"""),1549.0)</f>
        <v>1549</v>
      </c>
      <c r="G58" s="1177">
        <f>IFERROR(__xludf.DUMMYFUNCTION("""COMPUTED_VALUE"""),0.0)</f>
        <v>0</v>
      </c>
      <c r="H58" s="1174"/>
      <c r="I58" s="1174"/>
      <c r="N58" s="1174" t="str">
        <f t="shared" si="1"/>
        <v/>
      </c>
    </row>
    <row r="59">
      <c r="A59" s="1175">
        <f>IFERROR(__xludf.DUMMYFUNCTION("""COMPUTED_VALUE"""),45889.0)</f>
        <v>45889</v>
      </c>
      <c r="B59" s="1174" t="str">
        <f>IFERROR(__xludf.DUMMYFUNCTION("""COMPUTED_VALUE"""),"S-BBY01-807078080004")</f>
        <v>S-BBY01-807078080004</v>
      </c>
      <c r="C59" s="1174" t="str">
        <f>IFERROR(__xludf.DUMMYFUNCTION("""COMPUTED_VALUE"""),"AGOSTO")</f>
        <v>AGOSTO</v>
      </c>
      <c r="D59" s="1174" t="b">
        <f>IFERROR(__xludf.DUMMYFUNCTION("""COMPUTED_VALUE"""),TRUE)</f>
        <v>1</v>
      </c>
      <c r="E59" s="1174" t="str">
        <f>IFERROR(__xludf.DUMMYFUNCTION("""COMPUTED_VALUE"""),"Laptop")</f>
        <v>Laptop</v>
      </c>
      <c r="F59" s="1176"/>
      <c r="G59" s="1177">
        <f>IFERROR(__xludf.DUMMYFUNCTION("""COMPUTED_VALUE"""),0.0)</f>
        <v>0</v>
      </c>
      <c r="H59" s="1174"/>
      <c r="I59" s="1174"/>
      <c r="N59" s="1174" t="str">
        <f t="shared" si="1"/>
        <v/>
      </c>
    </row>
    <row r="60">
      <c r="A60" s="1175">
        <f>IFERROR(__xludf.DUMMYFUNCTION("""COMPUTED_VALUE"""),45891.0)</f>
        <v>45891</v>
      </c>
      <c r="B60" s="1174" t="str">
        <f>IFERROR(__xludf.DUMMYFUNCTION("""COMPUTED_VALUE"""),"k-e-05-13491-35245")</f>
        <v>k-e-05-13491-35245</v>
      </c>
      <c r="C60" s="1174" t="str">
        <f>IFERROR(__xludf.DUMMYFUNCTION("""COMPUTED_VALUE"""),"AGOSTO")</f>
        <v>AGOSTO</v>
      </c>
      <c r="D60" s="1174" t="b">
        <f>IFERROR(__xludf.DUMMYFUNCTION("""COMPUTED_VALUE"""),TRUE)</f>
        <v>1</v>
      </c>
      <c r="E60" s="1174" t="str">
        <f>IFERROR(__xludf.DUMMYFUNCTION("""COMPUTED_VALUE"""),"Laptop")</f>
        <v>Laptop</v>
      </c>
      <c r="F60" s="1176">
        <f>IFERROR(__xludf.DUMMYFUNCTION("""COMPUTED_VALUE"""),1349.0)</f>
        <v>1349</v>
      </c>
      <c r="G60" s="1177">
        <f>IFERROR(__xludf.DUMMYFUNCTION("""COMPUTED_VALUE"""),0.0)</f>
        <v>0</v>
      </c>
      <c r="H60" s="1174"/>
      <c r="I60" s="1174"/>
      <c r="N60" s="1174" t="str">
        <f t="shared" si="1"/>
        <v/>
      </c>
    </row>
    <row r="61">
      <c r="A61" s="1175">
        <f>IFERROR(__xludf.DUMMYFUNCTION("""COMPUTED_VALUE"""),45892.0)</f>
        <v>45892</v>
      </c>
      <c r="B61" s="1174" t="str">
        <f>IFERROR(__xludf.DUMMYFUNCTION("""COMPUTED_VALUE"""),"k-e-04-13480-91382")</f>
        <v>k-e-04-13480-91382</v>
      </c>
      <c r="C61" s="1174" t="str">
        <f>IFERROR(__xludf.DUMMYFUNCTION("""COMPUTED_VALUE"""),"AGOSTO")</f>
        <v>AGOSTO</v>
      </c>
      <c r="D61" s="1174" t="b">
        <f>IFERROR(__xludf.DUMMYFUNCTION("""COMPUTED_VALUE"""),TRUE)</f>
        <v>1</v>
      </c>
      <c r="E61" s="1174" t="str">
        <f>IFERROR(__xludf.DUMMYFUNCTION("""COMPUTED_VALUE"""),"Laptop")</f>
        <v>Laptop</v>
      </c>
      <c r="F61" s="1176"/>
      <c r="G61" s="1177">
        <f>IFERROR(__xludf.DUMMYFUNCTION("""COMPUTED_VALUE"""),0.0)</f>
        <v>0</v>
      </c>
      <c r="H61" s="1174"/>
      <c r="I61" s="1174"/>
      <c r="N61" s="1174" t="str">
        <f t="shared" si="1"/>
        <v/>
      </c>
    </row>
    <row r="62">
      <c r="A62" s="1175">
        <f>IFERROR(__xludf.DUMMYFUNCTION("""COMPUTED_VALUE"""),45888.0)</f>
        <v>45888</v>
      </c>
      <c r="B62" s="1174" t="str">
        <f>IFERROR(__xludf.DUMMYFUNCTION("""COMPUTED_VALUE"""),"k-e-22-13479-46426")</f>
        <v>k-e-22-13479-46426</v>
      </c>
      <c r="C62" s="1174" t="str">
        <f>IFERROR(__xludf.DUMMYFUNCTION("""COMPUTED_VALUE"""),"AGOSTO")</f>
        <v>AGOSTO</v>
      </c>
      <c r="D62" s="1174" t="b">
        <f>IFERROR(__xludf.DUMMYFUNCTION("""COMPUTED_VALUE"""),TRUE)</f>
        <v>1</v>
      </c>
      <c r="E62" s="1174" t="str">
        <f>IFERROR(__xludf.DUMMYFUNCTION("""COMPUTED_VALUE"""),"Laptop")</f>
        <v>Laptop</v>
      </c>
      <c r="F62" s="1176">
        <f>IFERROR(__xludf.DUMMYFUNCTION("""COMPUTED_VALUE"""),2199.99)</f>
        <v>2199.99</v>
      </c>
      <c r="G62" s="1177">
        <f>IFERROR(__xludf.DUMMYFUNCTION("""COMPUTED_VALUE"""),0.0)</f>
        <v>0</v>
      </c>
      <c r="H62" s="1174"/>
      <c r="I62" s="1174"/>
      <c r="N62" s="1174" t="str">
        <f t="shared" si="1"/>
        <v/>
      </c>
    </row>
    <row r="63">
      <c r="A63" s="1175">
        <f>IFERROR(__xludf.DUMMYFUNCTION("""COMPUTED_VALUE"""),45896.0)</f>
        <v>45896</v>
      </c>
      <c r="B63" s="1174" t="str">
        <f>IFERROR(__xludf.DUMMYFUNCTION("""COMPUTED_VALUE"""),"G-D-2008459968112")</f>
        <v>G-D-2008459968112</v>
      </c>
      <c r="C63" s="1174" t="str">
        <f>IFERROR(__xludf.DUMMYFUNCTION("""COMPUTED_VALUE"""),"AGOSTO")</f>
        <v>AGOSTO</v>
      </c>
      <c r="D63" s="1174" t="b">
        <f>IFERROR(__xludf.DUMMYFUNCTION("""COMPUTED_VALUE"""),TRUE)</f>
        <v>1</v>
      </c>
      <c r="E63" s="1174" t="str">
        <f>IFERROR(__xludf.DUMMYFUNCTION("""COMPUTED_VALUE"""),"Laptop")</f>
        <v>Laptop</v>
      </c>
      <c r="F63" s="1176"/>
      <c r="G63" s="1177">
        <f>IFERROR(__xludf.DUMMYFUNCTION("""COMPUTED_VALUE"""),11.0)</f>
        <v>11</v>
      </c>
      <c r="H63" s="1174"/>
      <c r="I63" s="1174"/>
      <c r="N63" s="1174" t="str">
        <f t="shared" si="1"/>
        <v/>
      </c>
    </row>
    <row r="64">
      <c r="A64" s="1175">
        <f>IFERROR(__xludf.DUMMYFUNCTION("""COMPUTED_VALUE"""),45897.0)</f>
        <v>45897</v>
      </c>
      <c r="B64" s="1174" t="str">
        <f>IFERROR(__xludf.DUMMYFUNCTION("""COMPUTED_VALUE"""),"y-BBY01-807082272244")</f>
        <v>y-BBY01-807082272244</v>
      </c>
      <c r="C64" s="1174" t="str">
        <f>IFERROR(__xludf.DUMMYFUNCTION("""COMPUTED_VALUE"""),"AGOSTO")</f>
        <v>AGOSTO</v>
      </c>
      <c r="D64" s="1174" t="b">
        <f>IFERROR(__xludf.DUMMYFUNCTION("""COMPUTED_VALUE"""),TRUE)</f>
        <v>1</v>
      </c>
      <c r="E64" s="1174" t="str">
        <f>IFERROR(__xludf.DUMMYFUNCTION("""COMPUTED_VALUE"""),"Laptop")</f>
        <v>Laptop</v>
      </c>
      <c r="F64" s="1176"/>
      <c r="G64" s="1177">
        <f>IFERROR(__xludf.DUMMYFUNCTION("""COMPUTED_VALUE"""),0.0)</f>
        <v>0</v>
      </c>
      <c r="H64" s="1174"/>
      <c r="I64" s="1174"/>
      <c r="N64" s="1174" t="str">
        <f t="shared" si="1"/>
        <v/>
      </c>
    </row>
    <row r="65">
      <c r="A65" s="1175">
        <f>IFERROR(__xludf.DUMMYFUNCTION("""COMPUTED_VALUE"""),45904.0)</f>
        <v>45904</v>
      </c>
      <c r="B65" s="1174" t="str">
        <f>IFERROR(__xludf.DUMMYFUNCTION("""COMPUTED_VALUE"""),"k-a-113-4738491-9509033")</f>
        <v>k-a-113-4738491-9509033</v>
      </c>
      <c r="C65" s="1174" t="str">
        <f>IFERROR(__xludf.DUMMYFUNCTION("""COMPUTED_VALUE"""),"SETIEMBRE")</f>
        <v>SETIEMBRE</v>
      </c>
      <c r="D65" s="1174" t="b">
        <f>IFERROR(__xludf.DUMMYFUNCTION("""COMPUTED_VALUE"""),TRUE)</f>
        <v>1</v>
      </c>
      <c r="E65" s="1174" t="str">
        <f>IFERROR(__xludf.DUMMYFUNCTION("""COMPUTED_VALUE"""),"Laptop")</f>
        <v>Laptop</v>
      </c>
      <c r="F65" s="1176">
        <f>IFERROR(__xludf.DUMMYFUNCTION("""COMPUTED_VALUE"""),1274.99)</f>
        <v>1274.99</v>
      </c>
      <c r="G65" s="1177">
        <f>IFERROR(__xludf.DUMMYFUNCTION("""COMPUTED_VALUE"""),0.0)</f>
        <v>0</v>
      </c>
      <c r="H65" s="1174"/>
      <c r="I65" s="1174"/>
      <c r="N65" s="1174" t="str">
        <f t="shared" si="1"/>
        <v/>
      </c>
    </row>
    <row r="66">
      <c r="A66" s="1175">
        <f>IFERROR(__xludf.DUMMYFUNCTION("""COMPUTED_VALUE"""),45904.0)</f>
        <v>45904</v>
      </c>
      <c r="B66" s="1174" t="str">
        <f>IFERROR(__xludf.DUMMYFUNCTION("""COMPUTED_VALUE"""),"r-m-19762698")</f>
        <v>r-m-19762698</v>
      </c>
      <c r="C66" s="1174" t="str">
        <f>IFERROR(__xludf.DUMMYFUNCTION("""COMPUTED_VALUE"""),"SETIEMBRE")</f>
        <v>SETIEMBRE</v>
      </c>
      <c r="D66" s="1174" t="b">
        <f>IFERROR(__xludf.DUMMYFUNCTION("""COMPUTED_VALUE"""),TRUE)</f>
        <v>1</v>
      </c>
      <c r="E66" s="1174" t="str">
        <f>IFERROR(__xludf.DUMMYFUNCTION("""COMPUTED_VALUE"""),"Laptop")</f>
        <v>Laptop</v>
      </c>
      <c r="F66" s="1176">
        <f>IFERROR(__xludf.DUMMYFUNCTION("""COMPUTED_VALUE"""),1799.99)</f>
        <v>1799.99</v>
      </c>
      <c r="G66" s="1177">
        <f>IFERROR(__xludf.DUMMYFUNCTION("""COMPUTED_VALUE"""),0.0)</f>
        <v>0</v>
      </c>
      <c r="H66" s="1174"/>
      <c r="I66" s="1174"/>
      <c r="N66" s="1174" t="str">
        <f t="shared" si="1"/>
        <v/>
      </c>
    </row>
    <row r="67">
      <c r="A67" s="1175">
        <f>IFERROR(__xludf.DUMMYFUNCTION("""COMPUTED_VALUE"""),45904.0)</f>
        <v>45904</v>
      </c>
      <c r="B67" s="1174" t="str">
        <f>IFERROR(__xludf.DUMMYFUNCTION("""COMPUTED_VALUE"""),"s-e-01-13509-63363")</f>
        <v>s-e-01-13509-63363</v>
      </c>
      <c r="C67" s="1174" t="str">
        <f>IFERROR(__xludf.DUMMYFUNCTION("""COMPUTED_VALUE"""),"SETIEMBRE")</f>
        <v>SETIEMBRE</v>
      </c>
      <c r="D67" s="1174" t="b">
        <f>IFERROR(__xludf.DUMMYFUNCTION("""COMPUTED_VALUE"""),TRUE)</f>
        <v>1</v>
      </c>
      <c r="E67" s="1174" t="str">
        <f>IFERROR(__xludf.DUMMYFUNCTION("""COMPUTED_VALUE"""),"Laptop")</f>
        <v>Laptop</v>
      </c>
      <c r="F67" s="1176">
        <f>IFERROR(__xludf.DUMMYFUNCTION("""COMPUTED_VALUE"""),1149.99)</f>
        <v>1149.99</v>
      </c>
      <c r="G67" s="1177">
        <f>IFERROR(__xludf.DUMMYFUNCTION("""COMPUTED_VALUE"""),0.0)</f>
        <v>0</v>
      </c>
      <c r="H67" s="1174"/>
      <c r="I67" s="1174"/>
      <c r="N67" s="1174" t="str">
        <f t="shared" si="1"/>
        <v/>
      </c>
    </row>
    <row r="68">
      <c r="A68" s="1175">
        <f>IFERROR(__xludf.DUMMYFUNCTION("""COMPUTED_VALUE"""),45906.0)</f>
        <v>45906</v>
      </c>
      <c r="B68" s="1174" t="str">
        <f>IFERROR(__xludf.DUMMYFUNCTION("""COMPUTED_VALUE"""),"k-e-08-13545-83481")</f>
        <v>k-e-08-13545-83481</v>
      </c>
      <c r="C68" s="1174" t="str">
        <f>IFERROR(__xludf.DUMMYFUNCTION("""COMPUTED_VALUE"""),"SETIEMBRE")</f>
        <v>SETIEMBRE</v>
      </c>
      <c r="D68" s="1174" t="b">
        <f>IFERROR(__xludf.DUMMYFUNCTION("""COMPUTED_VALUE"""),TRUE)</f>
        <v>1</v>
      </c>
      <c r="E68" s="1174" t="str">
        <f>IFERROR(__xludf.DUMMYFUNCTION("""COMPUTED_VALUE"""),"Laptop")</f>
        <v>Laptop</v>
      </c>
      <c r="F68" s="1176">
        <f>IFERROR(__xludf.DUMMYFUNCTION("""COMPUTED_VALUE"""),1999.0)</f>
        <v>1999</v>
      </c>
      <c r="G68" s="1177">
        <f>IFERROR(__xludf.DUMMYFUNCTION("""COMPUTED_VALUE"""),0.0)</f>
        <v>0</v>
      </c>
      <c r="H68" s="1174"/>
      <c r="I68" s="1174"/>
      <c r="N68" s="1174" t="str">
        <f t="shared" si="1"/>
        <v/>
      </c>
    </row>
    <row r="69">
      <c r="A69" s="1175">
        <f>IFERROR(__xludf.DUMMYFUNCTION("""COMPUTED_VALUE"""),45907.0)</f>
        <v>45907</v>
      </c>
      <c r="B69" s="1174" t="str">
        <f>IFERROR(__xludf.DUMMYFUNCTION("""COMPUTED_VALUE"""),"s-BBY01-807082508977")</f>
        <v>s-BBY01-807082508977</v>
      </c>
      <c r="C69" s="1174" t="str">
        <f>IFERROR(__xludf.DUMMYFUNCTION("""COMPUTED_VALUE"""),"SETIEMBRE")</f>
        <v>SETIEMBRE</v>
      </c>
      <c r="D69" s="1174" t="b">
        <f>IFERROR(__xludf.DUMMYFUNCTION("""COMPUTED_VALUE"""),TRUE)</f>
        <v>1</v>
      </c>
      <c r="E69" s="1174" t="str">
        <f>IFERROR(__xludf.DUMMYFUNCTION("""COMPUTED_VALUE"""),"Laptop")</f>
        <v>Laptop</v>
      </c>
      <c r="F69" s="1176">
        <f>IFERROR(__xludf.DUMMYFUNCTION("""COMPUTED_VALUE"""),1149.99)</f>
        <v>1149.99</v>
      </c>
      <c r="G69" s="1177">
        <f>IFERROR(__xludf.DUMMYFUNCTION("""COMPUTED_VALUE"""),0.0)</f>
        <v>0</v>
      </c>
      <c r="H69" s="1174"/>
      <c r="I69" s="1174"/>
      <c r="N69" s="1174" t="str">
        <f t="shared" si="1"/>
        <v/>
      </c>
    </row>
    <row r="70">
      <c r="A70" s="1175">
        <f>IFERROR(__xludf.DUMMYFUNCTION("""COMPUTED_VALUE"""),45906.0)</f>
        <v>45906</v>
      </c>
      <c r="B70" s="1174" t="str">
        <f>IFERROR(__xludf.DUMMYFUNCTION("""COMPUTED_VALUE"""),"y-BBY01-807082285541")</f>
        <v>y-BBY01-807082285541</v>
      </c>
      <c r="C70" s="1174" t="str">
        <f>IFERROR(__xludf.DUMMYFUNCTION("""COMPUTED_VALUE"""),"SETIEMBRE")</f>
        <v>SETIEMBRE</v>
      </c>
      <c r="D70" s="1174" t="b">
        <f>IFERROR(__xludf.DUMMYFUNCTION("""COMPUTED_VALUE"""),TRUE)</f>
        <v>1</v>
      </c>
      <c r="E70" s="1174" t="str">
        <f>IFERROR(__xludf.DUMMYFUNCTION("""COMPUTED_VALUE"""),"Laptop")</f>
        <v>Laptop</v>
      </c>
      <c r="F70" s="1176"/>
      <c r="G70" s="1177">
        <f>IFERROR(__xludf.DUMMYFUNCTION("""COMPUTED_VALUE"""),0.0)</f>
        <v>0</v>
      </c>
      <c r="H70" s="1174"/>
      <c r="I70" s="1174"/>
      <c r="N70" s="1174" t="str">
        <f t="shared" si="1"/>
        <v/>
      </c>
    </row>
    <row r="71">
      <c r="A71" s="1175">
        <f>IFERROR(__xludf.DUMMYFUNCTION("""COMPUTED_VALUE"""),45906.0)</f>
        <v>45906</v>
      </c>
      <c r="B71" s="1174" t="str">
        <f>IFERROR(__xludf.DUMMYFUNCTION("""COMPUTED_VALUE"""),"k-a-113-3854545-1670647")</f>
        <v>k-a-113-3854545-1670647</v>
      </c>
      <c r="C71" s="1174" t="str">
        <f>IFERROR(__xludf.DUMMYFUNCTION("""COMPUTED_VALUE"""),"SETIEMBRE")</f>
        <v>SETIEMBRE</v>
      </c>
      <c r="D71" s="1174" t="b">
        <f>IFERROR(__xludf.DUMMYFUNCTION("""COMPUTED_VALUE"""),TRUE)</f>
        <v>1</v>
      </c>
      <c r="E71" s="1174" t="str">
        <f>IFERROR(__xludf.DUMMYFUNCTION("""COMPUTED_VALUE"""),"Laptop")</f>
        <v>Laptop</v>
      </c>
      <c r="F71" s="1176">
        <f>IFERROR(__xludf.DUMMYFUNCTION("""COMPUTED_VALUE"""),1499.0)</f>
        <v>1499</v>
      </c>
      <c r="G71" s="1177">
        <f>IFERROR(__xludf.DUMMYFUNCTION("""COMPUTED_VALUE"""),0.0)</f>
        <v>0</v>
      </c>
      <c r="H71" s="1174"/>
      <c r="I71" s="1174"/>
      <c r="N71" s="1174" t="str">
        <f t="shared" si="1"/>
        <v/>
      </c>
    </row>
    <row r="72">
      <c r="A72" s="1175">
        <f>IFERROR(__xludf.DUMMYFUNCTION("""COMPUTED_VALUE"""),45910.0)</f>
        <v>45910</v>
      </c>
      <c r="B72" s="1174" t="str">
        <f>IFERROR(__xludf.DUMMYFUNCTION("""COMPUTED_VALUE"""),"k-a-113-2803302-1105068")</f>
        <v>k-a-113-2803302-1105068</v>
      </c>
      <c r="C72" s="1174" t="str">
        <f>IFERROR(__xludf.DUMMYFUNCTION("""COMPUTED_VALUE"""),"SETIEMBRE")</f>
        <v>SETIEMBRE</v>
      </c>
      <c r="D72" s="1174" t="b">
        <f>IFERROR(__xludf.DUMMYFUNCTION("""COMPUTED_VALUE"""),TRUE)</f>
        <v>1</v>
      </c>
      <c r="E72" s="1174" t="str">
        <f>IFERROR(__xludf.DUMMYFUNCTION("""COMPUTED_VALUE"""),"Laptop")</f>
        <v>Laptop</v>
      </c>
      <c r="F72" s="1176">
        <f>IFERROR(__xludf.DUMMYFUNCTION("""COMPUTED_VALUE"""),1149.0)</f>
        <v>1149</v>
      </c>
      <c r="G72" s="1177">
        <f>IFERROR(__xludf.DUMMYFUNCTION("""COMPUTED_VALUE"""),0.0)</f>
        <v>0</v>
      </c>
      <c r="H72" s="1174"/>
      <c r="I72" s="1174"/>
      <c r="N72" s="1174" t="str">
        <f t="shared" si="1"/>
        <v/>
      </c>
    </row>
    <row r="73">
      <c r="A73" s="1175">
        <f>IFERROR(__xludf.DUMMYFUNCTION("""COMPUTED_VALUE"""),45910.0)</f>
        <v>45910</v>
      </c>
      <c r="B73" s="1174" t="str">
        <f>IFERROR(__xludf.DUMMYFUNCTION("""COMPUTED_VALUE"""),"1217751766")</f>
        <v>1217751766</v>
      </c>
      <c r="C73" s="1174" t="str">
        <f>IFERROR(__xludf.DUMMYFUNCTION("""COMPUTED_VALUE"""),"SETIEMBRE")</f>
        <v>SETIEMBRE</v>
      </c>
      <c r="D73" s="1174" t="b">
        <f>IFERROR(__xludf.DUMMYFUNCTION("""COMPUTED_VALUE"""),TRUE)</f>
        <v>1</v>
      </c>
      <c r="E73" s="1174" t="str">
        <f>IFERROR(__xludf.DUMMYFUNCTION("""COMPUTED_VALUE"""),"Laptop")</f>
        <v>Laptop</v>
      </c>
      <c r="F73" s="1176"/>
      <c r="G73" s="1177">
        <f>IFERROR(__xludf.DUMMYFUNCTION("""COMPUTED_VALUE"""),0.0)</f>
        <v>0</v>
      </c>
      <c r="H73" s="1174"/>
      <c r="I73" s="1174"/>
      <c r="N73" s="1174" t="str">
        <f t="shared" si="1"/>
        <v/>
      </c>
    </row>
    <row r="74">
      <c r="A74" s="1175">
        <f>IFERROR(__xludf.DUMMYFUNCTION("""COMPUTED_VALUE"""),45912.0)</f>
        <v>45912</v>
      </c>
      <c r="B74" s="1174" t="str">
        <f>IFERROR(__xludf.DUMMYFUNCTION("""COMPUTED_VALUE"""),"k-BBY01-807082292938")</f>
        <v>k-BBY01-807082292938</v>
      </c>
      <c r="C74" s="1174" t="str">
        <f>IFERROR(__xludf.DUMMYFUNCTION("""COMPUTED_VALUE"""),"SETIEMBRE")</f>
        <v>SETIEMBRE</v>
      </c>
      <c r="D74" s="1174" t="b">
        <f>IFERROR(__xludf.DUMMYFUNCTION("""COMPUTED_VALUE"""),TRUE)</f>
        <v>1</v>
      </c>
      <c r="E74" s="1174" t="str">
        <f>IFERROR(__xludf.DUMMYFUNCTION("""COMPUTED_VALUE"""),"Laptop")</f>
        <v>Laptop</v>
      </c>
      <c r="F74" s="1176">
        <f>IFERROR(__xludf.DUMMYFUNCTION("""COMPUTED_VALUE"""),1599.99)</f>
        <v>1599.99</v>
      </c>
      <c r="G74" s="1177">
        <f>IFERROR(__xludf.DUMMYFUNCTION("""COMPUTED_VALUE"""),0.0)</f>
        <v>0</v>
      </c>
      <c r="H74" s="1174"/>
      <c r="I74" s="1174"/>
      <c r="N74" s="1174" t="str">
        <f t="shared" si="1"/>
        <v/>
      </c>
    </row>
    <row r="75">
      <c r="A75" s="1175">
        <f>IFERROR(__xludf.DUMMYFUNCTION("""COMPUTED_VALUE"""),45912.0)</f>
        <v>45912</v>
      </c>
      <c r="B75" s="1174" t="str">
        <f>IFERROR(__xludf.DUMMYFUNCTION("""COMPUTED_VALUE"""),"k-e-27-13551-97500")</f>
        <v>k-e-27-13551-97500</v>
      </c>
      <c r="C75" s="1174" t="str">
        <f>IFERROR(__xludf.DUMMYFUNCTION("""COMPUTED_VALUE"""),"SETIEMBRE")</f>
        <v>SETIEMBRE</v>
      </c>
      <c r="D75" s="1174" t="b">
        <f>IFERROR(__xludf.DUMMYFUNCTION("""COMPUTED_VALUE"""),TRUE)</f>
        <v>1</v>
      </c>
      <c r="E75" s="1174" t="str">
        <f>IFERROR(__xludf.DUMMYFUNCTION("""COMPUTED_VALUE"""),"Laptop")</f>
        <v>Laptop</v>
      </c>
      <c r="F75" s="1176">
        <f>IFERROR(__xludf.DUMMYFUNCTION("""COMPUTED_VALUE"""),4299.99)</f>
        <v>4299.99</v>
      </c>
      <c r="G75" s="1177"/>
      <c r="H75" s="1174"/>
      <c r="I75" s="1174"/>
      <c r="N75" s="1174" t="str">
        <f t="shared" si="1"/>
        <v/>
      </c>
    </row>
    <row r="76">
      <c r="A76" s="1175">
        <f>IFERROR(__xludf.DUMMYFUNCTION("""COMPUTED_VALUE"""),45913.0)</f>
        <v>45913</v>
      </c>
      <c r="B76" s="1174" t="str">
        <f>IFERROR(__xludf.DUMMYFUNCTION("""COMPUTED_VALUE"""),"k-BBY01-807082281707")</f>
        <v>k-BBY01-807082281707</v>
      </c>
      <c r="C76" s="1174" t="str">
        <f>IFERROR(__xludf.DUMMYFUNCTION("""COMPUTED_VALUE"""),"SETIEMBRE")</f>
        <v>SETIEMBRE</v>
      </c>
      <c r="D76" s="1174" t="b">
        <f>IFERROR(__xludf.DUMMYFUNCTION("""COMPUTED_VALUE"""),TRUE)</f>
        <v>1</v>
      </c>
      <c r="E76" s="1174" t="str">
        <f>IFERROR(__xludf.DUMMYFUNCTION("""COMPUTED_VALUE"""),"Laptop")</f>
        <v>Laptop</v>
      </c>
      <c r="F76" s="1176">
        <f>IFERROR(__xludf.DUMMYFUNCTION("""COMPUTED_VALUE"""),1599.99)</f>
        <v>1599.99</v>
      </c>
      <c r="G76" s="1177">
        <f>IFERROR(__xludf.DUMMYFUNCTION("""COMPUTED_VALUE"""),0.0)</f>
        <v>0</v>
      </c>
      <c r="H76" s="1174"/>
      <c r="I76" s="1174"/>
      <c r="N76" s="1174" t="str">
        <f t="shared" si="1"/>
        <v/>
      </c>
    </row>
    <row r="77">
      <c r="A77" s="1175">
        <f>IFERROR(__xludf.DUMMYFUNCTION("""COMPUTED_VALUE"""),45914.0)</f>
        <v>45914</v>
      </c>
      <c r="B77" s="1174" t="str">
        <f>IFERROR(__xludf.DUMMYFUNCTION("""COMPUTED_VALUE"""),"k-e-12-13576-81420")</f>
        <v>k-e-12-13576-81420</v>
      </c>
      <c r="C77" s="1174" t="str">
        <f>IFERROR(__xludf.DUMMYFUNCTION("""COMPUTED_VALUE"""),"SETIEMBRE")</f>
        <v>SETIEMBRE</v>
      </c>
      <c r="D77" s="1174" t="b">
        <f>IFERROR(__xludf.DUMMYFUNCTION("""COMPUTED_VALUE"""),TRUE)</f>
        <v>1</v>
      </c>
      <c r="E77" s="1174" t="str">
        <f>IFERROR(__xludf.DUMMYFUNCTION("""COMPUTED_VALUE"""),"Laptop")</f>
        <v>Laptop</v>
      </c>
      <c r="F77" s="1176">
        <f>IFERROR(__xludf.DUMMYFUNCTION("""COMPUTED_VALUE"""),1349.99)</f>
        <v>1349.99</v>
      </c>
      <c r="G77" s="1177">
        <f>IFERROR(__xludf.DUMMYFUNCTION("""COMPUTED_VALUE"""),0.0)</f>
        <v>0</v>
      </c>
      <c r="H77" s="1174"/>
      <c r="I77" s="1174"/>
      <c r="N77" s="1174" t="str">
        <f t="shared" si="1"/>
        <v/>
      </c>
    </row>
    <row r="78">
      <c r="A78" s="1175">
        <f>IFERROR(__xludf.DUMMYFUNCTION("""COMPUTED_VALUE"""),45915.0)</f>
        <v>45915</v>
      </c>
      <c r="B78" s="1174" t="str">
        <f>IFERROR(__xludf.DUMMYFUNCTION("""COMPUTED_VALUE"""),"k-b-BBY01-807087067413")</f>
        <v>k-b-BBY01-807087067413</v>
      </c>
      <c r="C78" s="1174" t="str">
        <f>IFERROR(__xludf.DUMMYFUNCTION("""COMPUTED_VALUE"""),"SETIEMBRE")</f>
        <v>SETIEMBRE</v>
      </c>
      <c r="D78" s="1174" t="b">
        <f>IFERROR(__xludf.DUMMYFUNCTION("""COMPUTED_VALUE"""),TRUE)</f>
        <v>1</v>
      </c>
      <c r="E78" s="1174" t="str">
        <f>IFERROR(__xludf.DUMMYFUNCTION("""COMPUTED_VALUE"""),"Laptop")</f>
        <v>Laptop</v>
      </c>
      <c r="F78" s="1176">
        <f>IFERROR(__xludf.DUMMYFUNCTION("""COMPUTED_VALUE"""),1799.0)</f>
        <v>1799</v>
      </c>
      <c r="G78" s="1177">
        <f>IFERROR(__xludf.DUMMYFUNCTION("""COMPUTED_VALUE"""),0.0)</f>
        <v>0</v>
      </c>
      <c r="H78" s="1174"/>
      <c r="I78" s="1174"/>
      <c r="N78" s="1174" t="str">
        <f t="shared" si="1"/>
        <v/>
      </c>
    </row>
    <row r="79">
      <c r="A79" s="1175">
        <f>IFERROR(__xludf.DUMMYFUNCTION("""COMPUTED_VALUE"""),45917.0)</f>
        <v>45917</v>
      </c>
      <c r="B79" s="1174" t="str">
        <f>IFERROR(__xludf.DUMMYFUNCTION("""COMPUTED_VALUE"""),"k-a-113-7800883-0802602")</f>
        <v>k-a-113-7800883-0802602</v>
      </c>
      <c r="C79" s="1174" t="str">
        <f>IFERROR(__xludf.DUMMYFUNCTION("""COMPUTED_VALUE"""),"SETIEMBRE")</f>
        <v>SETIEMBRE</v>
      </c>
      <c r="D79" s="1174" t="b">
        <f>IFERROR(__xludf.DUMMYFUNCTION("""COMPUTED_VALUE"""),TRUE)</f>
        <v>1</v>
      </c>
      <c r="E79" s="1174" t="str">
        <f>IFERROR(__xludf.DUMMYFUNCTION("""COMPUTED_VALUE"""),"Laptop")</f>
        <v>Laptop</v>
      </c>
      <c r="F79" s="1176">
        <f>IFERROR(__xludf.DUMMYFUNCTION("""COMPUTED_VALUE"""),1484.0)</f>
        <v>1484</v>
      </c>
      <c r="G79" s="1177">
        <f>IFERROR(__xludf.DUMMYFUNCTION("""COMPUTED_VALUE"""),0.0)</f>
        <v>0</v>
      </c>
      <c r="H79" s="1174"/>
      <c r="I79" s="1174"/>
      <c r="N79" s="1174" t="str">
        <f t="shared" si="1"/>
        <v/>
      </c>
    </row>
    <row r="80">
      <c r="A80" s="1175">
        <f>IFERROR(__xludf.DUMMYFUNCTION("""COMPUTED_VALUE"""),45925.0)</f>
        <v>45925</v>
      </c>
      <c r="B80" s="1174" t="str">
        <f>IFERROR(__xludf.DUMMYFUNCTION("""COMPUTED_VALUE"""),"BH - 1118534694")</f>
        <v>BH - 1118534694</v>
      </c>
      <c r="C80" s="1174" t="str">
        <f>IFERROR(__xludf.DUMMYFUNCTION("""COMPUTED_VALUE"""),"SETIEMBRE")</f>
        <v>SETIEMBRE</v>
      </c>
      <c r="D80" s="1174" t="b">
        <f>IFERROR(__xludf.DUMMYFUNCTION("""COMPUTED_VALUE"""),TRUE)</f>
        <v>1</v>
      </c>
      <c r="E80" s="1174" t="str">
        <f>IFERROR(__xludf.DUMMYFUNCTION("""COMPUTED_VALUE"""),"Laptop")</f>
        <v>Laptop</v>
      </c>
      <c r="F80" s="1176">
        <f>IFERROR(__xludf.DUMMYFUNCTION("""COMPUTED_VALUE"""),2199.99)</f>
        <v>2199.99</v>
      </c>
      <c r="G80" s="1177">
        <f>IFERROR(__xludf.DUMMYFUNCTION("""COMPUTED_VALUE"""),0.0)</f>
        <v>0</v>
      </c>
      <c r="H80" s="1174"/>
      <c r="I80" s="1174"/>
      <c r="N80" s="1174" t="str">
        <f t="shared" si="1"/>
        <v/>
      </c>
    </row>
    <row r="81">
      <c r="A81" s="1175">
        <f>IFERROR(__xludf.DUMMYFUNCTION("""COMPUTED_VALUE"""),45929.0)</f>
        <v>45929</v>
      </c>
      <c r="B81" s="1174" t="str">
        <f>IFERROR(__xludf.DUMMYFUNCTION("""COMPUTED_VALUE"""),"L-M-290925")</f>
        <v>L-M-290925</v>
      </c>
      <c r="C81" s="1174" t="str">
        <f>IFERROR(__xludf.DUMMYFUNCTION("""COMPUTED_VALUE"""),"SETIEMBRE")</f>
        <v>SETIEMBRE</v>
      </c>
      <c r="D81" s="1174" t="b">
        <f>IFERROR(__xludf.DUMMYFUNCTION("""COMPUTED_VALUE"""),TRUE)</f>
        <v>1</v>
      </c>
      <c r="E81" s="1174" t="str">
        <f>IFERROR(__xludf.DUMMYFUNCTION("""COMPUTED_VALUE"""),"Laptop")</f>
        <v>Laptop</v>
      </c>
      <c r="F81" s="1176">
        <f>IFERROR(__xludf.DUMMYFUNCTION("""COMPUTED_VALUE"""),1599.0)</f>
        <v>1599</v>
      </c>
      <c r="G81" s="1177">
        <f>IFERROR(__xludf.DUMMYFUNCTION("""COMPUTED_VALUE"""),0.0)</f>
        <v>0</v>
      </c>
      <c r="H81" s="1174"/>
      <c r="I81" s="1174"/>
      <c r="N81" s="1174" t="str">
        <f t="shared" si="1"/>
        <v/>
      </c>
    </row>
    <row r="82">
      <c r="A82" s="1175">
        <f>IFERROR(__xludf.DUMMYFUNCTION("""COMPUTED_VALUE"""),45927.0)</f>
        <v>45927</v>
      </c>
      <c r="B82" s="1174" t="str">
        <f>IFERROR(__xludf.DUMMYFUNCTION("""COMPUTED_VALUE"""),"K-B-BBY01-807089010748")</f>
        <v>K-B-BBY01-807089010748</v>
      </c>
      <c r="C82" s="1174" t="str">
        <f>IFERROR(__xludf.DUMMYFUNCTION("""COMPUTED_VALUE"""),"SETIEMBRE")</f>
        <v>SETIEMBRE</v>
      </c>
      <c r="D82" s="1174" t="b">
        <f>IFERROR(__xludf.DUMMYFUNCTION("""COMPUTED_VALUE"""),TRUE)</f>
        <v>1</v>
      </c>
      <c r="E82" s="1174" t="str">
        <f>IFERROR(__xludf.DUMMYFUNCTION("""COMPUTED_VALUE"""),"Laptop")</f>
        <v>Laptop</v>
      </c>
      <c r="F82" s="1176">
        <f>IFERROR(__xludf.DUMMYFUNCTION("""COMPUTED_VALUE"""),1499.99)</f>
        <v>1499.99</v>
      </c>
      <c r="G82" s="1177">
        <f>IFERROR(__xludf.DUMMYFUNCTION("""COMPUTED_VALUE"""),0.0)</f>
        <v>0</v>
      </c>
      <c r="H82" s="1174"/>
      <c r="I82" s="1174"/>
      <c r="N82" s="1174" t="str">
        <f t="shared" si="1"/>
        <v/>
      </c>
    </row>
    <row r="83">
      <c r="A83" s="1175">
        <f>IFERROR(__xludf.DUMMYFUNCTION("""COMPUTED_VALUE"""),45941.0)</f>
        <v>45941</v>
      </c>
      <c r="B83" s="1174" t="str">
        <f>IFERROR(__xludf.DUMMYFUNCTION("""COMPUTED_VALUE"""),"k-e-17-13677-23807")</f>
        <v>k-e-17-13677-23807</v>
      </c>
      <c r="C83" s="1174" t="str">
        <f>IFERROR(__xludf.DUMMYFUNCTION("""COMPUTED_VALUE"""),"OCTUBRE")</f>
        <v>OCTUBRE</v>
      </c>
      <c r="D83" s="1174" t="b">
        <f>IFERROR(__xludf.DUMMYFUNCTION("""COMPUTED_VALUE"""),TRUE)</f>
        <v>1</v>
      </c>
      <c r="E83" s="1174" t="str">
        <f>IFERROR(__xludf.DUMMYFUNCTION("""COMPUTED_VALUE"""),"Laptop")</f>
        <v>Laptop</v>
      </c>
      <c r="F83" s="1176">
        <f>IFERROR(__xludf.DUMMYFUNCTION("""COMPUTED_VALUE"""),1399.99)</f>
        <v>1399.99</v>
      </c>
      <c r="G83" s="1177">
        <f>IFERROR(__xludf.DUMMYFUNCTION("""COMPUTED_VALUE"""),955.0)</f>
        <v>955</v>
      </c>
      <c r="H83" s="1174" t="b">
        <f>IFERROR(__xludf.DUMMYFUNCTION("""COMPUTED_VALUE"""),FALSE)</f>
        <v>0</v>
      </c>
      <c r="I83" s="1174"/>
      <c r="N83" s="1174" t="str">
        <f t="shared" si="1"/>
        <v/>
      </c>
    </row>
    <row r="84">
      <c r="A84" s="1175">
        <f>IFERROR(__xludf.DUMMYFUNCTION("""COMPUTED_VALUE"""),45950.0)</f>
        <v>45950</v>
      </c>
      <c r="B84" s="1174" t="str">
        <f>IFERROR(__xludf.DUMMYFUNCTION("""COMPUTED_VALUE"""),"s-BBY01-807082290445")</f>
        <v>s-BBY01-807082290445</v>
      </c>
      <c r="C84" s="1174" t="str">
        <f>IFERROR(__xludf.DUMMYFUNCTION("""COMPUTED_VALUE"""),"OCTUBRE")</f>
        <v>OCTUBRE</v>
      </c>
      <c r="D84" s="1174" t="b">
        <f>IFERROR(__xludf.DUMMYFUNCTION("""COMPUTED_VALUE"""),TRUE)</f>
        <v>1</v>
      </c>
      <c r="E84" s="1174" t="str">
        <f>IFERROR(__xludf.DUMMYFUNCTION("""COMPUTED_VALUE"""),"Laptop")</f>
        <v>Laptop</v>
      </c>
      <c r="F84" s="1176">
        <f>IFERROR(__xludf.DUMMYFUNCTION("""COMPUTED_VALUE"""),1599.99)</f>
        <v>1599.99</v>
      </c>
      <c r="G84" s="1177">
        <f>IFERROR(__xludf.DUMMYFUNCTION("""COMPUTED_VALUE"""),143.0)</f>
        <v>143</v>
      </c>
      <c r="H84" s="1174" t="b">
        <f>IFERROR(__xludf.DUMMYFUNCTION("""COMPUTED_VALUE"""),FALSE)</f>
        <v>0</v>
      </c>
      <c r="I84" s="1174"/>
      <c r="N84" s="1174" t="str">
        <f t="shared" si="1"/>
        <v/>
      </c>
    </row>
    <row r="85">
      <c r="A85" s="1175">
        <f>IFERROR(__xludf.DUMMYFUNCTION("""COMPUTED_VALUE"""),45948.0)</f>
        <v>45948</v>
      </c>
      <c r="B85" s="1174" t="str">
        <f>IFERROR(__xludf.DUMMYFUNCTION("""COMPUTED_VALUE"""),"s-BBY01-807083090540")</f>
        <v>s-BBY01-807083090540</v>
      </c>
      <c r="C85" s="1174" t="str">
        <f>IFERROR(__xludf.DUMMYFUNCTION("""COMPUTED_VALUE"""),"OCTUBRE")</f>
        <v>OCTUBRE</v>
      </c>
      <c r="D85" s="1174" t="b">
        <f>IFERROR(__xludf.DUMMYFUNCTION("""COMPUTED_VALUE"""),TRUE)</f>
        <v>1</v>
      </c>
      <c r="E85" s="1174" t="str">
        <f>IFERROR(__xludf.DUMMYFUNCTION("""COMPUTED_VALUE"""),"Laptop")</f>
        <v>Laptop</v>
      </c>
      <c r="F85" s="1176">
        <f>IFERROR(__xludf.DUMMYFUNCTION("""COMPUTED_VALUE"""),1599.99)</f>
        <v>1599.99</v>
      </c>
      <c r="G85" s="1177">
        <f>IFERROR(__xludf.DUMMYFUNCTION("""COMPUTED_VALUE"""),-1116.0)</f>
        <v>-1116</v>
      </c>
      <c r="H85" s="1174" t="b">
        <f>IFERROR(__xludf.DUMMYFUNCTION("""COMPUTED_VALUE"""),FALSE)</f>
        <v>0</v>
      </c>
      <c r="I85" s="1174"/>
      <c r="N85" s="1174" t="str">
        <f t="shared" si="1"/>
        <v/>
      </c>
    </row>
    <row r="86">
      <c r="A86" s="1175">
        <f>IFERROR(__xludf.DUMMYFUNCTION("""COMPUTED_VALUE"""),45934.0)</f>
        <v>45934</v>
      </c>
      <c r="B86" s="1174" t="str">
        <f>IFERROR(__xludf.DUMMYFUNCTION("""COMPUTED_VALUE"""),"k-e-02-13465-02387")</f>
        <v>k-e-02-13465-02387</v>
      </c>
      <c r="C86" s="1174" t="str">
        <f>IFERROR(__xludf.DUMMYFUNCTION("""COMPUTED_VALUE"""),"OCTUBRE")</f>
        <v>OCTUBRE</v>
      </c>
      <c r="D86" s="1174" t="b">
        <f>IFERROR(__xludf.DUMMYFUNCTION("""COMPUTED_VALUE"""),TRUE)</f>
        <v>1</v>
      </c>
      <c r="E86" s="1174" t="str">
        <f>IFERROR(__xludf.DUMMYFUNCTION("""COMPUTED_VALUE"""),"Laptop")</f>
        <v>Laptop</v>
      </c>
      <c r="F86" s="1176">
        <f>IFERROR(__xludf.DUMMYFUNCTION("""COMPUTED_VALUE"""),1649.99)</f>
        <v>1649.99</v>
      </c>
      <c r="G86" s="1177">
        <f>IFERROR(__xludf.DUMMYFUNCTION("""COMPUTED_VALUE"""),-349.0)</f>
        <v>-349</v>
      </c>
      <c r="H86" s="1174" t="b">
        <f>IFERROR(__xludf.DUMMYFUNCTION("""COMPUTED_VALUE"""),FALSE)</f>
        <v>0</v>
      </c>
      <c r="I86" s="1174"/>
      <c r="N86" s="1174" t="str">
        <f t="shared" si="1"/>
        <v/>
      </c>
    </row>
    <row r="87">
      <c r="A87" s="1175">
        <f>IFERROR(__xludf.DUMMYFUNCTION("""COMPUTED_VALUE"""),45952.0)</f>
        <v>45952</v>
      </c>
      <c r="B87" s="1174" t="str">
        <f>IFERROR(__xludf.DUMMYFUNCTION("""COMPUTED_VALUE"""),"s-e-08-13689-46307")</f>
        <v>s-e-08-13689-46307</v>
      </c>
      <c r="C87" s="1174" t="str">
        <f>IFERROR(__xludf.DUMMYFUNCTION("""COMPUTED_VALUE"""),"OCTUBRE")</f>
        <v>OCTUBRE</v>
      </c>
      <c r="D87" s="1174" t="b">
        <f>IFERROR(__xludf.DUMMYFUNCTION("""COMPUTED_VALUE"""),TRUE)</f>
        <v>1</v>
      </c>
      <c r="E87" s="1174" t="str">
        <f>IFERROR(__xludf.DUMMYFUNCTION("""COMPUTED_VALUE"""),"Laptop")</f>
        <v>Laptop</v>
      </c>
      <c r="F87" s="1176">
        <f>IFERROR(__xludf.DUMMYFUNCTION("""COMPUTED_VALUE"""),1599.99)</f>
        <v>1599.99</v>
      </c>
      <c r="G87" s="1177">
        <f>IFERROR(__xludf.DUMMYFUNCTION("""COMPUTED_VALUE"""),664.0)</f>
        <v>664</v>
      </c>
      <c r="H87" s="1174" t="b">
        <f>IFERROR(__xludf.DUMMYFUNCTION("""COMPUTED_VALUE"""),FALSE)</f>
        <v>0</v>
      </c>
      <c r="I87" s="1174"/>
      <c r="N87" s="1174" t="str">
        <f t="shared" si="1"/>
        <v/>
      </c>
    </row>
    <row r="88">
      <c r="A88" s="1175">
        <f>IFERROR(__xludf.DUMMYFUNCTION("""COMPUTED_VALUE"""),45941.0)</f>
        <v>45941</v>
      </c>
      <c r="B88" s="1174" t="str">
        <f>IFERROR(__xludf.DUMMYFUNCTION("""COMPUTED_VALUE"""),"L-M-010725-03")</f>
        <v>L-M-010725-03</v>
      </c>
      <c r="C88" s="1174" t="str">
        <f>IFERROR(__xludf.DUMMYFUNCTION("""COMPUTED_VALUE"""),"OCTUBRE")</f>
        <v>OCTUBRE</v>
      </c>
      <c r="D88" s="1174" t="b">
        <f>IFERROR(__xludf.DUMMYFUNCTION("""COMPUTED_VALUE"""),TRUE)</f>
        <v>1</v>
      </c>
      <c r="E88" s="1174" t="str">
        <f>IFERROR(__xludf.DUMMYFUNCTION("""COMPUTED_VALUE"""),"Laptop")</f>
        <v>Laptop</v>
      </c>
      <c r="F88" s="1176">
        <f>IFERROR(__xludf.DUMMYFUNCTION("""COMPUTED_VALUE"""),1499.0)</f>
        <v>1499</v>
      </c>
      <c r="G88" s="1177">
        <f>IFERROR(__xludf.DUMMYFUNCTION("""COMPUTED_VALUE"""),0.0)</f>
        <v>0</v>
      </c>
      <c r="H88" s="1174" t="b">
        <f>IFERROR(__xludf.DUMMYFUNCTION("""COMPUTED_VALUE"""),FALSE)</f>
        <v>0</v>
      </c>
      <c r="I88" s="1174"/>
      <c r="N88" s="1174" t="str">
        <f t="shared" si="1"/>
        <v/>
      </c>
    </row>
    <row r="89">
      <c r="A89" s="1175">
        <f>IFERROR(__xludf.DUMMYFUNCTION("""COMPUTED_VALUE"""),45960.0)</f>
        <v>45960</v>
      </c>
      <c r="B89" s="1174" t="str">
        <f>IFERROR(__xludf.DUMMYFUNCTION("""COMPUTED_VALUE"""),"so-BH-1124929978")</f>
        <v>so-BH-1124929978</v>
      </c>
      <c r="C89" s="1174" t="str">
        <f>IFERROR(__xludf.DUMMYFUNCTION("""COMPUTED_VALUE"""),"NOVIEMBRE")</f>
        <v>NOVIEMBRE</v>
      </c>
      <c r="D89" s="1174" t="b">
        <f>IFERROR(__xludf.DUMMYFUNCTION("""COMPUTED_VALUE"""),TRUE)</f>
        <v>1</v>
      </c>
      <c r="E89" s="1174" t="str">
        <f>IFERROR(__xludf.DUMMYFUNCTION("""COMPUTED_VALUE"""),"Laptop")</f>
        <v>Laptop</v>
      </c>
      <c r="F89" s="1176"/>
      <c r="G89" s="1177">
        <f>IFERROR(__xludf.DUMMYFUNCTION("""COMPUTED_VALUE"""),104.0)</f>
        <v>104</v>
      </c>
      <c r="H89" s="1174" t="b">
        <f>IFERROR(__xludf.DUMMYFUNCTION("""COMPUTED_VALUE"""),FALSE)</f>
        <v>0</v>
      </c>
      <c r="I89" s="1174"/>
      <c r="N89" s="1174" t="str">
        <f t="shared" si="1"/>
        <v/>
      </c>
    </row>
    <row r="90">
      <c r="A90" s="1175">
        <f>IFERROR(__xludf.DUMMYFUNCTION("""COMPUTED_VALUE"""),45960.0)</f>
        <v>45960</v>
      </c>
      <c r="B90" s="1174" t="str">
        <f>IFERROR(__xludf.DUMMYFUNCTION("""COMPUTED_VALUE"""),"so-bh-1124992039")</f>
        <v>so-bh-1124992039</v>
      </c>
      <c r="C90" s="1174" t="str">
        <f>IFERROR(__xludf.DUMMYFUNCTION("""COMPUTED_VALUE"""),"NOVIEMBRE")</f>
        <v>NOVIEMBRE</v>
      </c>
      <c r="D90" s="1174" t="b">
        <f>IFERROR(__xludf.DUMMYFUNCTION("""COMPUTED_VALUE"""),TRUE)</f>
        <v>1</v>
      </c>
      <c r="E90" s="1174" t="str">
        <f>IFERROR(__xludf.DUMMYFUNCTION("""COMPUTED_VALUE"""),"Laptop")</f>
        <v>Laptop</v>
      </c>
      <c r="F90" s="1176"/>
      <c r="G90" s="1177">
        <f>IFERROR(__xludf.DUMMYFUNCTION("""COMPUTED_VALUE"""),44.0)</f>
        <v>44</v>
      </c>
      <c r="H90" s="1174" t="b">
        <f>IFERROR(__xludf.DUMMYFUNCTION("""COMPUTED_VALUE"""),FALSE)</f>
        <v>0</v>
      </c>
      <c r="I90" s="1174"/>
      <c r="N90" s="1174" t="str">
        <f t="shared" si="1"/>
        <v/>
      </c>
    </row>
    <row r="91">
      <c r="A91" s="1175">
        <f>IFERROR(__xludf.DUMMYFUNCTION("""COMPUTED_VALUE"""),45966.0)</f>
        <v>45966</v>
      </c>
      <c r="B91" s="1174" t="str">
        <f>IFERROR(__xludf.DUMMYFUNCTION("""COMPUTED_VALUE"""),"ja-m-051125")</f>
        <v>ja-m-051125</v>
      </c>
      <c r="C91" s="1174" t="str">
        <f>IFERROR(__xludf.DUMMYFUNCTION("""COMPUTED_VALUE"""),"NOVIEMBRE")</f>
        <v>NOVIEMBRE</v>
      </c>
      <c r="D91" s="1174" t="b">
        <f>IFERROR(__xludf.DUMMYFUNCTION("""COMPUTED_VALUE"""),TRUE)</f>
        <v>1</v>
      </c>
      <c r="E91" s="1174" t="str">
        <f>IFERROR(__xludf.DUMMYFUNCTION("""COMPUTED_VALUE"""),"Laptop")</f>
        <v>Laptop</v>
      </c>
      <c r="F91" s="1176">
        <f>IFERROR(__xludf.DUMMYFUNCTION("""COMPUTED_VALUE"""),1799.0)</f>
        <v>1799</v>
      </c>
      <c r="G91" s="1177">
        <f>IFERROR(__xludf.DUMMYFUNCTION("""COMPUTED_VALUE"""),672.0)</f>
        <v>672</v>
      </c>
      <c r="H91" s="1174" t="b">
        <f>IFERROR(__xludf.DUMMYFUNCTION("""COMPUTED_VALUE"""),FALSE)</f>
        <v>0</v>
      </c>
      <c r="I91" s="1174"/>
      <c r="N91" s="1174" t="str">
        <f t="shared" si="1"/>
        <v/>
      </c>
    </row>
    <row r="92">
      <c r="A92" s="1175">
        <f>IFERROR(__xludf.DUMMYFUNCTION("""COMPUTED_VALUE"""),45966.0)</f>
        <v>45966</v>
      </c>
      <c r="B92" s="1174" t="str">
        <f>IFERROR(__xludf.DUMMYFUNCTION("""COMPUTED_VALUE"""),"ja-m-081125")</f>
        <v>ja-m-081125</v>
      </c>
      <c r="C92" s="1174" t="str">
        <f>IFERROR(__xludf.DUMMYFUNCTION("""COMPUTED_VALUE"""),"NOVIEMBRE")</f>
        <v>NOVIEMBRE</v>
      </c>
      <c r="D92" s="1174" t="b">
        <f>IFERROR(__xludf.DUMMYFUNCTION("""COMPUTED_VALUE"""),TRUE)</f>
        <v>1</v>
      </c>
      <c r="E92" s="1174" t="str">
        <f>IFERROR(__xludf.DUMMYFUNCTION("""COMPUTED_VALUE"""),"Laptop")</f>
        <v>Laptop</v>
      </c>
      <c r="F92" s="1176">
        <f>IFERROR(__xludf.DUMMYFUNCTION("""COMPUTED_VALUE"""),1799.0)</f>
        <v>1799</v>
      </c>
      <c r="G92" s="1177">
        <f>IFERROR(__xludf.DUMMYFUNCTION("""COMPUTED_VALUE"""),342.0)</f>
        <v>342</v>
      </c>
      <c r="H92" s="1174" t="b">
        <f>IFERROR(__xludf.DUMMYFUNCTION("""COMPUTED_VALUE"""),TRUE)</f>
        <v>1</v>
      </c>
      <c r="I92" s="1174"/>
      <c r="N92" s="1174" t="str">
        <f t="shared" si="1"/>
        <v/>
      </c>
    </row>
    <row r="93">
      <c r="A93" s="1175">
        <f>IFERROR(__xludf.DUMMYFUNCTION("""COMPUTED_VALUE"""),45976.0)</f>
        <v>45976</v>
      </c>
      <c r="B93" s="1174" t="str">
        <f>IFERROR(__xludf.DUMMYFUNCTION("""COMPUTED_VALUE"""),"ke-eb-01-13851-65439")</f>
        <v>ke-eb-01-13851-65439</v>
      </c>
      <c r="C93" s="1174" t="str">
        <f>IFERROR(__xludf.DUMMYFUNCTION("""COMPUTED_VALUE"""),"NOVIEMBRE")</f>
        <v>NOVIEMBRE</v>
      </c>
      <c r="D93" s="1174" t="b">
        <f>IFERROR(__xludf.DUMMYFUNCTION("""COMPUTED_VALUE"""),TRUE)</f>
        <v>1</v>
      </c>
      <c r="E93" s="1174" t="str">
        <f>IFERROR(__xludf.DUMMYFUNCTION("""COMPUTED_VALUE"""),"Laptop")</f>
        <v>Laptop</v>
      </c>
      <c r="F93" s="1176">
        <f>IFERROR(__xludf.DUMMYFUNCTION("""COMPUTED_VALUE"""),1899.99)</f>
        <v>1899.99</v>
      </c>
      <c r="G93" s="1177">
        <f>IFERROR(__xludf.DUMMYFUNCTION("""COMPUTED_VALUE"""),71.0)</f>
        <v>71</v>
      </c>
      <c r="H93" s="1174" t="b">
        <f>IFERROR(__xludf.DUMMYFUNCTION("""COMPUTED_VALUE"""),FALSE)</f>
        <v>0</v>
      </c>
      <c r="I93" s="1174" t="str">
        <f>IFERROR(__xludf.DUMMYFUNCTION("""COMPUTED_VALUE"""),"DICIEMBRE")</f>
        <v>DICIEMBRE</v>
      </c>
      <c r="N93" s="1174" t="str">
        <f t="shared" si="1"/>
        <v/>
      </c>
    </row>
    <row r="94">
      <c r="A94" s="1175">
        <f>IFERROR(__xludf.DUMMYFUNCTION("""COMPUTED_VALUE"""),45976.0)</f>
        <v>45976</v>
      </c>
      <c r="B94" s="1174" t="str">
        <f>IFERROR(__xludf.DUMMYFUNCTION("""COMPUTED_VALUE"""),"ke-eb-24-13833-96702")</f>
        <v>ke-eb-24-13833-96702</v>
      </c>
      <c r="C94" s="1174" t="str">
        <f>IFERROR(__xludf.DUMMYFUNCTION("""COMPUTED_VALUE"""),"NOVIEMBRE")</f>
        <v>NOVIEMBRE</v>
      </c>
      <c r="D94" s="1174" t="b">
        <f>IFERROR(__xludf.DUMMYFUNCTION("""COMPUTED_VALUE"""),TRUE)</f>
        <v>1</v>
      </c>
      <c r="E94" s="1174" t="str">
        <f>IFERROR(__xludf.DUMMYFUNCTION("""COMPUTED_VALUE"""),"Laptop")</f>
        <v>Laptop</v>
      </c>
      <c r="F94" s="1176">
        <f>IFERROR(__xludf.DUMMYFUNCTION("""COMPUTED_VALUE"""),1899.99)</f>
        <v>1899.99</v>
      </c>
      <c r="G94" s="1177">
        <f>IFERROR(__xludf.DUMMYFUNCTION("""COMPUTED_VALUE"""),71.0)</f>
        <v>71</v>
      </c>
      <c r="H94" s="1174" t="b">
        <f>IFERROR(__xludf.DUMMYFUNCTION("""COMPUTED_VALUE"""),FALSE)</f>
        <v>0</v>
      </c>
      <c r="I94" s="1174" t="str">
        <f>IFERROR(__xludf.DUMMYFUNCTION("""COMPUTED_VALUE"""),"DICIEMBRE")</f>
        <v>DICIEMBRE</v>
      </c>
      <c r="N94" s="1174" t="str">
        <f t="shared" si="1"/>
        <v/>
      </c>
    </row>
    <row r="95">
      <c r="A95" s="1175">
        <f>IFERROR(__xludf.DUMMYFUNCTION("""COMPUTED_VALUE"""),45976.0)</f>
        <v>45976</v>
      </c>
      <c r="B95" s="1174" t="str">
        <f>IFERROR(__xludf.DUMMYFUNCTION("""COMPUTED_VALUE"""),"ke-eb-17-13828-84738")</f>
        <v>ke-eb-17-13828-84738</v>
      </c>
      <c r="C95" s="1174" t="str">
        <f>IFERROR(__xludf.DUMMYFUNCTION("""COMPUTED_VALUE"""),"NOVIEMBRE")</f>
        <v>NOVIEMBRE</v>
      </c>
      <c r="D95" s="1174" t="b">
        <f>IFERROR(__xludf.DUMMYFUNCTION("""COMPUTED_VALUE"""),TRUE)</f>
        <v>1</v>
      </c>
      <c r="E95" s="1174" t="str">
        <f>IFERROR(__xludf.DUMMYFUNCTION("""COMPUTED_VALUE"""),"Laptop")</f>
        <v>Laptop</v>
      </c>
      <c r="F95" s="1176">
        <f>IFERROR(__xludf.DUMMYFUNCTION("""COMPUTED_VALUE"""),1749.99)</f>
        <v>1749.99</v>
      </c>
      <c r="G95" s="1177">
        <f>IFERROR(__xludf.DUMMYFUNCTION("""COMPUTED_VALUE"""),86.0)</f>
        <v>86</v>
      </c>
      <c r="H95" s="1174" t="b">
        <f>IFERROR(__xludf.DUMMYFUNCTION("""COMPUTED_VALUE"""),FALSE)</f>
        <v>0</v>
      </c>
      <c r="I95" s="1174" t="str">
        <f>IFERROR(__xludf.DUMMYFUNCTION("""COMPUTED_VALUE"""),"DICIEMBRE")</f>
        <v>DICIEMBRE</v>
      </c>
      <c r="N95" s="1174" t="str">
        <f t="shared" si="1"/>
        <v/>
      </c>
    </row>
    <row r="96">
      <c r="A96" s="1175">
        <f>IFERROR(__xludf.DUMMYFUNCTION("""COMPUTED_VALUE"""),45976.0)</f>
        <v>45976</v>
      </c>
      <c r="B96" s="1174" t="str">
        <f>IFERROR(__xludf.DUMMYFUNCTION("""COMPUTED_VALUE"""),"ke-eb-11-13837-28614")</f>
        <v>ke-eb-11-13837-28614</v>
      </c>
      <c r="C96" s="1174" t="str">
        <f>IFERROR(__xludf.DUMMYFUNCTION("""COMPUTED_VALUE"""),"NOVIEMBRE")</f>
        <v>NOVIEMBRE</v>
      </c>
      <c r="D96" s="1174" t="b">
        <f>IFERROR(__xludf.DUMMYFUNCTION("""COMPUTED_VALUE"""),TRUE)</f>
        <v>1</v>
      </c>
      <c r="E96" s="1174" t="str">
        <f>IFERROR(__xludf.DUMMYFUNCTION("""COMPUTED_VALUE"""),"Laptop")</f>
        <v>Laptop</v>
      </c>
      <c r="F96" s="1176">
        <f>IFERROR(__xludf.DUMMYFUNCTION("""COMPUTED_VALUE"""),1499.99)</f>
        <v>1499.99</v>
      </c>
      <c r="G96" s="1177">
        <f>IFERROR(__xludf.DUMMYFUNCTION("""COMPUTED_VALUE"""),292.0)</f>
        <v>292</v>
      </c>
      <c r="H96" s="1174" t="b">
        <f>IFERROR(__xludf.DUMMYFUNCTION("""COMPUTED_VALUE"""),FALSE)</f>
        <v>0</v>
      </c>
      <c r="I96" s="1174" t="str">
        <f>IFERROR(__xludf.DUMMYFUNCTION("""COMPUTED_VALUE"""),"DICIEMBRE")</f>
        <v>DICIEMBRE</v>
      </c>
      <c r="N96" s="1174" t="str">
        <f t="shared" si="1"/>
        <v/>
      </c>
    </row>
    <row r="97">
      <c r="A97" s="1175">
        <f>IFERROR(__xludf.DUMMYFUNCTION("""COMPUTED_VALUE"""),45979.0)</f>
        <v>45979</v>
      </c>
      <c r="B97" s="1174" t="str">
        <f>IFERROR(__xludf.DUMMYFUNCTION("""COMPUTED_VALUE"""),"ke-eb-25-13809-44188")</f>
        <v>ke-eb-25-13809-44188</v>
      </c>
      <c r="C97" s="1174" t="str">
        <f>IFERROR(__xludf.DUMMYFUNCTION("""COMPUTED_VALUE"""),"NOVIEMBRE")</f>
        <v>NOVIEMBRE</v>
      </c>
      <c r="D97" s="1174" t="b">
        <f>IFERROR(__xludf.DUMMYFUNCTION("""COMPUTED_VALUE"""),TRUE)</f>
        <v>1</v>
      </c>
      <c r="E97" s="1174" t="str">
        <f>IFERROR(__xludf.DUMMYFUNCTION("""COMPUTED_VALUE"""),"Laptop")</f>
        <v>Laptop</v>
      </c>
      <c r="F97" s="1176">
        <f>IFERROR(__xludf.DUMMYFUNCTION("""COMPUTED_VALUE"""),1359.99)</f>
        <v>1359.99</v>
      </c>
      <c r="G97" s="1177">
        <f>IFERROR(__xludf.DUMMYFUNCTION("""COMPUTED_VALUE"""),1008.0)</f>
        <v>1008</v>
      </c>
      <c r="H97" s="1174" t="b">
        <f>IFERROR(__xludf.DUMMYFUNCTION("""COMPUTED_VALUE"""),FALSE)</f>
        <v>0</v>
      </c>
      <c r="I97" s="1174"/>
      <c r="N97" s="1174" t="str">
        <f t="shared" si="1"/>
        <v/>
      </c>
    </row>
    <row r="98">
      <c r="A98" s="1175">
        <f>IFERROR(__xludf.DUMMYFUNCTION("""COMPUTED_VALUE"""),45981.0)</f>
        <v>45981</v>
      </c>
      <c r="B98" s="1174" t="str">
        <f>IFERROR(__xludf.DUMMYFUNCTION("""COMPUTED_VALUE"""),"ke-bh-1125447126")</f>
        <v>ke-bh-1125447126</v>
      </c>
      <c r="C98" s="1174" t="str">
        <f>IFERROR(__xludf.DUMMYFUNCTION("""COMPUTED_VALUE"""),"NOVIEMBRE")</f>
        <v>NOVIEMBRE</v>
      </c>
      <c r="D98" s="1174" t="b">
        <f>IFERROR(__xludf.DUMMYFUNCTION("""COMPUTED_VALUE"""),TRUE)</f>
        <v>1</v>
      </c>
      <c r="E98" s="1174" t="str">
        <f>IFERROR(__xludf.DUMMYFUNCTION("""COMPUTED_VALUE"""),"Laptop")</f>
        <v>Laptop</v>
      </c>
      <c r="F98" s="1176">
        <f>IFERROR(__xludf.DUMMYFUNCTION("""COMPUTED_VALUE"""),1899.0)</f>
        <v>1899</v>
      </c>
      <c r="G98" s="1177">
        <f>IFERROR(__xludf.DUMMYFUNCTION("""COMPUTED_VALUE"""),42.0)</f>
        <v>42</v>
      </c>
      <c r="H98" s="1174" t="b">
        <f>IFERROR(__xludf.DUMMYFUNCTION("""COMPUTED_VALUE"""),FALSE)</f>
        <v>0</v>
      </c>
      <c r="I98" s="1174" t="str">
        <f>IFERROR(__xludf.DUMMYFUNCTION("""COMPUTED_VALUE"""),"DICIEMBRE")</f>
        <v>DICIEMBRE</v>
      </c>
      <c r="N98" s="1174" t="str">
        <f t="shared" si="1"/>
        <v/>
      </c>
    </row>
    <row r="99">
      <c r="A99" s="1175">
        <f>IFERROR(__xludf.DUMMYFUNCTION("""COMPUTED_VALUE"""),45981.0)</f>
        <v>45981</v>
      </c>
      <c r="B99" s="1174" t="str">
        <f>IFERROR(__xludf.DUMMYFUNCTION("""COMPUTED_VALUE"""),"so-bh-1125447809")</f>
        <v>so-bh-1125447809</v>
      </c>
      <c r="C99" s="1174" t="str">
        <f>IFERROR(__xludf.DUMMYFUNCTION("""COMPUTED_VALUE"""),"NOVIEMBRE")</f>
        <v>NOVIEMBRE</v>
      </c>
      <c r="D99" s="1174" t="b">
        <f>IFERROR(__xludf.DUMMYFUNCTION("""COMPUTED_VALUE"""),TRUE)</f>
        <v>1</v>
      </c>
      <c r="E99" s="1174" t="str">
        <f>IFERROR(__xludf.DUMMYFUNCTION("""COMPUTED_VALUE"""),"Laptop")</f>
        <v>Laptop</v>
      </c>
      <c r="F99" s="1176">
        <f>IFERROR(__xludf.DUMMYFUNCTION("""COMPUTED_VALUE"""),1899.0)</f>
        <v>1899</v>
      </c>
      <c r="G99" s="1177">
        <f>IFERROR(__xludf.DUMMYFUNCTION("""COMPUTED_VALUE"""),42.0)</f>
        <v>42</v>
      </c>
      <c r="H99" s="1174" t="b">
        <f>IFERROR(__xludf.DUMMYFUNCTION("""COMPUTED_VALUE"""),FALSE)</f>
        <v>0</v>
      </c>
      <c r="I99" s="1174" t="str">
        <f>IFERROR(__xludf.DUMMYFUNCTION("""COMPUTED_VALUE"""),"DICIEMBRE")</f>
        <v>DICIEMBRE</v>
      </c>
      <c r="N99" s="1174" t="str">
        <f t="shared" si="1"/>
        <v/>
      </c>
    </row>
    <row r="100">
      <c r="A100" s="1175">
        <f>IFERROR(__xludf.DUMMYFUNCTION("""COMPUTED_VALUE"""),45981.0)</f>
        <v>45981</v>
      </c>
      <c r="B100" s="1174" t="str">
        <f>IFERROR(__xludf.DUMMYFUNCTION("""COMPUTED_VALUE"""),"ja-mi-201125")</f>
        <v>ja-mi-201125</v>
      </c>
      <c r="C100" s="1174" t="str">
        <f>IFERROR(__xludf.DUMMYFUNCTION("""COMPUTED_VALUE"""),"NOVIEMBRE")</f>
        <v>NOVIEMBRE</v>
      </c>
      <c r="D100" s="1174" t="b">
        <f>IFERROR(__xludf.DUMMYFUNCTION("""COMPUTED_VALUE"""),TRUE)</f>
        <v>1</v>
      </c>
      <c r="E100" s="1174" t="str">
        <f>IFERROR(__xludf.DUMMYFUNCTION("""COMPUTED_VALUE"""),"Laptop")</f>
        <v>Laptop</v>
      </c>
      <c r="F100" s="1176">
        <f>IFERROR(__xludf.DUMMYFUNCTION("""COMPUTED_VALUE"""),1799.99)</f>
        <v>1799.99</v>
      </c>
      <c r="G100" s="1177">
        <f>IFERROR(__xludf.DUMMYFUNCTION("""COMPUTED_VALUE"""),546.0)</f>
        <v>546</v>
      </c>
      <c r="H100" s="1174" t="b">
        <f>IFERROR(__xludf.DUMMYFUNCTION("""COMPUTED_VALUE"""),FALSE)</f>
        <v>0</v>
      </c>
      <c r="I100" s="1174" t="str">
        <f>IFERROR(__xludf.DUMMYFUNCTION("""COMPUTED_VALUE"""),"DICIEMBRE")</f>
        <v>DICIEMBRE</v>
      </c>
      <c r="N100" s="1174" t="str">
        <f t="shared" si="1"/>
        <v/>
      </c>
    </row>
    <row r="101">
      <c r="A101" s="1175">
        <f>IFERROR(__xludf.DUMMYFUNCTION("""COMPUTED_VALUE"""),45982.0)</f>
        <v>45982</v>
      </c>
      <c r="B101" s="1174" t="str">
        <f>IFERROR(__xludf.DUMMYFUNCTION("""COMPUTED_VALUE"""),"ke-am-113-9478423-5611419")</f>
        <v>ke-am-113-9478423-5611419</v>
      </c>
      <c r="C101" s="1174" t="str">
        <f>IFERROR(__xludf.DUMMYFUNCTION("""COMPUTED_VALUE"""),"NOVIEMBRE")</f>
        <v>NOVIEMBRE</v>
      </c>
      <c r="D101" s="1174" t="b">
        <f>IFERROR(__xludf.DUMMYFUNCTION("""COMPUTED_VALUE"""),TRUE)</f>
        <v>1</v>
      </c>
      <c r="E101" s="1174" t="str">
        <f>IFERROR(__xludf.DUMMYFUNCTION("""COMPUTED_VALUE"""),"Laptop")</f>
        <v>Laptop</v>
      </c>
      <c r="F101" s="1176">
        <f>IFERROR(__xludf.DUMMYFUNCTION("""COMPUTED_VALUE"""),1079.0)</f>
        <v>1079</v>
      </c>
      <c r="G101" s="1177">
        <f>IFERROR(__xludf.DUMMYFUNCTION("""COMPUTED_VALUE"""),177.0)</f>
        <v>177</v>
      </c>
      <c r="H101" s="1174" t="b">
        <f>IFERROR(__xludf.DUMMYFUNCTION("""COMPUTED_VALUE"""),FALSE)</f>
        <v>0</v>
      </c>
      <c r="I101" s="1174" t="str">
        <f>IFERROR(__xludf.DUMMYFUNCTION("""COMPUTED_VALUE"""),"DICIEMBRE")</f>
        <v>DICIEMBRE</v>
      </c>
      <c r="N101" s="1174" t="str">
        <f t="shared" si="1"/>
        <v/>
      </c>
    </row>
    <row r="102">
      <c r="A102" s="1175">
        <f>IFERROR(__xludf.DUMMYFUNCTION("""COMPUTED_VALUE"""),45983.0)</f>
        <v>45983</v>
      </c>
      <c r="B102" s="1174" t="str">
        <f>IFERROR(__xludf.DUMMYFUNCTION("""COMPUTED_VALUE"""),"so-eb-04-13878-91369")</f>
        <v>so-eb-04-13878-91369</v>
      </c>
      <c r="C102" s="1174" t="str">
        <f>IFERROR(__xludf.DUMMYFUNCTION("""COMPUTED_VALUE"""),"NOVIEMBRE")</f>
        <v>NOVIEMBRE</v>
      </c>
      <c r="D102" s="1174" t="b">
        <f>IFERROR(__xludf.DUMMYFUNCTION("""COMPUTED_VALUE"""),TRUE)</f>
        <v>1</v>
      </c>
      <c r="E102" s="1174" t="str">
        <f>IFERROR(__xludf.DUMMYFUNCTION("""COMPUTED_VALUE"""),"Laptop")</f>
        <v>Laptop</v>
      </c>
      <c r="F102" s="1176">
        <f>IFERROR(__xludf.DUMMYFUNCTION("""COMPUTED_VALUE"""),1299.99)</f>
        <v>1299.99</v>
      </c>
      <c r="G102" s="1177">
        <f>IFERROR(__xludf.DUMMYFUNCTION("""COMPUTED_VALUE"""),189.0)</f>
        <v>189</v>
      </c>
      <c r="H102" s="1174" t="b">
        <f>IFERROR(__xludf.DUMMYFUNCTION("""COMPUTED_VALUE"""),FALSE)</f>
        <v>0</v>
      </c>
      <c r="I102" s="1174" t="str">
        <f>IFERROR(__xludf.DUMMYFUNCTION("""COMPUTED_VALUE"""),"DICIEMBRE")</f>
        <v>DICIEMBRE</v>
      </c>
      <c r="N102" s="1174" t="str">
        <f t="shared" si="1"/>
        <v/>
      </c>
    </row>
    <row r="103">
      <c r="A103" s="1175">
        <f>IFERROR(__xludf.DUMMYFUNCTION("""COMPUTED_VALUE"""),45983.0)</f>
        <v>45983</v>
      </c>
      <c r="B103" s="1174" t="str">
        <f>IFERROR(__xludf.DUMMYFUNCTION("""COMPUTED_VALUE"""),"ka-mi-101225")</f>
        <v>ka-mi-101225</v>
      </c>
      <c r="C103" s="1174" t="str">
        <f>IFERROR(__xludf.DUMMYFUNCTION("""COMPUTED_VALUE"""),"NOVIEMBRE")</f>
        <v>NOVIEMBRE</v>
      </c>
      <c r="D103" s="1174" t="b">
        <f>IFERROR(__xludf.DUMMYFUNCTION("""COMPUTED_VALUE"""),TRUE)</f>
        <v>1</v>
      </c>
      <c r="E103" s="1174" t="str">
        <f>IFERROR(__xludf.DUMMYFUNCTION("""COMPUTED_VALUE"""),"Laptop")</f>
        <v>Laptop</v>
      </c>
      <c r="F103" s="1176">
        <f>IFERROR(__xludf.DUMMYFUNCTION("""COMPUTED_VALUE"""),1799.99)</f>
        <v>1799.99</v>
      </c>
      <c r="G103" s="1177">
        <f>IFERROR(__xludf.DUMMYFUNCTION("""COMPUTED_VALUE"""),499.0)</f>
        <v>499</v>
      </c>
      <c r="H103" s="1174" t="b">
        <f>IFERROR(__xludf.DUMMYFUNCTION("""COMPUTED_VALUE"""),FALSE)</f>
        <v>0</v>
      </c>
      <c r="I103" s="1174" t="str">
        <f>IFERROR(__xludf.DUMMYFUNCTION("""COMPUTED_VALUE"""),"DICIEMBRE")</f>
        <v>DICIEMBRE</v>
      </c>
      <c r="N103" s="1174" t="str">
        <f t="shared" si="1"/>
        <v/>
      </c>
    </row>
    <row r="104">
      <c r="A104" s="1175">
        <f>IFERROR(__xludf.DUMMYFUNCTION("""COMPUTED_VALUE"""),45985.0)</f>
        <v>45985</v>
      </c>
      <c r="B104" s="1174" t="str">
        <f>IFERROR(__xludf.DUMMYFUNCTION("""COMPUTED_VALUE"""),"ke-eb-18-13869-54488")</f>
        <v>ke-eb-18-13869-54488</v>
      </c>
      <c r="C104" s="1174" t="str">
        <f>IFERROR(__xludf.DUMMYFUNCTION("""COMPUTED_VALUE"""),"DICIEMBRE")</f>
        <v>DICIEMBRE</v>
      </c>
      <c r="D104" s="1174" t="b">
        <f>IFERROR(__xludf.DUMMYFUNCTION("""COMPUTED_VALUE"""),TRUE)</f>
        <v>1</v>
      </c>
      <c r="E104" s="1174" t="str">
        <f>IFERROR(__xludf.DUMMYFUNCTION("""COMPUTED_VALUE"""),"Laptop")</f>
        <v>Laptop</v>
      </c>
      <c r="F104" s="1176">
        <f>IFERROR(__xludf.DUMMYFUNCTION("""COMPUTED_VALUE"""),1199.0)</f>
        <v>1199</v>
      </c>
      <c r="G104" s="1177">
        <f>IFERROR(__xludf.DUMMYFUNCTION("""COMPUTED_VALUE"""),856.0)</f>
        <v>856</v>
      </c>
      <c r="H104" s="1174" t="b">
        <f>IFERROR(__xludf.DUMMYFUNCTION("""COMPUTED_VALUE"""),FALSE)</f>
        <v>0</v>
      </c>
      <c r="I104" s="1174" t="str">
        <f>IFERROR(__xludf.DUMMYFUNCTION("""COMPUTED_VALUE"""),"DICIEMBRE")</f>
        <v>DICIEMBRE</v>
      </c>
      <c r="N104" s="1174" t="str">
        <f t="shared" si="1"/>
        <v/>
      </c>
    </row>
    <row r="105">
      <c r="A105" s="1175">
        <f>IFERROR(__xludf.DUMMYFUNCTION("""COMPUTED_VALUE"""),45986.0)</f>
        <v>45986</v>
      </c>
      <c r="B105" s="1174" t="str">
        <f>IFERROR(__xludf.DUMMYFUNCTION("""COMPUTED_VALUE"""),"li-mi-261125-2")</f>
        <v>li-mi-261125-2</v>
      </c>
      <c r="C105" s="1174" t="str">
        <f>IFERROR(__xludf.DUMMYFUNCTION("""COMPUTED_VALUE"""),"NOVIEMBRE")</f>
        <v>NOVIEMBRE</v>
      </c>
      <c r="D105" s="1174" t="b">
        <f>IFERROR(__xludf.DUMMYFUNCTION("""COMPUTED_VALUE"""),TRUE)</f>
        <v>1</v>
      </c>
      <c r="E105" s="1174" t="str">
        <f>IFERROR(__xludf.DUMMYFUNCTION("""COMPUTED_VALUE"""),"Laptop")</f>
        <v>Laptop</v>
      </c>
      <c r="F105" s="1176">
        <f>IFERROR(__xludf.DUMMYFUNCTION("""COMPUTED_VALUE"""),3199.99)</f>
        <v>3199.99</v>
      </c>
      <c r="G105" s="1177">
        <f>IFERROR(__xludf.DUMMYFUNCTION("""COMPUTED_VALUE"""),169.0)</f>
        <v>169</v>
      </c>
      <c r="H105" s="1174" t="b">
        <f>IFERROR(__xludf.DUMMYFUNCTION("""COMPUTED_VALUE"""),FALSE)</f>
        <v>0</v>
      </c>
      <c r="I105" s="1174" t="str">
        <f>IFERROR(__xludf.DUMMYFUNCTION("""COMPUTED_VALUE"""),"DICIEMBRE")</f>
        <v>DICIEMBRE</v>
      </c>
      <c r="N105" s="1174" t="str">
        <f t="shared" si="1"/>
        <v/>
      </c>
    </row>
    <row r="106">
      <c r="A106" s="1175">
        <f>IFERROR(__xludf.DUMMYFUNCTION("""COMPUTED_VALUE"""),45987.0)</f>
        <v>45987</v>
      </c>
      <c r="B106" s="1174" t="str">
        <f>IFERROR(__xludf.DUMMYFUNCTION("""COMPUTED_VALUE"""),"K-b-BBY01-807094013918")</f>
        <v>K-b-BBY01-807094013918</v>
      </c>
      <c r="C106" s="1174" t="str">
        <f>IFERROR(__xludf.DUMMYFUNCTION("""COMPUTED_VALUE"""),"NOVIEMBRE")</f>
        <v>NOVIEMBRE</v>
      </c>
      <c r="D106" s="1174" t="b">
        <f>IFERROR(__xludf.DUMMYFUNCTION("""COMPUTED_VALUE"""),TRUE)</f>
        <v>1</v>
      </c>
      <c r="E106" s="1174" t="str">
        <f>IFERROR(__xludf.DUMMYFUNCTION("""COMPUTED_VALUE"""),"Laptop")</f>
        <v>Laptop</v>
      </c>
      <c r="F106" s="1176">
        <f>IFERROR(__xludf.DUMMYFUNCTION("""COMPUTED_VALUE"""),1299.99)</f>
        <v>1299.99</v>
      </c>
      <c r="G106" s="1177">
        <f>IFERROR(__xludf.DUMMYFUNCTION("""COMPUTED_VALUE"""),451.0)</f>
        <v>451</v>
      </c>
      <c r="H106" s="1174" t="b">
        <f>IFERROR(__xludf.DUMMYFUNCTION("""COMPUTED_VALUE"""),FALSE)</f>
        <v>0</v>
      </c>
      <c r="I106" s="1174"/>
      <c r="N106" s="1174" t="str">
        <f t="shared" si="1"/>
        <v/>
      </c>
    </row>
    <row r="107">
      <c r="A107" s="1175">
        <f>IFERROR(__xludf.DUMMYFUNCTION("""COMPUTED_VALUE"""),45987.0)</f>
        <v>45987</v>
      </c>
      <c r="B107" s="1174" t="str">
        <f>IFERROR(__xludf.DUMMYFUNCTION("""COMPUTED_VALUE"""),"k-e-03-13739-30793")</f>
        <v>k-e-03-13739-30793</v>
      </c>
      <c r="C107" s="1174" t="str">
        <f>IFERROR(__xludf.DUMMYFUNCTION("""COMPUTED_VALUE"""),"NOVIEMBRE")</f>
        <v>NOVIEMBRE</v>
      </c>
      <c r="D107" s="1174" t="b">
        <f>IFERROR(__xludf.DUMMYFUNCTION("""COMPUTED_VALUE"""),TRUE)</f>
        <v>1</v>
      </c>
      <c r="E107" s="1174" t="str">
        <f>IFERROR(__xludf.DUMMYFUNCTION("""COMPUTED_VALUE"""),"Laptop")</f>
        <v>Laptop</v>
      </c>
      <c r="F107" s="1176">
        <f>IFERROR(__xludf.DUMMYFUNCTION("""COMPUTED_VALUE"""),1349.99)</f>
        <v>1349.99</v>
      </c>
      <c r="G107" s="1177">
        <f>IFERROR(__xludf.DUMMYFUNCTION("""COMPUTED_VALUE"""),455.0)</f>
        <v>455</v>
      </c>
      <c r="H107" s="1174" t="b">
        <f>IFERROR(__xludf.DUMMYFUNCTION("""COMPUTED_VALUE"""),FALSE)</f>
        <v>0</v>
      </c>
      <c r="I107" s="1174"/>
      <c r="N107" s="1174" t="str">
        <f t="shared" si="1"/>
        <v/>
      </c>
    </row>
    <row r="108">
      <c r="A108" s="1175">
        <f>IFERROR(__xludf.DUMMYFUNCTION("""COMPUTED_VALUE"""),45987.0)</f>
        <v>45987</v>
      </c>
      <c r="B108" s="1174" t="str">
        <f>IFERROR(__xludf.DUMMYFUNCTION("""COMPUTED_VALUE"""),"k-e-15-13722-85979")</f>
        <v>k-e-15-13722-85979</v>
      </c>
      <c r="C108" s="1174" t="str">
        <f>IFERROR(__xludf.DUMMYFUNCTION("""COMPUTED_VALUE"""),"NOVIEMBRE")</f>
        <v>NOVIEMBRE</v>
      </c>
      <c r="D108" s="1174" t="b">
        <f>IFERROR(__xludf.DUMMYFUNCTION("""COMPUTED_VALUE"""),TRUE)</f>
        <v>1</v>
      </c>
      <c r="E108" s="1174" t="str">
        <f>IFERROR(__xludf.DUMMYFUNCTION("""COMPUTED_VALUE"""),"Laptop")</f>
        <v>Laptop</v>
      </c>
      <c r="F108" s="1176">
        <f>IFERROR(__xludf.DUMMYFUNCTION("""COMPUTED_VALUE"""),1249.99)</f>
        <v>1249.99</v>
      </c>
      <c r="G108" s="1177">
        <f>IFERROR(__xludf.DUMMYFUNCTION("""COMPUTED_VALUE"""),0.0)</f>
        <v>0</v>
      </c>
      <c r="H108" s="1174" t="b">
        <f>IFERROR(__xludf.DUMMYFUNCTION("""COMPUTED_VALUE"""),FALSE)</f>
        <v>0</v>
      </c>
      <c r="I108" s="1174"/>
      <c r="N108" s="1174" t="str">
        <f t="shared" si="1"/>
        <v/>
      </c>
    </row>
    <row r="109">
      <c r="A109" s="1175">
        <f>IFERROR(__xludf.DUMMYFUNCTION("""COMPUTED_VALUE"""),45988.0)</f>
        <v>45988</v>
      </c>
      <c r="B109" s="1174" t="str">
        <f>IFERROR(__xludf.DUMMYFUNCTION("""COMPUTED_VALUE"""),"ke-am-113-8788399-4824267")</f>
        <v>ke-am-113-8788399-4824267</v>
      </c>
      <c r="C109" s="1174" t="str">
        <f>IFERROR(__xludf.DUMMYFUNCTION("""COMPUTED_VALUE"""),"DICIEMBRE")</f>
        <v>DICIEMBRE</v>
      </c>
      <c r="D109" s="1174" t="b">
        <f>IFERROR(__xludf.DUMMYFUNCTION("""COMPUTED_VALUE"""),TRUE)</f>
        <v>1</v>
      </c>
      <c r="E109" s="1174" t="str">
        <f>IFERROR(__xludf.DUMMYFUNCTION("""COMPUTED_VALUE"""),"Laptop")</f>
        <v>Laptop</v>
      </c>
      <c r="F109" s="1176">
        <f>IFERROR(__xludf.DUMMYFUNCTION("""COMPUTED_VALUE"""),1299.99)</f>
        <v>1299.99</v>
      </c>
      <c r="G109" s="1177">
        <f>IFERROR(__xludf.DUMMYFUNCTION("""COMPUTED_VALUE"""),237.0)</f>
        <v>237</v>
      </c>
      <c r="H109" s="1174" t="b">
        <f>IFERROR(__xludf.DUMMYFUNCTION("""COMPUTED_VALUE"""),FALSE)</f>
        <v>0</v>
      </c>
      <c r="I109" s="1174" t="str">
        <f>IFERROR(__xludf.DUMMYFUNCTION("""COMPUTED_VALUE"""),"DICIEMBRE")</f>
        <v>DICIEMBRE</v>
      </c>
      <c r="N109" s="1174" t="str">
        <f t="shared" si="1"/>
        <v/>
      </c>
    </row>
    <row r="110">
      <c r="A110" s="1175">
        <f>IFERROR(__xludf.DUMMYFUNCTION("""COMPUTED_VALUE"""),45988.0)</f>
        <v>45988</v>
      </c>
      <c r="B110" s="1174" t="str">
        <f>IFERROR(__xludf.DUMMYFUNCTION("""COMPUTED_VALUE"""),"yo-eb-16-13882-96309")</f>
        <v>yo-eb-16-13882-96309</v>
      </c>
      <c r="C110" s="1174" t="str">
        <f>IFERROR(__xludf.DUMMYFUNCTION("""COMPUTED_VALUE"""),"DICIEMBRE")</f>
        <v>DICIEMBRE</v>
      </c>
      <c r="D110" s="1174" t="b">
        <f>IFERROR(__xludf.DUMMYFUNCTION("""COMPUTED_VALUE"""),TRUE)</f>
        <v>1</v>
      </c>
      <c r="E110" s="1174" t="str">
        <f>IFERROR(__xludf.DUMMYFUNCTION("""COMPUTED_VALUE"""),"Laptop")</f>
        <v>Laptop</v>
      </c>
      <c r="F110" s="1176">
        <f>IFERROR(__xludf.DUMMYFUNCTION("""COMPUTED_VALUE"""),1599.99)</f>
        <v>1599.99</v>
      </c>
      <c r="G110" s="1177">
        <f>IFERROR(__xludf.DUMMYFUNCTION("""COMPUTED_VALUE"""),0.0)</f>
        <v>0</v>
      </c>
      <c r="H110" s="1174" t="b">
        <f>IFERROR(__xludf.DUMMYFUNCTION("""COMPUTED_VALUE"""),FALSE)</f>
        <v>0</v>
      </c>
      <c r="I110" s="1174" t="str">
        <f>IFERROR(__xludf.DUMMYFUNCTION("""COMPUTED_VALUE"""),"DICIEMBRE")</f>
        <v>DICIEMBRE</v>
      </c>
      <c r="N110" s="1174" t="str">
        <f t="shared" si="1"/>
        <v/>
      </c>
    </row>
    <row r="111">
      <c r="A111" s="1175">
        <f>IFERROR(__xludf.DUMMYFUNCTION("""COMPUTED_VALUE"""),45988.0)</f>
        <v>45988</v>
      </c>
      <c r="B111" s="1174" t="str">
        <f>IFERROR(__xludf.DUMMYFUNCTION("""COMPUTED_VALUE"""),"ke-am-113-8849253-8281807")</f>
        <v>ke-am-113-8849253-8281807</v>
      </c>
      <c r="C111" s="1174" t="str">
        <f>IFERROR(__xludf.DUMMYFUNCTION("""COMPUTED_VALUE"""),"NOVIEMBRE")</f>
        <v>NOVIEMBRE</v>
      </c>
      <c r="D111" s="1174" t="b">
        <f>IFERROR(__xludf.DUMMYFUNCTION("""COMPUTED_VALUE"""),TRUE)</f>
        <v>1</v>
      </c>
      <c r="E111" s="1174" t="str">
        <f>IFERROR(__xludf.DUMMYFUNCTION("""COMPUTED_VALUE"""),"Laptop")</f>
        <v>Laptop</v>
      </c>
      <c r="F111" s="1176">
        <f>IFERROR(__xludf.DUMMYFUNCTION("""COMPUTED_VALUE"""),1613.99)</f>
        <v>1613.99</v>
      </c>
      <c r="G111" s="1177">
        <f>IFERROR(__xludf.DUMMYFUNCTION("""COMPUTED_VALUE"""),21.0)</f>
        <v>21</v>
      </c>
      <c r="H111" s="1174" t="b">
        <f>IFERROR(__xludf.DUMMYFUNCTION("""COMPUTED_VALUE"""),FALSE)</f>
        <v>0</v>
      </c>
      <c r="I111" s="1174" t="str">
        <f>IFERROR(__xludf.DUMMYFUNCTION("""COMPUTED_VALUE"""),"DICIEMBRE")</f>
        <v>DICIEMBRE</v>
      </c>
      <c r="N111" s="1174" t="str">
        <f t="shared" si="1"/>
        <v/>
      </c>
    </row>
    <row r="112">
      <c r="A112" s="1175">
        <f>IFERROR(__xludf.DUMMYFUNCTION("""COMPUTED_VALUE"""),45988.0)</f>
        <v>45988</v>
      </c>
      <c r="B112" s="1174" t="str">
        <f>IFERROR(__xludf.DUMMYFUNCTION("""COMPUTED_VALUE"""),"ke-am-113-2260595-1564241")</f>
        <v>ke-am-113-2260595-1564241</v>
      </c>
      <c r="C112" s="1174" t="str">
        <f>IFERROR(__xludf.DUMMYFUNCTION("""COMPUTED_VALUE"""),"NOVIEMBRE")</f>
        <v>NOVIEMBRE</v>
      </c>
      <c r="D112" s="1174" t="b">
        <f>IFERROR(__xludf.DUMMYFUNCTION("""COMPUTED_VALUE"""),TRUE)</f>
        <v>1</v>
      </c>
      <c r="E112" s="1174" t="str">
        <f>IFERROR(__xludf.DUMMYFUNCTION("""COMPUTED_VALUE"""),"Laptop")</f>
        <v>Laptop</v>
      </c>
      <c r="F112" s="1176">
        <f>IFERROR(__xludf.DUMMYFUNCTION("""COMPUTED_VALUE"""),3196.99)</f>
        <v>3196.99</v>
      </c>
      <c r="G112" s="1177">
        <f>IFERROR(__xludf.DUMMYFUNCTION("""COMPUTED_VALUE"""),290.0)</f>
        <v>290</v>
      </c>
      <c r="H112" s="1174" t="b">
        <f>IFERROR(__xludf.DUMMYFUNCTION("""COMPUTED_VALUE"""),FALSE)</f>
        <v>0</v>
      </c>
      <c r="I112" s="1174" t="str">
        <f>IFERROR(__xludf.DUMMYFUNCTION("""COMPUTED_VALUE"""),"DICIEMBRE")</f>
        <v>DICIEMBRE</v>
      </c>
      <c r="N112" s="1174" t="str">
        <f t="shared" si="1"/>
        <v/>
      </c>
    </row>
    <row r="113">
      <c r="A113" s="1175">
        <f>IFERROR(__xludf.DUMMYFUNCTION("""COMPUTED_VALUE"""),45990.0)</f>
        <v>45990</v>
      </c>
      <c r="B113" s="1174" t="str">
        <f>IFERROR(__xludf.DUMMYFUNCTION("""COMPUTED_VALUE"""),"so-bh-1125650726")</f>
        <v>so-bh-1125650726</v>
      </c>
      <c r="C113" s="1174" t="str">
        <f>IFERROR(__xludf.DUMMYFUNCTION("""COMPUTED_VALUE"""),"DICIEMBRE")</f>
        <v>DICIEMBRE</v>
      </c>
      <c r="D113" s="1174" t="b">
        <f>IFERROR(__xludf.DUMMYFUNCTION("""COMPUTED_VALUE"""),TRUE)</f>
        <v>1</v>
      </c>
      <c r="E113" s="1174" t="str">
        <f>IFERROR(__xludf.DUMMYFUNCTION("""COMPUTED_VALUE"""),"Laptop")</f>
        <v>Laptop</v>
      </c>
      <c r="F113" s="1176">
        <f>IFERROR(__xludf.DUMMYFUNCTION("""COMPUTED_VALUE"""),1099.0)</f>
        <v>1099</v>
      </c>
      <c r="G113" s="1177">
        <f>IFERROR(__xludf.DUMMYFUNCTION("""COMPUTED_VALUE"""),330.0)</f>
        <v>330</v>
      </c>
      <c r="H113" s="1174" t="b">
        <f>IFERROR(__xludf.DUMMYFUNCTION("""COMPUTED_VALUE"""),FALSE)</f>
        <v>0</v>
      </c>
      <c r="I113" s="1174" t="str">
        <f>IFERROR(__xludf.DUMMYFUNCTION("""COMPUTED_VALUE"""),"DICIEMBRE")</f>
        <v>DICIEMBRE</v>
      </c>
      <c r="N113" s="1174" t="str">
        <f t="shared" si="1"/>
        <v/>
      </c>
    </row>
    <row r="114">
      <c r="A114" s="1175">
        <f>IFERROR(__xludf.DUMMYFUNCTION("""COMPUTED_VALUE"""),45990.0)</f>
        <v>45990</v>
      </c>
      <c r="B114" s="1174" t="str">
        <f>IFERROR(__xludf.DUMMYFUNCTION("""COMPUTED_VALUE"""),"gi-eb-26-13879-95704")</f>
        <v>gi-eb-26-13879-95704</v>
      </c>
      <c r="C114" s="1174" t="str">
        <f>IFERROR(__xludf.DUMMYFUNCTION("""COMPUTED_VALUE"""),"DICIEMBRE")</f>
        <v>DICIEMBRE</v>
      </c>
      <c r="D114" s="1174" t="b">
        <f>IFERROR(__xludf.DUMMYFUNCTION("""COMPUTED_VALUE"""),TRUE)</f>
        <v>1</v>
      </c>
      <c r="E114" s="1174" t="str">
        <f>IFERROR(__xludf.DUMMYFUNCTION("""COMPUTED_VALUE"""),"Laptop")</f>
        <v>Laptop</v>
      </c>
      <c r="F114" s="1176">
        <f>IFERROR(__xludf.DUMMYFUNCTION("""COMPUTED_VALUE"""),1049.99)</f>
        <v>1049.99</v>
      </c>
      <c r="G114" s="1177">
        <f>IFERROR(__xludf.DUMMYFUNCTION("""COMPUTED_VALUE"""),193.0)</f>
        <v>193</v>
      </c>
      <c r="H114" s="1174" t="b">
        <f>IFERROR(__xludf.DUMMYFUNCTION("""COMPUTED_VALUE"""),FALSE)</f>
        <v>0</v>
      </c>
      <c r="I114" s="1174" t="str">
        <f>IFERROR(__xludf.DUMMYFUNCTION("""COMPUTED_VALUE"""),"DICIEMBRE")</f>
        <v>DICIEMBRE</v>
      </c>
      <c r="N114" s="1174" t="str">
        <f t="shared" si="1"/>
        <v/>
      </c>
    </row>
    <row r="115">
      <c r="A115" s="1175">
        <f>IFERROR(__xludf.DUMMYFUNCTION("""COMPUTED_VALUE"""),45990.0)</f>
        <v>45990</v>
      </c>
      <c r="B115" s="1174" t="str">
        <f>IFERROR(__xludf.DUMMYFUNCTION("""COMPUTED_VALUE"""),"J-M-19870374")</f>
        <v>J-M-19870374</v>
      </c>
      <c r="C115" s="1174" t="str">
        <f>IFERROR(__xludf.DUMMYFUNCTION("""COMPUTED_VALUE"""),"NOVIEMBRE")</f>
        <v>NOVIEMBRE</v>
      </c>
      <c r="D115" s="1174" t="b">
        <f>IFERROR(__xludf.DUMMYFUNCTION("""COMPUTED_VALUE"""),TRUE)</f>
        <v>1</v>
      </c>
      <c r="E115" s="1174" t="str">
        <f>IFERROR(__xludf.DUMMYFUNCTION("""COMPUTED_VALUE"""),"Laptop")</f>
        <v>Laptop</v>
      </c>
      <c r="F115" s="1176">
        <f>IFERROR(__xludf.DUMMYFUNCTION("""COMPUTED_VALUE"""),1699.99)</f>
        <v>1699.99</v>
      </c>
      <c r="G115" s="1177">
        <f>IFERROR(__xludf.DUMMYFUNCTION("""COMPUTED_VALUE"""),150.0)</f>
        <v>150</v>
      </c>
      <c r="H115" s="1174" t="b">
        <f>IFERROR(__xludf.DUMMYFUNCTION("""COMPUTED_VALUE"""),FALSE)</f>
        <v>0</v>
      </c>
      <c r="I115" s="1174"/>
      <c r="N115" s="1174" t="str">
        <f t="shared" si="1"/>
        <v/>
      </c>
    </row>
    <row r="116">
      <c r="A116" s="1175">
        <f>IFERROR(__xludf.DUMMYFUNCTION("""COMPUTED_VALUE"""),45990.0)</f>
        <v>45990</v>
      </c>
      <c r="B116" s="1174" t="str">
        <f>IFERROR(__xludf.DUMMYFUNCTION("""COMPUTED_VALUE"""),"k-BBY03-807097171038")</f>
        <v>k-BBY03-807097171038</v>
      </c>
      <c r="C116" s="1174" t="str">
        <f>IFERROR(__xludf.DUMMYFUNCTION("""COMPUTED_VALUE"""),"NOVIEMBRE")</f>
        <v>NOVIEMBRE</v>
      </c>
      <c r="D116" s="1174" t="b">
        <f>IFERROR(__xludf.DUMMYFUNCTION("""COMPUTED_VALUE"""),TRUE)</f>
        <v>1</v>
      </c>
      <c r="E116" s="1174" t="str">
        <f>IFERROR(__xludf.DUMMYFUNCTION("""COMPUTED_VALUE"""),"Laptop")</f>
        <v>Laptop</v>
      </c>
      <c r="F116" s="1176">
        <f>IFERROR(__xludf.DUMMYFUNCTION("""COMPUTED_VALUE"""),1399.99)</f>
        <v>1399.99</v>
      </c>
      <c r="G116" s="1177">
        <f>IFERROR(__xludf.DUMMYFUNCTION("""COMPUTED_VALUE"""),33.0)</f>
        <v>33</v>
      </c>
      <c r="H116" s="1174" t="b">
        <f>IFERROR(__xludf.DUMMYFUNCTION("""COMPUTED_VALUE"""),FALSE)</f>
        <v>0</v>
      </c>
      <c r="I116" s="1174"/>
      <c r="N116" s="1174" t="str">
        <f t="shared" si="1"/>
        <v/>
      </c>
    </row>
    <row r="117">
      <c r="A117" s="1175">
        <f>IFERROR(__xludf.DUMMYFUNCTION("""COMPUTED_VALUE"""),45990.0)</f>
        <v>45990</v>
      </c>
      <c r="B117" s="1174" t="str">
        <f>IFERROR(__xludf.DUMMYFUNCTION("""COMPUTED_VALUE"""),"re-eb-08-13767-47387")</f>
        <v>re-eb-08-13767-47387</v>
      </c>
      <c r="C117" s="1174" t="str">
        <f>IFERROR(__xludf.DUMMYFUNCTION("""COMPUTED_VALUE"""),"NOVIEMBRE")</f>
        <v>NOVIEMBRE</v>
      </c>
      <c r="D117" s="1174" t="b">
        <f>IFERROR(__xludf.DUMMYFUNCTION("""COMPUTED_VALUE"""),TRUE)</f>
        <v>1</v>
      </c>
      <c r="E117" s="1174" t="str">
        <f>IFERROR(__xludf.DUMMYFUNCTION("""COMPUTED_VALUE"""),"Laptop")</f>
        <v>Laptop</v>
      </c>
      <c r="F117" s="1176">
        <f>IFERROR(__xludf.DUMMYFUNCTION("""COMPUTED_VALUE"""),1299.99)</f>
        <v>1299.99</v>
      </c>
      <c r="G117" s="1177">
        <f>IFERROR(__xludf.DUMMYFUNCTION("""COMPUTED_VALUE"""),142.0)</f>
        <v>142</v>
      </c>
      <c r="H117" s="1174" t="b">
        <f>IFERROR(__xludf.DUMMYFUNCTION("""COMPUTED_VALUE"""),FALSE)</f>
        <v>0</v>
      </c>
      <c r="I117" s="1174" t="str">
        <f>IFERROR(__xludf.DUMMYFUNCTION("""COMPUTED_VALUE"""),"DICIEMBRE")</f>
        <v>DICIEMBRE</v>
      </c>
      <c r="N117" s="1174" t="str">
        <f t="shared" si="1"/>
        <v/>
      </c>
    </row>
    <row r="118">
      <c r="A118" s="1175">
        <f>IFERROR(__xludf.DUMMYFUNCTION("""COMPUTED_VALUE"""),45990.0)</f>
        <v>45990</v>
      </c>
      <c r="B118" s="1174" t="str">
        <f>IFERROR(__xludf.DUMMYFUNCTION("""COMPUTED_VALUE"""),"ke-eb-11-13790-75116")</f>
        <v>ke-eb-11-13790-75116</v>
      </c>
      <c r="C118" s="1174" t="str">
        <f>IFERROR(__xludf.DUMMYFUNCTION("""COMPUTED_VALUE"""),"NOVIEMBRE")</f>
        <v>NOVIEMBRE</v>
      </c>
      <c r="D118" s="1174" t="b">
        <f>IFERROR(__xludf.DUMMYFUNCTION("""COMPUTED_VALUE"""),TRUE)</f>
        <v>1</v>
      </c>
      <c r="E118" s="1174" t="str">
        <f>IFERROR(__xludf.DUMMYFUNCTION("""COMPUTED_VALUE"""),"Laptop")</f>
        <v>Laptop</v>
      </c>
      <c r="F118" s="1176">
        <f>IFERROR(__xludf.DUMMYFUNCTION("""COMPUTED_VALUE"""),1599.99)</f>
        <v>1599.99</v>
      </c>
      <c r="G118" s="1177">
        <f>IFERROR(__xludf.DUMMYFUNCTION("""COMPUTED_VALUE"""),135.0)</f>
        <v>135</v>
      </c>
      <c r="H118" s="1174" t="b">
        <f>IFERROR(__xludf.DUMMYFUNCTION("""COMPUTED_VALUE"""),FALSE)</f>
        <v>0</v>
      </c>
      <c r="I118" s="1174"/>
      <c r="N118" s="1174" t="str">
        <f t="shared" si="1"/>
        <v/>
      </c>
    </row>
    <row r="119">
      <c r="A119" s="1175">
        <f>IFERROR(__xludf.DUMMYFUNCTION("""COMPUTED_VALUE"""),45990.0)</f>
        <v>45990</v>
      </c>
      <c r="B119" s="1174" t="str">
        <f>IFERROR(__xludf.DUMMYFUNCTION("""COMPUTED_VALUE"""),"so-eb-12-13788-72285")</f>
        <v>so-eb-12-13788-72285</v>
      </c>
      <c r="C119" s="1174" t="str">
        <f>IFERROR(__xludf.DUMMYFUNCTION("""COMPUTED_VALUE"""),"NOVIEMBRE")</f>
        <v>NOVIEMBRE</v>
      </c>
      <c r="D119" s="1174" t="b">
        <f>IFERROR(__xludf.DUMMYFUNCTION("""COMPUTED_VALUE"""),TRUE)</f>
        <v>1</v>
      </c>
      <c r="E119" s="1174" t="str">
        <f>IFERROR(__xludf.DUMMYFUNCTION("""COMPUTED_VALUE"""),"Laptop")</f>
        <v>Laptop</v>
      </c>
      <c r="F119" s="1176">
        <f>IFERROR(__xludf.DUMMYFUNCTION("""COMPUTED_VALUE"""),1599.99)</f>
        <v>1599.99</v>
      </c>
      <c r="G119" s="1177">
        <f>IFERROR(__xludf.DUMMYFUNCTION("""COMPUTED_VALUE"""),135.0)</f>
        <v>135</v>
      </c>
      <c r="H119" s="1174" t="b">
        <f>IFERROR(__xludf.DUMMYFUNCTION("""COMPUTED_VALUE"""),FALSE)</f>
        <v>0</v>
      </c>
      <c r="I119" s="1174"/>
      <c r="N119" s="1174" t="str">
        <f t="shared" si="1"/>
        <v/>
      </c>
    </row>
    <row r="120">
      <c r="A120" s="1175">
        <f>IFERROR(__xludf.DUMMYFUNCTION("""COMPUTED_VALUE"""),45990.0)</f>
        <v>45990</v>
      </c>
      <c r="B120" s="1174" t="str">
        <f>IFERROR(__xludf.DUMMYFUNCTION("""COMPUTED_VALUE"""),"ke-eb-05-13894-65541")</f>
        <v>ke-eb-05-13894-65541</v>
      </c>
      <c r="C120" s="1174" t="str">
        <f>IFERROR(__xludf.DUMMYFUNCTION("""COMPUTED_VALUE"""),"DICIEMBRE")</f>
        <v>DICIEMBRE</v>
      </c>
      <c r="D120" s="1174" t="b">
        <f>IFERROR(__xludf.DUMMYFUNCTION("""COMPUTED_VALUE"""),TRUE)</f>
        <v>1</v>
      </c>
      <c r="E120" s="1174" t="str">
        <f>IFERROR(__xludf.DUMMYFUNCTION("""COMPUTED_VALUE"""),"Laptop")</f>
        <v>Laptop</v>
      </c>
      <c r="F120" s="1176">
        <f>IFERROR(__xludf.DUMMYFUNCTION("""COMPUTED_VALUE"""),1049.99)</f>
        <v>1049.99</v>
      </c>
      <c r="G120" s="1177">
        <f>IFERROR(__xludf.DUMMYFUNCTION("""COMPUTED_VALUE"""),609.0)</f>
        <v>609</v>
      </c>
      <c r="H120" s="1174" t="b">
        <f>IFERROR(__xludf.DUMMYFUNCTION("""COMPUTED_VALUE"""),FALSE)</f>
        <v>0</v>
      </c>
      <c r="I120" s="1174" t="str">
        <f>IFERROR(__xludf.DUMMYFUNCTION("""COMPUTED_VALUE"""),"DICIEMBRE")</f>
        <v>DICIEMBRE</v>
      </c>
      <c r="N120" s="1174" t="str">
        <f t="shared" si="1"/>
        <v/>
      </c>
    </row>
    <row r="121">
      <c r="A121" s="1175">
        <f>IFERROR(__xludf.DUMMYFUNCTION("""COMPUTED_VALUE"""),45990.0)</f>
        <v>45990</v>
      </c>
      <c r="B121" s="1174" t="str">
        <f>IFERROR(__xludf.DUMMYFUNCTION("""COMPUTED_VALUE"""),"ke-eb-01-13848-31371")</f>
        <v>ke-eb-01-13848-31371</v>
      </c>
      <c r="C121" s="1174" t="str">
        <f>IFERROR(__xludf.DUMMYFUNCTION("""COMPUTED_VALUE"""),"NOVIEMBRE")</f>
        <v>NOVIEMBRE</v>
      </c>
      <c r="D121" s="1174" t="b">
        <f>IFERROR(__xludf.DUMMYFUNCTION("""COMPUTED_VALUE"""),TRUE)</f>
        <v>1</v>
      </c>
      <c r="E121" s="1174" t="str">
        <f>IFERROR(__xludf.DUMMYFUNCTION("""COMPUTED_VALUE"""),"Laptop")</f>
        <v>Laptop</v>
      </c>
      <c r="F121" s="1176">
        <f>IFERROR(__xludf.DUMMYFUNCTION("""COMPUTED_VALUE"""),1449.99)</f>
        <v>1449.99</v>
      </c>
      <c r="G121" s="1177">
        <f>IFERROR(__xludf.DUMMYFUNCTION("""COMPUTED_VALUE"""),117.0)</f>
        <v>117</v>
      </c>
      <c r="H121" s="1174" t="b">
        <f>IFERROR(__xludf.DUMMYFUNCTION("""COMPUTED_VALUE"""),FALSE)</f>
        <v>0</v>
      </c>
      <c r="I121" s="1174" t="str">
        <f>IFERROR(__xludf.DUMMYFUNCTION("""COMPUTED_VALUE"""),"DICIEMBRE")</f>
        <v>DICIEMBRE</v>
      </c>
      <c r="N121" s="1174" t="str">
        <f t="shared" si="1"/>
        <v/>
      </c>
    </row>
    <row r="122">
      <c r="A122" s="1175">
        <f>IFERROR(__xludf.DUMMYFUNCTION("""COMPUTED_VALUE"""),45994.0)</f>
        <v>45994</v>
      </c>
      <c r="B122" s="1174" t="str">
        <f>IFERROR(__xludf.DUMMYFUNCTION("""COMPUTED_VALUE"""),"ke-am-113-1699895-1301804")</f>
        <v>ke-am-113-1699895-1301804</v>
      </c>
      <c r="C122" s="1174" t="str">
        <f>IFERROR(__xludf.DUMMYFUNCTION("""COMPUTED_VALUE"""),"DICIEMBRE")</f>
        <v>DICIEMBRE</v>
      </c>
      <c r="D122" s="1174" t="b">
        <f>IFERROR(__xludf.DUMMYFUNCTION("""COMPUTED_VALUE"""),TRUE)</f>
        <v>1</v>
      </c>
      <c r="E122" s="1174" t="str">
        <f>IFERROR(__xludf.DUMMYFUNCTION("""COMPUTED_VALUE"""),"Laptop")</f>
        <v>Laptop</v>
      </c>
      <c r="F122" s="1176">
        <f>IFERROR(__xludf.DUMMYFUNCTION("""COMPUTED_VALUE"""),1199.99)</f>
        <v>1199.99</v>
      </c>
      <c r="G122" s="1177">
        <f>IFERROR(__xludf.DUMMYFUNCTION("""COMPUTED_VALUE"""),352.0)</f>
        <v>352</v>
      </c>
      <c r="H122" s="1174" t="b">
        <f>IFERROR(__xludf.DUMMYFUNCTION("""COMPUTED_VALUE"""),FALSE)</f>
        <v>0</v>
      </c>
      <c r="I122" s="1174" t="str">
        <f>IFERROR(__xludf.DUMMYFUNCTION("""COMPUTED_VALUE"""),"DICIEMBRE")</f>
        <v>DICIEMBRE</v>
      </c>
      <c r="N122" s="1174" t="str">
        <f t="shared" si="1"/>
        <v/>
      </c>
    </row>
    <row r="123">
      <c r="A123" s="1175">
        <f>IFERROR(__xludf.DUMMYFUNCTION("""COMPUTED_VALUE"""),45994.0)</f>
        <v>45994</v>
      </c>
      <c r="B123" s="1174" t="str">
        <f>IFERROR(__xludf.DUMMYFUNCTION("""COMPUTED_VALUE"""),"G-D-2008459598653")</f>
        <v>G-D-2008459598653</v>
      </c>
      <c r="C123" s="1174" t="str">
        <f>IFERROR(__xludf.DUMMYFUNCTION("""COMPUTED_VALUE"""),"DICIEMBRE")</f>
        <v>DICIEMBRE</v>
      </c>
      <c r="D123" s="1174" t="b">
        <f>IFERROR(__xludf.DUMMYFUNCTION("""COMPUTED_VALUE"""),TRUE)</f>
        <v>1</v>
      </c>
      <c r="E123" s="1174" t="str">
        <f>IFERROR(__xludf.DUMMYFUNCTION("""COMPUTED_VALUE"""),"Laptop")</f>
        <v>Laptop</v>
      </c>
      <c r="F123" s="1176">
        <f>IFERROR(__xludf.DUMMYFUNCTION("""COMPUTED_VALUE"""),1099.99)</f>
        <v>1099.99</v>
      </c>
      <c r="G123" s="1177">
        <f>IFERROR(__xludf.DUMMYFUNCTION("""COMPUTED_VALUE"""),210.0)</f>
        <v>210</v>
      </c>
      <c r="H123" s="1174" t="b">
        <f>IFERROR(__xludf.DUMMYFUNCTION("""COMPUTED_VALUE"""),FALSE)</f>
        <v>0</v>
      </c>
      <c r="I123" s="1174" t="str">
        <f>IFERROR(__xludf.DUMMYFUNCTION("""COMPUTED_VALUE"""),"DICIEMBRE")</f>
        <v>DICIEMBRE</v>
      </c>
      <c r="N123" s="1174" t="str">
        <f t="shared" si="1"/>
        <v/>
      </c>
    </row>
    <row r="124">
      <c r="A124" s="1175">
        <f>IFERROR(__xludf.DUMMYFUNCTION("""COMPUTED_VALUE"""),45996.0)</f>
        <v>45996</v>
      </c>
      <c r="B124" s="1174" t="str">
        <f>IFERROR(__xludf.DUMMYFUNCTION("""COMPUTED_VALUE"""),"k-BBY03-807097180186")</f>
        <v>k-BBY03-807097180186</v>
      </c>
      <c r="C124" s="1174" t="str">
        <f>IFERROR(__xludf.DUMMYFUNCTION("""COMPUTED_VALUE"""),"DICIEMBRE")</f>
        <v>DICIEMBRE</v>
      </c>
      <c r="D124" s="1174" t="b">
        <f>IFERROR(__xludf.DUMMYFUNCTION("""COMPUTED_VALUE"""),TRUE)</f>
        <v>1</v>
      </c>
      <c r="E124" s="1174" t="str">
        <f>IFERROR(__xludf.DUMMYFUNCTION("""COMPUTED_VALUE"""),"Laptop")</f>
        <v>Laptop</v>
      </c>
      <c r="F124" s="1176">
        <f>IFERROR(__xludf.DUMMYFUNCTION("""COMPUTED_VALUE"""),1399.0)</f>
        <v>1399</v>
      </c>
      <c r="G124" s="1177">
        <f>IFERROR(__xludf.DUMMYFUNCTION("""COMPUTED_VALUE"""),663.0)</f>
        <v>663</v>
      </c>
      <c r="H124" s="1174" t="b">
        <f>IFERROR(__xludf.DUMMYFUNCTION("""COMPUTED_VALUE"""),FALSE)</f>
        <v>0</v>
      </c>
      <c r="I124" s="1174" t="str">
        <f>IFERROR(__xludf.DUMMYFUNCTION("""COMPUTED_VALUE"""),"DICIEMBRE")</f>
        <v>DICIEMBRE</v>
      </c>
      <c r="N124" s="1174" t="str">
        <f t="shared" si="1"/>
        <v/>
      </c>
    </row>
    <row r="125">
      <c r="A125" s="1175">
        <f>IFERROR(__xludf.DUMMYFUNCTION("""COMPUTED_VALUE"""),46002.0)</f>
        <v>46002</v>
      </c>
      <c r="B125" s="1174" t="str">
        <f>IFERROR(__xludf.DUMMYFUNCTION("""COMPUTED_VALUE"""),"k-a-113-9892347-3116235")</f>
        <v>k-a-113-9892347-3116235</v>
      </c>
      <c r="C125" s="1174" t="str">
        <f>IFERROR(__xludf.DUMMYFUNCTION("""COMPUTED_VALUE"""),"DICIEMBRE")</f>
        <v>DICIEMBRE</v>
      </c>
      <c r="D125" s="1174" t="b">
        <f>IFERROR(__xludf.DUMMYFUNCTION("""COMPUTED_VALUE"""),TRUE)</f>
        <v>1</v>
      </c>
      <c r="E125" s="1174" t="str">
        <f>IFERROR(__xludf.DUMMYFUNCTION("""COMPUTED_VALUE"""),"Laptop")</f>
        <v>Laptop</v>
      </c>
      <c r="F125" s="1176">
        <f>IFERROR(__xludf.DUMMYFUNCTION("""COMPUTED_VALUE"""),2099.99)</f>
        <v>2099.99</v>
      </c>
      <c r="G125" s="1177">
        <f>IFERROR(__xludf.DUMMYFUNCTION("""COMPUTED_VALUE"""),396.0)</f>
        <v>396</v>
      </c>
      <c r="H125" s="1174" t="b">
        <f>IFERROR(__xludf.DUMMYFUNCTION("""COMPUTED_VALUE"""),FALSE)</f>
        <v>0</v>
      </c>
      <c r="I125" s="1174" t="str">
        <f>IFERROR(__xludf.DUMMYFUNCTION("""COMPUTED_VALUE"""),"DICIEMBRE")</f>
        <v>DICIEMBRE</v>
      </c>
      <c r="N125" s="1174" t="str">
        <f t="shared" si="1"/>
        <v/>
      </c>
    </row>
    <row r="126">
      <c r="A126" s="1175">
        <f>IFERROR(__xludf.DUMMYFUNCTION("""COMPUTED_VALUE"""),46004.0)</f>
        <v>46004</v>
      </c>
      <c r="B126" s="1174" t="str">
        <f>IFERROR(__xludf.DUMMYFUNCTION("""COMPUTED_VALUE"""),"ke-ms-510665")</f>
        <v>ke-ms-510665</v>
      </c>
      <c r="C126" s="1174" t="str">
        <f>IFERROR(__xludf.DUMMYFUNCTION("""COMPUTED_VALUE"""),"DICIEMBRE")</f>
        <v>DICIEMBRE</v>
      </c>
      <c r="D126" s="1174" t="b">
        <f>IFERROR(__xludf.DUMMYFUNCTION("""COMPUTED_VALUE"""),TRUE)</f>
        <v>1</v>
      </c>
      <c r="E126" s="1174" t="str">
        <f>IFERROR(__xludf.DUMMYFUNCTION("""COMPUTED_VALUE"""),"Laptop")</f>
        <v>Laptop</v>
      </c>
      <c r="F126" s="1176">
        <f>IFERROR(__xludf.DUMMYFUNCTION("""COMPUTED_VALUE"""),1999.0)</f>
        <v>1999</v>
      </c>
      <c r="G126" s="1177">
        <f>IFERROR(__xludf.DUMMYFUNCTION("""COMPUTED_VALUE"""),313.0)</f>
        <v>313</v>
      </c>
      <c r="H126" s="1174" t="b">
        <f>IFERROR(__xludf.DUMMYFUNCTION("""COMPUTED_VALUE"""),FALSE)</f>
        <v>0</v>
      </c>
      <c r="I126" s="1174" t="str">
        <f>IFERROR(__xludf.DUMMYFUNCTION("""COMPUTED_VALUE"""),"ENERO")</f>
        <v>ENERO</v>
      </c>
      <c r="N126" s="1174" t="str">
        <f t="shared" si="1"/>
        <v/>
      </c>
    </row>
    <row r="127">
      <c r="A127" s="1175">
        <f>IFERROR(__xludf.DUMMYFUNCTION("""COMPUTED_VALUE"""),46004.0)</f>
        <v>46004</v>
      </c>
      <c r="B127" s="1174" t="str">
        <f>IFERROR(__xludf.DUMMYFUNCTION("""COMPUTED_VALUE"""),"ke-eb-13-13970-64469")</f>
        <v>ke-eb-13-13970-64469</v>
      </c>
      <c r="C127" s="1174" t="str">
        <f>IFERROR(__xludf.DUMMYFUNCTION("""COMPUTED_VALUE"""),"DICIEMBRE")</f>
        <v>DICIEMBRE</v>
      </c>
      <c r="D127" s="1174" t="b">
        <f>IFERROR(__xludf.DUMMYFUNCTION("""COMPUTED_VALUE"""),TRUE)</f>
        <v>1</v>
      </c>
      <c r="E127" s="1174" t="str">
        <f>IFERROR(__xludf.DUMMYFUNCTION("""COMPUTED_VALUE"""),"Laptop")</f>
        <v>Laptop</v>
      </c>
      <c r="F127" s="1176">
        <f>IFERROR(__xludf.DUMMYFUNCTION("""COMPUTED_VALUE"""),1999.0)</f>
        <v>1999</v>
      </c>
      <c r="G127" s="1177">
        <f>IFERROR(__xludf.DUMMYFUNCTION("""COMPUTED_VALUE"""),533.0)</f>
        <v>533</v>
      </c>
      <c r="H127" s="1174" t="b">
        <f>IFERROR(__xludf.DUMMYFUNCTION("""COMPUTED_VALUE"""),FALSE)</f>
        <v>0</v>
      </c>
      <c r="I127" s="1174" t="str">
        <f>IFERROR(__xludf.DUMMYFUNCTION("""COMPUTED_VALUE"""),"ENERO")</f>
        <v>ENERO</v>
      </c>
      <c r="N127" s="1174" t="str">
        <f t="shared" si="1"/>
        <v/>
      </c>
    </row>
    <row r="128">
      <c r="A128" s="1175">
        <f>IFERROR(__xludf.DUMMYFUNCTION("""COMPUTED_VALUE"""),46006.0)</f>
        <v>46006</v>
      </c>
      <c r="B128" s="1174" t="str">
        <f>IFERROR(__xludf.DUMMYFUNCTION("""COMPUTED_VALUE"""),"ke-am-113-9997949-5167441")</f>
        <v>ke-am-113-9997949-5167441</v>
      </c>
      <c r="C128" s="1174" t="str">
        <f>IFERROR(__xludf.DUMMYFUNCTION("""COMPUTED_VALUE"""),"DICIEMBRE")</f>
        <v>DICIEMBRE</v>
      </c>
      <c r="D128" s="1174" t="b">
        <f>IFERROR(__xludf.DUMMYFUNCTION("""COMPUTED_VALUE"""),TRUE)</f>
        <v>1</v>
      </c>
      <c r="E128" s="1174" t="str">
        <f>IFERROR(__xludf.DUMMYFUNCTION("""COMPUTED_VALUE"""),"Laptop")</f>
        <v>Laptop</v>
      </c>
      <c r="F128" s="1176">
        <f>IFERROR(__xludf.DUMMYFUNCTION("""COMPUTED_VALUE"""),1424.05)</f>
        <v>1424.05</v>
      </c>
      <c r="G128" s="1177">
        <f>IFERROR(__xludf.DUMMYFUNCTION("""COMPUTED_VALUE"""),436.0)</f>
        <v>436</v>
      </c>
      <c r="H128" s="1174" t="b">
        <f>IFERROR(__xludf.DUMMYFUNCTION("""COMPUTED_VALUE"""),FALSE)</f>
        <v>0</v>
      </c>
      <c r="I128" s="1174" t="str">
        <f>IFERROR(__xludf.DUMMYFUNCTION("""COMPUTED_VALUE"""),"ENERO")</f>
        <v>ENERO</v>
      </c>
      <c r="N128" s="1174" t="str">
        <f t="shared" si="1"/>
        <v/>
      </c>
    </row>
    <row r="129">
      <c r="A129" s="1175">
        <f>IFERROR(__xludf.DUMMYFUNCTION("""COMPUTED_VALUE"""),46007.0)</f>
        <v>46007</v>
      </c>
      <c r="B129" s="1174" t="str">
        <f>IFERROR(__xludf.DUMMYFUNCTION("""COMPUTED_VALUE"""),"ke-am-113-2025278-2064260")</f>
        <v>ke-am-113-2025278-2064260</v>
      </c>
      <c r="C129" s="1174" t="str">
        <f>IFERROR(__xludf.DUMMYFUNCTION("""COMPUTED_VALUE"""),"DICIEMBRE")</f>
        <v>DICIEMBRE</v>
      </c>
      <c r="D129" s="1174" t="b">
        <f>IFERROR(__xludf.DUMMYFUNCTION("""COMPUTED_VALUE"""),TRUE)</f>
        <v>1</v>
      </c>
      <c r="E129" s="1174" t="str">
        <f>IFERROR(__xludf.DUMMYFUNCTION("""COMPUTED_VALUE"""),"Laptop")</f>
        <v>Laptop</v>
      </c>
      <c r="F129" s="1176">
        <f>IFERROR(__xludf.DUMMYFUNCTION("""COMPUTED_VALUE"""),1499.0)</f>
        <v>1499</v>
      </c>
      <c r="G129" s="1177">
        <f>IFERROR(__xludf.DUMMYFUNCTION("""COMPUTED_VALUE"""),0.0)</f>
        <v>0</v>
      </c>
      <c r="H129" s="1174" t="b">
        <f>IFERROR(__xludf.DUMMYFUNCTION("""COMPUTED_VALUE"""),FALSE)</f>
        <v>0</v>
      </c>
      <c r="I129" s="1174" t="str">
        <f>IFERROR(__xludf.DUMMYFUNCTION("""COMPUTED_VALUE"""),"DICIEMBRE")</f>
        <v>DICIEMBRE</v>
      </c>
      <c r="N129" s="1174" t="str">
        <f t="shared" si="1"/>
        <v/>
      </c>
    </row>
    <row r="130">
      <c r="A130" s="1175">
        <f>IFERROR(__xludf.DUMMYFUNCTION("""COMPUTED_VALUE"""),46008.0)</f>
        <v>46008</v>
      </c>
      <c r="B130" s="1174"/>
      <c r="C130" s="1174"/>
      <c r="D130" s="1174" t="b">
        <f>IFERROR(__xludf.DUMMYFUNCTION("""COMPUTED_VALUE"""),FALSE)</f>
        <v>0</v>
      </c>
      <c r="E130" s="1174" t="str">
        <f>IFERROR(__xludf.DUMMYFUNCTION("""COMPUTED_VALUE"""),"Laptop")</f>
        <v>Laptop</v>
      </c>
      <c r="F130" s="1176"/>
      <c r="G130" s="1177">
        <f>IFERROR(__xludf.DUMMYFUNCTION("""COMPUTED_VALUE"""),0.0)</f>
        <v>0</v>
      </c>
      <c r="H130" s="1174" t="b">
        <f>IFERROR(__xludf.DUMMYFUNCTION("""COMPUTED_VALUE"""),FALSE)</f>
        <v>0</v>
      </c>
      <c r="I130" s="1174"/>
      <c r="N130" s="1174" t="str">
        <f t="shared" si="1"/>
        <v/>
      </c>
    </row>
    <row r="131">
      <c r="A131" s="1175">
        <f>IFERROR(__xludf.DUMMYFUNCTION("""COMPUTED_VALUE"""),46008.0)</f>
        <v>46008</v>
      </c>
      <c r="B131" s="1174" t="str">
        <f>IFERROR(__xludf.DUMMYFUNCTION("""COMPUTED_VALUE"""),"ja-mi-181225_2")</f>
        <v>ja-mi-181225_2</v>
      </c>
      <c r="C131" s="1174" t="str">
        <f>IFERROR(__xludf.DUMMYFUNCTION("""COMPUTED_VALUE"""),"DICIEMBRE")</f>
        <v>DICIEMBRE</v>
      </c>
      <c r="D131" s="1174" t="b">
        <f>IFERROR(__xludf.DUMMYFUNCTION("""COMPUTED_VALUE"""),TRUE)</f>
        <v>1</v>
      </c>
      <c r="E131" s="1174" t="str">
        <f>IFERROR(__xludf.DUMMYFUNCTION("""COMPUTED_VALUE"""),"Laptop")</f>
        <v>Laptop</v>
      </c>
      <c r="F131" s="1176">
        <f>IFERROR(__xludf.DUMMYFUNCTION("""COMPUTED_VALUE"""),2999.0)</f>
        <v>2999</v>
      </c>
      <c r="G131" s="1177">
        <f>IFERROR(__xludf.DUMMYFUNCTION("""COMPUTED_VALUE"""),341.0)</f>
        <v>341</v>
      </c>
      <c r="H131" s="1174" t="b">
        <f>IFERROR(__xludf.DUMMYFUNCTION("""COMPUTED_VALUE"""),FALSE)</f>
        <v>0</v>
      </c>
      <c r="I131" s="1174" t="str">
        <f>IFERROR(__xludf.DUMMYFUNCTION("""COMPUTED_VALUE"""),"ENERO")</f>
        <v>ENERO</v>
      </c>
      <c r="N131" s="1174" t="str">
        <f t="shared" si="1"/>
        <v/>
      </c>
    </row>
    <row r="132">
      <c r="A132" s="1175">
        <f>IFERROR(__xludf.DUMMYFUNCTION("""COMPUTED_VALUE"""),46008.0)</f>
        <v>46008</v>
      </c>
      <c r="B132" s="1174" t="str">
        <f>IFERROR(__xludf.DUMMYFUNCTION("""COMPUTED_VALUE"""),"ke-bh-1126154820")</f>
        <v>ke-bh-1126154820</v>
      </c>
      <c r="C132" s="1174" t="str">
        <f>IFERROR(__xludf.DUMMYFUNCTION("""COMPUTED_VALUE"""),"DICIEMBRE")</f>
        <v>DICIEMBRE</v>
      </c>
      <c r="D132" s="1174" t="b">
        <f>IFERROR(__xludf.DUMMYFUNCTION("""COMPUTED_VALUE"""),TRUE)</f>
        <v>1</v>
      </c>
      <c r="E132" s="1174" t="str">
        <f>IFERROR(__xludf.DUMMYFUNCTION("""COMPUTED_VALUE"""),"Laptop")</f>
        <v>Laptop</v>
      </c>
      <c r="F132" s="1176">
        <f>IFERROR(__xludf.DUMMYFUNCTION("""COMPUTED_VALUE"""),1899.0)</f>
        <v>1899</v>
      </c>
      <c r="G132" s="1177">
        <f>IFERROR(__xludf.DUMMYFUNCTION("""COMPUTED_VALUE"""),353.0)</f>
        <v>353</v>
      </c>
      <c r="H132" s="1174" t="b">
        <f>IFERROR(__xludf.DUMMYFUNCTION("""COMPUTED_VALUE"""),FALSE)</f>
        <v>0</v>
      </c>
      <c r="I132" s="1174" t="str">
        <f>IFERROR(__xludf.DUMMYFUNCTION("""COMPUTED_VALUE"""),"ENERO")</f>
        <v>ENERO</v>
      </c>
      <c r="N132" s="1174" t="str">
        <f t="shared" si="1"/>
        <v/>
      </c>
    </row>
    <row r="133">
      <c r="A133" s="1175">
        <f>IFERROR(__xludf.DUMMYFUNCTION("""COMPUTED_VALUE"""),46009.0)</f>
        <v>46009</v>
      </c>
      <c r="B133" s="1174" t="str">
        <f>IFERROR(__xludf.DUMMYFUNCTION("""COMPUTED_VALUE"""),"ke-BBY01-807119527838")</f>
        <v>ke-BBY01-807119527838</v>
      </c>
      <c r="C133" s="1174" t="str">
        <f>IFERROR(__xludf.DUMMYFUNCTION("""COMPUTED_VALUE"""),"DICIEMBRE")</f>
        <v>DICIEMBRE</v>
      </c>
      <c r="D133" s="1174" t="b">
        <f>IFERROR(__xludf.DUMMYFUNCTION("""COMPUTED_VALUE"""),TRUE)</f>
        <v>1</v>
      </c>
      <c r="E133" s="1174" t="str">
        <f>IFERROR(__xludf.DUMMYFUNCTION("""COMPUTED_VALUE"""),"Laptop")</f>
        <v>Laptop</v>
      </c>
      <c r="F133" s="1176">
        <f>IFERROR(__xludf.DUMMYFUNCTION("""COMPUTED_VALUE"""),1199.99)</f>
        <v>1199.99</v>
      </c>
      <c r="G133" s="1177">
        <f>IFERROR(__xludf.DUMMYFUNCTION("""COMPUTED_VALUE"""),49.0)</f>
        <v>49</v>
      </c>
      <c r="H133" s="1174" t="b">
        <f>IFERROR(__xludf.DUMMYFUNCTION("""COMPUTED_VALUE"""),FALSE)</f>
        <v>0</v>
      </c>
      <c r="I133" s="1174" t="str">
        <f>IFERROR(__xludf.DUMMYFUNCTION("""COMPUTED_VALUE"""),"DICIEMBRE")</f>
        <v>DICIEMBRE</v>
      </c>
      <c r="N133" s="1174" t="str">
        <f t="shared" si="1"/>
        <v/>
      </c>
    </row>
    <row r="134">
      <c r="A134" s="1175">
        <f>IFERROR(__xludf.DUMMYFUNCTION("""COMPUTED_VALUE"""),46011.0)</f>
        <v>46011</v>
      </c>
      <c r="B134" s="1174" t="str">
        <f>IFERROR(__xludf.DUMMYFUNCTION("""COMPUTED_VALUE"""),"li-mi-211225")</f>
        <v>li-mi-211225</v>
      </c>
      <c r="C134" s="1174" t="str">
        <f>IFERROR(__xludf.DUMMYFUNCTION("""COMPUTED_VALUE"""),"DICIEMBRE")</f>
        <v>DICIEMBRE</v>
      </c>
      <c r="D134" s="1174" t="b">
        <f>IFERROR(__xludf.DUMMYFUNCTION("""COMPUTED_VALUE"""),TRUE)</f>
        <v>1</v>
      </c>
      <c r="E134" s="1174" t="str">
        <f>IFERROR(__xludf.DUMMYFUNCTION("""COMPUTED_VALUE"""),"Laptop")</f>
        <v>Laptop</v>
      </c>
      <c r="F134" s="1176">
        <f>IFERROR(__xludf.DUMMYFUNCTION("""COMPUTED_VALUE"""),1699.0)</f>
        <v>1699</v>
      </c>
      <c r="G134" s="1177">
        <f>IFERROR(__xludf.DUMMYFUNCTION("""COMPUTED_VALUE"""),518.0)</f>
        <v>518</v>
      </c>
      <c r="H134" s="1174" t="b">
        <f>IFERROR(__xludf.DUMMYFUNCTION("""COMPUTED_VALUE"""),FALSE)</f>
        <v>0</v>
      </c>
      <c r="I134" s="1174" t="str">
        <f>IFERROR(__xludf.DUMMYFUNCTION("""COMPUTED_VALUE"""),"ENERO")</f>
        <v>ENERO</v>
      </c>
      <c r="N134" s="1174" t="str">
        <f t="shared" si="1"/>
        <v/>
      </c>
    </row>
    <row r="135">
      <c r="A135" s="1175">
        <f>IFERROR(__xludf.DUMMYFUNCTION("""COMPUTED_VALUE"""),46014.0)</f>
        <v>46014</v>
      </c>
      <c r="B135" s="1174" t="str">
        <f>IFERROR(__xludf.DUMMYFUNCTION("""COMPUTED_VALUE"""),"ke-BBY01-807115681052")</f>
        <v>ke-BBY01-807115681052</v>
      </c>
      <c r="C135" s="1174" t="str">
        <f>IFERROR(__xludf.DUMMYFUNCTION("""COMPUTED_VALUE"""),"DICIEMBRE")</f>
        <v>DICIEMBRE</v>
      </c>
      <c r="D135" s="1174" t="b">
        <f>IFERROR(__xludf.DUMMYFUNCTION("""COMPUTED_VALUE"""),TRUE)</f>
        <v>1</v>
      </c>
      <c r="E135" s="1174" t="str">
        <f>IFERROR(__xludf.DUMMYFUNCTION("""COMPUTED_VALUE"""),"Laptop")</f>
        <v>Laptop</v>
      </c>
      <c r="F135" s="1176">
        <f>IFERROR(__xludf.DUMMYFUNCTION("""COMPUTED_VALUE"""),1449.99)</f>
        <v>1449.99</v>
      </c>
      <c r="G135" s="1177">
        <f>IFERROR(__xludf.DUMMYFUNCTION("""COMPUTED_VALUE"""),266.0)</f>
        <v>266</v>
      </c>
      <c r="H135" s="1174" t="b">
        <f>IFERROR(__xludf.DUMMYFUNCTION("""COMPUTED_VALUE"""),FALSE)</f>
        <v>0</v>
      </c>
      <c r="I135" s="1174" t="str">
        <f>IFERROR(__xludf.DUMMYFUNCTION("""COMPUTED_VALUE"""),"DICIEMBRE")</f>
        <v>DICIEMBRE</v>
      </c>
      <c r="N135" s="1174" t="str">
        <f t="shared" si="1"/>
        <v/>
      </c>
    </row>
    <row r="136">
      <c r="A136" s="1175">
        <f>IFERROR(__xludf.DUMMYFUNCTION("""COMPUTED_VALUE"""),46014.0)</f>
        <v>46014</v>
      </c>
      <c r="B136" s="1174" t="str">
        <f>IFERROR(__xludf.DUMMYFUNCTION("""COMPUTED_VALUE"""),"so-eb-25-13990-10503")</f>
        <v>so-eb-25-13990-10503</v>
      </c>
      <c r="C136" s="1174" t="str">
        <f>IFERROR(__xludf.DUMMYFUNCTION("""COMPUTED_VALUE"""),"DICIEMBRE")</f>
        <v>DICIEMBRE</v>
      </c>
      <c r="D136" s="1174" t="b">
        <f>IFERROR(__xludf.DUMMYFUNCTION("""COMPUTED_VALUE"""),TRUE)</f>
        <v>1</v>
      </c>
      <c r="E136" s="1174" t="str">
        <f>IFERROR(__xludf.DUMMYFUNCTION("""COMPUTED_VALUE"""),"Laptop")</f>
        <v>Laptop</v>
      </c>
      <c r="F136" s="1176">
        <f>IFERROR(__xludf.DUMMYFUNCTION("""COMPUTED_VALUE"""),2599.0)</f>
        <v>2599</v>
      </c>
      <c r="G136" s="1177">
        <f>IFERROR(__xludf.DUMMYFUNCTION("""COMPUTED_VALUE"""),311.0)</f>
        <v>311</v>
      </c>
      <c r="H136" s="1174" t="b">
        <f>IFERROR(__xludf.DUMMYFUNCTION("""COMPUTED_VALUE"""),FALSE)</f>
        <v>0</v>
      </c>
      <c r="I136" s="1174" t="str">
        <f>IFERROR(__xludf.DUMMYFUNCTION("""COMPUTED_VALUE"""),"ENERO")</f>
        <v>ENERO</v>
      </c>
      <c r="N136" s="1174" t="str">
        <f t="shared" si="1"/>
        <v/>
      </c>
    </row>
    <row r="137">
      <c r="A137" s="1175">
        <f>IFERROR(__xludf.DUMMYFUNCTION("""COMPUTED_VALUE"""),46015.0)</f>
        <v>46015</v>
      </c>
      <c r="B137" s="1174" t="str">
        <f>IFERROR(__xludf.DUMMYFUNCTION("""COMPUTED_VALUE"""),"li-mi-261225")</f>
        <v>li-mi-261225</v>
      </c>
      <c r="C137" s="1174" t="str">
        <f>IFERROR(__xludf.DUMMYFUNCTION("""COMPUTED_VALUE"""),"DICIEMBRE")</f>
        <v>DICIEMBRE</v>
      </c>
      <c r="D137" s="1174" t="b">
        <f>IFERROR(__xludf.DUMMYFUNCTION("""COMPUTED_VALUE"""),TRUE)</f>
        <v>1</v>
      </c>
      <c r="E137" s="1174" t="str">
        <f>IFERROR(__xludf.DUMMYFUNCTION("""COMPUTED_VALUE"""),"Laptop")</f>
        <v>Laptop</v>
      </c>
      <c r="F137" s="1176">
        <f>IFERROR(__xludf.DUMMYFUNCTION("""COMPUTED_VALUE"""),1799.0)</f>
        <v>1799</v>
      </c>
      <c r="G137" s="1177">
        <f>IFERROR(__xludf.DUMMYFUNCTION("""COMPUTED_VALUE"""),52.0)</f>
        <v>52</v>
      </c>
      <c r="H137" s="1174" t="b">
        <f>IFERROR(__xludf.DUMMYFUNCTION("""COMPUTED_VALUE"""),FALSE)</f>
        <v>0</v>
      </c>
      <c r="I137" s="1174" t="str">
        <f>IFERROR(__xludf.DUMMYFUNCTION("""COMPUTED_VALUE"""),"ENERO")</f>
        <v>ENERO</v>
      </c>
      <c r="N137" s="1174" t="str">
        <f t="shared" si="1"/>
        <v/>
      </c>
    </row>
    <row r="138">
      <c r="A138" s="1175">
        <f>IFERROR(__xludf.DUMMYFUNCTION("""COMPUTED_VALUE"""),46017.0)</f>
        <v>46017</v>
      </c>
      <c r="B138" s="1174" t="str">
        <f>IFERROR(__xludf.DUMMYFUNCTION("""COMPUTED_VALUE"""),"ke-am-113-1108371-9349868")</f>
        <v>ke-am-113-1108371-9349868</v>
      </c>
      <c r="C138" s="1174" t="str">
        <f>IFERROR(__xludf.DUMMYFUNCTION("""COMPUTED_VALUE"""),"DICIEMBRE")</f>
        <v>DICIEMBRE</v>
      </c>
      <c r="D138" s="1174" t="b">
        <f>IFERROR(__xludf.DUMMYFUNCTION("""COMPUTED_VALUE"""),TRUE)</f>
        <v>1</v>
      </c>
      <c r="E138" s="1174" t="str">
        <f>IFERROR(__xludf.DUMMYFUNCTION("""COMPUTED_VALUE"""),"Laptop")</f>
        <v>Laptop</v>
      </c>
      <c r="F138" s="1176">
        <f>IFERROR(__xludf.DUMMYFUNCTION("""COMPUTED_VALUE"""),1424.05)</f>
        <v>1424.05</v>
      </c>
      <c r="G138" s="1177">
        <f>IFERROR(__xludf.DUMMYFUNCTION("""COMPUTED_VALUE"""),156.0)</f>
        <v>156</v>
      </c>
      <c r="H138" s="1174" t="b">
        <f>IFERROR(__xludf.DUMMYFUNCTION("""COMPUTED_VALUE"""),FALSE)</f>
        <v>0</v>
      </c>
      <c r="I138" s="1174" t="str">
        <f>IFERROR(__xludf.DUMMYFUNCTION("""COMPUTED_VALUE"""),"ENERO")</f>
        <v>ENERO</v>
      </c>
      <c r="N138" s="1174" t="str">
        <f t="shared" si="1"/>
        <v/>
      </c>
    </row>
    <row r="139">
      <c r="A139" s="1175">
        <f>IFERROR(__xludf.DUMMYFUNCTION("""COMPUTED_VALUE"""),46018.0)</f>
        <v>46018</v>
      </c>
      <c r="B139" s="1174" t="str">
        <f>IFERROR(__xludf.DUMMYFUNCTION("""COMPUTED_VALUE"""),"so-eb-21-13968-81988")</f>
        <v>so-eb-21-13968-81988</v>
      </c>
      <c r="C139" s="1174" t="str">
        <f>IFERROR(__xludf.DUMMYFUNCTION("""COMPUTED_VALUE"""),"DICIEMBRE")</f>
        <v>DICIEMBRE</v>
      </c>
      <c r="D139" s="1174" t="b">
        <f>IFERROR(__xludf.DUMMYFUNCTION("""COMPUTED_VALUE"""),TRUE)</f>
        <v>1</v>
      </c>
      <c r="E139" s="1174" t="str">
        <f>IFERROR(__xludf.DUMMYFUNCTION("""COMPUTED_VALUE"""),"Laptop")</f>
        <v>Laptop</v>
      </c>
      <c r="F139" s="1176">
        <f>IFERROR(__xludf.DUMMYFUNCTION("""COMPUTED_VALUE"""),1449.99)</f>
        <v>1449.99</v>
      </c>
      <c r="G139" s="1177">
        <f>IFERROR(__xludf.DUMMYFUNCTION("""COMPUTED_VALUE"""),836.0)</f>
        <v>836</v>
      </c>
      <c r="H139" s="1174" t="b">
        <f>IFERROR(__xludf.DUMMYFUNCTION("""COMPUTED_VALUE"""),FALSE)</f>
        <v>0</v>
      </c>
      <c r="I139" s="1174" t="str">
        <f>IFERROR(__xludf.DUMMYFUNCTION("""COMPUTED_VALUE"""),"ENERO")</f>
        <v>ENERO</v>
      </c>
      <c r="N139" s="1174" t="str">
        <f t="shared" si="1"/>
        <v/>
      </c>
    </row>
    <row r="140">
      <c r="A140" s="1175">
        <f>IFERROR(__xludf.DUMMYFUNCTION("""COMPUTED_VALUE"""),46018.0)</f>
        <v>46018</v>
      </c>
      <c r="B140" s="1174" t="str">
        <f>IFERROR(__xludf.DUMMYFUNCTION("""COMPUTED_VALUE"""),"ke-eb-06-14033-91147")</f>
        <v>ke-eb-06-14033-91147</v>
      </c>
      <c r="C140" s="1174" t="str">
        <f>IFERROR(__xludf.DUMMYFUNCTION("""COMPUTED_VALUE"""),"ENERO")</f>
        <v>ENERO</v>
      </c>
      <c r="D140" s="1174" t="b">
        <f>IFERROR(__xludf.DUMMYFUNCTION("""COMPUTED_VALUE"""),TRUE)</f>
        <v>1</v>
      </c>
      <c r="E140" s="1174" t="str">
        <f>IFERROR(__xludf.DUMMYFUNCTION("""COMPUTED_VALUE"""),"Laptop")</f>
        <v>Laptop</v>
      </c>
      <c r="F140" s="1176">
        <f>IFERROR(__xludf.DUMMYFUNCTION("""COMPUTED_VALUE"""),1999.0)</f>
        <v>1999</v>
      </c>
      <c r="G140" s="1177">
        <f>IFERROR(__xludf.DUMMYFUNCTION("""COMPUTED_VALUE"""),234.0)</f>
        <v>234</v>
      </c>
      <c r="H140" s="1174" t="b">
        <f>IFERROR(__xludf.DUMMYFUNCTION("""COMPUTED_VALUE"""),FALSE)</f>
        <v>0</v>
      </c>
      <c r="I140" s="1174" t="str">
        <f>IFERROR(__xludf.DUMMYFUNCTION("""COMPUTED_VALUE"""),"ENERO")</f>
        <v>ENERO</v>
      </c>
      <c r="N140" s="1174" t="str">
        <f t="shared" si="1"/>
        <v/>
      </c>
    </row>
    <row r="141">
      <c r="A141" s="1175">
        <f>IFERROR(__xludf.DUMMYFUNCTION("""COMPUTED_VALUE"""),46020.0)</f>
        <v>46020</v>
      </c>
      <c r="B141" s="1174" t="str">
        <f>IFERROR(__xludf.DUMMYFUNCTION("""COMPUTED_VALUE"""),"ke-ms-517026")</f>
        <v>ke-ms-517026</v>
      </c>
      <c r="C141" s="1174" t="str">
        <f>IFERROR(__xludf.DUMMYFUNCTION("""COMPUTED_VALUE"""),"ENERO")</f>
        <v>ENERO</v>
      </c>
      <c r="D141" s="1174" t="b">
        <f>IFERROR(__xludf.DUMMYFUNCTION("""COMPUTED_VALUE"""),TRUE)</f>
        <v>1</v>
      </c>
      <c r="E141" s="1174" t="str">
        <f>IFERROR(__xludf.DUMMYFUNCTION("""COMPUTED_VALUE"""),"Laptop")</f>
        <v>Laptop</v>
      </c>
      <c r="F141" s="1176">
        <f>IFERROR(__xludf.DUMMYFUNCTION("""COMPUTED_VALUE"""),1999.0)</f>
        <v>1999</v>
      </c>
      <c r="G141" s="1177">
        <f>IFERROR(__xludf.DUMMYFUNCTION("""COMPUTED_VALUE"""),103.0)</f>
        <v>103</v>
      </c>
      <c r="H141" s="1174" t="b">
        <f>IFERROR(__xludf.DUMMYFUNCTION("""COMPUTED_VALUE"""),FALSE)</f>
        <v>0</v>
      </c>
      <c r="I141" s="1174" t="str">
        <f>IFERROR(__xludf.DUMMYFUNCTION("""COMPUTED_VALUE"""),"FEBRERO")</f>
        <v>FEBRERO</v>
      </c>
      <c r="N141" s="1174" t="str">
        <f t="shared" si="1"/>
        <v/>
      </c>
    </row>
    <row r="142">
      <c r="A142" s="1175">
        <f>IFERROR(__xludf.DUMMYFUNCTION("""COMPUTED_VALUE"""),46022.0)</f>
        <v>46022</v>
      </c>
      <c r="B142" s="1174" t="str">
        <f>IFERROR(__xludf.DUMMYFUNCTION("""COMPUTED_VALUE"""),"ga-co-010126")</f>
        <v>ga-co-010126</v>
      </c>
      <c r="C142" s="1174" t="str">
        <f>IFERROR(__xludf.DUMMYFUNCTION("""COMPUTED_VALUE"""),"ENERO")</f>
        <v>ENERO</v>
      </c>
      <c r="D142" s="1174" t="b">
        <f>IFERROR(__xludf.DUMMYFUNCTION("""COMPUTED_VALUE"""),TRUE)</f>
        <v>1</v>
      </c>
      <c r="E142" s="1174" t="str">
        <f>IFERROR(__xludf.DUMMYFUNCTION("""COMPUTED_VALUE"""),"Laptop")</f>
        <v>Laptop</v>
      </c>
      <c r="F142" s="1176">
        <f>IFERROR(__xludf.DUMMYFUNCTION("""COMPUTED_VALUE"""),1799.0)</f>
        <v>1799</v>
      </c>
      <c r="G142" s="1177">
        <f>IFERROR(__xludf.DUMMYFUNCTION("""COMPUTED_VALUE"""),100.0)</f>
        <v>100</v>
      </c>
      <c r="H142" s="1174" t="b">
        <f>IFERROR(__xludf.DUMMYFUNCTION("""COMPUTED_VALUE"""),FALSE)</f>
        <v>0</v>
      </c>
      <c r="I142" s="1174" t="str">
        <f>IFERROR(__xludf.DUMMYFUNCTION("""COMPUTED_VALUE"""),"ENERO")</f>
        <v>ENERO</v>
      </c>
      <c r="N142" s="1174" t="str">
        <f t="shared" si="1"/>
        <v/>
      </c>
    </row>
    <row r="143">
      <c r="A143" s="1175">
        <f>IFERROR(__xludf.DUMMYFUNCTION("""COMPUTED_VALUE"""),46022.0)</f>
        <v>46022</v>
      </c>
      <c r="B143" s="1174" t="str">
        <f>IFERROR(__xludf.DUMMYFUNCTION("""COMPUTED_VALUE"""),"so-BBY01-807119526189")</f>
        <v>so-BBY01-807119526189</v>
      </c>
      <c r="C143" s="1174" t="str">
        <f>IFERROR(__xludf.DUMMYFUNCTION("""COMPUTED_VALUE"""),"DICIEMBRE")</f>
        <v>DICIEMBRE</v>
      </c>
      <c r="D143" s="1174" t="b">
        <f>IFERROR(__xludf.DUMMYFUNCTION("""COMPUTED_VALUE"""),TRUE)</f>
        <v>1</v>
      </c>
      <c r="E143" s="1174" t="str">
        <f>IFERROR(__xludf.DUMMYFUNCTION("""COMPUTED_VALUE"""),"Laptop")</f>
        <v>Laptop</v>
      </c>
      <c r="F143" s="1176">
        <f>IFERROR(__xludf.DUMMYFUNCTION("""COMPUTED_VALUE"""),1199.99)</f>
        <v>1199.99</v>
      </c>
      <c r="G143" s="1177">
        <f>IFERROR(__xludf.DUMMYFUNCTION("""COMPUTED_VALUE"""),278.0)</f>
        <v>278</v>
      </c>
      <c r="H143" s="1174" t="b">
        <f>IFERROR(__xludf.DUMMYFUNCTION("""COMPUTED_VALUE"""),FALSE)</f>
        <v>0</v>
      </c>
      <c r="I143" s="1174" t="str">
        <f>IFERROR(__xludf.DUMMYFUNCTION("""COMPUTED_VALUE"""),"ENERO")</f>
        <v>ENERO</v>
      </c>
      <c r="N143" s="1174" t="str">
        <f t="shared" si="1"/>
        <v/>
      </c>
    </row>
    <row r="144">
      <c r="A144" s="1175">
        <f>IFERROR(__xludf.DUMMYFUNCTION("""COMPUTED_VALUE"""),46022.0)</f>
        <v>46022</v>
      </c>
      <c r="B144" s="1174" t="str">
        <f>IFERROR(__xludf.DUMMYFUNCTION("""COMPUTED_VALUE"""),"ke-eb-22-14026-48970")</f>
        <v>ke-eb-22-14026-48970</v>
      </c>
      <c r="C144" s="1174" t="str">
        <f>IFERROR(__xludf.DUMMYFUNCTION("""COMPUTED_VALUE"""),"ENERO")</f>
        <v>ENERO</v>
      </c>
      <c r="D144" s="1174" t="b">
        <f>IFERROR(__xludf.DUMMYFUNCTION("""COMPUTED_VALUE"""),TRUE)</f>
        <v>1</v>
      </c>
      <c r="E144" s="1174" t="str">
        <f>IFERROR(__xludf.DUMMYFUNCTION("""COMPUTED_VALUE"""),"Laptop")</f>
        <v>Laptop</v>
      </c>
      <c r="F144" s="1176">
        <f>IFERROR(__xludf.DUMMYFUNCTION("""COMPUTED_VALUE"""),869.0)</f>
        <v>869</v>
      </c>
      <c r="G144" s="1177">
        <f>IFERROR(__xludf.DUMMYFUNCTION("""COMPUTED_VALUE"""),229.0)</f>
        <v>229</v>
      </c>
      <c r="H144" s="1174" t="b">
        <f>IFERROR(__xludf.DUMMYFUNCTION("""COMPUTED_VALUE"""),FALSE)</f>
        <v>0</v>
      </c>
      <c r="I144" s="1174" t="str">
        <f>IFERROR(__xludf.DUMMYFUNCTION("""COMPUTED_VALUE"""),"ENERO")</f>
        <v>ENERO</v>
      </c>
      <c r="N144" s="1174" t="str">
        <f t="shared" si="1"/>
        <v/>
      </c>
    </row>
    <row r="145">
      <c r="A145" s="1175">
        <f>IFERROR(__xludf.DUMMYFUNCTION("""COMPUTED_VALUE"""),46024.0)</f>
        <v>46024</v>
      </c>
      <c r="B145" s="1174" t="str">
        <f>IFERROR(__xludf.DUMMYFUNCTION("""COMPUTED_VALUE"""),"re-eb-25-13854-47189")</f>
        <v>re-eb-25-13854-47189</v>
      </c>
      <c r="C145" s="1174" t="str">
        <f>IFERROR(__xludf.DUMMYFUNCTION("""COMPUTED_VALUE"""),"ENERO")</f>
        <v>ENERO</v>
      </c>
      <c r="D145" s="1174" t="b">
        <f>IFERROR(__xludf.DUMMYFUNCTION("""COMPUTED_VALUE"""),TRUE)</f>
        <v>1</v>
      </c>
      <c r="E145" s="1174" t="str">
        <f>IFERROR(__xludf.DUMMYFUNCTION("""COMPUTED_VALUE"""),"Laptop")</f>
        <v>Laptop</v>
      </c>
      <c r="F145" s="1176">
        <f>IFERROR(__xludf.DUMMYFUNCTION("""COMPUTED_VALUE"""),1299.99)</f>
        <v>1299.99</v>
      </c>
      <c r="G145" s="1177">
        <f>IFERROR(__xludf.DUMMYFUNCTION("""COMPUTED_VALUE"""),495.0)</f>
        <v>495</v>
      </c>
      <c r="H145" s="1174" t="b">
        <f>IFERROR(__xludf.DUMMYFUNCTION("""COMPUTED_VALUE"""),FALSE)</f>
        <v>0</v>
      </c>
      <c r="I145" s="1174" t="str">
        <f>IFERROR(__xludf.DUMMYFUNCTION("""COMPUTED_VALUE"""),"ENERO")</f>
        <v>ENERO</v>
      </c>
      <c r="N145" s="1174" t="str">
        <f t="shared" si="1"/>
        <v/>
      </c>
    </row>
    <row r="146">
      <c r="A146" s="1175">
        <f>IFERROR(__xludf.DUMMYFUNCTION("""COMPUTED_VALUE"""),46025.0)</f>
        <v>46025</v>
      </c>
      <c r="B146" s="1174" t="str">
        <f>IFERROR(__xludf.DUMMYFUNCTION("""COMPUTED_VALUE"""),"ja-mi-140126")</f>
        <v>ja-mi-140126</v>
      </c>
      <c r="C146" s="1174" t="str">
        <f>IFERROR(__xludf.DUMMYFUNCTION("""COMPUTED_VALUE"""),"ENERO")</f>
        <v>ENERO</v>
      </c>
      <c r="D146" s="1174" t="b">
        <f>IFERROR(__xludf.DUMMYFUNCTION("""COMPUTED_VALUE"""),TRUE)</f>
        <v>1</v>
      </c>
      <c r="E146" s="1174" t="str">
        <f>IFERROR(__xludf.DUMMYFUNCTION("""COMPUTED_VALUE"""),"Laptop")</f>
        <v>Laptop</v>
      </c>
      <c r="F146" s="1176">
        <f>IFERROR(__xludf.DUMMYFUNCTION("""COMPUTED_VALUE"""),1499.0)</f>
        <v>1499</v>
      </c>
      <c r="G146" s="1177">
        <f>IFERROR(__xludf.DUMMYFUNCTION("""COMPUTED_VALUE"""),542.0)</f>
        <v>542</v>
      </c>
      <c r="H146" s="1174" t="b">
        <f>IFERROR(__xludf.DUMMYFUNCTION("""COMPUTED_VALUE"""),FALSE)</f>
        <v>0</v>
      </c>
      <c r="I146" s="1174" t="str">
        <f>IFERROR(__xludf.DUMMYFUNCTION("""COMPUTED_VALUE"""),"FEBRERO")</f>
        <v>FEBRERO</v>
      </c>
      <c r="N146" s="1174" t="str">
        <f t="shared" si="1"/>
        <v/>
      </c>
    </row>
    <row r="147">
      <c r="A147" s="1175">
        <f>IFERROR(__xludf.DUMMYFUNCTION("""COMPUTED_VALUE"""),46025.0)</f>
        <v>46025</v>
      </c>
      <c r="B147" s="1174" t="str">
        <f>IFERROR(__xludf.DUMMYFUNCTION("""COMPUTED_VALUE"""),"ke-am-113-0142792-2731461")</f>
        <v>ke-am-113-0142792-2731461</v>
      </c>
      <c r="C147" s="1174" t="str">
        <f>IFERROR(__xludf.DUMMYFUNCTION("""COMPUTED_VALUE"""),"ENERO")</f>
        <v>ENERO</v>
      </c>
      <c r="D147" s="1174" t="b">
        <f>IFERROR(__xludf.DUMMYFUNCTION("""COMPUTED_VALUE"""),TRUE)</f>
        <v>1</v>
      </c>
      <c r="E147" s="1174" t="str">
        <f>IFERROR(__xludf.DUMMYFUNCTION("""COMPUTED_VALUE"""),"Laptop")</f>
        <v>Laptop</v>
      </c>
      <c r="F147" s="1176">
        <f>IFERROR(__xludf.DUMMYFUNCTION("""COMPUTED_VALUE"""),1424.05)</f>
        <v>1424.05</v>
      </c>
      <c r="G147" s="1177">
        <f>IFERROR(__xludf.DUMMYFUNCTION("""COMPUTED_VALUE"""),435.0)</f>
        <v>435</v>
      </c>
      <c r="H147" s="1174" t="b">
        <f>IFERROR(__xludf.DUMMYFUNCTION("""COMPUTED_VALUE"""),FALSE)</f>
        <v>0</v>
      </c>
      <c r="I147" s="1174" t="str">
        <f>IFERROR(__xludf.DUMMYFUNCTION("""COMPUTED_VALUE"""),"ENERO")</f>
        <v>ENERO</v>
      </c>
      <c r="N147" s="1174" t="str">
        <f t="shared" si="1"/>
        <v/>
      </c>
    </row>
    <row r="148">
      <c r="A148" s="1175">
        <f>IFERROR(__xludf.DUMMYFUNCTION("""COMPUTED_VALUE"""),46027.0)</f>
        <v>46027</v>
      </c>
      <c r="B148" s="1174" t="str">
        <f>IFERROR(__xludf.DUMMYFUNCTION("""COMPUTED_VALUE"""),"li-mi-291225")</f>
        <v>li-mi-291225</v>
      </c>
      <c r="C148" s="1174" t="str">
        <f>IFERROR(__xludf.DUMMYFUNCTION("""COMPUTED_VALUE"""),"ENERO")</f>
        <v>ENERO</v>
      </c>
      <c r="D148" s="1174" t="b">
        <f>IFERROR(__xludf.DUMMYFUNCTION("""COMPUTED_VALUE"""),TRUE)</f>
        <v>1</v>
      </c>
      <c r="E148" s="1174" t="str">
        <f>IFERROR(__xludf.DUMMYFUNCTION("""COMPUTED_VALUE"""),"Laptop")</f>
        <v>Laptop</v>
      </c>
      <c r="F148" s="1176">
        <f>IFERROR(__xludf.DUMMYFUNCTION("""COMPUTED_VALUE"""),1799.99)</f>
        <v>1799.99</v>
      </c>
      <c r="G148" s="1177">
        <f>IFERROR(__xludf.DUMMYFUNCTION("""COMPUTED_VALUE"""),859.0)</f>
        <v>859</v>
      </c>
      <c r="H148" s="1174" t="b">
        <f>IFERROR(__xludf.DUMMYFUNCTION("""COMPUTED_VALUE"""),FALSE)</f>
        <v>0</v>
      </c>
      <c r="I148" s="1174" t="str">
        <f>IFERROR(__xludf.DUMMYFUNCTION("""COMPUTED_VALUE"""),"FEBRERO")</f>
        <v>FEBRERO</v>
      </c>
      <c r="N148" s="1174" t="str">
        <f t="shared" si="1"/>
        <v/>
      </c>
    </row>
    <row r="149">
      <c r="A149" s="1175">
        <f>IFERROR(__xludf.DUMMYFUNCTION("""COMPUTED_VALUE"""),46028.0)</f>
        <v>46028</v>
      </c>
      <c r="B149" s="1174" t="str">
        <f>IFERROR(__xludf.DUMMYFUNCTION("""COMPUTED_VALUE"""),"ke-eb-22-14011-26151")</f>
        <v>ke-eb-22-14011-26151</v>
      </c>
      <c r="C149" s="1174" t="str">
        <f>IFERROR(__xludf.DUMMYFUNCTION("""COMPUTED_VALUE"""),"ENERO")</f>
        <v>ENERO</v>
      </c>
      <c r="D149" s="1174" t="b">
        <f>IFERROR(__xludf.DUMMYFUNCTION("""COMPUTED_VALUE"""),TRUE)</f>
        <v>1</v>
      </c>
      <c r="E149" s="1174" t="str">
        <f>IFERROR(__xludf.DUMMYFUNCTION("""COMPUTED_VALUE"""),"Laptop")</f>
        <v>Laptop</v>
      </c>
      <c r="F149" s="1176">
        <f>IFERROR(__xludf.DUMMYFUNCTION("""COMPUTED_VALUE"""),1499.99)</f>
        <v>1499.99</v>
      </c>
      <c r="G149" s="1177">
        <f>IFERROR(__xludf.DUMMYFUNCTION("""COMPUTED_VALUE"""),485.0)</f>
        <v>485</v>
      </c>
      <c r="H149" s="1174" t="b">
        <f>IFERROR(__xludf.DUMMYFUNCTION("""COMPUTED_VALUE"""),FALSE)</f>
        <v>0</v>
      </c>
      <c r="I149" s="1174" t="str">
        <f>IFERROR(__xludf.DUMMYFUNCTION("""COMPUTED_VALUE"""),"ENERO")</f>
        <v>ENERO</v>
      </c>
      <c r="N149" s="1174" t="str">
        <f t="shared" si="1"/>
        <v/>
      </c>
    </row>
    <row r="150">
      <c r="A150" s="1175">
        <f>IFERROR(__xludf.DUMMYFUNCTION("""COMPUTED_VALUE"""),46028.0)</f>
        <v>46028</v>
      </c>
      <c r="B150" s="1174" t="str">
        <f>IFERROR(__xludf.DUMMYFUNCTION("""COMPUTED_VALUE"""),"ke-eb-21-14051-83307")</f>
        <v>ke-eb-21-14051-83307</v>
      </c>
      <c r="C150" s="1174" t="str">
        <f>IFERROR(__xludf.DUMMYFUNCTION("""COMPUTED_VALUE"""),"ENERO")</f>
        <v>ENERO</v>
      </c>
      <c r="D150" s="1174" t="b">
        <f>IFERROR(__xludf.DUMMYFUNCTION("""COMPUTED_VALUE"""),TRUE)</f>
        <v>1</v>
      </c>
      <c r="E150" s="1174" t="str">
        <f>IFERROR(__xludf.DUMMYFUNCTION("""COMPUTED_VALUE"""),"Laptop")</f>
        <v>Laptop</v>
      </c>
      <c r="F150" s="1176">
        <f>IFERROR(__xludf.DUMMYFUNCTION("""COMPUTED_VALUE"""),1299.99)</f>
        <v>1299.99</v>
      </c>
      <c r="G150" s="1177">
        <f>IFERROR(__xludf.DUMMYFUNCTION("""COMPUTED_VALUE"""),276.0)</f>
        <v>276</v>
      </c>
      <c r="H150" s="1174" t="b">
        <f>IFERROR(__xludf.DUMMYFUNCTION("""COMPUTED_VALUE"""),FALSE)</f>
        <v>0</v>
      </c>
      <c r="I150" s="1174" t="str">
        <f>IFERROR(__xludf.DUMMYFUNCTION("""COMPUTED_VALUE"""),"ENERO")</f>
        <v>ENERO</v>
      </c>
      <c r="N150" s="1174" t="str">
        <f t="shared" si="1"/>
        <v/>
      </c>
    </row>
    <row r="151">
      <c r="A151" s="1175">
        <f>IFERROR(__xludf.DUMMYFUNCTION("""COMPUTED_VALUE"""),45663.0)</f>
        <v>45663</v>
      </c>
      <c r="B151" s="1174" t="str">
        <f>IFERROR(__xludf.DUMMYFUNCTION("""COMPUTED_VALUE"""),"ke-ms-519353")</f>
        <v>ke-ms-519353</v>
      </c>
      <c r="C151" s="1174" t="str">
        <f>IFERROR(__xludf.DUMMYFUNCTION("""COMPUTED_VALUE"""),"ENERO")</f>
        <v>ENERO</v>
      </c>
      <c r="D151" s="1174" t="b">
        <f>IFERROR(__xludf.DUMMYFUNCTION("""COMPUTED_VALUE"""),TRUE)</f>
        <v>1</v>
      </c>
      <c r="E151" s="1174" t="str">
        <f>IFERROR(__xludf.DUMMYFUNCTION("""COMPUTED_VALUE"""),"Laptop")</f>
        <v>Laptop</v>
      </c>
      <c r="F151" s="1176">
        <f>IFERROR(__xludf.DUMMYFUNCTION("""COMPUTED_VALUE"""),1999.0)</f>
        <v>1999</v>
      </c>
      <c r="G151" s="1177">
        <f>IFERROR(__xludf.DUMMYFUNCTION("""COMPUTED_VALUE"""),195.0)</f>
        <v>195</v>
      </c>
      <c r="H151" s="1174" t="b">
        <f>IFERROR(__xludf.DUMMYFUNCTION("""COMPUTED_VALUE"""),FALSE)</f>
        <v>0</v>
      </c>
      <c r="I151" s="1174" t="str">
        <f>IFERROR(__xludf.DUMMYFUNCTION("""COMPUTED_VALUE"""),"FEBRERO")</f>
        <v>FEBRERO</v>
      </c>
      <c r="N151" s="1174" t="str">
        <f t="shared" si="1"/>
        <v/>
      </c>
    </row>
    <row r="152">
      <c r="A152" s="1175">
        <f>IFERROR(__xludf.DUMMYFUNCTION("""COMPUTED_VALUE"""),46029.0)</f>
        <v>46029</v>
      </c>
      <c r="B152" s="1174" t="str">
        <f>IFERROR(__xludf.DUMMYFUNCTION("""COMPUTED_VALUE"""),"so-eb-02-14039-63585")</f>
        <v>so-eb-02-14039-63585</v>
      </c>
      <c r="C152" s="1174" t="str">
        <f>IFERROR(__xludf.DUMMYFUNCTION("""COMPUTED_VALUE"""),"ENERO")</f>
        <v>ENERO</v>
      </c>
      <c r="D152" s="1174" t="b">
        <f>IFERROR(__xludf.DUMMYFUNCTION("""COMPUTED_VALUE"""),TRUE)</f>
        <v>1</v>
      </c>
      <c r="E152" s="1174" t="str">
        <f>IFERROR(__xludf.DUMMYFUNCTION("""COMPUTED_VALUE"""),"Laptop")</f>
        <v>Laptop</v>
      </c>
      <c r="F152" s="1176">
        <f>IFERROR(__xludf.DUMMYFUNCTION("""COMPUTED_VALUE"""),1499.99)</f>
        <v>1499.99</v>
      </c>
      <c r="G152" s="1177">
        <f>IFERROR(__xludf.DUMMYFUNCTION("""COMPUTED_VALUE"""),485.0)</f>
        <v>485</v>
      </c>
      <c r="H152" s="1174" t="b">
        <f>IFERROR(__xludf.DUMMYFUNCTION("""COMPUTED_VALUE"""),FALSE)</f>
        <v>0</v>
      </c>
      <c r="I152" s="1174" t="str">
        <f>IFERROR(__xludf.DUMMYFUNCTION("""COMPUTED_VALUE"""),"ENERO")</f>
        <v>ENERO</v>
      </c>
      <c r="N152" s="1174" t="str">
        <f t="shared" si="1"/>
        <v/>
      </c>
    </row>
    <row r="153">
      <c r="A153" s="1175">
        <f>IFERROR(__xludf.DUMMYFUNCTION("""COMPUTED_VALUE"""),46031.0)</f>
        <v>46031</v>
      </c>
      <c r="B153" s="1174" t="str">
        <f>IFERROR(__xludf.DUMMYFUNCTION("""COMPUTED_VALUE"""),"ke-eb-20-14066-07547")</f>
        <v>ke-eb-20-14066-07547</v>
      </c>
      <c r="C153" s="1174" t="str">
        <f>IFERROR(__xludf.DUMMYFUNCTION("""COMPUTED_VALUE"""),"ENERO")</f>
        <v>ENERO</v>
      </c>
      <c r="D153" s="1174" t="b">
        <f>IFERROR(__xludf.DUMMYFUNCTION("""COMPUTED_VALUE"""),TRUE)</f>
        <v>1</v>
      </c>
      <c r="E153" s="1174" t="str">
        <f>IFERROR(__xludf.DUMMYFUNCTION("""COMPUTED_VALUE"""),"Laptop")</f>
        <v>Laptop</v>
      </c>
      <c r="F153" s="1176">
        <f>IFERROR(__xludf.DUMMYFUNCTION("""COMPUTED_VALUE"""),999.0)</f>
        <v>999</v>
      </c>
      <c r="G153" s="1177">
        <f>IFERROR(__xludf.DUMMYFUNCTION("""COMPUTED_VALUE"""),191.0)</f>
        <v>191</v>
      </c>
      <c r="H153" s="1174" t="b">
        <f>IFERROR(__xludf.DUMMYFUNCTION("""COMPUTED_VALUE"""),FALSE)</f>
        <v>0</v>
      </c>
      <c r="I153" s="1174" t="str">
        <f>IFERROR(__xludf.DUMMYFUNCTION("""COMPUTED_VALUE"""),"FEBRERO")</f>
        <v>FEBRERO</v>
      </c>
      <c r="N153" s="1174" t="str">
        <f t="shared" si="1"/>
        <v/>
      </c>
    </row>
    <row r="154">
      <c r="A154" s="1175">
        <f>IFERROR(__xludf.DUMMYFUNCTION("""COMPUTED_VALUE"""),45666.0)</f>
        <v>45666</v>
      </c>
      <c r="B154" s="1174" t="str">
        <f>IFERROR(__xludf.DUMMYFUNCTION("""COMPUTED_VALUE"""),"ke-eb-08-13917-47946")</f>
        <v>ke-eb-08-13917-47946</v>
      </c>
      <c r="C154" s="1174" t="str">
        <f>IFERROR(__xludf.DUMMYFUNCTION("""COMPUTED_VALUE"""),"ENERO")</f>
        <v>ENERO</v>
      </c>
      <c r="D154" s="1174" t="b">
        <f>IFERROR(__xludf.DUMMYFUNCTION("""COMPUTED_VALUE"""),TRUE)</f>
        <v>1</v>
      </c>
      <c r="E154" s="1174" t="str">
        <f>IFERROR(__xludf.DUMMYFUNCTION("""COMPUTED_VALUE"""),"Laptop")</f>
        <v>Laptop</v>
      </c>
      <c r="F154" s="1176">
        <f>IFERROR(__xludf.DUMMYFUNCTION("""COMPUTED_VALUE"""),1739.0)</f>
        <v>1739</v>
      </c>
      <c r="G154" s="1177">
        <f>IFERROR(__xludf.DUMMYFUNCTION("""COMPUTED_VALUE"""),579.0)</f>
        <v>579</v>
      </c>
      <c r="H154" s="1174" t="b">
        <f>IFERROR(__xludf.DUMMYFUNCTION("""COMPUTED_VALUE"""),FALSE)</f>
        <v>0</v>
      </c>
      <c r="I154" s="1174" t="str">
        <f>IFERROR(__xludf.DUMMYFUNCTION("""COMPUTED_VALUE"""),"FEBRERO")</f>
        <v>FEBRERO</v>
      </c>
      <c r="N154" s="1174" t="str">
        <f t="shared" si="1"/>
        <v/>
      </c>
    </row>
    <row r="155">
      <c r="A155" s="1175">
        <f>IFERROR(__xludf.DUMMYFUNCTION("""COMPUTED_VALUE"""),46046.0)</f>
        <v>46046</v>
      </c>
      <c r="B155" s="1174" t="str">
        <f>IFERROR(__xludf.DUMMYFUNCTION("""COMPUTED_VALUE"""),"ab-eb-01-14149-92330")</f>
        <v>ab-eb-01-14149-92330</v>
      </c>
      <c r="C155" s="1174" t="str">
        <f>IFERROR(__xludf.DUMMYFUNCTION("""COMPUTED_VALUE"""),"ENERO")</f>
        <v>ENERO</v>
      </c>
      <c r="D155" s="1174" t="b">
        <f>IFERROR(__xludf.DUMMYFUNCTION("""COMPUTED_VALUE"""),TRUE)</f>
        <v>1</v>
      </c>
      <c r="E155" s="1174" t="str">
        <f>IFERROR(__xludf.DUMMYFUNCTION("""COMPUTED_VALUE"""),"Laptop")</f>
        <v>Laptop</v>
      </c>
      <c r="F155" s="1176">
        <f>IFERROR(__xludf.DUMMYFUNCTION("""COMPUTED_VALUE"""),1599.99)</f>
        <v>1599.99</v>
      </c>
      <c r="G155" s="1177">
        <f>IFERROR(__xludf.DUMMYFUNCTION("""COMPUTED_VALUE"""),386.0)</f>
        <v>386</v>
      </c>
      <c r="H155" s="1174" t="b">
        <f>IFERROR(__xludf.DUMMYFUNCTION("""COMPUTED_VALUE"""),FALSE)</f>
        <v>0</v>
      </c>
      <c r="I155" s="1174" t="str">
        <f>IFERROR(__xludf.DUMMYFUNCTION("""COMPUTED_VALUE"""),"FEBRERO")</f>
        <v>FEBRERO</v>
      </c>
      <c r="N155" s="1174" t="str">
        <f t="shared" si="1"/>
        <v/>
      </c>
    </row>
    <row r="156">
      <c r="A156" s="1175">
        <f>IFERROR(__xludf.DUMMYFUNCTION("""COMPUTED_VALUE"""),46048.0)</f>
        <v>46048</v>
      </c>
      <c r="B156" s="1174" t="str">
        <f>IFERROR(__xludf.DUMMYFUNCTION("""COMPUTED_VALUE"""),"li-mi-260126-2")</f>
        <v>li-mi-260126-2</v>
      </c>
      <c r="C156" s="1174" t="str">
        <f>IFERROR(__xludf.DUMMYFUNCTION("""COMPUTED_VALUE"""),"FEBRERO")</f>
        <v>FEBRERO</v>
      </c>
      <c r="D156" s="1174" t="b">
        <f>IFERROR(__xludf.DUMMYFUNCTION("""COMPUTED_VALUE"""),TRUE)</f>
        <v>1</v>
      </c>
      <c r="E156" s="1174" t="str">
        <f>IFERROR(__xludf.DUMMYFUNCTION("""COMPUTED_VALUE"""),"Laptop")</f>
        <v>Laptop</v>
      </c>
      <c r="F156" s="1176">
        <f>IFERROR(__xludf.DUMMYFUNCTION("""COMPUTED_VALUE"""),1899.0)</f>
        <v>1899</v>
      </c>
      <c r="G156" s="1177">
        <f>IFERROR(__xludf.DUMMYFUNCTION("""COMPUTED_VALUE"""),263.0)</f>
        <v>263</v>
      </c>
      <c r="H156" s="1174" t="b">
        <f>IFERROR(__xludf.DUMMYFUNCTION("""COMPUTED_VALUE"""),FALSE)</f>
        <v>0</v>
      </c>
      <c r="I156" s="1174" t="str">
        <f>IFERROR(__xludf.DUMMYFUNCTION("""COMPUTED_VALUE"""),"FEBRERO")</f>
        <v>FEBRERO</v>
      </c>
      <c r="N156" s="1174" t="str">
        <f t="shared" si="1"/>
        <v/>
      </c>
    </row>
    <row r="157">
      <c r="A157" s="1175">
        <f>IFERROR(__xludf.DUMMYFUNCTION("""COMPUTED_VALUE"""),46039.0)</f>
        <v>46039</v>
      </c>
      <c r="B157" s="1174" t="str">
        <f>IFERROR(__xludf.DUMMYFUNCTION("""COMPUTED_VALUE"""),"ga-le-280126")</f>
        <v>ga-le-280126</v>
      </c>
      <c r="C157" s="1174" t="str">
        <f>IFERROR(__xludf.DUMMYFUNCTION("""COMPUTED_VALUE"""),"FEBRERO")</f>
        <v>FEBRERO</v>
      </c>
      <c r="D157" s="1174" t="b">
        <f>IFERROR(__xludf.DUMMYFUNCTION("""COMPUTED_VALUE"""),TRUE)</f>
        <v>1</v>
      </c>
      <c r="E157" s="1174" t="str">
        <f>IFERROR(__xludf.DUMMYFUNCTION("""COMPUTED_VALUE"""),"Laptop")</f>
        <v>Laptop</v>
      </c>
      <c r="F157" s="1176">
        <f>IFERROR(__xludf.DUMMYFUNCTION("""COMPUTED_VALUE"""),1409.0)</f>
        <v>1409</v>
      </c>
      <c r="G157" s="1177">
        <f>IFERROR(__xludf.DUMMYFUNCTION("""COMPUTED_VALUE"""),148.0)</f>
        <v>148</v>
      </c>
      <c r="H157" s="1174" t="b">
        <f>IFERROR(__xludf.DUMMYFUNCTION("""COMPUTED_VALUE"""),FALSE)</f>
        <v>0</v>
      </c>
      <c r="I157" s="1174" t="str">
        <f>IFERROR(__xludf.DUMMYFUNCTION("""COMPUTED_VALUE"""),"FEBRERO")</f>
        <v>FEBRERO</v>
      </c>
      <c r="N157" s="1174" t="str">
        <f t="shared" si="1"/>
        <v/>
      </c>
    </row>
    <row r="158">
      <c r="A158" s="1175">
        <f>IFERROR(__xludf.DUMMYFUNCTION("""COMPUTED_VALUE"""),46053.0)</f>
        <v>46053</v>
      </c>
      <c r="B158" s="1174"/>
      <c r="C158" s="1174" t="str">
        <f>IFERROR(__xludf.DUMMYFUNCTION("""COMPUTED_VALUE"""),"FEBRERO")</f>
        <v>FEBRERO</v>
      </c>
      <c r="D158" s="1174" t="b">
        <f>IFERROR(__xludf.DUMMYFUNCTION("""COMPUTED_VALUE"""),TRUE)</f>
        <v>1</v>
      </c>
      <c r="E158" s="1174" t="str">
        <f>IFERROR(__xludf.DUMMYFUNCTION("""COMPUTED_VALUE"""),"Laptop")</f>
        <v>Laptop</v>
      </c>
      <c r="F158" s="1176">
        <f>IFERROR(__xludf.DUMMYFUNCTION("""COMPUTED_VALUE"""),1999.0)</f>
        <v>1999</v>
      </c>
      <c r="G158" s="1177">
        <f>IFERROR(__xludf.DUMMYFUNCTION("""COMPUTED_VALUE"""),788.0)</f>
        <v>788</v>
      </c>
      <c r="H158" s="1174" t="b">
        <f>IFERROR(__xludf.DUMMYFUNCTION("""COMPUTED_VALUE"""),FALSE)</f>
        <v>0</v>
      </c>
      <c r="I158" s="1174"/>
      <c r="N158" s="1174" t="str">
        <f t="shared" si="1"/>
        <v/>
      </c>
    </row>
    <row r="159">
      <c r="A159" s="1175">
        <f>IFERROR(__xludf.DUMMYFUNCTION("""COMPUTED_VALUE"""),46053.0)</f>
        <v>46053</v>
      </c>
      <c r="B159" s="1174" t="str">
        <f>IFERROR(__xludf.DUMMYFUNCTION("""COMPUTED_VALUE"""),"so-eb-01-14127-79839")</f>
        <v>so-eb-01-14127-79839</v>
      </c>
      <c r="C159" s="1174" t="str">
        <f>IFERROR(__xludf.DUMMYFUNCTION("""COMPUTED_VALUE"""),"ENERO")</f>
        <v>ENERO</v>
      </c>
      <c r="D159" s="1174" t="b">
        <f>IFERROR(__xludf.DUMMYFUNCTION("""COMPUTED_VALUE"""),TRUE)</f>
        <v>1</v>
      </c>
      <c r="E159" s="1174" t="str">
        <f>IFERROR(__xludf.DUMMYFUNCTION("""COMPUTED_VALUE"""),"Laptop")</f>
        <v>Laptop</v>
      </c>
      <c r="F159" s="1176">
        <f>IFERROR(__xludf.DUMMYFUNCTION("""COMPUTED_VALUE"""),1549.99)</f>
        <v>1549.99</v>
      </c>
      <c r="G159" s="1177">
        <f>IFERROR(__xludf.DUMMYFUNCTION("""COMPUTED_VALUE"""),503.0)</f>
        <v>503</v>
      </c>
      <c r="H159" s="1174" t="b">
        <f>IFERROR(__xludf.DUMMYFUNCTION("""COMPUTED_VALUE"""),FALSE)</f>
        <v>0</v>
      </c>
      <c r="I159" s="1174" t="str">
        <f>IFERROR(__xludf.DUMMYFUNCTION("""COMPUTED_VALUE"""),"ENERO")</f>
        <v>ENERO</v>
      </c>
      <c r="N159" s="1174" t="str">
        <f t="shared" si="1"/>
        <v/>
      </c>
    </row>
    <row r="160">
      <c r="A160" s="1175">
        <f>IFERROR(__xludf.DUMMYFUNCTION("""COMPUTED_VALUE"""),46057.0)</f>
        <v>46057</v>
      </c>
      <c r="B160" s="1174" t="str">
        <f>IFERROR(__xludf.DUMMYFUNCTION("""COMPUTED_VALUE"""),"yo-eb-12-14201-07542")</f>
        <v>yo-eb-12-14201-07542</v>
      </c>
      <c r="C160" s="1174" t="str">
        <f>IFERROR(__xludf.DUMMYFUNCTION("""COMPUTED_VALUE"""),"FEBRERO")</f>
        <v>FEBRERO</v>
      </c>
      <c r="D160" s="1174" t="b">
        <f>IFERROR(__xludf.DUMMYFUNCTION("""COMPUTED_VALUE"""),TRUE)</f>
        <v>1</v>
      </c>
      <c r="E160" s="1174" t="str">
        <f>IFERROR(__xludf.DUMMYFUNCTION("""COMPUTED_VALUE"""),"Laptop")</f>
        <v>Laptop</v>
      </c>
      <c r="F160" s="1176">
        <f>IFERROR(__xludf.DUMMYFUNCTION("""COMPUTED_VALUE"""),2689.0)</f>
        <v>2689</v>
      </c>
      <c r="G160" s="1177">
        <f>IFERROR(__xludf.DUMMYFUNCTION("""COMPUTED_VALUE"""),586.0)</f>
        <v>586</v>
      </c>
      <c r="H160" s="1174" t="b">
        <f>IFERROR(__xludf.DUMMYFUNCTION("""COMPUTED_VALUE"""),FALSE)</f>
        <v>0</v>
      </c>
      <c r="I160" s="1174" t="str">
        <f>IFERROR(__xludf.DUMMYFUNCTION("""COMPUTED_VALUE"""),"MARZO")</f>
        <v>MARZO</v>
      </c>
      <c r="N160" s="1174" t="str">
        <f t="shared" si="1"/>
        <v/>
      </c>
    </row>
    <row r="161">
      <c r="A161" s="1175">
        <f>IFERROR(__xludf.DUMMYFUNCTION("""COMPUTED_VALUE"""),46057.0)</f>
        <v>46057</v>
      </c>
      <c r="B161" s="1174" t="str">
        <f>IFERROR(__xludf.DUMMYFUNCTION("""COMPUTED_VALUE"""),"ke-eb-10-14203-77475")</f>
        <v>ke-eb-10-14203-77475</v>
      </c>
      <c r="C161" s="1174" t="str">
        <f>IFERROR(__xludf.DUMMYFUNCTION("""COMPUTED_VALUE"""),"FEBRERO")</f>
        <v>FEBRERO</v>
      </c>
      <c r="D161" s="1174" t="b">
        <f>IFERROR(__xludf.DUMMYFUNCTION("""COMPUTED_VALUE"""),TRUE)</f>
        <v>1</v>
      </c>
      <c r="E161" s="1174" t="str">
        <f>IFERROR(__xludf.DUMMYFUNCTION("""COMPUTED_VALUE"""),"Laptop")</f>
        <v>Laptop</v>
      </c>
      <c r="F161" s="1176">
        <f>IFERROR(__xludf.DUMMYFUNCTION("""COMPUTED_VALUE"""),3149.0)</f>
        <v>3149</v>
      </c>
      <c r="G161" s="1177">
        <f>IFERROR(__xludf.DUMMYFUNCTION("""COMPUTED_VALUE"""),109.0)</f>
        <v>109</v>
      </c>
      <c r="H161" s="1174" t="b">
        <f>IFERROR(__xludf.DUMMYFUNCTION("""COMPUTED_VALUE"""),FALSE)</f>
        <v>0</v>
      </c>
      <c r="I161" s="1174" t="str">
        <f>IFERROR(__xludf.DUMMYFUNCTION("""COMPUTED_VALUE"""),"FEBRERO")</f>
        <v>FEBRERO</v>
      </c>
      <c r="N161" s="1174" t="str">
        <f t="shared" si="1"/>
        <v/>
      </c>
    </row>
    <row r="162">
      <c r="A162" s="1175">
        <f>IFERROR(__xludf.DUMMYFUNCTION("""COMPUTED_VALUE"""),46069.0)</f>
        <v>46069</v>
      </c>
      <c r="B162" s="1174" t="str">
        <f>IFERROR(__xludf.DUMMYFUNCTION("""COMPUTED_VALUE"""),"so-be-BBY01-807146662618")</f>
        <v>so-be-BBY01-807146662618</v>
      </c>
      <c r="C162" s="1174" t="str">
        <f>IFERROR(__xludf.DUMMYFUNCTION("""COMPUTED_VALUE"""),"FEBRERO")</f>
        <v>FEBRERO</v>
      </c>
      <c r="D162" s="1174" t="b">
        <f>IFERROR(__xludf.DUMMYFUNCTION("""COMPUTED_VALUE"""),TRUE)</f>
        <v>1</v>
      </c>
      <c r="E162" s="1174" t="str">
        <f>IFERROR(__xludf.DUMMYFUNCTION("""COMPUTED_VALUE"""),"Laptop")</f>
        <v>Laptop</v>
      </c>
      <c r="F162" s="1176">
        <f>IFERROR(__xludf.DUMMYFUNCTION("""COMPUTED_VALUE"""),1549.0)</f>
        <v>1549</v>
      </c>
      <c r="G162" s="1177">
        <f>IFERROR(__xludf.DUMMYFUNCTION("""COMPUTED_VALUE"""),286.0)</f>
        <v>286</v>
      </c>
      <c r="H162" s="1174" t="b">
        <f>IFERROR(__xludf.DUMMYFUNCTION("""COMPUTED_VALUE"""),FALSE)</f>
        <v>0</v>
      </c>
      <c r="I162" s="1174" t="str">
        <f>IFERROR(__xludf.DUMMYFUNCTION("""COMPUTED_VALUE"""),"MARZO")</f>
        <v>MARZO</v>
      </c>
      <c r="N162" s="1174" t="str">
        <f t="shared" si="1"/>
        <v/>
      </c>
    </row>
    <row r="163">
      <c r="A163" s="1175">
        <f>IFERROR(__xludf.DUMMYFUNCTION("""COMPUTED_VALUE"""),46074.0)</f>
        <v>46074</v>
      </c>
      <c r="B163" s="1174" t="str">
        <f>IFERROR(__xludf.DUMMYFUNCTION("""COMPUTED_VALUE"""),"ke-eb-19-14256-38715")</f>
        <v>ke-eb-19-14256-38715</v>
      </c>
      <c r="C163" s="1174" t="str">
        <f>IFERROR(__xludf.DUMMYFUNCTION("""COMPUTED_VALUE"""),"FEBRERO")</f>
        <v>FEBRERO</v>
      </c>
      <c r="D163" s="1174" t="b">
        <f>IFERROR(__xludf.DUMMYFUNCTION("""COMPUTED_VALUE"""),TRUE)</f>
        <v>1</v>
      </c>
      <c r="E163" s="1174" t="str">
        <f>IFERROR(__xludf.DUMMYFUNCTION("""COMPUTED_VALUE"""),"Laptop")</f>
        <v>Laptop</v>
      </c>
      <c r="F163" s="1176">
        <f>IFERROR(__xludf.DUMMYFUNCTION("""COMPUTED_VALUE"""),1499.0)</f>
        <v>1499</v>
      </c>
      <c r="G163" s="1177">
        <f>IFERROR(__xludf.DUMMYFUNCTION("""COMPUTED_VALUE"""),241.0)</f>
        <v>241</v>
      </c>
      <c r="H163" s="1174" t="b">
        <f>IFERROR(__xludf.DUMMYFUNCTION("""COMPUTED_VALUE"""),FALSE)</f>
        <v>0</v>
      </c>
      <c r="I163" s="1174" t="str">
        <f>IFERROR(__xludf.DUMMYFUNCTION("""COMPUTED_VALUE"""),"MARZO")</f>
        <v>MARZO</v>
      </c>
      <c r="N163" s="1174" t="str">
        <f t="shared" si="1"/>
        <v/>
      </c>
    </row>
    <row r="164">
      <c r="A164" s="1175">
        <f>IFERROR(__xludf.DUMMYFUNCTION("""COMPUTED_VALUE"""),46074.0)</f>
        <v>46074</v>
      </c>
      <c r="B164" s="1174" t="str">
        <f>IFERROR(__xludf.DUMMYFUNCTION("""COMPUTED_VALUE"""),"so-eb-22-14183-70235")</f>
        <v>so-eb-22-14183-70235</v>
      </c>
      <c r="C164" s="1174" t="str">
        <f>IFERROR(__xludf.DUMMYFUNCTION("""COMPUTED_VALUE"""),"FEBRERO")</f>
        <v>FEBRERO</v>
      </c>
      <c r="D164" s="1174" t="b">
        <f>IFERROR(__xludf.DUMMYFUNCTION("""COMPUTED_VALUE"""),TRUE)</f>
        <v>1</v>
      </c>
      <c r="E164" s="1174" t="str">
        <f>IFERROR(__xludf.DUMMYFUNCTION("""COMPUTED_VALUE"""),"Laptop")</f>
        <v>Laptop</v>
      </c>
      <c r="F164" s="1176">
        <f>IFERROR(__xludf.DUMMYFUNCTION("""COMPUTED_VALUE"""),1599.99)</f>
        <v>1599.99</v>
      </c>
      <c r="G164" s="1177">
        <f>IFERROR(__xludf.DUMMYFUNCTION("""COMPUTED_VALUE"""),341.0)</f>
        <v>341</v>
      </c>
      <c r="H164" s="1174" t="b">
        <f>IFERROR(__xludf.DUMMYFUNCTION("""COMPUTED_VALUE"""),FALSE)</f>
        <v>0</v>
      </c>
      <c r="I164" s="1174" t="str">
        <f>IFERROR(__xludf.DUMMYFUNCTION("""COMPUTED_VALUE"""),"FEBRERO")</f>
        <v>FEBRERO</v>
      </c>
      <c r="N164" s="1174" t="str">
        <f t="shared" si="1"/>
        <v/>
      </c>
    </row>
    <row r="165">
      <c r="A165" s="1175">
        <f>IFERROR(__xludf.DUMMYFUNCTION("""COMPUTED_VALUE"""),45715.0)</f>
        <v>45715</v>
      </c>
      <c r="B165" s="1174" t="str">
        <f>IFERROR(__xludf.DUMMYFUNCTION("""COMPUTED_VALUE"""),"si-mi-270226")</f>
        <v>si-mi-270226</v>
      </c>
      <c r="C165" s="1174" t="str">
        <f>IFERROR(__xludf.DUMMYFUNCTION("""COMPUTED_VALUE"""),"MARZO")</f>
        <v>MARZO</v>
      </c>
      <c r="D165" s="1174" t="b">
        <f>IFERROR(__xludf.DUMMYFUNCTION("""COMPUTED_VALUE"""),TRUE)</f>
        <v>1</v>
      </c>
      <c r="E165" s="1174" t="str">
        <f>IFERROR(__xludf.DUMMYFUNCTION("""COMPUTED_VALUE"""),"Laptop")</f>
        <v>Laptop</v>
      </c>
      <c r="F165" s="1176">
        <f>IFERROR(__xludf.DUMMYFUNCTION("""COMPUTED_VALUE"""),3099.0)</f>
        <v>3099</v>
      </c>
      <c r="G165" s="1177">
        <f>IFERROR(__xludf.DUMMYFUNCTION("""COMPUTED_VALUE"""),350.0)</f>
        <v>350</v>
      </c>
      <c r="H165" s="1174" t="b">
        <f>IFERROR(__xludf.DUMMYFUNCTION("""COMPUTED_VALUE"""),FALSE)</f>
        <v>0</v>
      </c>
      <c r="I165" s="1174" t="str">
        <f>IFERROR(__xludf.DUMMYFUNCTION("""COMPUTED_VALUE"""),"MARZO")</f>
        <v>MARZO</v>
      </c>
      <c r="N165" s="1174" t="str">
        <f t="shared" si="1"/>
        <v/>
      </c>
    </row>
    <row r="166">
      <c r="A166" s="1175">
        <f>IFERROR(__xludf.DUMMYFUNCTION("""COMPUTED_VALUE"""),46084.0)</f>
        <v>46084</v>
      </c>
      <c r="B166" s="1174" t="str">
        <f>IFERROR(__xludf.DUMMYFUNCTION("""COMPUTED_VALUE"""),"ke-as-10001292473")</f>
        <v>ke-as-10001292473</v>
      </c>
      <c r="C166" s="1174" t="str">
        <f>IFERROR(__xludf.DUMMYFUNCTION("""COMPUTED_VALUE"""),"MARZO")</f>
        <v>MARZO</v>
      </c>
      <c r="D166" s="1174" t="b">
        <f>IFERROR(__xludf.DUMMYFUNCTION("""COMPUTED_VALUE"""),TRUE)</f>
        <v>1</v>
      </c>
      <c r="E166" s="1174" t="str">
        <f>IFERROR(__xludf.DUMMYFUNCTION("""COMPUTED_VALUE"""),"Laptop")</f>
        <v>Laptop</v>
      </c>
      <c r="F166" s="1176">
        <f>IFERROR(__xludf.DUMMYFUNCTION("""COMPUTED_VALUE"""),3599.0)</f>
        <v>3599</v>
      </c>
      <c r="G166" s="1177">
        <f>IFERROR(__xludf.DUMMYFUNCTION("""COMPUTED_VALUE"""),427.0)</f>
        <v>427</v>
      </c>
      <c r="H166" s="1174" t="b">
        <f>IFERROR(__xludf.DUMMYFUNCTION("""COMPUTED_VALUE"""),FALSE)</f>
        <v>0</v>
      </c>
      <c r="I166" s="1174" t="str">
        <f>IFERROR(__xludf.DUMMYFUNCTION("""COMPUTED_VALUE"""),"MARZO")</f>
        <v>MARZO</v>
      </c>
      <c r="N166" s="1174" t="str">
        <f t="shared" si="1"/>
        <v/>
      </c>
    </row>
    <row r="167">
      <c r="A167" s="1175">
        <f>IFERROR(__xludf.DUMMYFUNCTION("""COMPUTED_VALUE"""),46085.0)</f>
        <v>46085</v>
      </c>
      <c r="B167" s="1174" t="str">
        <f>IFERROR(__xludf.DUMMYFUNCTION("""COMPUTED_VALUE"""),"si-mi-040326")</f>
        <v>si-mi-040326</v>
      </c>
      <c r="C167" s="1174" t="str">
        <f>IFERROR(__xludf.DUMMYFUNCTION("""COMPUTED_VALUE"""),"MARZO")</f>
        <v>MARZO</v>
      </c>
      <c r="D167" s="1174" t="b">
        <f>IFERROR(__xludf.DUMMYFUNCTION("""COMPUTED_VALUE"""),TRUE)</f>
        <v>1</v>
      </c>
      <c r="E167" s="1174" t="str">
        <f>IFERROR(__xludf.DUMMYFUNCTION("""COMPUTED_VALUE"""),"Laptop")</f>
        <v>Laptop</v>
      </c>
      <c r="F167" s="1176">
        <f>IFERROR(__xludf.DUMMYFUNCTION("""COMPUTED_VALUE"""),1899.0)</f>
        <v>1899</v>
      </c>
      <c r="G167" s="1177">
        <f>IFERROR(__xludf.DUMMYFUNCTION("""COMPUTED_VALUE"""),151.0)</f>
        <v>151</v>
      </c>
      <c r="H167" s="1174" t="b">
        <f>IFERROR(__xludf.DUMMYFUNCTION("""COMPUTED_VALUE"""),FALSE)</f>
        <v>0</v>
      </c>
      <c r="I167" s="1174" t="str">
        <f>IFERROR(__xludf.DUMMYFUNCTION("""COMPUTED_VALUE"""),"MARZO")</f>
        <v>MARZO</v>
      </c>
      <c r="N167" s="1174" t="str">
        <f t="shared" si="1"/>
        <v/>
      </c>
    </row>
    <row r="168">
      <c r="A168" s="1175">
        <f>IFERROR(__xludf.DUMMYFUNCTION("""COMPUTED_VALUE"""),46088.0)</f>
        <v>46088</v>
      </c>
      <c r="B168" s="1174" t="str">
        <f>IFERROR(__xludf.DUMMYFUNCTION("""COMPUTED_VALUE"""),"li-mi-070226")</f>
        <v>li-mi-070226</v>
      </c>
      <c r="C168" s="1174" t="str">
        <f>IFERROR(__xludf.DUMMYFUNCTION("""COMPUTED_VALUE"""),"MARZO")</f>
        <v>MARZO</v>
      </c>
      <c r="D168" s="1174" t="b">
        <f>IFERROR(__xludf.DUMMYFUNCTION("""COMPUTED_VALUE"""),TRUE)</f>
        <v>1</v>
      </c>
      <c r="E168" s="1174" t="str">
        <f>IFERROR(__xludf.DUMMYFUNCTION("""COMPUTED_VALUE"""),"Laptop")</f>
        <v>Laptop</v>
      </c>
      <c r="F168" s="1176">
        <f>IFERROR(__xludf.DUMMYFUNCTION("""COMPUTED_VALUE"""),1899.0)</f>
        <v>1899</v>
      </c>
      <c r="G168" s="1177">
        <f>IFERROR(__xludf.DUMMYFUNCTION("""COMPUTED_VALUE"""),186.0)</f>
        <v>186</v>
      </c>
      <c r="H168" s="1174" t="b">
        <f>IFERROR(__xludf.DUMMYFUNCTION("""COMPUTED_VALUE"""),FALSE)</f>
        <v>0</v>
      </c>
      <c r="I168" s="1174" t="str">
        <f>IFERROR(__xludf.DUMMYFUNCTION("""COMPUTED_VALUE"""),"MARZO")</f>
        <v>MARZO</v>
      </c>
      <c r="N168" s="1174" t="str">
        <f t="shared" si="1"/>
        <v/>
      </c>
    </row>
    <row r="169">
      <c r="A169" s="1175">
        <f>IFERROR(__xludf.DUMMYFUNCTION("""COMPUTED_VALUE"""),46088.0)</f>
        <v>46088</v>
      </c>
      <c r="B169" s="1174" t="str">
        <f>IFERROR(__xludf.DUMMYFUNCTION("""COMPUTED_VALUE"""),"s-e-12-13686-49051 ")</f>
        <v>s-e-12-13686-49051 </v>
      </c>
      <c r="C169" s="1174" t="str">
        <f>IFERROR(__xludf.DUMMYFUNCTION("""COMPUTED_VALUE"""),"MARZO")</f>
        <v>MARZO</v>
      </c>
      <c r="D169" s="1174" t="b">
        <f>IFERROR(__xludf.DUMMYFUNCTION("""COMPUTED_VALUE"""),TRUE)</f>
        <v>1</v>
      </c>
      <c r="E169" s="1174" t="str">
        <f>IFERROR(__xludf.DUMMYFUNCTION("""COMPUTED_VALUE"""),"Laptop")</f>
        <v>Laptop</v>
      </c>
      <c r="F169" s="1176"/>
      <c r="G169" s="1177">
        <f>IFERROR(__xludf.DUMMYFUNCTION("""COMPUTED_VALUE"""),571.0)</f>
        <v>571</v>
      </c>
      <c r="H169" s="1174" t="b">
        <f>IFERROR(__xludf.DUMMYFUNCTION("""COMPUTED_VALUE"""),FALSE)</f>
        <v>0</v>
      </c>
      <c r="I169" s="1174" t="str">
        <f>IFERROR(__xludf.DUMMYFUNCTION("""COMPUTED_VALUE"""),"MARZO")</f>
        <v>MARZO</v>
      </c>
      <c r="N169" s="1174" t="str">
        <f t="shared" si="1"/>
        <v/>
      </c>
    </row>
    <row r="170">
      <c r="A170" s="1175">
        <f>IFERROR(__xludf.DUMMYFUNCTION("""COMPUTED_VALUE"""),46088.0)</f>
        <v>46088</v>
      </c>
      <c r="B170" s="1174" t="str">
        <f>IFERROR(__xludf.DUMMYFUNCTION("""COMPUTED_VALUE"""),"re-eb-21-14190-33090")</f>
        <v>re-eb-21-14190-33090</v>
      </c>
      <c r="C170" s="1174" t="str">
        <f>IFERROR(__xludf.DUMMYFUNCTION("""COMPUTED_VALUE"""),"MARZO")</f>
        <v>MARZO</v>
      </c>
      <c r="D170" s="1174" t="b">
        <f>IFERROR(__xludf.DUMMYFUNCTION("""COMPUTED_VALUE"""),TRUE)</f>
        <v>1</v>
      </c>
      <c r="E170" s="1174" t="str">
        <f>IFERROR(__xludf.DUMMYFUNCTION("""COMPUTED_VALUE"""),"Laptop")</f>
        <v>Laptop</v>
      </c>
      <c r="F170" s="1176">
        <f>IFERROR(__xludf.DUMMYFUNCTION("""COMPUTED_VALUE"""),1250.0)</f>
        <v>1250</v>
      </c>
      <c r="G170" s="1177">
        <f>IFERROR(__xludf.DUMMYFUNCTION("""COMPUTED_VALUE"""),993.0)</f>
        <v>993</v>
      </c>
      <c r="H170" s="1174" t="b">
        <f>IFERROR(__xludf.DUMMYFUNCTION("""COMPUTED_VALUE"""),FALSE)</f>
        <v>0</v>
      </c>
      <c r="I170" s="1174" t="str">
        <f>IFERROR(__xludf.DUMMYFUNCTION("""COMPUTED_VALUE"""),"MARZO")</f>
        <v>MARZO</v>
      </c>
      <c r="N170" s="1174" t="str">
        <f t="shared" si="1"/>
        <v/>
      </c>
    </row>
    <row r="171">
      <c r="A171" s="1175">
        <f>IFERROR(__xludf.DUMMYFUNCTION("""COMPUTED_VALUE"""),46097.0)</f>
        <v>46097</v>
      </c>
      <c r="B171" s="1174" t="str">
        <f>IFERROR(__xludf.DUMMYFUNCTION("""COMPUTED_VALUE"""),"ra-mi-030326")</f>
        <v>ra-mi-030326</v>
      </c>
      <c r="C171" s="1174" t="str">
        <f>IFERROR(__xludf.DUMMYFUNCTION("""COMPUTED_VALUE"""),"MARZO")</f>
        <v>MARZO</v>
      </c>
      <c r="D171" s="1174" t="b">
        <f>IFERROR(__xludf.DUMMYFUNCTION("""COMPUTED_VALUE"""),TRUE)</f>
        <v>1</v>
      </c>
      <c r="E171" s="1174" t="str">
        <f>IFERROR(__xludf.DUMMYFUNCTION("""COMPUTED_VALUE"""),"Laptop")</f>
        <v>Laptop</v>
      </c>
      <c r="F171" s="1176">
        <f>IFERROR(__xludf.DUMMYFUNCTION("""COMPUTED_VALUE"""),2000.0)</f>
        <v>2000</v>
      </c>
      <c r="G171" s="1177">
        <f>IFERROR(__xludf.DUMMYFUNCTION("""COMPUTED_VALUE"""),5.0)</f>
        <v>5</v>
      </c>
      <c r="H171" s="1174" t="b">
        <f>IFERROR(__xludf.DUMMYFUNCTION("""COMPUTED_VALUE"""),FALSE)</f>
        <v>0</v>
      </c>
      <c r="I171" s="1174" t="str">
        <f>IFERROR(__xludf.DUMMYFUNCTION("""COMPUTED_VALUE"""),"MARZO")</f>
        <v>MARZO</v>
      </c>
      <c r="N171" s="1174" t="str">
        <f t="shared" si="1"/>
        <v/>
      </c>
    </row>
    <row r="172">
      <c r="A172" s="1175">
        <f>IFERROR(__xludf.DUMMYFUNCTION("""COMPUTED_VALUE"""),46098.0)</f>
        <v>46098</v>
      </c>
      <c r="B172" s="1174" t="str">
        <f>IFERROR(__xludf.DUMMYFUNCTION("""COMPUTED_VALUE"""),"re-eb-18-14369-29389")</f>
        <v>re-eb-18-14369-29389</v>
      </c>
      <c r="C172" s="1174" t="str">
        <f>IFERROR(__xludf.DUMMYFUNCTION("""COMPUTED_VALUE"""),"MARZO")</f>
        <v>MARZO</v>
      </c>
      <c r="D172" s="1174" t="b">
        <f>IFERROR(__xludf.DUMMYFUNCTION("""COMPUTED_VALUE"""),TRUE)</f>
        <v>1</v>
      </c>
      <c r="E172" s="1174" t="str">
        <f>IFERROR(__xludf.DUMMYFUNCTION("""COMPUTED_VALUE"""),"Laptop")</f>
        <v>Laptop</v>
      </c>
      <c r="F172" s="1176">
        <f>IFERROR(__xludf.DUMMYFUNCTION("""COMPUTED_VALUE"""),2099.0)</f>
        <v>2099</v>
      </c>
      <c r="G172" s="1177">
        <f>IFERROR(__xludf.DUMMYFUNCTION("""COMPUTED_VALUE"""),266.3199999999997)</f>
        <v>266.32</v>
      </c>
      <c r="H172" s="1174" t="b">
        <f>IFERROR(__xludf.DUMMYFUNCTION("""COMPUTED_VALUE"""),FALSE)</f>
        <v>0</v>
      </c>
      <c r="I172" s="1174" t="str">
        <f>IFERROR(__xludf.DUMMYFUNCTION("""COMPUTED_VALUE"""),"MARZO")</f>
        <v>MARZO</v>
      </c>
      <c r="N172" s="1174" t="str">
        <f t="shared" si="1"/>
        <v/>
      </c>
    </row>
    <row r="173">
      <c r="A173" s="1175">
        <f>IFERROR(__xludf.DUMMYFUNCTION("""COMPUTED_VALUE"""),46099.0)</f>
        <v>46099</v>
      </c>
      <c r="B173" s="1174" t="str">
        <f>IFERROR(__xludf.DUMMYFUNCTION("""COMPUTED_VALUE"""),"jo-eb-23-14372-96070")</f>
        <v>jo-eb-23-14372-96070</v>
      </c>
      <c r="C173" s="1174" t="str">
        <f>IFERROR(__xludf.DUMMYFUNCTION("""COMPUTED_VALUE"""),"MARZO")</f>
        <v>MARZO</v>
      </c>
      <c r="D173" s="1174" t="b">
        <f>IFERROR(__xludf.DUMMYFUNCTION("""COMPUTED_VALUE"""),TRUE)</f>
        <v>1</v>
      </c>
      <c r="E173" s="1174" t="str">
        <f>IFERROR(__xludf.DUMMYFUNCTION("""COMPUTED_VALUE"""),"Laptop")</f>
        <v>Laptop</v>
      </c>
      <c r="F173" s="1176">
        <f>IFERROR(__xludf.DUMMYFUNCTION("""COMPUTED_VALUE"""),2799.0)</f>
        <v>2799</v>
      </c>
      <c r="G173" s="1177">
        <f>IFERROR(__xludf.DUMMYFUNCTION("""COMPUTED_VALUE"""),398.0)</f>
        <v>398</v>
      </c>
      <c r="H173" s="1174" t="b">
        <f>IFERROR(__xludf.DUMMYFUNCTION("""COMPUTED_VALUE"""),FALSE)</f>
        <v>0</v>
      </c>
      <c r="I173" s="1174" t="str">
        <f>IFERROR(__xludf.DUMMYFUNCTION("""COMPUTED_VALUE"""),"MARZO")</f>
        <v>MARZO</v>
      </c>
      <c r="N173" s="1174" t="str">
        <f t="shared" si="1"/>
        <v/>
      </c>
    </row>
    <row r="174">
      <c r="A174" s="1175">
        <f>IFERROR(__xludf.DUMMYFUNCTION("""COMPUTED_VALUE"""),46102.0)</f>
        <v>46102</v>
      </c>
      <c r="B174" s="1174" t="str">
        <f>IFERROR(__xludf.DUMMYFUNCTION("""COMPUTED_VALUE"""),"so-eb-25-14330-89840")</f>
        <v>so-eb-25-14330-89840</v>
      </c>
      <c r="C174" s="1174" t="str">
        <f>IFERROR(__xludf.DUMMYFUNCTION("""COMPUTED_VALUE"""),"MARZO")</f>
        <v>MARZO</v>
      </c>
      <c r="D174" s="1174" t="b">
        <f>IFERROR(__xludf.DUMMYFUNCTION("""COMPUTED_VALUE"""),TRUE)</f>
        <v>1</v>
      </c>
      <c r="E174" s="1174" t="str">
        <f>IFERROR(__xludf.DUMMYFUNCTION("""COMPUTED_VALUE"""),"Laptop")</f>
        <v>Laptop</v>
      </c>
      <c r="F174" s="1176">
        <f>IFERROR(__xludf.DUMMYFUNCTION("""COMPUTED_VALUE"""),1250.0)</f>
        <v>1250</v>
      </c>
      <c r="G174" s="1177">
        <f>IFERROR(__xludf.DUMMYFUNCTION("""COMPUTED_VALUE"""),107.0)</f>
        <v>107</v>
      </c>
      <c r="H174" s="1174" t="b">
        <f>IFERROR(__xludf.DUMMYFUNCTION("""COMPUTED_VALUE"""),FALSE)</f>
        <v>0</v>
      </c>
      <c r="I174" s="1174" t="str">
        <f>IFERROR(__xludf.DUMMYFUNCTION("""COMPUTED_VALUE"""),"MARZO")</f>
        <v>MARZO</v>
      </c>
      <c r="N174" s="1174" t="str">
        <f t="shared" si="1"/>
        <v/>
      </c>
    </row>
    <row r="175">
      <c r="A175" s="1175">
        <f>IFERROR(__xludf.DUMMYFUNCTION("""COMPUTED_VALUE"""),46102.0)</f>
        <v>46102</v>
      </c>
      <c r="B175" s="1174" t="str">
        <f>IFERROR(__xludf.DUMMYFUNCTION("""COMPUTED_VALUE"""),"so-eb-11-14350-98731")</f>
        <v>so-eb-11-14350-98731</v>
      </c>
      <c r="C175" s="1174" t="str">
        <f>IFERROR(__xludf.DUMMYFUNCTION("""COMPUTED_VALUE"""),"MARZO")</f>
        <v>MARZO</v>
      </c>
      <c r="D175" s="1174" t="b">
        <f>IFERROR(__xludf.DUMMYFUNCTION("""COMPUTED_VALUE"""),TRUE)</f>
        <v>1</v>
      </c>
      <c r="E175" s="1174" t="str">
        <f>IFERROR(__xludf.DUMMYFUNCTION("""COMPUTED_VALUE"""),"Laptop")</f>
        <v>Laptop</v>
      </c>
      <c r="F175" s="1176">
        <f>IFERROR(__xludf.DUMMYFUNCTION("""COMPUTED_VALUE"""),1250.0)</f>
        <v>1250</v>
      </c>
      <c r="G175" s="1177">
        <f>IFERROR(__xludf.DUMMYFUNCTION("""COMPUTED_VALUE"""),7.0)</f>
        <v>7</v>
      </c>
      <c r="H175" s="1174" t="b">
        <f>IFERROR(__xludf.DUMMYFUNCTION("""COMPUTED_VALUE"""),FALSE)</f>
        <v>0</v>
      </c>
      <c r="I175" s="1174" t="str">
        <f>IFERROR(__xludf.DUMMYFUNCTION("""COMPUTED_VALUE"""),"MARZO")</f>
        <v>MARZO</v>
      </c>
      <c r="N175" s="1174" t="str">
        <f t="shared" si="1"/>
        <v/>
      </c>
    </row>
    <row r="176">
      <c r="A176" s="1175">
        <f>IFERROR(__xludf.DUMMYFUNCTION("""COMPUTED_VALUE"""),46102.0)</f>
        <v>46102</v>
      </c>
      <c r="B176" s="1174" t="str">
        <f>IFERROR(__xludf.DUMMYFUNCTION("""COMPUTED_VALUE"""),"ga-le-260326")</f>
        <v>ga-le-260326</v>
      </c>
      <c r="C176" s="1174" t="str">
        <f>IFERROR(__xludf.DUMMYFUNCTION("""COMPUTED_VALUE"""),"MARZO")</f>
        <v>MARZO</v>
      </c>
      <c r="D176" s="1174" t="b">
        <f>IFERROR(__xludf.DUMMYFUNCTION("""COMPUTED_VALUE"""),TRUE)</f>
        <v>1</v>
      </c>
      <c r="E176" s="1174" t="str">
        <f>IFERROR(__xludf.DUMMYFUNCTION("""COMPUTED_VALUE"""),"Laptop")</f>
        <v>Laptop</v>
      </c>
      <c r="F176" s="1176">
        <f>IFERROR(__xludf.DUMMYFUNCTION("""COMPUTED_VALUE"""),1394.0)</f>
        <v>1394</v>
      </c>
      <c r="G176" s="1177">
        <f>IFERROR(__xludf.DUMMYFUNCTION("""COMPUTED_VALUE"""),805.6000000000004)</f>
        <v>805.6</v>
      </c>
      <c r="H176" s="1174" t="b">
        <f>IFERROR(__xludf.DUMMYFUNCTION("""COMPUTED_VALUE"""),FALSE)</f>
        <v>0</v>
      </c>
      <c r="I176" s="1174" t="str">
        <f>IFERROR(__xludf.DUMMYFUNCTION("""COMPUTED_VALUE"""),"MAYO")</f>
        <v>MAYO</v>
      </c>
      <c r="N176" s="1174" t="str">
        <f t="shared" si="1"/>
        <v/>
      </c>
    </row>
    <row r="177">
      <c r="A177" s="1175">
        <f>IFERROR(__xludf.DUMMYFUNCTION("""COMPUTED_VALUE"""),46102.0)</f>
        <v>46102</v>
      </c>
      <c r="B177" s="1174" t="str">
        <f>IFERROR(__xludf.DUMMYFUNCTION("""COMPUTED_VALUE"""),"jl-mi-250326-2")</f>
        <v>jl-mi-250326-2</v>
      </c>
      <c r="C177" s="1174" t="str">
        <f>IFERROR(__xludf.DUMMYFUNCTION("""COMPUTED_VALUE"""),"MARZO")</f>
        <v>MARZO</v>
      </c>
      <c r="D177" s="1174" t="b">
        <f>IFERROR(__xludf.DUMMYFUNCTION("""COMPUTED_VALUE"""),TRUE)</f>
        <v>1</v>
      </c>
      <c r="E177" s="1174" t="str">
        <f>IFERROR(__xludf.DUMMYFUNCTION("""COMPUTED_VALUE"""),"Laptop")</f>
        <v>Laptop</v>
      </c>
      <c r="F177" s="1176">
        <f>IFERROR(__xludf.DUMMYFUNCTION("""COMPUTED_VALUE"""),1899.0)</f>
        <v>1899</v>
      </c>
      <c r="G177" s="1177">
        <f>IFERROR(__xludf.DUMMYFUNCTION("""COMPUTED_VALUE"""),217.29999999999927)</f>
        <v>217.3</v>
      </c>
      <c r="H177" s="1174" t="b">
        <f>IFERROR(__xludf.DUMMYFUNCTION("""COMPUTED_VALUE"""),FALSE)</f>
        <v>0</v>
      </c>
      <c r="I177" s="1174" t="str">
        <f>IFERROR(__xludf.DUMMYFUNCTION("""COMPUTED_VALUE"""),"ABRIL")</f>
        <v>ABRIL</v>
      </c>
      <c r="N177" s="1174" t="str">
        <f t="shared" si="1"/>
        <v/>
      </c>
    </row>
    <row r="178">
      <c r="A178" s="1175">
        <f>IFERROR(__xludf.DUMMYFUNCTION("""COMPUTED_VALUE"""),46102.0)</f>
        <v>46102</v>
      </c>
      <c r="B178" s="1174" t="str">
        <f>IFERROR(__xludf.DUMMYFUNCTION("""COMPUTED_VALUE"""),"li-mi-250326")</f>
        <v>li-mi-250326</v>
      </c>
      <c r="C178" s="1174" t="str">
        <f>IFERROR(__xludf.DUMMYFUNCTION("""COMPUTED_VALUE"""),"MARZO")</f>
        <v>MARZO</v>
      </c>
      <c r="D178" s="1174" t="b">
        <f>IFERROR(__xludf.DUMMYFUNCTION("""COMPUTED_VALUE"""),TRUE)</f>
        <v>1</v>
      </c>
      <c r="E178" s="1174" t="str">
        <f>IFERROR(__xludf.DUMMYFUNCTION("""COMPUTED_VALUE"""),"Laptop")</f>
        <v>Laptop</v>
      </c>
      <c r="F178" s="1176">
        <f>IFERROR(__xludf.DUMMYFUNCTION("""COMPUTED_VALUE"""),1899.0)</f>
        <v>1899</v>
      </c>
      <c r="G178" s="1177">
        <f>IFERROR(__xludf.DUMMYFUNCTION("""COMPUTED_VALUE"""),178.0)</f>
        <v>178</v>
      </c>
      <c r="H178" s="1174" t="b">
        <f>IFERROR(__xludf.DUMMYFUNCTION("""COMPUTED_VALUE"""),FALSE)</f>
        <v>0</v>
      </c>
      <c r="I178" s="1174" t="str">
        <f>IFERROR(__xludf.DUMMYFUNCTION("""COMPUTED_VALUE"""),"MAYO")</f>
        <v>MAYO</v>
      </c>
      <c r="N178" s="1174" t="str">
        <f t="shared" si="1"/>
        <v/>
      </c>
    </row>
    <row r="179">
      <c r="A179" s="1175">
        <f>IFERROR(__xludf.DUMMYFUNCTION("""COMPUTED_VALUE"""),46108.0)</f>
        <v>46108</v>
      </c>
      <c r="B179" s="1174" t="str">
        <f>IFERROR(__xludf.DUMMYFUNCTION("""COMPUTED_VALUE"""),"ke-am-112-6395467-5003463")</f>
        <v>ke-am-112-6395467-5003463</v>
      </c>
      <c r="C179" s="1174" t="str">
        <f>IFERROR(__xludf.DUMMYFUNCTION("""COMPUTED_VALUE"""),"MARZO")</f>
        <v>MARZO</v>
      </c>
      <c r="D179" s="1174" t="b">
        <f>IFERROR(__xludf.DUMMYFUNCTION("""COMPUTED_VALUE"""),TRUE)</f>
        <v>1</v>
      </c>
      <c r="E179" s="1174" t="str">
        <f>IFERROR(__xludf.DUMMYFUNCTION("""COMPUTED_VALUE"""),"Laptop")</f>
        <v>Laptop</v>
      </c>
      <c r="F179" s="1176">
        <f>IFERROR(__xludf.DUMMYFUNCTION("""COMPUTED_VALUE"""),1259.99)</f>
        <v>1259.99</v>
      </c>
      <c r="G179" s="1177">
        <f>IFERROR(__xludf.DUMMYFUNCTION("""COMPUTED_VALUE"""),143.0)</f>
        <v>143</v>
      </c>
      <c r="H179" s="1174" t="b">
        <f>IFERROR(__xludf.DUMMYFUNCTION("""COMPUTED_VALUE"""),FALSE)</f>
        <v>0</v>
      </c>
      <c r="I179" s="1174" t="str">
        <f>IFERROR(__xludf.DUMMYFUNCTION("""COMPUTED_VALUE"""),"MAYO")</f>
        <v>MAYO</v>
      </c>
      <c r="N179" s="1174" t="str">
        <f t="shared" si="1"/>
        <v/>
      </c>
    </row>
    <row r="180">
      <c r="A180" s="1175">
        <f>IFERROR(__xludf.DUMMYFUNCTION("""COMPUTED_VALUE"""),46111.0)</f>
        <v>46111</v>
      </c>
      <c r="B180" s="1174" t="str">
        <f>IFERROR(__xludf.DUMMYFUNCTION("""COMPUTED_VALUE"""),"ke-eb-10-14352-21876")</f>
        <v>ke-eb-10-14352-21876</v>
      </c>
      <c r="C180" s="1174" t="str">
        <f>IFERROR(__xludf.DUMMYFUNCTION("""COMPUTED_VALUE"""),"MARZO")</f>
        <v>MARZO</v>
      </c>
      <c r="D180" s="1174" t="b">
        <f>IFERROR(__xludf.DUMMYFUNCTION("""COMPUTED_VALUE"""),TRUE)</f>
        <v>1</v>
      </c>
      <c r="E180" s="1174" t="str">
        <f>IFERROR(__xludf.DUMMYFUNCTION("""COMPUTED_VALUE"""),"Laptop")</f>
        <v>Laptop</v>
      </c>
      <c r="F180" s="1176">
        <f>IFERROR(__xludf.DUMMYFUNCTION("""COMPUTED_VALUE"""),1750.0)</f>
        <v>1750</v>
      </c>
      <c r="G180" s="1177">
        <f>IFERROR(__xludf.DUMMYFUNCTION("""COMPUTED_VALUE"""),160.0)</f>
        <v>160</v>
      </c>
      <c r="H180" s="1174" t="b">
        <f>IFERROR(__xludf.DUMMYFUNCTION("""COMPUTED_VALUE"""),FALSE)</f>
        <v>0</v>
      </c>
      <c r="I180" s="1174" t="str">
        <f>IFERROR(__xludf.DUMMYFUNCTION("""COMPUTED_VALUE"""),"MARZO")</f>
        <v>MARZO</v>
      </c>
      <c r="N180" s="1174" t="str">
        <f t="shared" si="1"/>
        <v/>
      </c>
    </row>
    <row r="181">
      <c r="A181" s="1175">
        <f>IFERROR(__xludf.DUMMYFUNCTION("""COMPUTED_VALUE"""),46112.0)</f>
        <v>46112</v>
      </c>
      <c r="B181" s="1174" t="str">
        <f>IFERROR(__xludf.DUMMYFUNCTION("""COMPUTED_VALUE"""),"ab-eb-07-14447-27548")</f>
        <v>ab-eb-07-14447-27548</v>
      </c>
      <c r="C181" s="1174" t="str">
        <f>IFERROR(__xludf.DUMMYFUNCTION("""COMPUTED_VALUE"""),"ABRIL")</f>
        <v>ABRIL</v>
      </c>
      <c r="D181" s="1174" t="b">
        <f>IFERROR(__xludf.DUMMYFUNCTION("""COMPUTED_VALUE"""),TRUE)</f>
        <v>1</v>
      </c>
      <c r="E181" s="1174" t="str">
        <f>IFERROR(__xludf.DUMMYFUNCTION("""COMPUTED_VALUE"""),"Laptop")</f>
        <v>Laptop</v>
      </c>
      <c r="F181" s="1176">
        <f>IFERROR(__xludf.DUMMYFUNCTION("""COMPUTED_VALUE"""),1299.99)</f>
        <v>1299.99</v>
      </c>
      <c r="G181" s="1177">
        <f>IFERROR(__xludf.DUMMYFUNCTION("""COMPUTED_VALUE"""),-4.334310688136611E-13)</f>
        <v>0</v>
      </c>
      <c r="H181" s="1174" t="b">
        <f>IFERROR(__xludf.DUMMYFUNCTION("""COMPUTED_VALUE"""),FALSE)</f>
        <v>0</v>
      </c>
      <c r="I181" s="1174" t="str">
        <f>IFERROR(__xludf.DUMMYFUNCTION("""COMPUTED_VALUE"""),"MAYO")</f>
        <v>MAYO</v>
      </c>
      <c r="N181" s="1174" t="str">
        <f t="shared" si="1"/>
        <v/>
      </c>
    </row>
    <row r="182">
      <c r="A182" s="1175">
        <f>IFERROR(__xludf.DUMMYFUNCTION("""COMPUTED_VALUE"""),46122.0)</f>
        <v>46122</v>
      </c>
      <c r="B182" s="1174" t="str">
        <f>IFERROR(__xludf.DUMMYFUNCTION("""COMPUTED_VALUE"""),"re-eb-19-14423-23696")</f>
        <v>re-eb-19-14423-23696</v>
      </c>
      <c r="C182" s="1174" t="str">
        <f>IFERROR(__xludf.DUMMYFUNCTION("""COMPUTED_VALUE"""),"ABRIL")</f>
        <v>ABRIL</v>
      </c>
      <c r="D182" s="1174" t="b">
        <f>IFERROR(__xludf.DUMMYFUNCTION("""COMPUTED_VALUE"""),TRUE)</f>
        <v>1</v>
      </c>
      <c r="E182" s="1174" t="str">
        <f>IFERROR(__xludf.DUMMYFUNCTION("""COMPUTED_VALUE"""),"Laptop")</f>
        <v>Laptop</v>
      </c>
      <c r="F182" s="1176">
        <f>IFERROR(__xludf.DUMMYFUNCTION("""COMPUTED_VALUE"""),1199.99)</f>
        <v>1199.99</v>
      </c>
      <c r="G182" s="1177">
        <f>IFERROR(__xludf.DUMMYFUNCTION("""COMPUTED_VALUE"""),166.0)</f>
        <v>166</v>
      </c>
      <c r="H182" s="1174" t="b">
        <f>IFERROR(__xludf.DUMMYFUNCTION("""COMPUTED_VALUE"""),FALSE)</f>
        <v>0</v>
      </c>
      <c r="I182" s="1174" t="str">
        <f>IFERROR(__xludf.DUMMYFUNCTION("""COMPUTED_VALUE"""),"MAYO")</f>
        <v>MAYO</v>
      </c>
      <c r="N182" s="1174" t="str">
        <f t="shared" si="1"/>
        <v/>
      </c>
    </row>
    <row r="183">
      <c r="A183" s="1175">
        <f>IFERROR(__xludf.DUMMYFUNCTION("""COMPUTED_VALUE"""),46126.0)</f>
        <v>46126</v>
      </c>
      <c r="B183" s="1174" t="str">
        <f>IFERROR(__xludf.DUMMYFUNCTION("""COMPUTED_VALUE"""),"yo-eb-12-14504-79138")</f>
        <v>yo-eb-12-14504-79138</v>
      </c>
      <c r="C183" s="1174" t="str">
        <f>IFERROR(__xludf.DUMMYFUNCTION("""COMPUTED_VALUE"""),"ABRIL")</f>
        <v>ABRIL</v>
      </c>
      <c r="D183" s="1174" t="b">
        <f>IFERROR(__xludf.DUMMYFUNCTION("""COMPUTED_VALUE"""),TRUE)</f>
        <v>1</v>
      </c>
      <c r="E183" s="1174" t="str">
        <f>IFERROR(__xludf.DUMMYFUNCTION("""COMPUTED_VALUE"""),"Laptop")</f>
        <v>Laptop</v>
      </c>
      <c r="F183" s="1176">
        <f>IFERROR(__xludf.DUMMYFUNCTION("""COMPUTED_VALUE"""),1374.99)</f>
        <v>1374.99</v>
      </c>
      <c r="G183" s="1177">
        <f>IFERROR(__xludf.DUMMYFUNCTION("""COMPUTED_VALUE"""),96.77999999999975)</f>
        <v>96.78</v>
      </c>
      <c r="H183" s="1174" t="b">
        <f>IFERROR(__xludf.DUMMYFUNCTION("""COMPUTED_VALUE"""),FALSE)</f>
        <v>0</v>
      </c>
      <c r="I183" s="1174" t="str">
        <f>IFERROR(__xludf.DUMMYFUNCTION("""COMPUTED_VALUE"""),"MAYO")</f>
        <v>MAYO</v>
      </c>
      <c r="N183" s="1174" t="str">
        <f t="shared" si="1"/>
        <v/>
      </c>
    </row>
    <row r="184">
      <c r="A184" s="1175">
        <f>IFERROR(__xludf.DUMMYFUNCTION("""COMPUTED_VALUE"""),46134.0)</f>
        <v>46134</v>
      </c>
      <c r="B184" s="1174" t="str">
        <f>IFERROR(__xludf.DUMMYFUNCTION("""COMPUTED_VALUE"""),"ke-ms-538850")</f>
        <v>ke-ms-538850</v>
      </c>
      <c r="C184" s="1174" t="str">
        <f>IFERROR(__xludf.DUMMYFUNCTION("""COMPUTED_VALUE"""),"ABRIL")</f>
        <v>ABRIL</v>
      </c>
      <c r="D184" s="1174" t="b">
        <f>IFERROR(__xludf.DUMMYFUNCTION("""COMPUTED_VALUE"""),TRUE)</f>
        <v>1</v>
      </c>
      <c r="E184" s="1174" t="str">
        <f>IFERROR(__xludf.DUMMYFUNCTION("""COMPUTED_VALUE"""),"Laptop")</f>
        <v>Laptop</v>
      </c>
      <c r="F184" s="1176">
        <f>IFERROR(__xludf.DUMMYFUNCTION("""COMPUTED_VALUE"""),1549.0)</f>
        <v>1549</v>
      </c>
      <c r="G184" s="1177">
        <f>IFERROR(__xludf.DUMMYFUNCTION("""COMPUTED_VALUE"""),84.0)</f>
        <v>84</v>
      </c>
      <c r="H184" s="1174" t="b">
        <f>IFERROR(__xludf.DUMMYFUNCTION("""COMPUTED_VALUE"""),FALSE)</f>
        <v>0</v>
      </c>
      <c r="I184" s="1174" t="str">
        <f>IFERROR(__xludf.DUMMYFUNCTION("""COMPUTED_VALUE"""),"ABRIL")</f>
        <v>ABRIL</v>
      </c>
      <c r="N184" s="1174" t="str">
        <f t="shared" si="1"/>
        <v/>
      </c>
    </row>
    <row r="185">
      <c r="A185" s="1175">
        <f>IFERROR(__xludf.DUMMYFUNCTION("""COMPUTED_VALUE"""),46134.0)</f>
        <v>46134</v>
      </c>
      <c r="B185" s="1174" t="str">
        <f>IFERROR(__xludf.DUMMYFUNCTION("""COMPUTED_VALUE"""),"ra-mi-100526")</f>
        <v>ra-mi-100526</v>
      </c>
      <c r="C185" s="1174" t="str">
        <f>IFERROR(__xludf.DUMMYFUNCTION("""COMPUTED_VALUE"""),"MAYO")</f>
        <v>MAYO</v>
      </c>
      <c r="D185" s="1174" t="b">
        <f>IFERROR(__xludf.DUMMYFUNCTION("""COMPUTED_VALUE"""),TRUE)</f>
        <v>1</v>
      </c>
      <c r="E185" s="1174" t="str">
        <f>IFERROR(__xludf.DUMMYFUNCTION("""COMPUTED_VALUE"""),"Laptop")</f>
        <v>Laptop</v>
      </c>
      <c r="F185" s="1176">
        <f>IFERROR(__xludf.DUMMYFUNCTION("""COMPUTED_VALUE"""),1899.99)</f>
        <v>1899.99</v>
      </c>
      <c r="G185" s="1177">
        <f>IFERROR(__xludf.DUMMYFUNCTION("""COMPUTED_VALUE"""),291.0)</f>
        <v>291</v>
      </c>
      <c r="H185" s="1174" t="b">
        <f>IFERROR(__xludf.DUMMYFUNCTION("""COMPUTED_VALUE"""),FALSE)</f>
        <v>0</v>
      </c>
      <c r="I185" s="1174" t="str">
        <f>IFERROR(__xludf.DUMMYFUNCTION("""COMPUTED_VALUE"""),"JUNIO")</f>
        <v>JUNIO</v>
      </c>
      <c r="N185" s="1174" t="str">
        <f t="shared" si="1"/>
        <v/>
      </c>
    </row>
    <row r="186">
      <c r="A186" s="1175">
        <f>IFERROR(__xludf.DUMMYFUNCTION("""COMPUTED_VALUE"""),46135.0)</f>
        <v>46135</v>
      </c>
      <c r="B186" s="1174" t="str">
        <f>IFERROR(__xludf.DUMMYFUNCTION("""COMPUTED_VALUE"""),"ke-eb-16-14539-67759")</f>
        <v>ke-eb-16-14539-67759</v>
      </c>
      <c r="C186" s="1174" t="str">
        <f>IFERROR(__xludf.DUMMYFUNCTION("""COMPUTED_VALUE"""),"MAYO")</f>
        <v>MAYO</v>
      </c>
      <c r="D186" s="1174" t="b">
        <f>IFERROR(__xludf.DUMMYFUNCTION("""COMPUTED_VALUE"""),TRUE)</f>
        <v>1</v>
      </c>
      <c r="E186" s="1174" t="str">
        <f>IFERROR(__xludf.DUMMYFUNCTION("""COMPUTED_VALUE"""),"Laptop")</f>
        <v>Laptop</v>
      </c>
      <c r="F186" s="1176">
        <f>IFERROR(__xludf.DUMMYFUNCTION("""COMPUTED_VALUE"""),3499.99)</f>
        <v>3499.99</v>
      </c>
      <c r="G186" s="1177">
        <f>IFERROR(__xludf.DUMMYFUNCTION("""COMPUTED_VALUE"""),367.0)</f>
        <v>367</v>
      </c>
      <c r="H186" s="1174" t="b">
        <f>IFERROR(__xludf.DUMMYFUNCTION("""COMPUTED_VALUE"""),FALSE)</f>
        <v>0</v>
      </c>
      <c r="I186" s="1174" t="str">
        <f>IFERROR(__xludf.DUMMYFUNCTION("""COMPUTED_VALUE"""),"JUNIO")</f>
        <v>JUNIO</v>
      </c>
      <c r="N186" s="1174" t="str">
        <f t="shared" si="1"/>
        <v/>
      </c>
    </row>
    <row r="187">
      <c r="A187" s="1175">
        <f>IFERROR(__xludf.DUMMYFUNCTION("""COMPUTED_VALUE"""),46137.0)</f>
        <v>46137</v>
      </c>
      <c r="B187" s="1174" t="str">
        <f>IFERROR(__xludf.DUMMYFUNCTION("""COMPUTED_VALUE"""),"ke-as-10001323258")</f>
        <v>ke-as-10001323258</v>
      </c>
      <c r="C187" s="1174" t="str">
        <f>IFERROR(__xludf.DUMMYFUNCTION("""COMPUTED_VALUE"""),"MAYO")</f>
        <v>MAYO</v>
      </c>
      <c r="D187" s="1174" t="b">
        <f>IFERROR(__xludf.DUMMYFUNCTION("""COMPUTED_VALUE"""),TRUE)</f>
        <v>1</v>
      </c>
      <c r="E187" s="1174" t="str">
        <f>IFERROR(__xludf.DUMMYFUNCTION("""COMPUTED_VALUE"""),"Laptop")</f>
        <v>Laptop</v>
      </c>
      <c r="F187" s="1176">
        <f>IFERROR(__xludf.DUMMYFUNCTION("""COMPUTED_VALUE"""),1399.99)</f>
        <v>1399.99</v>
      </c>
      <c r="G187" s="1177">
        <f>IFERROR(__xludf.DUMMYFUNCTION("""COMPUTED_VALUE"""),286.0)</f>
        <v>286</v>
      </c>
      <c r="H187" s="1174" t="b">
        <f>IFERROR(__xludf.DUMMYFUNCTION("""COMPUTED_VALUE"""),FALSE)</f>
        <v>0</v>
      </c>
      <c r="I187" s="1174" t="str">
        <f>IFERROR(__xludf.DUMMYFUNCTION("""COMPUTED_VALUE"""),"JUNIO")</f>
        <v>JUNIO</v>
      </c>
      <c r="N187" s="1174" t="str">
        <f t="shared" si="1"/>
        <v/>
      </c>
    </row>
    <row r="188">
      <c r="A188" s="1175">
        <f>IFERROR(__xludf.DUMMYFUNCTION("""COMPUTED_VALUE"""),46141.0)</f>
        <v>46141</v>
      </c>
      <c r="B188" s="1174" t="str">
        <f>IFERROR(__xludf.DUMMYFUNCTION("""COMPUTED_VALUE"""),"li-mi-300426")</f>
        <v>li-mi-300426</v>
      </c>
      <c r="C188" s="1174" t="str">
        <f>IFERROR(__xludf.DUMMYFUNCTION("""COMPUTED_VALUE"""),"MAYO")</f>
        <v>MAYO</v>
      </c>
      <c r="D188" s="1174" t="b">
        <f>IFERROR(__xludf.DUMMYFUNCTION("""COMPUTED_VALUE"""),TRUE)</f>
        <v>1</v>
      </c>
      <c r="E188" s="1174" t="str">
        <f>IFERROR(__xludf.DUMMYFUNCTION("""COMPUTED_VALUE"""),"Laptop")</f>
        <v>Laptop</v>
      </c>
      <c r="F188" s="1176">
        <f>IFERROR(__xludf.DUMMYFUNCTION("""COMPUTED_VALUE"""),1599.0)</f>
        <v>1599</v>
      </c>
      <c r="G188" s="1177">
        <f>IFERROR(__xludf.DUMMYFUNCTION("""COMPUTED_VALUE"""),337.0)</f>
        <v>337</v>
      </c>
      <c r="H188" s="1174" t="b">
        <f>IFERROR(__xludf.DUMMYFUNCTION("""COMPUTED_VALUE"""),FALSE)</f>
        <v>0</v>
      </c>
      <c r="I188" s="1174" t="str">
        <f>IFERROR(__xludf.DUMMYFUNCTION("""COMPUTED_VALUE"""),"JUNIO")</f>
        <v>JUNIO</v>
      </c>
      <c r="N188" s="1174" t="str">
        <f t="shared" si="1"/>
        <v/>
      </c>
    </row>
    <row r="189">
      <c r="A189" s="1175">
        <f>IFERROR(__xludf.DUMMYFUNCTION("""COMPUTED_VALUE"""),46144.0)</f>
        <v>46144</v>
      </c>
      <c r="B189" s="1174" t="str">
        <f>IFERROR(__xludf.DUMMYFUNCTION("""COMPUTED_VALUE"""),"yo-eb-05-14596-50105")</f>
        <v>yo-eb-05-14596-50105</v>
      </c>
      <c r="C189" s="1174" t="str">
        <f>IFERROR(__xludf.DUMMYFUNCTION("""COMPUTED_VALUE"""),"MAYO")</f>
        <v>MAYO</v>
      </c>
      <c r="D189" s="1174" t="b">
        <f>IFERROR(__xludf.DUMMYFUNCTION("""COMPUTED_VALUE"""),TRUE)</f>
        <v>1</v>
      </c>
      <c r="E189" s="1174" t="str">
        <f>IFERROR(__xludf.DUMMYFUNCTION("""COMPUTED_VALUE"""),"Laptop")</f>
        <v>Laptop</v>
      </c>
      <c r="F189" s="1176">
        <f>IFERROR(__xludf.DUMMYFUNCTION("""COMPUTED_VALUE"""),1799.0)</f>
        <v>1799</v>
      </c>
      <c r="G189" s="1177">
        <f>IFERROR(__xludf.DUMMYFUNCTION("""COMPUTED_VALUE"""),297.0)</f>
        <v>297</v>
      </c>
      <c r="H189" s="1174" t="b">
        <f>IFERROR(__xludf.DUMMYFUNCTION("""COMPUTED_VALUE"""),FALSE)</f>
        <v>0</v>
      </c>
      <c r="I189" s="1174" t="str">
        <f>IFERROR(__xludf.DUMMYFUNCTION("""COMPUTED_VALUE"""),"MAYO")</f>
        <v>MAYO</v>
      </c>
      <c r="N189" s="1174" t="str">
        <f t="shared" si="1"/>
        <v/>
      </c>
    </row>
    <row r="190">
      <c r="A190" s="1175">
        <f>IFERROR(__xludf.DUMMYFUNCTION("""COMPUTED_VALUE"""),46160.0)</f>
        <v>46160</v>
      </c>
      <c r="B190" s="1174" t="str">
        <f>IFERROR(__xludf.DUMMYFUNCTION("""COMPUTED_VALUE"""),"ab-eb-10-14655-79888")</f>
        <v>ab-eb-10-14655-79888</v>
      </c>
      <c r="C190" s="1174" t="str">
        <f>IFERROR(__xludf.DUMMYFUNCTION("""COMPUTED_VALUE"""),"JUNIO")</f>
        <v>JUNIO</v>
      </c>
      <c r="D190" s="1174" t="b">
        <f>IFERROR(__xludf.DUMMYFUNCTION("""COMPUTED_VALUE"""),TRUE)</f>
        <v>1</v>
      </c>
      <c r="E190" s="1174" t="str">
        <f>IFERROR(__xludf.DUMMYFUNCTION("""COMPUTED_VALUE"""),"Laptop")</f>
        <v>Laptop</v>
      </c>
      <c r="F190" s="1176">
        <f>IFERROR(__xludf.DUMMYFUNCTION("""COMPUTED_VALUE"""),2249.99)</f>
        <v>2249.99</v>
      </c>
      <c r="G190" s="1177">
        <f>IFERROR(__xludf.DUMMYFUNCTION("""COMPUTED_VALUE"""),283.0)</f>
        <v>283</v>
      </c>
      <c r="H190" s="1174" t="b">
        <f>IFERROR(__xludf.DUMMYFUNCTION("""COMPUTED_VALUE"""),FALSE)</f>
        <v>0</v>
      </c>
      <c r="I190" s="1174" t="str">
        <f>IFERROR(__xludf.DUMMYFUNCTION("""COMPUTED_VALUE"""),"JUNIO")</f>
        <v>JUNIO</v>
      </c>
      <c r="N190" s="1174" t="str">
        <f t="shared" si="1"/>
        <v/>
      </c>
    </row>
    <row r="191">
      <c r="N191" s="1174" t="str">
        <f t="shared" si="1"/>
        <v/>
      </c>
    </row>
    <row r="192">
      <c r="N192" s="1174" t="str">
        <f t="shared" si="1"/>
        <v/>
      </c>
    </row>
    <row r="193">
      <c r="N193" s="1174" t="str">
        <f t="shared" si="1"/>
        <v/>
      </c>
    </row>
    <row r="194">
      <c r="N194" s="1174" t="str">
        <f t="shared" si="1"/>
        <v/>
      </c>
    </row>
    <row r="195">
      <c r="N195" s="1174" t="str">
        <f t="shared" si="1"/>
        <v/>
      </c>
    </row>
    <row r="196">
      <c r="N196" s="1174" t="str">
        <f t="shared" si="1"/>
        <v/>
      </c>
    </row>
    <row r="197">
      <c r="N197" s="1174" t="str">
        <f t="shared" si="1"/>
        <v/>
      </c>
    </row>
    <row r="198">
      <c r="N198" s="1174" t="str">
        <f t="shared" si="1"/>
        <v/>
      </c>
    </row>
    <row r="199">
      <c r="N199" s="1174" t="str">
        <f t="shared" si="1"/>
        <v/>
      </c>
    </row>
    <row r="200">
      <c r="N200" s="1174" t="str">
        <f t="shared" si="1"/>
        <v/>
      </c>
    </row>
    <row r="201">
      <c r="N201" s="1174" t="str">
        <f t="shared" si="1"/>
        <v/>
      </c>
    </row>
    <row r="202">
      <c r="N202" s="1174" t="str">
        <f t="shared" si="1"/>
        <v/>
      </c>
    </row>
    <row r="203">
      <c r="N203" s="1174" t="str">
        <f t="shared" si="1"/>
        <v/>
      </c>
    </row>
    <row r="204">
      <c r="N204" s="1174" t="str">
        <f t="shared" si="1"/>
        <v/>
      </c>
    </row>
    <row r="205">
      <c r="N205" s="1174" t="str">
        <f t="shared" si="1"/>
        <v/>
      </c>
    </row>
    <row r="206">
      <c r="N206" s="1174" t="str">
        <f t="shared" si="1"/>
        <v/>
      </c>
    </row>
    <row r="207">
      <c r="N207" s="1174" t="str">
        <f t="shared" si="1"/>
        <v/>
      </c>
    </row>
    <row r="208">
      <c r="N208" s="1174" t="str">
        <f t="shared" si="1"/>
        <v/>
      </c>
    </row>
    <row r="209">
      <c r="N209" s="1174" t="str">
        <f t="shared" si="1"/>
        <v/>
      </c>
    </row>
    <row r="210">
      <c r="N210" s="1174" t="str">
        <f t="shared" si="1"/>
        <v/>
      </c>
    </row>
    <row r="211">
      <c r="N211" s="1174" t="str">
        <f t="shared" si="1"/>
        <v/>
      </c>
    </row>
    <row r="212">
      <c r="N212" s="1174" t="str">
        <f t="shared" si="1"/>
        <v/>
      </c>
    </row>
    <row r="213">
      <c r="N213" s="1174" t="str">
        <f t="shared" si="1"/>
        <v/>
      </c>
    </row>
    <row r="214">
      <c r="N214" s="1174" t="str">
        <f t="shared" si="1"/>
        <v/>
      </c>
    </row>
    <row r="215">
      <c r="N215" s="1174" t="str">
        <f t="shared" si="1"/>
        <v/>
      </c>
    </row>
    <row r="216">
      <c r="N216" s="1174" t="str">
        <f t="shared" si="1"/>
        <v/>
      </c>
    </row>
    <row r="217">
      <c r="N217" s="1174" t="str">
        <f t="shared" si="1"/>
        <v/>
      </c>
    </row>
    <row r="218">
      <c r="N218" s="1174" t="str">
        <f t="shared" si="1"/>
        <v/>
      </c>
    </row>
    <row r="219">
      <c r="N219" s="1174" t="str">
        <f t="shared" si="1"/>
        <v/>
      </c>
    </row>
    <row r="220">
      <c r="N220" s="1174" t="str">
        <f t="shared" si="1"/>
        <v/>
      </c>
    </row>
    <row r="221">
      <c r="N221" s="1174" t="str">
        <f t="shared" si="1"/>
        <v/>
      </c>
    </row>
    <row r="222">
      <c r="N222" s="1174" t="str">
        <f t="shared" si="1"/>
        <v/>
      </c>
    </row>
    <row r="223">
      <c r="N223" s="1174" t="str">
        <f t="shared" si="1"/>
        <v/>
      </c>
    </row>
    <row r="224">
      <c r="N224" s="1174" t="str">
        <f t="shared" si="1"/>
        <v/>
      </c>
    </row>
    <row r="225">
      <c r="N225" s="1174" t="str">
        <f t="shared" si="1"/>
        <v/>
      </c>
    </row>
    <row r="226">
      <c r="N226" s="1174" t="str">
        <f t="shared" si="1"/>
        <v/>
      </c>
    </row>
    <row r="227">
      <c r="N227" s="1174" t="str">
        <f t="shared" si="1"/>
        <v/>
      </c>
    </row>
    <row r="228">
      <c r="N228" s="1174" t="str">
        <f t="shared" si="1"/>
        <v/>
      </c>
    </row>
    <row r="229">
      <c r="N229" s="1174" t="str">
        <f t="shared" si="1"/>
        <v/>
      </c>
    </row>
    <row r="230">
      <c r="N230" s="1174" t="str">
        <f t="shared" si="1"/>
        <v/>
      </c>
    </row>
    <row r="231">
      <c r="N231" s="1174" t="str">
        <f t="shared" si="1"/>
        <v/>
      </c>
    </row>
    <row r="232">
      <c r="N232" s="1174" t="str">
        <f t="shared" si="1"/>
        <v/>
      </c>
    </row>
    <row r="233">
      <c r="N233" s="1174" t="str">
        <f t="shared" si="1"/>
        <v/>
      </c>
    </row>
    <row r="234">
      <c r="N234" s="1174" t="str">
        <f t="shared" si="1"/>
        <v/>
      </c>
    </row>
    <row r="235">
      <c r="N235" s="1174" t="str">
        <f t="shared" si="1"/>
        <v/>
      </c>
    </row>
    <row r="236">
      <c r="N236" s="1174" t="str">
        <f t="shared" si="1"/>
        <v/>
      </c>
    </row>
    <row r="237">
      <c r="N237" s="1174" t="str">
        <f t="shared" si="1"/>
        <v/>
      </c>
    </row>
    <row r="238">
      <c r="N238" s="1174" t="str">
        <f t="shared" si="1"/>
        <v/>
      </c>
    </row>
    <row r="239">
      <c r="N239" s="1174" t="str">
        <f t="shared" si="1"/>
        <v/>
      </c>
    </row>
    <row r="240">
      <c r="N240" s="1174" t="str">
        <f t="shared" si="1"/>
        <v/>
      </c>
    </row>
    <row r="241">
      <c r="N241" s="1174" t="str">
        <f t="shared" si="1"/>
        <v/>
      </c>
    </row>
    <row r="242">
      <c r="N242" s="1174" t="str">
        <f t="shared" si="1"/>
        <v/>
      </c>
    </row>
    <row r="243">
      <c r="N243" s="1174" t="str">
        <f t="shared" si="1"/>
        <v/>
      </c>
    </row>
    <row r="244">
      <c r="N244" s="1174" t="str">
        <f t="shared" si="1"/>
        <v/>
      </c>
    </row>
    <row r="245">
      <c r="N245" s="1174" t="str">
        <f t="shared" si="1"/>
        <v/>
      </c>
    </row>
    <row r="246">
      <c r="N246" s="1174" t="str">
        <f t="shared" si="1"/>
        <v/>
      </c>
    </row>
    <row r="247">
      <c r="N247" s="1174" t="str">
        <f t="shared" si="1"/>
        <v/>
      </c>
    </row>
    <row r="248">
      <c r="N248" s="1174" t="str">
        <f t="shared" si="1"/>
        <v/>
      </c>
    </row>
    <row r="249">
      <c r="N249" s="1174" t="str">
        <f t="shared" si="1"/>
        <v/>
      </c>
    </row>
    <row r="250">
      <c r="N250" s="1174" t="str">
        <f t="shared" si="1"/>
        <v/>
      </c>
    </row>
    <row r="251">
      <c r="N251" s="1174" t="str">
        <f t="shared" si="1"/>
        <v/>
      </c>
    </row>
    <row r="252">
      <c r="N252" s="1174" t="str">
        <f t="shared" si="1"/>
        <v/>
      </c>
    </row>
    <row r="253">
      <c r="N253" s="1174" t="str">
        <f t="shared" si="1"/>
        <v/>
      </c>
    </row>
    <row r="254">
      <c r="N254" s="1174" t="str">
        <f t="shared" si="1"/>
        <v/>
      </c>
    </row>
    <row r="255">
      <c r="N255" s="1174" t="str">
        <f t="shared" si="1"/>
        <v/>
      </c>
    </row>
    <row r="256">
      <c r="N256" s="1174" t="str">
        <f t="shared" si="1"/>
        <v/>
      </c>
    </row>
    <row r="257">
      <c r="N257" s="1174" t="str">
        <f t="shared" si="1"/>
        <v/>
      </c>
    </row>
    <row r="258">
      <c r="N258" s="1174" t="str">
        <f t="shared" si="1"/>
        <v/>
      </c>
    </row>
    <row r="259">
      <c r="N259" s="1174" t="str">
        <f t="shared" si="1"/>
        <v/>
      </c>
    </row>
    <row r="260">
      <c r="N260" s="1174" t="str">
        <f t="shared" si="1"/>
        <v/>
      </c>
    </row>
    <row r="261">
      <c r="N261" s="1174" t="str">
        <f t="shared" si="1"/>
        <v/>
      </c>
    </row>
    <row r="262">
      <c r="N262" s="1174" t="str">
        <f t="shared" si="1"/>
        <v/>
      </c>
    </row>
    <row r="263">
      <c r="N263" s="1174" t="str">
        <f t="shared" si="1"/>
        <v/>
      </c>
    </row>
    <row r="264">
      <c r="N264" s="1174" t="str">
        <f t="shared" si="1"/>
        <v/>
      </c>
    </row>
    <row r="265">
      <c r="N265" s="1174" t="str">
        <f t="shared" si="1"/>
        <v/>
      </c>
    </row>
    <row r="266">
      <c r="N266" s="1174" t="str">
        <f t="shared" si="1"/>
        <v/>
      </c>
    </row>
    <row r="267">
      <c r="N267" s="1174" t="str">
        <f t="shared" si="1"/>
        <v/>
      </c>
    </row>
    <row r="268">
      <c r="N268" s="1174" t="str">
        <f t="shared" si="1"/>
        <v/>
      </c>
    </row>
    <row r="269">
      <c r="N269" s="1174" t="str">
        <f t="shared" si="1"/>
        <v/>
      </c>
    </row>
    <row r="270">
      <c r="N270" s="1174" t="str">
        <f t="shared" si="1"/>
        <v/>
      </c>
    </row>
    <row r="271">
      <c r="N271" s="1174" t="str">
        <f t="shared" si="1"/>
        <v/>
      </c>
    </row>
    <row r="272">
      <c r="N272" s="1174" t="str">
        <f t="shared" si="1"/>
        <v/>
      </c>
    </row>
    <row r="273">
      <c r="N273" s="1174" t="str">
        <f t="shared" si="1"/>
        <v/>
      </c>
    </row>
    <row r="274">
      <c r="N274" s="1174" t="str">
        <f t="shared" si="1"/>
        <v/>
      </c>
    </row>
    <row r="275">
      <c r="N275" s="1174" t="str">
        <f t="shared" si="1"/>
        <v/>
      </c>
    </row>
    <row r="276">
      <c r="N276" s="1174" t="str">
        <f t="shared" si="1"/>
        <v/>
      </c>
    </row>
    <row r="277">
      <c r="N277" s="1174" t="str">
        <f t="shared" si="1"/>
        <v/>
      </c>
    </row>
    <row r="278">
      <c r="N278" s="1174" t="str">
        <f t="shared" si="1"/>
        <v/>
      </c>
    </row>
    <row r="279">
      <c r="N279" s="1174" t="str">
        <f t="shared" si="1"/>
        <v/>
      </c>
    </row>
    <row r="280">
      <c r="N280" s="1174" t="str">
        <f t="shared" si="1"/>
        <v/>
      </c>
    </row>
    <row r="281">
      <c r="N281" s="1174" t="str">
        <f t="shared" si="1"/>
        <v/>
      </c>
    </row>
    <row r="282">
      <c r="N282" s="1174" t="str">
        <f t="shared" si="1"/>
        <v/>
      </c>
    </row>
    <row r="283">
      <c r="N283" s="1174" t="str">
        <f t="shared" si="1"/>
        <v/>
      </c>
    </row>
    <row r="284">
      <c r="N284" s="1174" t="str">
        <f t="shared" si="1"/>
        <v/>
      </c>
    </row>
    <row r="285">
      <c r="N285" s="1174" t="str">
        <f t="shared" si="1"/>
        <v/>
      </c>
    </row>
    <row r="286">
      <c r="N286" s="1174" t="str">
        <f t="shared" si="1"/>
        <v/>
      </c>
    </row>
    <row r="287">
      <c r="N287" s="1174" t="str">
        <f t="shared" si="1"/>
        <v/>
      </c>
    </row>
    <row r="288">
      <c r="N288" s="1174" t="str">
        <f t="shared" si="1"/>
        <v/>
      </c>
    </row>
    <row r="289">
      <c r="N289" s="1174" t="str">
        <f t="shared" si="1"/>
        <v/>
      </c>
    </row>
    <row r="290">
      <c r="N290" s="1174" t="str">
        <f t="shared" si="1"/>
        <v/>
      </c>
    </row>
    <row r="291">
      <c r="N291" s="1174" t="str">
        <f t="shared" si="1"/>
        <v/>
      </c>
    </row>
    <row r="292">
      <c r="N292" s="1174" t="str">
        <f t="shared" si="1"/>
        <v/>
      </c>
    </row>
    <row r="293">
      <c r="N293" s="1174" t="str">
        <f t="shared" si="1"/>
        <v/>
      </c>
    </row>
    <row r="294">
      <c r="N294" s="1174" t="str">
        <f t="shared" si="1"/>
        <v/>
      </c>
    </row>
    <row r="295">
      <c r="N295" s="1174" t="str">
        <f t="shared" si="1"/>
        <v/>
      </c>
    </row>
    <row r="296">
      <c r="N296" s="1174" t="str">
        <f t="shared" si="1"/>
        <v/>
      </c>
    </row>
    <row r="297">
      <c r="N297" s="1174" t="str">
        <f t="shared" si="1"/>
        <v/>
      </c>
    </row>
    <row r="298">
      <c r="N298" s="1174" t="str">
        <f t="shared" si="1"/>
        <v/>
      </c>
    </row>
    <row r="299">
      <c r="N299" s="1174" t="str">
        <f t="shared" si="1"/>
        <v/>
      </c>
    </row>
    <row r="300">
      <c r="N300" s="1174" t="str">
        <f t="shared" si="1"/>
        <v/>
      </c>
    </row>
    <row r="301">
      <c r="N301" s="1174" t="str">
        <f t="shared" si="1"/>
        <v/>
      </c>
    </row>
    <row r="302">
      <c r="N302" s="1174" t="str">
        <f t="shared" si="1"/>
        <v/>
      </c>
    </row>
    <row r="303">
      <c r="N303" s="1174" t="str">
        <f t="shared" si="1"/>
        <v/>
      </c>
    </row>
    <row r="304">
      <c r="N304" s="1174" t="str">
        <f t="shared" si="1"/>
        <v/>
      </c>
    </row>
    <row r="305">
      <c r="N305" s="1174" t="str">
        <f t="shared" si="1"/>
        <v/>
      </c>
    </row>
    <row r="306">
      <c r="N306" s="1174" t="str">
        <f t="shared" si="1"/>
        <v/>
      </c>
    </row>
    <row r="307">
      <c r="N307" s="1174" t="str">
        <f t="shared" si="1"/>
        <v/>
      </c>
    </row>
    <row r="308">
      <c r="N308" s="1174" t="str">
        <f t="shared" si="1"/>
        <v/>
      </c>
    </row>
    <row r="309">
      <c r="N309" s="1174" t="str">
        <f t="shared" si="1"/>
        <v/>
      </c>
    </row>
    <row r="310">
      <c r="N310" s="1174" t="str">
        <f t="shared" si="1"/>
        <v/>
      </c>
    </row>
    <row r="311">
      <c r="N311" s="1174" t="str">
        <f t="shared" si="1"/>
        <v/>
      </c>
    </row>
    <row r="312">
      <c r="N312" s="1174" t="str">
        <f t="shared" si="1"/>
        <v/>
      </c>
    </row>
    <row r="313">
      <c r="N313" s="1174" t="str">
        <f t="shared" si="1"/>
        <v/>
      </c>
    </row>
    <row r="314">
      <c r="N314" s="1174" t="str">
        <f t="shared" si="1"/>
        <v/>
      </c>
    </row>
    <row r="315">
      <c r="N315" s="1174" t="str">
        <f t="shared" si="1"/>
        <v/>
      </c>
    </row>
    <row r="316">
      <c r="N316" s="1174" t="str">
        <f t="shared" si="1"/>
        <v/>
      </c>
    </row>
    <row r="317">
      <c r="N317" s="1174" t="str">
        <f t="shared" si="1"/>
        <v/>
      </c>
    </row>
    <row r="318">
      <c r="N318" s="1174" t="str">
        <f t="shared" si="1"/>
        <v/>
      </c>
    </row>
    <row r="319">
      <c r="N319" s="1174" t="str">
        <f t="shared" si="1"/>
        <v/>
      </c>
    </row>
    <row r="320">
      <c r="N320" s="1174" t="str">
        <f t="shared" si="1"/>
        <v/>
      </c>
    </row>
    <row r="321">
      <c r="N321" s="1174" t="str">
        <f t="shared" si="1"/>
        <v/>
      </c>
    </row>
    <row r="322">
      <c r="N322" s="1174" t="str">
        <f t="shared" si="1"/>
        <v/>
      </c>
    </row>
    <row r="323">
      <c r="N323" s="1174" t="str">
        <f t="shared" si="1"/>
        <v/>
      </c>
    </row>
    <row r="324">
      <c r="N324" s="1174" t="str">
        <f t="shared" si="1"/>
        <v/>
      </c>
    </row>
    <row r="325">
      <c r="N325" s="1174" t="str">
        <f t="shared" si="1"/>
        <v/>
      </c>
    </row>
    <row r="326">
      <c r="N326" s="1174" t="str">
        <f t="shared" si="1"/>
        <v/>
      </c>
    </row>
    <row r="327">
      <c r="N327" s="1174" t="str">
        <f t="shared" si="1"/>
        <v/>
      </c>
    </row>
    <row r="328">
      <c r="N328" s="1174" t="str">
        <f t="shared" si="1"/>
        <v/>
      </c>
    </row>
    <row r="329">
      <c r="N329" s="1174" t="str">
        <f t="shared" si="1"/>
        <v/>
      </c>
    </row>
    <row r="330">
      <c r="N330" s="1174" t="str">
        <f t="shared" si="1"/>
        <v/>
      </c>
    </row>
    <row r="331">
      <c r="N331" s="1174" t="str">
        <f t="shared" si="1"/>
        <v/>
      </c>
    </row>
    <row r="332">
      <c r="N332" s="1174" t="str">
        <f t="shared" si="1"/>
        <v/>
      </c>
    </row>
    <row r="333">
      <c r="N333" s="1174" t="str">
        <f t="shared" si="1"/>
        <v/>
      </c>
    </row>
    <row r="334">
      <c r="N334" s="1174" t="str">
        <f t="shared" si="1"/>
        <v/>
      </c>
    </row>
    <row r="335">
      <c r="N335" s="1174" t="str">
        <f t="shared" si="1"/>
        <v/>
      </c>
    </row>
    <row r="336">
      <c r="N336" s="1174" t="str">
        <f t="shared" si="1"/>
        <v/>
      </c>
    </row>
    <row r="337">
      <c r="N337" s="1174" t="str">
        <f t="shared" si="1"/>
        <v/>
      </c>
    </row>
    <row r="338">
      <c r="N338" s="1174" t="str">
        <f t="shared" si="1"/>
        <v/>
      </c>
    </row>
    <row r="339">
      <c r="N339" s="1174" t="str">
        <f t="shared" si="1"/>
        <v/>
      </c>
    </row>
    <row r="340">
      <c r="N340" s="1174" t="str">
        <f t="shared" si="1"/>
        <v/>
      </c>
    </row>
    <row r="341">
      <c r="N341" s="1174" t="str">
        <f t="shared" si="1"/>
        <v/>
      </c>
    </row>
    <row r="342">
      <c r="N342" s="1174" t="str">
        <f t="shared" si="1"/>
        <v/>
      </c>
    </row>
    <row r="343">
      <c r="N343" s="1174" t="str">
        <f t="shared" si="1"/>
        <v/>
      </c>
    </row>
    <row r="344">
      <c r="N344" s="1174" t="str">
        <f t="shared" si="1"/>
        <v/>
      </c>
    </row>
    <row r="345">
      <c r="N345" s="1174" t="str">
        <f t="shared" si="1"/>
        <v/>
      </c>
    </row>
    <row r="346">
      <c r="N346" s="1174" t="str">
        <f t="shared" si="1"/>
        <v/>
      </c>
    </row>
    <row r="347">
      <c r="N347" s="1174" t="str">
        <f t="shared" si="1"/>
        <v/>
      </c>
    </row>
    <row r="348">
      <c r="N348" s="1174" t="str">
        <f t="shared" si="1"/>
        <v/>
      </c>
    </row>
    <row r="349">
      <c r="N349" s="1174" t="str">
        <f t="shared" si="1"/>
        <v/>
      </c>
    </row>
    <row r="350">
      <c r="N350" s="1174" t="str">
        <f t="shared" si="1"/>
        <v/>
      </c>
    </row>
    <row r="351">
      <c r="N351" s="1174" t="str">
        <f t="shared" si="1"/>
        <v/>
      </c>
    </row>
    <row r="352">
      <c r="N352" s="1174" t="str">
        <f t="shared" si="1"/>
        <v/>
      </c>
    </row>
    <row r="353">
      <c r="N353" s="1174" t="str">
        <f t="shared" si="1"/>
        <v/>
      </c>
    </row>
    <row r="354">
      <c r="N354" s="1174" t="str">
        <f t="shared" si="1"/>
        <v/>
      </c>
    </row>
    <row r="355">
      <c r="N355" s="1174" t="str">
        <f t="shared" si="1"/>
        <v/>
      </c>
    </row>
    <row r="356">
      <c r="N356" s="1174" t="str">
        <f t="shared" si="1"/>
        <v/>
      </c>
    </row>
    <row r="357">
      <c r="N357" s="1174" t="str">
        <f t="shared" si="1"/>
        <v/>
      </c>
    </row>
    <row r="358">
      <c r="N358" s="1174" t="str">
        <f t="shared" si="1"/>
        <v/>
      </c>
    </row>
    <row r="359">
      <c r="N359" s="1174" t="str">
        <f t="shared" si="1"/>
        <v/>
      </c>
    </row>
    <row r="360">
      <c r="N360" s="1174" t="str">
        <f t="shared" si="1"/>
        <v/>
      </c>
    </row>
    <row r="361">
      <c r="N361" s="1174" t="str">
        <f t="shared" si="1"/>
        <v/>
      </c>
    </row>
    <row r="362">
      <c r="N362" s="1174" t="str">
        <f t="shared" si="1"/>
        <v/>
      </c>
    </row>
    <row r="363">
      <c r="N363" s="1174" t="str">
        <f t="shared" si="1"/>
        <v/>
      </c>
    </row>
    <row r="364">
      <c r="N364" s="1174" t="str">
        <f t="shared" si="1"/>
        <v/>
      </c>
    </row>
    <row r="365">
      <c r="N365" s="1174" t="str">
        <f t="shared" si="1"/>
        <v/>
      </c>
    </row>
    <row r="366">
      <c r="N366" s="1174" t="str">
        <f t="shared" si="1"/>
        <v/>
      </c>
    </row>
    <row r="367">
      <c r="N367" s="1174" t="str">
        <f t="shared" si="1"/>
        <v/>
      </c>
    </row>
    <row r="368">
      <c r="N368" s="1174" t="str">
        <f t="shared" si="1"/>
        <v/>
      </c>
    </row>
    <row r="369">
      <c r="N369" s="1174" t="str">
        <f t="shared" si="1"/>
        <v/>
      </c>
    </row>
    <row r="370">
      <c r="N370" s="1174" t="str">
        <f t="shared" si="1"/>
        <v/>
      </c>
    </row>
    <row r="371">
      <c r="N371" s="1174" t="str">
        <f t="shared" si="1"/>
        <v/>
      </c>
    </row>
    <row r="372">
      <c r="N372" s="1174" t="str">
        <f t="shared" si="1"/>
        <v/>
      </c>
    </row>
    <row r="373">
      <c r="N373" s="1174" t="str">
        <f t="shared" si="1"/>
        <v/>
      </c>
    </row>
    <row r="374">
      <c r="N374" s="1174" t="str">
        <f t="shared" si="1"/>
        <v/>
      </c>
    </row>
    <row r="375">
      <c r="N375" s="1174" t="str">
        <f t="shared" si="1"/>
        <v/>
      </c>
    </row>
    <row r="376">
      <c r="N376" s="1174" t="str">
        <f t="shared" si="1"/>
        <v/>
      </c>
    </row>
    <row r="377">
      <c r="N377" s="1174" t="str">
        <f t="shared" si="1"/>
        <v/>
      </c>
    </row>
    <row r="378">
      <c r="N378" s="1174" t="str">
        <f t="shared" si="1"/>
        <v/>
      </c>
    </row>
    <row r="379">
      <c r="N379" s="1174" t="str">
        <f t="shared" si="1"/>
        <v/>
      </c>
    </row>
    <row r="380">
      <c r="N380" s="1174" t="str">
        <f t="shared" si="1"/>
        <v/>
      </c>
    </row>
    <row r="381">
      <c r="N381" s="1174" t="str">
        <f t="shared" si="1"/>
        <v/>
      </c>
    </row>
    <row r="382">
      <c r="N382" s="1174" t="str">
        <f t="shared" si="1"/>
        <v/>
      </c>
    </row>
    <row r="383">
      <c r="N383" s="1174" t="str">
        <f t="shared" si="1"/>
        <v/>
      </c>
    </row>
    <row r="384">
      <c r="N384" s="1174" t="str">
        <f t="shared" si="1"/>
        <v/>
      </c>
    </row>
    <row r="385">
      <c r="N385" s="1174" t="str">
        <f t="shared" si="1"/>
        <v/>
      </c>
    </row>
    <row r="386">
      <c r="N386" s="1174" t="str">
        <f t="shared" si="1"/>
        <v/>
      </c>
    </row>
    <row r="387">
      <c r="N387" s="1174" t="str">
        <f t="shared" si="1"/>
        <v/>
      </c>
    </row>
    <row r="388">
      <c r="N388" s="1174" t="str">
        <f t="shared" si="1"/>
        <v/>
      </c>
    </row>
    <row r="389">
      <c r="N389" s="1174" t="str">
        <f t="shared" si="1"/>
        <v/>
      </c>
    </row>
    <row r="390">
      <c r="N390" s="1174" t="str">
        <f t="shared" si="1"/>
        <v/>
      </c>
    </row>
    <row r="391">
      <c r="N391" s="1174" t="str">
        <f t="shared" si="1"/>
        <v/>
      </c>
    </row>
    <row r="392">
      <c r="N392" s="1174" t="str">
        <f t="shared" si="1"/>
        <v/>
      </c>
    </row>
    <row r="393">
      <c r="N393" s="1174" t="str">
        <f t="shared" si="1"/>
        <v/>
      </c>
    </row>
    <row r="394">
      <c r="N394" s="1174" t="str">
        <f t="shared" si="1"/>
        <v/>
      </c>
    </row>
    <row r="395">
      <c r="N395" s="1174" t="str">
        <f t="shared" si="1"/>
        <v/>
      </c>
    </row>
    <row r="396">
      <c r="N396" s="1174" t="str">
        <f t="shared" si="1"/>
        <v/>
      </c>
    </row>
    <row r="397">
      <c r="N397" s="1174" t="str">
        <f t="shared" si="1"/>
        <v/>
      </c>
    </row>
    <row r="398">
      <c r="N398" s="1174" t="str">
        <f t="shared" si="1"/>
        <v/>
      </c>
    </row>
    <row r="399">
      <c r="N399" s="1174" t="str">
        <f t="shared" si="1"/>
        <v/>
      </c>
    </row>
    <row r="400">
      <c r="N400" s="1174" t="str">
        <f t="shared" si="1"/>
        <v/>
      </c>
    </row>
    <row r="401">
      <c r="N401" s="1174" t="str">
        <f t="shared" si="1"/>
        <v/>
      </c>
    </row>
    <row r="402">
      <c r="N402" s="1174" t="str">
        <f t="shared" si="1"/>
        <v/>
      </c>
    </row>
    <row r="403">
      <c r="N403" s="1174" t="str">
        <f t="shared" si="1"/>
        <v/>
      </c>
    </row>
    <row r="404">
      <c r="N404" s="1174" t="str">
        <f t="shared" si="1"/>
        <v/>
      </c>
    </row>
    <row r="405">
      <c r="N405" s="1174" t="str">
        <f t="shared" si="1"/>
        <v/>
      </c>
    </row>
    <row r="406">
      <c r="N406" s="1174" t="str">
        <f t="shared" si="1"/>
        <v/>
      </c>
    </row>
    <row r="407">
      <c r="N407" s="1174" t="str">
        <f t="shared" si="1"/>
        <v/>
      </c>
    </row>
    <row r="408">
      <c r="N408" s="1174" t="str">
        <f t="shared" si="1"/>
        <v/>
      </c>
    </row>
    <row r="409">
      <c r="N409" s="1174" t="str">
        <f t="shared" si="1"/>
        <v/>
      </c>
    </row>
    <row r="410">
      <c r="N410" s="1174" t="str">
        <f t="shared" si="1"/>
        <v/>
      </c>
    </row>
    <row r="411">
      <c r="N411" s="1174" t="str">
        <f t="shared" si="1"/>
        <v/>
      </c>
    </row>
    <row r="412">
      <c r="N412" s="1174" t="str">
        <f t="shared" si="1"/>
        <v/>
      </c>
    </row>
    <row r="413">
      <c r="N413" s="1174" t="str">
        <f t="shared" si="1"/>
        <v/>
      </c>
    </row>
    <row r="414">
      <c r="N414" s="1174" t="str">
        <f t="shared" si="1"/>
        <v/>
      </c>
    </row>
    <row r="415">
      <c r="N415" s="1174" t="str">
        <f t="shared" si="1"/>
        <v/>
      </c>
    </row>
    <row r="416">
      <c r="N416" s="1174" t="str">
        <f t="shared" si="1"/>
        <v/>
      </c>
    </row>
    <row r="417">
      <c r="N417" s="1174" t="str">
        <f t="shared" si="1"/>
        <v/>
      </c>
    </row>
    <row r="418">
      <c r="N418" s="1174" t="str">
        <f t="shared" si="1"/>
        <v/>
      </c>
    </row>
    <row r="419">
      <c r="N419" s="1174" t="str">
        <f t="shared" si="1"/>
        <v/>
      </c>
    </row>
    <row r="420">
      <c r="N420" s="1174" t="str">
        <f t="shared" si="1"/>
        <v/>
      </c>
    </row>
    <row r="421">
      <c r="N421" s="1174" t="str">
        <f t="shared" si="1"/>
        <v/>
      </c>
    </row>
    <row r="422">
      <c r="N422" s="1174" t="str">
        <f t="shared" si="1"/>
        <v/>
      </c>
    </row>
    <row r="423">
      <c r="N423" s="1174" t="str">
        <f t="shared" si="1"/>
        <v/>
      </c>
    </row>
    <row r="424">
      <c r="N424" s="1174" t="str">
        <f t="shared" si="1"/>
        <v/>
      </c>
    </row>
    <row r="425">
      <c r="N425" s="1174" t="str">
        <f t="shared" si="1"/>
        <v/>
      </c>
    </row>
    <row r="426">
      <c r="N426" s="1174" t="str">
        <f t="shared" si="1"/>
        <v/>
      </c>
    </row>
    <row r="427">
      <c r="N427" s="1174" t="str">
        <f t="shared" si="1"/>
        <v/>
      </c>
    </row>
    <row r="428">
      <c r="N428" s="1174" t="str">
        <f t="shared" si="1"/>
        <v/>
      </c>
    </row>
    <row r="429">
      <c r="N429" s="1174" t="str">
        <f t="shared" si="1"/>
        <v/>
      </c>
    </row>
    <row r="430">
      <c r="N430" s="1174" t="str">
        <f t="shared" si="1"/>
        <v/>
      </c>
    </row>
    <row r="431">
      <c r="N431" s="1174" t="str">
        <f t="shared" si="1"/>
        <v/>
      </c>
    </row>
    <row r="432">
      <c r="N432" s="1174" t="str">
        <f t="shared" si="1"/>
        <v/>
      </c>
    </row>
    <row r="433">
      <c r="N433" s="1174" t="str">
        <f t="shared" si="1"/>
        <v/>
      </c>
    </row>
    <row r="434">
      <c r="N434" s="1174" t="str">
        <f t="shared" si="1"/>
        <v/>
      </c>
    </row>
    <row r="435">
      <c r="N435" s="1174" t="str">
        <f t="shared" si="1"/>
        <v/>
      </c>
    </row>
    <row r="436">
      <c r="N436" s="1174" t="str">
        <f t="shared" si="1"/>
        <v/>
      </c>
    </row>
    <row r="437">
      <c r="N437" s="1174" t="str">
        <f t="shared" si="1"/>
        <v/>
      </c>
    </row>
    <row r="438">
      <c r="N438" s="1174" t="str">
        <f t="shared" si="1"/>
        <v/>
      </c>
    </row>
    <row r="439">
      <c r="N439" s="1174" t="str">
        <f t="shared" si="1"/>
        <v/>
      </c>
    </row>
    <row r="440">
      <c r="N440" s="1174" t="str">
        <f t="shared" si="1"/>
        <v/>
      </c>
    </row>
    <row r="441">
      <c r="N441" s="1174" t="str">
        <f t="shared" si="1"/>
        <v/>
      </c>
    </row>
    <row r="442">
      <c r="N442" s="1174" t="str">
        <f t="shared" si="1"/>
        <v/>
      </c>
    </row>
    <row r="443">
      <c r="N443" s="1174" t="str">
        <f t="shared" si="1"/>
        <v/>
      </c>
    </row>
    <row r="444">
      <c r="N444" s="1174" t="str">
        <f t="shared" si="1"/>
        <v/>
      </c>
    </row>
    <row r="445">
      <c r="N445" s="1174" t="str">
        <f t="shared" si="1"/>
        <v/>
      </c>
    </row>
    <row r="446">
      <c r="N446" s="1174" t="str">
        <f t="shared" si="1"/>
        <v/>
      </c>
    </row>
    <row r="447">
      <c r="N447" s="1174" t="str">
        <f t="shared" si="1"/>
        <v/>
      </c>
    </row>
    <row r="448">
      <c r="N448" s="1174" t="str">
        <f t="shared" si="1"/>
        <v/>
      </c>
    </row>
    <row r="449">
      <c r="N449" s="1174" t="str">
        <f t="shared" si="1"/>
        <v/>
      </c>
    </row>
    <row r="450">
      <c r="N450" s="1174" t="str">
        <f t="shared" si="1"/>
        <v/>
      </c>
    </row>
    <row r="451">
      <c r="N451" s="1174" t="str">
        <f t="shared" si="1"/>
        <v/>
      </c>
    </row>
    <row r="452">
      <c r="N452" s="1174" t="str">
        <f t="shared" si="1"/>
        <v/>
      </c>
    </row>
    <row r="453">
      <c r="N453" s="1174" t="str">
        <f t="shared" si="1"/>
        <v/>
      </c>
    </row>
    <row r="454">
      <c r="N454" s="1174" t="str">
        <f t="shared" si="1"/>
        <v/>
      </c>
    </row>
    <row r="455">
      <c r="N455" s="1174" t="str">
        <f t="shared" si="1"/>
        <v/>
      </c>
    </row>
    <row r="456">
      <c r="N456" s="1174" t="str">
        <f t="shared" si="1"/>
        <v/>
      </c>
    </row>
    <row r="457">
      <c r="N457" s="1174" t="str">
        <f t="shared" si="1"/>
        <v/>
      </c>
    </row>
    <row r="458">
      <c r="N458" s="1174" t="str">
        <f t="shared" si="1"/>
        <v/>
      </c>
    </row>
    <row r="459">
      <c r="N459" s="1174" t="str">
        <f t="shared" si="1"/>
        <v/>
      </c>
    </row>
    <row r="460">
      <c r="N460" s="1174" t="str">
        <f t="shared" si="1"/>
        <v/>
      </c>
    </row>
    <row r="461">
      <c r="N461" s="1174" t="str">
        <f t="shared" si="1"/>
        <v/>
      </c>
    </row>
    <row r="462">
      <c r="N462" s="1174" t="str">
        <f t="shared" si="1"/>
        <v/>
      </c>
    </row>
    <row r="463">
      <c r="N463" s="1174" t="str">
        <f t="shared" si="1"/>
        <v/>
      </c>
    </row>
    <row r="464">
      <c r="N464" s="1174" t="str">
        <f t="shared" si="1"/>
        <v/>
      </c>
    </row>
    <row r="465">
      <c r="N465" s="1174" t="str">
        <f t="shared" si="1"/>
        <v/>
      </c>
    </row>
    <row r="466">
      <c r="N466" s="1174" t="str">
        <f t="shared" si="1"/>
        <v/>
      </c>
    </row>
    <row r="467">
      <c r="N467" s="1174" t="str">
        <f t="shared" si="1"/>
        <v/>
      </c>
    </row>
    <row r="468">
      <c r="N468" s="1174" t="str">
        <f t="shared" si="1"/>
        <v/>
      </c>
    </row>
    <row r="469">
      <c r="N469" s="1174" t="str">
        <f t="shared" si="1"/>
        <v/>
      </c>
    </row>
    <row r="470">
      <c r="N470" s="1174" t="str">
        <f t="shared" si="1"/>
        <v/>
      </c>
    </row>
    <row r="471">
      <c r="N471" s="1174" t="str">
        <f t="shared" si="1"/>
        <v/>
      </c>
    </row>
    <row r="472">
      <c r="N472" s="1174" t="str">
        <f t="shared" si="1"/>
        <v/>
      </c>
    </row>
    <row r="473">
      <c r="N473" s="1174" t="str">
        <f t="shared" si="1"/>
        <v/>
      </c>
    </row>
    <row r="474">
      <c r="N474" s="1174" t="str">
        <f t="shared" si="1"/>
        <v/>
      </c>
    </row>
    <row r="475">
      <c r="N475" s="1174" t="str">
        <f t="shared" si="1"/>
        <v/>
      </c>
    </row>
    <row r="476">
      <c r="N476" s="1174" t="str">
        <f t="shared" si="1"/>
        <v/>
      </c>
    </row>
    <row r="477">
      <c r="N477" s="1174" t="str">
        <f t="shared" si="1"/>
        <v/>
      </c>
    </row>
    <row r="478">
      <c r="N478" s="1174" t="str">
        <f t="shared" si="1"/>
        <v/>
      </c>
    </row>
    <row r="479">
      <c r="N479" s="1174" t="str">
        <f t="shared" si="1"/>
        <v/>
      </c>
    </row>
    <row r="480">
      <c r="N480" s="1174" t="str">
        <f t="shared" si="1"/>
        <v/>
      </c>
    </row>
    <row r="481">
      <c r="N481" s="1174" t="str">
        <f t="shared" si="1"/>
        <v/>
      </c>
    </row>
    <row r="482">
      <c r="N482" s="1174" t="str">
        <f t="shared" si="1"/>
        <v/>
      </c>
    </row>
    <row r="483">
      <c r="N483" s="1174" t="str">
        <f t="shared" si="1"/>
        <v/>
      </c>
    </row>
    <row r="484">
      <c r="N484" s="1174" t="str">
        <f t="shared" si="1"/>
        <v/>
      </c>
    </row>
    <row r="485">
      <c r="N485" s="1174" t="str">
        <f t="shared" si="1"/>
        <v/>
      </c>
    </row>
    <row r="486">
      <c r="N486" s="1174" t="str">
        <f t="shared" si="1"/>
        <v/>
      </c>
    </row>
    <row r="487">
      <c r="N487" s="1174" t="str">
        <f t="shared" si="1"/>
        <v/>
      </c>
    </row>
    <row r="488">
      <c r="N488" s="1174" t="str">
        <f t="shared" si="1"/>
        <v/>
      </c>
    </row>
    <row r="489">
      <c r="N489" s="1174" t="str">
        <f t="shared" si="1"/>
        <v/>
      </c>
    </row>
    <row r="490">
      <c r="N490" s="1174" t="str">
        <f t="shared" si="1"/>
        <v/>
      </c>
    </row>
    <row r="491">
      <c r="N491" s="1174" t="str">
        <f t="shared" si="1"/>
        <v/>
      </c>
    </row>
    <row r="492">
      <c r="N492" s="1174" t="str">
        <f t="shared" si="1"/>
        <v/>
      </c>
    </row>
    <row r="493">
      <c r="N493" s="1174" t="str">
        <f t="shared" si="1"/>
        <v/>
      </c>
    </row>
    <row r="494">
      <c r="N494" s="1174" t="str">
        <f t="shared" si="1"/>
        <v/>
      </c>
    </row>
    <row r="495">
      <c r="N495" s="1174" t="str">
        <f t="shared" si="1"/>
        <v/>
      </c>
    </row>
    <row r="496">
      <c r="N496" s="1174" t="str">
        <f t="shared" si="1"/>
        <v/>
      </c>
    </row>
    <row r="497">
      <c r="N497" s="1174" t="str">
        <f t="shared" si="1"/>
        <v/>
      </c>
    </row>
    <row r="498">
      <c r="N498" s="1174" t="str">
        <f t="shared" si="1"/>
        <v/>
      </c>
    </row>
    <row r="499">
      <c r="N499" s="1174" t="str">
        <f t="shared" si="1"/>
        <v/>
      </c>
    </row>
    <row r="500">
      <c r="N500" s="1174" t="str">
        <f t="shared" si="1"/>
        <v/>
      </c>
    </row>
    <row r="501">
      <c r="N501" s="1174" t="str">
        <f t="shared" si="1"/>
        <v/>
      </c>
    </row>
    <row r="502">
      <c r="N502" s="1174" t="str">
        <f t="shared" si="1"/>
        <v/>
      </c>
    </row>
    <row r="503">
      <c r="N503" s="1174" t="str">
        <f t="shared" si="1"/>
        <v/>
      </c>
    </row>
    <row r="504">
      <c r="N504" s="1174" t="str">
        <f t="shared" si="1"/>
        <v/>
      </c>
    </row>
    <row r="505">
      <c r="N505" s="1174" t="str">
        <f t="shared" si="1"/>
        <v/>
      </c>
    </row>
    <row r="506">
      <c r="N506" s="1174" t="str">
        <f t="shared" si="1"/>
        <v/>
      </c>
    </row>
    <row r="507">
      <c r="N507" s="1174" t="str">
        <f t="shared" si="1"/>
        <v/>
      </c>
    </row>
    <row r="508">
      <c r="N508" s="1174" t="str">
        <f t="shared" si="1"/>
        <v/>
      </c>
    </row>
    <row r="509">
      <c r="N509" s="1174" t="str">
        <f t="shared" si="1"/>
        <v/>
      </c>
    </row>
    <row r="510">
      <c r="N510" s="1174" t="str">
        <f t="shared" si="1"/>
        <v/>
      </c>
    </row>
    <row r="511">
      <c r="N511" s="1174" t="str">
        <f t="shared" si="1"/>
        <v/>
      </c>
    </row>
    <row r="512">
      <c r="N512" s="1174" t="str">
        <f t="shared" si="1"/>
        <v/>
      </c>
    </row>
    <row r="513">
      <c r="N513" s="1174" t="str">
        <f t="shared" si="1"/>
        <v/>
      </c>
    </row>
    <row r="514">
      <c r="N514" s="1174" t="str">
        <f t="shared" si="1"/>
        <v/>
      </c>
    </row>
    <row r="515">
      <c r="N515" s="1174" t="str">
        <f t="shared" si="1"/>
        <v/>
      </c>
    </row>
    <row r="516">
      <c r="N516" s="1174" t="str">
        <f t="shared" si="1"/>
        <v/>
      </c>
    </row>
    <row r="517">
      <c r="N517" s="1174" t="str">
        <f t="shared" si="1"/>
        <v/>
      </c>
    </row>
    <row r="518">
      <c r="N518" s="1174" t="str">
        <f t="shared" si="1"/>
        <v/>
      </c>
    </row>
    <row r="519">
      <c r="N519" s="1174" t="str">
        <f t="shared" si="1"/>
        <v/>
      </c>
    </row>
    <row r="520">
      <c r="N520" s="1174" t="str">
        <f t="shared" si="1"/>
        <v/>
      </c>
    </row>
    <row r="521">
      <c r="N521" s="1174" t="str">
        <f t="shared" si="1"/>
        <v/>
      </c>
    </row>
    <row r="522">
      <c r="N522" s="1174" t="str">
        <f t="shared" si="1"/>
        <v/>
      </c>
    </row>
    <row r="523">
      <c r="N523" s="1174" t="str">
        <f t="shared" si="1"/>
        <v/>
      </c>
    </row>
    <row r="524">
      <c r="N524" s="1174" t="str">
        <f t="shared" si="1"/>
        <v/>
      </c>
    </row>
    <row r="525">
      <c r="N525" s="1174" t="str">
        <f t="shared" si="1"/>
        <v/>
      </c>
    </row>
    <row r="526">
      <c r="N526" s="1174" t="str">
        <f t="shared" si="1"/>
        <v/>
      </c>
    </row>
    <row r="527">
      <c r="N527" s="1174" t="str">
        <f t="shared" si="1"/>
        <v/>
      </c>
    </row>
    <row r="528">
      <c r="N528" s="1174" t="str">
        <f t="shared" si="1"/>
        <v/>
      </c>
    </row>
    <row r="529">
      <c r="N529" s="1174" t="str">
        <f t="shared" si="1"/>
        <v/>
      </c>
    </row>
    <row r="530">
      <c r="N530" s="1174" t="str">
        <f t="shared" si="1"/>
        <v/>
      </c>
    </row>
    <row r="531">
      <c r="N531" s="1174" t="str">
        <f t="shared" si="1"/>
        <v/>
      </c>
    </row>
    <row r="532">
      <c r="N532" s="1174" t="str">
        <f t="shared" si="1"/>
        <v/>
      </c>
    </row>
    <row r="533">
      <c r="N533" s="1174" t="str">
        <f t="shared" si="1"/>
        <v/>
      </c>
    </row>
    <row r="534">
      <c r="N534" s="1174" t="str">
        <f t="shared" si="1"/>
        <v/>
      </c>
    </row>
    <row r="535">
      <c r="N535" s="1174" t="str">
        <f t="shared" si="1"/>
        <v/>
      </c>
    </row>
    <row r="536">
      <c r="N536" s="1174" t="str">
        <f t="shared" si="1"/>
        <v/>
      </c>
    </row>
    <row r="537">
      <c r="N537" s="1174" t="str">
        <f t="shared" si="1"/>
        <v/>
      </c>
    </row>
    <row r="538">
      <c r="N538" s="1174" t="str">
        <f t="shared" si="1"/>
        <v/>
      </c>
    </row>
    <row r="539">
      <c r="N539" s="1174" t="str">
        <f t="shared" si="1"/>
        <v/>
      </c>
    </row>
    <row r="540">
      <c r="N540" s="1174" t="str">
        <f t="shared" si="1"/>
        <v/>
      </c>
    </row>
    <row r="541">
      <c r="N541" s="1174" t="str">
        <f t="shared" si="1"/>
        <v/>
      </c>
    </row>
    <row r="542">
      <c r="N542" s="1174" t="str">
        <f t="shared" si="1"/>
        <v/>
      </c>
    </row>
    <row r="543">
      <c r="N543" s="1174" t="str">
        <f t="shared" si="1"/>
        <v/>
      </c>
    </row>
    <row r="544">
      <c r="N544" s="1174" t="str">
        <f t="shared" si="1"/>
        <v/>
      </c>
    </row>
    <row r="545">
      <c r="N545" s="1174" t="str">
        <f t="shared" si="1"/>
        <v/>
      </c>
    </row>
    <row r="546">
      <c r="N546" s="1174" t="str">
        <f t="shared" si="1"/>
        <v/>
      </c>
    </row>
    <row r="547">
      <c r="N547" s="1174" t="str">
        <f t="shared" si="1"/>
        <v/>
      </c>
    </row>
    <row r="548">
      <c r="N548" s="1174" t="str">
        <f t="shared" si="1"/>
        <v/>
      </c>
    </row>
    <row r="549">
      <c r="N549" s="1174" t="str">
        <f t="shared" si="1"/>
        <v/>
      </c>
    </row>
    <row r="550">
      <c r="N550" s="1174" t="str">
        <f t="shared" si="1"/>
        <v/>
      </c>
    </row>
    <row r="551">
      <c r="N551" s="1174" t="str">
        <f t="shared" si="1"/>
        <v/>
      </c>
    </row>
    <row r="552">
      <c r="N552" s="1174" t="str">
        <f t="shared" si="1"/>
        <v/>
      </c>
    </row>
    <row r="553">
      <c r="N553" s="1174" t="str">
        <f t="shared" si="1"/>
        <v/>
      </c>
    </row>
    <row r="554">
      <c r="N554" s="1174" t="str">
        <f t="shared" si="1"/>
        <v/>
      </c>
    </row>
    <row r="555">
      <c r="N555" s="1174" t="str">
        <f t="shared" si="1"/>
        <v/>
      </c>
    </row>
    <row r="556">
      <c r="N556" s="1174" t="str">
        <f t="shared" si="1"/>
        <v/>
      </c>
    </row>
    <row r="557">
      <c r="N557" s="1174" t="str">
        <f t="shared" si="1"/>
        <v/>
      </c>
    </row>
    <row r="558">
      <c r="N558" s="1174" t="str">
        <f t="shared" si="1"/>
        <v/>
      </c>
    </row>
    <row r="559">
      <c r="N559" s="1174" t="str">
        <f t="shared" si="1"/>
        <v/>
      </c>
    </row>
    <row r="560">
      <c r="N560" s="1174" t="str">
        <f t="shared" si="1"/>
        <v/>
      </c>
    </row>
    <row r="561">
      <c r="N561" s="1174" t="str">
        <f t="shared" si="1"/>
        <v/>
      </c>
    </row>
    <row r="562">
      <c r="N562" s="1174" t="str">
        <f t="shared" si="1"/>
        <v/>
      </c>
    </row>
    <row r="563">
      <c r="N563" s="1174" t="str">
        <f t="shared" si="1"/>
        <v/>
      </c>
    </row>
    <row r="564">
      <c r="N564" s="1174" t="str">
        <f t="shared" si="1"/>
        <v/>
      </c>
    </row>
    <row r="565">
      <c r="N565" s="1174" t="str">
        <f t="shared" si="1"/>
        <v/>
      </c>
    </row>
    <row r="566">
      <c r="N566" s="1174" t="str">
        <f t="shared" si="1"/>
        <v/>
      </c>
    </row>
    <row r="567">
      <c r="N567" s="1174" t="str">
        <f t="shared" si="1"/>
        <v/>
      </c>
    </row>
    <row r="568">
      <c r="N568" s="1174" t="str">
        <f t="shared" si="1"/>
        <v/>
      </c>
    </row>
    <row r="569">
      <c r="N569" s="1174" t="str">
        <f t="shared" si="1"/>
        <v/>
      </c>
    </row>
    <row r="570">
      <c r="N570" s="1174" t="str">
        <f t="shared" si="1"/>
        <v/>
      </c>
    </row>
    <row r="571">
      <c r="N571" s="1174" t="str">
        <f t="shared" si="1"/>
        <v/>
      </c>
    </row>
    <row r="572">
      <c r="N572" s="1174" t="str">
        <f t="shared" si="1"/>
        <v/>
      </c>
    </row>
    <row r="573">
      <c r="N573" s="1174" t="str">
        <f t="shared" si="1"/>
        <v/>
      </c>
    </row>
    <row r="574">
      <c r="N574" s="1174" t="str">
        <f t="shared" si="1"/>
        <v/>
      </c>
    </row>
    <row r="575">
      <c r="N575" s="1174" t="str">
        <f t="shared" si="1"/>
        <v/>
      </c>
    </row>
    <row r="576">
      <c r="N576" s="1174" t="str">
        <f t="shared" si="1"/>
        <v/>
      </c>
    </row>
    <row r="577">
      <c r="N577" s="1174" t="str">
        <f t="shared" si="1"/>
        <v/>
      </c>
    </row>
    <row r="578">
      <c r="N578" s="1174" t="str">
        <f t="shared" si="1"/>
        <v/>
      </c>
    </row>
    <row r="579">
      <c r="N579" s="1174" t="str">
        <f t="shared" si="1"/>
        <v/>
      </c>
    </row>
    <row r="580">
      <c r="N580" s="1174" t="str">
        <f t="shared" si="1"/>
        <v/>
      </c>
    </row>
    <row r="581">
      <c r="N581" s="1174" t="str">
        <f t="shared" si="1"/>
        <v/>
      </c>
    </row>
    <row r="582">
      <c r="N582" s="1174" t="str">
        <f t="shared" si="1"/>
        <v/>
      </c>
    </row>
    <row r="583">
      <c r="N583" s="1174" t="str">
        <f t="shared" si="1"/>
        <v/>
      </c>
    </row>
    <row r="584">
      <c r="N584" s="1174" t="str">
        <f t="shared" si="1"/>
        <v/>
      </c>
    </row>
    <row r="585">
      <c r="N585" s="1174" t="str">
        <f t="shared" si="1"/>
        <v/>
      </c>
    </row>
    <row r="586">
      <c r="N586" s="1174" t="str">
        <f t="shared" si="1"/>
        <v/>
      </c>
    </row>
    <row r="587">
      <c r="N587" s="1174" t="str">
        <f t="shared" si="1"/>
        <v/>
      </c>
    </row>
    <row r="588">
      <c r="N588" s="1174" t="str">
        <f t="shared" si="1"/>
        <v/>
      </c>
    </row>
    <row r="589">
      <c r="N589" s="1174" t="str">
        <f t="shared" si="1"/>
        <v/>
      </c>
    </row>
    <row r="590">
      <c r="N590" s="1174" t="str">
        <f t="shared" si="1"/>
        <v/>
      </c>
    </row>
    <row r="591">
      <c r="N591" s="1174" t="str">
        <f t="shared" si="1"/>
        <v/>
      </c>
    </row>
    <row r="592">
      <c r="N592" s="1174" t="str">
        <f t="shared" si="1"/>
        <v/>
      </c>
    </row>
    <row r="593">
      <c r="N593" s="1174" t="str">
        <f t="shared" si="1"/>
        <v/>
      </c>
    </row>
    <row r="594">
      <c r="N594" s="1174" t="str">
        <f t="shared" si="1"/>
        <v/>
      </c>
    </row>
    <row r="595">
      <c r="N595" s="1174" t="str">
        <f t="shared" si="1"/>
        <v/>
      </c>
    </row>
    <row r="596">
      <c r="N596" s="1174" t="str">
        <f t="shared" si="1"/>
        <v/>
      </c>
    </row>
    <row r="597">
      <c r="N597" s="1174" t="str">
        <f t="shared" si="1"/>
        <v/>
      </c>
    </row>
    <row r="598">
      <c r="N598" s="1174" t="str">
        <f t="shared" si="1"/>
        <v/>
      </c>
    </row>
    <row r="599">
      <c r="N599" s="1174" t="str">
        <f t="shared" si="1"/>
        <v/>
      </c>
    </row>
    <row r="600">
      <c r="N600" s="1174" t="str">
        <f t="shared" si="1"/>
        <v/>
      </c>
    </row>
    <row r="601">
      <c r="N601" s="1174" t="str">
        <f t="shared" si="1"/>
        <v/>
      </c>
    </row>
    <row r="602">
      <c r="N602" s="1174" t="str">
        <f t="shared" si="1"/>
        <v/>
      </c>
    </row>
    <row r="603">
      <c r="N603" s="1174" t="str">
        <f t="shared" si="1"/>
        <v/>
      </c>
    </row>
    <row r="604">
      <c r="N604" s="1174" t="str">
        <f t="shared" si="1"/>
        <v/>
      </c>
    </row>
    <row r="605">
      <c r="N605" s="1174" t="str">
        <f t="shared" si="1"/>
        <v/>
      </c>
    </row>
    <row r="606">
      <c r="N606" s="1174" t="str">
        <f t="shared" si="1"/>
        <v/>
      </c>
    </row>
    <row r="607">
      <c r="N607" s="1174" t="str">
        <f t="shared" si="1"/>
        <v/>
      </c>
    </row>
    <row r="608">
      <c r="N608" s="1174" t="str">
        <f t="shared" si="1"/>
        <v/>
      </c>
    </row>
    <row r="609">
      <c r="N609" s="1174" t="str">
        <f t="shared" si="1"/>
        <v/>
      </c>
    </row>
    <row r="610">
      <c r="N610" s="1174" t="str">
        <f t="shared" si="1"/>
        <v/>
      </c>
    </row>
    <row r="611">
      <c r="N611" s="1174" t="str">
        <f t="shared" si="1"/>
        <v/>
      </c>
    </row>
    <row r="612">
      <c r="N612" s="1174" t="str">
        <f t="shared" si="1"/>
        <v/>
      </c>
    </row>
    <row r="613">
      <c r="N613" s="1174" t="str">
        <f t="shared" si="1"/>
        <v/>
      </c>
    </row>
    <row r="614">
      <c r="N614" s="1174" t="str">
        <f t="shared" si="1"/>
        <v/>
      </c>
    </row>
    <row r="615">
      <c r="N615" s="1174" t="str">
        <f t="shared" si="1"/>
        <v/>
      </c>
    </row>
    <row r="616">
      <c r="N616" s="1174" t="str">
        <f t="shared" si="1"/>
        <v/>
      </c>
    </row>
    <row r="617">
      <c r="N617" s="1174" t="str">
        <f t="shared" si="1"/>
        <v/>
      </c>
    </row>
    <row r="618">
      <c r="N618" s="1174" t="str">
        <f t="shared" si="1"/>
        <v/>
      </c>
    </row>
    <row r="619">
      <c r="N619" s="1174" t="str">
        <f t="shared" si="1"/>
        <v/>
      </c>
    </row>
    <row r="620">
      <c r="N620" s="1174" t="str">
        <f t="shared" si="1"/>
        <v/>
      </c>
    </row>
    <row r="621">
      <c r="N621" s="1174" t="str">
        <f t="shared" si="1"/>
        <v/>
      </c>
    </row>
    <row r="622">
      <c r="N622" s="1174" t="str">
        <f t="shared" si="1"/>
        <v/>
      </c>
    </row>
    <row r="623">
      <c r="N623" s="1174" t="str">
        <f t="shared" si="1"/>
        <v/>
      </c>
    </row>
    <row r="624">
      <c r="N624" s="1174" t="str">
        <f t="shared" si="1"/>
        <v/>
      </c>
    </row>
    <row r="625">
      <c r="N625" s="1174" t="str">
        <f t="shared" si="1"/>
        <v/>
      </c>
    </row>
    <row r="626">
      <c r="N626" s="1174" t="str">
        <f t="shared" si="1"/>
        <v/>
      </c>
    </row>
    <row r="627">
      <c r="N627" s="1174" t="str">
        <f t="shared" si="1"/>
        <v/>
      </c>
    </row>
    <row r="628">
      <c r="N628" s="1174" t="str">
        <f t="shared" si="1"/>
        <v/>
      </c>
    </row>
    <row r="629">
      <c r="N629" s="1174" t="str">
        <f t="shared" si="1"/>
        <v/>
      </c>
    </row>
    <row r="630">
      <c r="N630" s="1174" t="str">
        <f t="shared" si="1"/>
        <v/>
      </c>
    </row>
    <row r="631">
      <c r="N631" s="1174" t="str">
        <f t="shared" si="1"/>
        <v/>
      </c>
    </row>
    <row r="632">
      <c r="N632" s="1174" t="str">
        <f t="shared" si="1"/>
        <v/>
      </c>
    </row>
    <row r="633">
      <c r="N633" s="1174" t="str">
        <f t="shared" si="1"/>
        <v/>
      </c>
    </row>
    <row r="634">
      <c r="N634" s="1174" t="str">
        <f t="shared" si="1"/>
        <v/>
      </c>
    </row>
    <row r="635">
      <c r="N635" s="1174" t="str">
        <f t="shared" si="1"/>
        <v/>
      </c>
    </row>
    <row r="636">
      <c r="N636" s="1174" t="str">
        <f t="shared" si="1"/>
        <v/>
      </c>
    </row>
    <row r="637">
      <c r="N637" s="1174" t="str">
        <f t="shared" si="1"/>
        <v/>
      </c>
    </row>
    <row r="638">
      <c r="N638" s="1174" t="str">
        <f t="shared" si="1"/>
        <v/>
      </c>
    </row>
    <row r="639">
      <c r="N639" s="1174" t="str">
        <f t="shared" si="1"/>
        <v/>
      </c>
    </row>
    <row r="640">
      <c r="N640" s="1174" t="str">
        <f t="shared" si="1"/>
        <v/>
      </c>
    </row>
    <row r="641">
      <c r="N641" s="1174" t="str">
        <f t="shared" si="1"/>
        <v/>
      </c>
    </row>
    <row r="642">
      <c r="N642" s="1174" t="str">
        <f t="shared" si="1"/>
        <v/>
      </c>
    </row>
    <row r="643">
      <c r="N643" s="1174" t="str">
        <f t="shared" si="1"/>
        <v/>
      </c>
    </row>
    <row r="644">
      <c r="N644" s="1174" t="str">
        <f t="shared" si="1"/>
        <v/>
      </c>
    </row>
    <row r="645">
      <c r="N645" s="1174" t="str">
        <f t="shared" si="1"/>
        <v/>
      </c>
    </row>
    <row r="646">
      <c r="N646" s="1174" t="str">
        <f t="shared" si="1"/>
        <v/>
      </c>
    </row>
    <row r="647">
      <c r="N647" s="1174" t="str">
        <f t="shared" si="1"/>
        <v/>
      </c>
    </row>
    <row r="648">
      <c r="N648" s="1174" t="str">
        <f t="shared" si="1"/>
        <v/>
      </c>
    </row>
    <row r="649">
      <c r="N649" s="1174" t="str">
        <f t="shared" si="1"/>
        <v/>
      </c>
    </row>
    <row r="650">
      <c r="N650" s="1174" t="str">
        <f t="shared" si="1"/>
        <v/>
      </c>
    </row>
    <row r="651">
      <c r="N651" s="1174" t="str">
        <f t="shared" si="1"/>
        <v/>
      </c>
    </row>
    <row r="652">
      <c r="N652" s="1174" t="str">
        <f t="shared" si="1"/>
        <v/>
      </c>
    </row>
    <row r="653">
      <c r="N653" s="1174" t="str">
        <f t="shared" si="1"/>
        <v/>
      </c>
    </row>
    <row r="654">
      <c r="N654" s="1174" t="str">
        <f t="shared" si="1"/>
        <v/>
      </c>
    </row>
    <row r="655">
      <c r="N655" s="1174" t="str">
        <f t="shared" si="1"/>
        <v/>
      </c>
    </row>
    <row r="656">
      <c r="N656" s="1174" t="str">
        <f t="shared" si="1"/>
        <v/>
      </c>
    </row>
    <row r="657">
      <c r="N657" s="1174" t="str">
        <f t="shared" si="1"/>
        <v/>
      </c>
    </row>
    <row r="658">
      <c r="N658" s="1174" t="str">
        <f t="shared" si="1"/>
        <v/>
      </c>
    </row>
    <row r="659">
      <c r="N659" s="1174" t="str">
        <f t="shared" si="1"/>
        <v/>
      </c>
    </row>
    <row r="660">
      <c r="N660" s="1174" t="str">
        <f t="shared" si="1"/>
        <v/>
      </c>
    </row>
    <row r="661">
      <c r="N661" s="1174" t="str">
        <f t="shared" si="1"/>
        <v/>
      </c>
    </row>
    <row r="662">
      <c r="N662" s="1174" t="str">
        <f t="shared" si="1"/>
        <v/>
      </c>
    </row>
    <row r="663">
      <c r="N663" s="1174" t="str">
        <f t="shared" si="1"/>
        <v/>
      </c>
    </row>
    <row r="664">
      <c r="N664" s="1174" t="str">
        <f t="shared" si="1"/>
        <v/>
      </c>
    </row>
    <row r="665">
      <c r="N665" s="1174" t="str">
        <f t="shared" si="1"/>
        <v/>
      </c>
    </row>
    <row r="666">
      <c r="N666" s="1174" t="str">
        <f t="shared" si="1"/>
        <v/>
      </c>
    </row>
    <row r="667">
      <c r="N667" s="1174" t="str">
        <f t="shared" si="1"/>
        <v/>
      </c>
    </row>
    <row r="668">
      <c r="N668" s="1174" t="str">
        <f t="shared" si="1"/>
        <v/>
      </c>
    </row>
    <row r="669">
      <c r="N669" s="1174" t="str">
        <f t="shared" si="1"/>
        <v/>
      </c>
    </row>
    <row r="670">
      <c r="N670" s="1174" t="str">
        <f t="shared" si="1"/>
        <v/>
      </c>
    </row>
    <row r="671">
      <c r="N671" s="1174" t="str">
        <f t="shared" si="1"/>
        <v/>
      </c>
    </row>
    <row r="672">
      <c r="N672" s="1174" t="str">
        <f t="shared" si="1"/>
        <v/>
      </c>
    </row>
    <row r="673">
      <c r="N673" s="1174" t="str">
        <f t="shared" si="1"/>
        <v/>
      </c>
    </row>
    <row r="674">
      <c r="N674" s="1174" t="str">
        <f t="shared" si="1"/>
        <v/>
      </c>
    </row>
    <row r="675">
      <c r="N675" s="1174" t="str">
        <f t="shared" si="1"/>
        <v/>
      </c>
    </row>
    <row r="676">
      <c r="N676" s="1174" t="str">
        <f t="shared" si="1"/>
        <v/>
      </c>
    </row>
    <row r="677">
      <c r="N677" s="1174" t="str">
        <f t="shared" si="1"/>
        <v/>
      </c>
    </row>
    <row r="678">
      <c r="N678" s="1174" t="str">
        <f t="shared" si="1"/>
        <v/>
      </c>
    </row>
    <row r="679">
      <c r="N679" s="1174" t="str">
        <f t="shared" si="1"/>
        <v/>
      </c>
    </row>
    <row r="680">
      <c r="N680" s="1174" t="str">
        <f t="shared" si="1"/>
        <v/>
      </c>
    </row>
    <row r="681">
      <c r="N681" s="1174" t="str">
        <f t="shared" si="1"/>
        <v/>
      </c>
    </row>
    <row r="682">
      <c r="N682" s="1174" t="str">
        <f t="shared" si="1"/>
        <v/>
      </c>
    </row>
    <row r="683">
      <c r="N683" s="1174" t="str">
        <f t="shared" si="1"/>
        <v/>
      </c>
    </row>
    <row r="684">
      <c r="N684" s="1174" t="str">
        <f t="shared" si="1"/>
        <v/>
      </c>
    </row>
    <row r="685">
      <c r="N685" s="1174" t="str">
        <f t="shared" si="1"/>
        <v/>
      </c>
    </row>
    <row r="686">
      <c r="N686" s="1174" t="str">
        <f t="shared" si="1"/>
        <v/>
      </c>
    </row>
    <row r="687">
      <c r="N687" s="1174" t="str">
        <f t="shared" si="1"/>
        <v/>
      </c>
    </row>
    <row r="688">
      <c r="N688" s="1174" t="str">
        <f t="shared" si="1"/>
        <v/>
      </c>
    </row>
    <row r="689">
      <c r="N689" s="1174" t="str">
        <f t="shared" si="1"/>
        <v/>
      </c>
    </row>
    <row r="690">
      <c r="N690" s="1174" t="str">
        <f t="shared" si="1"/>
        <v/>
      </c>
    </row>
    <row r="691">
      <c r="N691" s="1174" t="str">
        <f t="shared" si="1"/>
        <v/>
      </c>
    </row>
    <row r="692">
      <c r="N692" s="1174" t="str">
        <f t="shared" si="1"/>
        <v/>
      </c>
    </row>
    <row r="693">
      <c r="N693" s="1174" t="str">
        <f t="shared" si="1"/>
        <v/>
      </c>
    </row>
    <row r="694">
      <c r="N694" s="1174" t="str">
        <f t="shared" si="1"/>
        <v/>
      </c>
    </row>
    <row r="695">
      <c r="N695" s="1174" t="str">
        <f t="shared" si="1"/>
        <v/>
      </c>
    </row>
    <row r="696">
      <c r="N696" s="1174" t="str">
        <f t="shared" si="1"/>
        <v/>
      </c>
    </row>
    <row r="697">
      <c r="N697" s="1174" t="str">
        <f t="shared" si="1"/>
        <v/>
      </c>
    </row>
    <row r="698">
      <c r="N698" s="1174" t="str">
        <f t="shared" si="1"/>
        <v/>
      </c>
    </row>
    <row r="699">
      <c r="N699" s="1174" t="str">
        <f t="shared" si="1"/>
        <v/>
      </c>
    </row>
    <row r="700">
      <c r="N700" s="1174" t="str">
        <f t="shared" si="1"/>
        <v/>
      </c>
    </row>
    <row r="701">
      <c r="N701" s="1174" t="str">
        <f t="shared" si="1"/>
        <v/>
      </c>
    </row>
    <row r="702">
      <c r="N702" s="1174" t="str">
        <f t="shared" si="1"/>
        <v/>
      </c>
    </row>
    <row r="703">
      <c r="N703" s="1174" t="str">
        <f t="shared" si="1"/>
        <v/>
      </c>
    </row>
    <row r="704">
      <c r="N704" s="1174" t="str">
        <f t="shared" si="1"/>
        <v/>
      </c>
    </row>
    <row r="705">
      <c r="N705" s="1174" t="str">
        <f t="shared" si="1"/>
        <v/>
      </c>
    </row>
    <row r="706">
      <c r="N706" s="1174" t="str">
        <f t="shared" si="1"/>
        <v/>
      </c>
    </row>
    <row r="707">
      <c r="N707" s="1174" t="str">
        <f t="shared" si="1"/>
        <v/>
      </c>
    </row>
    <row r="708">
      <c r="N708" s="1174" t="str">
        <f t="shared" si="1"/>
        <v/>
      </c>
    </row>
    <row r="709">
      <c r="N709" s="1174" t="str">
        <f t="shared" si="1"/>
        <v/>
      </c>
    </row>
    <row r="710">
      <c r="N710" s="1174" t="str">
        <f t="shared" si="1"/>
        <v/>
      </c>
    </row>
    <row r="711">
      <c r="N711" s="1174" t="str">
        <f t="shared" si="1"/>
        <v/>
      </c>
    </row>
    <row r="712">
      <c r="N712" s="1174" t="str">
        <f t="shared" si="1"/>
        <v/>
      </c>
    </row>
    <row r="713">
      <c r="N713" s="1174" t="str">
        <f t="shared" si="1"/>
        <v/>
      </c>
    </row>
    <row r="714">
      <c r="N714" s="1174" t="str">
        <f t="shared" si="1"/>
        <v/>
      </c>
    </row>
    <row r="715">
      <c r="N715" s="1174" t="str">
        <f t="shared" si="1"/>
        <v/>
      </c>
    </row>
    <row r="716">
      <c r="N716" s="1174" t="str">
        <f t="shared" si="1"/>
        <v/>
      </c>
    </row>
    <row r="717">
      <c r="N717" s="1174" t="str">
        <f t="shared" si="1"/>
        <v/>
      </c>
    </row>
    <row r="718">
      <c r="N718" s="1174" t="str">
        <f t="shared" si="1"/>
        <v/>
      </c>
    </row>
    <row r="719">
      <c r="N719" s="1174" t="str">
        <f t="shared" si="1"/>
        <v/>
      </c>
    </row>
    <row r="720">
      <c r="N720" s="1174" t="str">
        <f t="shared" si="1"/>
        <v/>
      </c>
    </row>
    <row r="721">
      <c r="N721" s="1174" t="str">
        <f t="shared" si="1"/>
        <v/>
      </c>
    </row>
    <row r="722">
      <c r="N722" s="1174" t="str">
        <f t="shared" si="1"/>
        <v/>
      </c>
    </row>
    <row r="723">
      <c r="N723" s="1174" t="str">
        <f t="shared" si="1"/>
        <v/>
      </c>
    </row>
    <row r="724">
      <c r="N724" s="1174" t="str">
        <f t="shared" si="1"/>
        <v/>
      </c>
    </row>
    <row r="725">
      <c r="N725" s="1174" t="str">
        <f t="shared" si="1"/>
        <v/>
      </c>
    </row>
    <row r="726">
      <c r="N726" s="1174" t="str">
        <f t="shared" si="1"/>
        <v/>
      </c>
    </row>
    <row r="727">
      <c r="N727" s="1174" t="str">
        <f t="shared" si="1"/>
        <v/>
      </c>
    </row>
    <row r="728">
      <c r="N728" s="1174" t="str">
        <f t="shared" si="1"/>
        <v/>
      </c>
    </row>
    <row r="729">
      <c r="N729" s="1174" t="str">
        <f t="shared" si="1"/>
        <v/>
      </c>
    </row>
    <row r="730">
      <c r="N730" s="1174" t="str">
        <f t="shared" si="1"/>
        <v/>
      </c>
    </row>
    <row r="731">
      <c r="N731" s="1174" t="str">
        <f t="shared" si="1"/>
        <v/>
      </c>
    </row>
    <row r="732">
      <c r="N732" s="1174" t="str">
        <f t="shared" si="1"/>
        <v/>
      </c>
    </row>
    <row r="733">
      <c r="N733" s="1174" t="str">
        <f t="shared" si="1"/>
        <v/>
      </c>
    </row>
    <row r="734">
      <c r="N734" s="1174" t="str">
        <f t="shared" si="1"/>
        <v/>
      </c>
    </row>
    <row r="735">
      <c r="N735" s="1174" t="str">
        <f t="shared" si="1"/>
        <v/>
      </c>
    </row>
    <row r="736">
      <c r="N736" s="1174" t="str">
        <f t="shared" si="1"/>
        <v/>
      </c>
    </row>
    <row r="737">
      <c r="N737" s="1174" t="str">
        <f t="shared" si="1"/>
        <v/>
      </c>
    </row>
    <row r="738">
      <c r="N738" s="1174" t="str">
        <f t="shared" si="1"/>
        <v/>
      </c>
    </row>
    <row r="739">
      <c r="N739" s="1174" t="str">
        <f t="shared" si="1"/>
        <v/>
      </c>
    </row>
    <row r="740">
      <c r="N740" s="1174" t="str">
        <f t="shared" si="1"/>
        <v/>
      </c>
    </row>
    <row r="741">
      <c r="N741" s="1174" t="str">
        <f t="shared" si="1"/>
        <v/>
      </c>
    </row>
    <row r="742">
      <c r="N742" s="1174" t="str">
        <f t="shared" si="1"/>
        <v/>
      </c>
    </row>
    <row r="743">
      <c r="N743" s="1174" t="str">
        <f t="shared" si="1"/>
        <v/>
      </c>
    </row>
    <row r="744">
      <c r="N744" s="1174" t="str">
        <f t="shared" si="1"/>
        <v/>
      </c>
    </row>
    <row r="745">
      <c r="N745" s="1174" t="str">
        <f t="shared" si="1"/>
        <v/>
      </c>
    </row>
    <row r="746">
      <c r="N746" s="1174" t="str">
        <f t="shared" si="1"/>
        <v/>
      </c>
    </row>
    <row r="747">
      <c r="N747" s="1174" t="str">
        <f t="shared" si="1"/>
        <v/>
      </c>
    </row>
    <row r="748">
      <c r="N748" s="1174" t="str">
        <f t="shared" si="1"/>
        <v/>
      </c>
    </row>
    <row r="749">
      <c r="N749" s="1174" t="str">
        <f t="shared" si="1"/>
        <v/>
      </c>
    </row>
    <row r="750">
      <c r="N750" s="1174" t="str">
        <f t="shared" si="1"/>
        <v/>
      </c>
    </row>
    <row r="751">
      <c r="N751" s="1174" t="str">
        <f t="shared" si="1"/>
        <v/>
      </c>
    </row>
    <row r="752">
      <c r="N752" s="1174" t="str">
        <f t="shared" si="1"/>
        <v/>
      </c>
    </row>
    <row r="753">
      <c r="N753" s="1174" t="str">
        <f t="shared" si="1"/>
        <v/>
      </c>
    </row>
    <row r="754">
      <c r="N754" s="1174" t="str">
        <f t="shared" si="1"/>
        <v/>
      </c>
    </row>
    <row r="755">
      <c r="N755" s="1174" t="str">
        <f t="shared" si="1"/>
        <v/>
      </c>
    </row>
    <row r="756">
      <c r="N756" s="1174" t="str">
        <f t="shared" si="1"/>
        <v/>
      </c>
    </row>
    <row r="757">
      <c r="N757" s="1174" t="str">
        <f t="shared" si="1"/>
        <v/>
      </c>
    </row>
    <row r="758">
      <c r="N758" s="1174" t="str">
        <f t="shared" si="1"/>
        <v/>
      </c>
    </row>
    <row r="759">
      <c r="N759" s="1174" t="str">
        <f t="shared" si="1"/>
        <v/>
      </c>
    </row>
    <row r="760">
      <c r="N760" s="1174" t="str">
        <f t="shared" si="1"/>
        <v/>
      </c>
    </row>
    <row r="761">
      <c r="N761" s="1174" t="str">
        <f t="shared" si="1"/>
        <v/>
      </c>
    </row>
    <row r="762">
      <c r="N762" s="1174" t="str">
        <f t="shared" si="1"/>
        <v/>
      </c>
    </row>
    <row r="763">
      <c r="N763" s="1174" t="str">
        <f t="shared" si="1"/>
        <v/>
      </c>
    </row>
    <row r="764">
      <c r="N764" s="1174" t="str">
        <f t="shared" si="1"/>
        <v/>
      </c>
    </row>
    <row r="765">
      <c r="N765" s="1174" t="str">
        <f t="shared" si="1"/>
        <v/>
      </c>
    </row>
    <row r="766">
      <c r="N766" s="1174" t="str">
        <f t="shared" si="1"/>
        <v/>
      </c>
    </row>
    <row r="767">
      <c r="N767" s="1174" t="str">
        <f t="shared" si="1"/>
        <v/>
      </c>
    </row>
    <row r="768">
      <c r="N768" s="1174" t="str">
        <f t="shared" si="1"/>
        <v/>
      </c>
    </row>
    <row r="769">
      <c r="N769" s="1174" t="str">
        <f t="shared" si="1"/>
        <v/>
      </c>
    </row>
    <row r="770">
      <c r="N770" s="1174" t="str">
        <f t="shared" si="1"/>
        <v/>
      </c>
    </row>
    <row r="771">
      <c r="N771" s="1174" t="str">
        <f t="shared" si="1"/>
        <v/>
      </c>
    </row>
    <row r="772">
      <c r="N772" s="1174" t="str">
        <f t="shared" si="1"/>
        <v/>
      </c>
    </row>
    <row r="773">
      <c r="N773" s="1174" t="str">
        <f t="shared" si="1"/>
        <v/>
      </c>
    </row>
    <row r="774">
      <c r="N774" s="1174" t="str">
        <f t="shared" si="1"/>
        <v/>
      </c>
    </row>
    <row r="775">
      <c r="N775" s="1174" t="str">
        <f t="shared" si="1"/>
        <v/>
      </c>
    </row>
    <row r="776">
      <c r="N776" s="1174" t="str">
        <f t="shared" si="1"/>
        <v/>
      </c>
    </row>
    <row r="777">
      <c r="N777" s="1174" t="str">
        <f t="shared" si="1"/>
        <v/>
      </c>
    </row>
    <row r="778">
      <c r="N778" s="1174" t="str">
        <f t="shared" si="1"/>
        <v/>
      </c>
    </row>
    <row r="779">
      <c r="N779" s="1174" t="str">
        <f t="shared" si="1"/>
        <v/>
      </c>
    </row>
    <row r="780">
      <c r="N780" s="1174" t="str">
        <f t="shared" si="1"/>
        <v/>
      </c>
    </row>
    <row r="781">
      <c r="N781" s="1174" t="str">
        <f t="shared" si="1"/>
        <v/>
      </c>
    </row>
    <row r="782">
      <c r="N782" s="1174" t="str">
        <f t="shared" si="1"/>
        <v/>
      </c>
    </row>
    <row r="783">
      <c r="N783" s="1174" t="str">
        <f t="shared" si="1"/>
        <v/>
      </c>
    </row>
    <row r="784">
      <c r="N784" s="1174" t="str">
        <f t="shared" si="1"/>
        <v/>
      </c>
    </row>
    <row r="785">
      <c r="N785" s="1174" t="str">
        <f t="shared" si="1"/>
        <v/>
      </c>
    </row>
    <row r="786">
      <c r="N786" s="1174" t="str">
        <f t="shared" si="1"/>
        <v/>
      </c>
    </row>
    <row r="787">
      <c r="N787" s="1174" t="str">
        <f t="shared" si="1"/>
        <v/>
      </c>
    </row>
    <row r="788">
      <c r="N788" s="1174" t="str">
        <f t="shared" si="1"/>
        <v/>
      </c>
    </row>
    <row r="789">
      <c r="N789" s="1174" t="str">
        <f t="shared" si="1"/>
        <v/>
      </c>
    </row>
    <row r="790">
      <c r="N790" s="1174" t="str">
        <f t="shared" si="1"/>
        <v/>
      </c>
    </row>
    <row r="791">
      <c r="N791" s="1174" t="str">
        <f t="shared" si="1"/>
        <v/>
      </c>
    </row>
    <row r="792">
      <c r="N792" s="1174" t="str">
        <f t="shared" si="1"/>
        <v/>
      </c>
    </row>
    <row r="793">
      <c r="N793" s="1174" t="str">
        <f t="shared" si="1"/>
        <v/>
      </c>
    </row>
    <row r="794">
      <c r="N794" s="1174" t="str">
        <f t="shared" si="1"/>
        <v/>
      </c>
    </row>
    <row r="795">
      <c r="N795" s="1174" t="str">
        <f t="shared" si="1"/>
        <v/>
      </c>
    </row>
    <row r="796">
      <c r="N796" s="1174" t="str">
        <f t="shared" si="1"/>
        <v/>
      </c>
    </row>
    <row r="797">
      <c r="N797" s="1174" t="str">
        <f t="shared" si="1"/>
        <v/>
      </c>
    </row>
    <row r="798">
      <c r="N798" s="1174" t="str">
        <f t="shared" si="1"/>
        <v/>
      </c>
    </row>
    <row r="799">
      <c r="N799" s="1174" t="str">
        <f t="shared" si="1"/>
        <v/>
      </c>
    </row>
    <row r="800">
      <c r="N800" s="1174" t="str">
        <f t="shared" si="1"/>
        <v/>
      </c>
    </row>
    <row r="801">
      <c r="N801" s="1174" t="str">
        <f t="shared" si="1"/>
        <v/>
      </c>
    </row>
    <row r="802">
      <c r="N802" s="1174" t="str">
        <f t="shared" si="1"/>
        <v/>
      </c>
    </row>
    <row r="803">
      <c r="N803" s="1174" t="str">
        <f t="shared" si="1"/>
        <v/>
      </c>
    </row>
    <row r="804">
      <c r="N804" s="1174" t="str">
        <f t="shared" si="1"/>
        <v/>
      </c>
    </row>
    <row r="805">
      <c r="N805" s="1174" t="str">
        <f t="shared" si="1"/>
        <v/>
      </c>
    </row>
    <row r="806">
      <c r="N806" s="1174" t="str">
        <f t="shared" si="1"/>
        <v/>
      </c>
    </row>
    <row r="807">
      <c r="N807" s="1174" t="str">
        <f t="shared" si="1"/>
        <v/>
      </c>
    </row>
    <row r="808">
      <c r="N808" s="1174" t="str">
        <f t="shared" si="1"/>
        <v/>
      </c>
    </row>
    <row r="809">
      <c r="N809" s="1174" t="str">
        <f t="shared" si="1"/>
        <v/>
      </c>
    </row>
    <row r="810">
      <c r="N810" s="1174" t="str">
        <f t="shared" si="1"/>
        <v/>
      </c>
    </row>
    <row r="811">
      <c r="N811" s="1174" t="str">
        <f t="shared" si="1"/>
        <v/>
      </c>
    </row>
    <row r="812">
      <c r="N812" s="1174" t="str">
        <f t="shared" si="1"/>
        <v/>
      </c>
    </row>
    <row r="813">
      <c r="N813" s="1174" t="str">
        <f t="shared" si="1"/>
        <v/>
      </c>
    </row>
    <row r="814">
      <c r="N814" s="1174" t="str">
        <f t="shared" si="1"/>
        <v/>
      </c>
    </row>
    <row r="815">
      <c r="N815" s="1174" t="str">
        <f t="shared" si="1"/>
        <v/>
      </c>
    </row>
    <row r="816">
      <c r="N816" s="1174" t="str">
        <f t="shared" si="1"/>
        <v/>
      </c>
    </row>
    <row r="817">
      <c r="N817" s="1174" t="str">
        <f t="shared" si="1"/>
        <v/>
      </c>
    </row>
    <row r="818">
      <c r="N818" s="1174" t="str">
        <f t="shared" si="1"/>
        <v/>
      </c>
    </row>
    <row r="819">
      <c r="N819" s="1174" t="str">
        <f t="shared" si="1"/>
        <v/>
      </c>
    </row>
    <row r="820">
      <c r="N820" s="1174" t="str">
        <f t="shared" si="1"/>
        <v/>
      </c>
    </row>
    <row r="821">
      <c r="N821" s="1174" t="str">
        <f t="shared" si="1"/>
        <v/>
      </c>
    </row>
    <row r="822">
      <c r="N822" s="1174" t="str">
        <f t="shared" si="1"/>
        <v/>
      </c>
    </row>
    <row r="823">
      <c r="N823" s="1174" t="str">
        <f t="shared" si="1"/>
        <v/>
      </c>
    </row>
    <row r="824">
      <c r="N824" s="1174" t="str">
        <f t="shared" si="1"/>
        <v/>
      </c>
    </row>
    <row r="825">
      <c r="N825" s="1174" t="str">
        <f t="shared" si="1"/>
        <v/>
      </c>
    </row>
    <row r="826">
      <c r="N826" s="1174" t="str">
        <f t="shared" si="1"/>
        <v/>
      </c>
    </row>
    <row r="827">
      <c r="N827" s="1174" t="str">
        <f t="shared" si="1"/>
        <v/>
      </c>
    </row>
    <row r="828">
      <c r="N828" s="1174" t="str">
        <f t="shared" si="1"/>
        <v/>
      </c>
    </row>
    <row r="829">
      <c r="N829" s="1174" t="str">
        <f t="shared" si="1"/>
        <v/>
      </c>
    </row>
    <row r="830">
      <c r="N830" s="1174" t="str">
        <f t="shared" si="1"/>
        <v/>
      </c>
    </row>
    <row r="831">
      <c r="N831" s="1174" t="str">
        <f t="shared" si="1"/>
        <v/>
      </c>
    </row>
    <row r="832">
      <c r="N832" s="1174" t="str">
        <f t="shared" si="1"/>
        <v/>
      </c>
    </row>
    <row r="833">
      <c r="N833" s="1174" t="str">
        <f t="shared" si="1"/>
        <v/>
      </c>
    </row>
    <row r="834">
      <c r="N834" s="1174" t="str">
        <f t="shared" si="1"/>
        <v/>
      </c>
    </row>
    <row r="835">
      <c r="N835" s="1174" t="str">
        <f t="shared" si="1"/>
        <v/>
      </c>
    </row>
    <row r="836">
      <c r="N836" s="1174" t="str">
        <f t="shared" si="1"/>
        <v/>
      </c>
    </row>
    <row r="837">
      <c r="N837" s="1174" t="str">
        <f t="shared" si="1"/>
        <v/>
      </c>
    </row>
    <row r="838">
      <c r="N838" s="1174" t="str">
        <f t="shared" si="1"/>
        <v/>
      </c>
    </row>
    <row r="839">
      <c r="N839" s="1174" t="str">
        <f t="shared" si="1"/>
        <v/>
      </c>
    </row>
    <row r="840">
      <c r="N840" s="1174" t="str">
        <f t="shared" si="1"/>
        <v/>
      </c>
    </row>
    <row r="841">
      <c r="N841" s="1174" t="str">
        <f t="shared" si="1"/>
        <v/>
      </c>
    </row>
    <row r="842">
      <c r="N842" s="1174" t="str">
        <f t="shared" si="1"/>
        <v/>
      </c>
    </row>
    <row r="843">
      <c r="N843" s="1174" t="str">
        <f t="shared" si="1"/>
        <v/>
      </c>
    </row>
    <row r="844">
      <c r="N844" s="1174" t="str">
        <f t="shared" si="1"/>
        <v/>
      </c>
    </row>
    <row r="845">
      <c r="N845" s="1174" t="str">
        <f t="shared" si="1"/>
        <v/>
      </c>
    </row>
    <row r="846">
      <c r="N846" s="1174" t="str">
        <f t="shared" si="1"/>
        <v/>
      </c>
    </row>
    <row r="847">
      <c r="N847" s="1174" t="str">
        <f t="shared" si="1"/>
        <v/>
      </c>
    </row>
    <row r="848">
      <c r="N848" s="1174" t="str">
        <f t="shared" si="1"/>
        <v/>
      </c>
    </row>
    <row r="849">
      <c r="N849" s="1174" t="str">
        <f t="shared" si="1"/>
        <v/>
      </c>
    </row>
    <row r="850">
      <c r="N850" s="1174" t="str">
        <f t="shared" si="1"/>
        <v/>
      </c>
    </row>
    <row r="851">
      <c r="N851" s="1174" t="str">
        <f t="shared" si="1"/>
        <v/>
      </c>
    </row>
    <row r="852">
      <c r="N852" s="1174" t="str">
        <f t="shared" si="1"/>
        <v/>
      </c>
    </row>
    <row r="853">
      <c r="N853" s="1174" t="str">
        <f t="shared" si="1"/>
        <v/>
      </c>
    </row>
    <row r="854">
      <c r="N854" s="1174" t="str">
        <f t="shared" si="1"/>
        <v/>
      </c>
    </row>
    <row r="855">
      <c r="N855" s="1174" t="str">
        <f t="shared" si="1"/>
        <v/>
      </c>
    </row>
    <row r="856">
      <c r="N856" s="1174" t="str">
        <f t="shared" si="1"/>
        <v/>
      </c>
    </row>
    <row r="857">
      <c r="N857" s="1174" t="str">
        <f t="shared" si="1"/>
        <v/>
      </c>
    </row>
    <row r="858">
      <c r="N858" s="1174" t="str">
        <f t="shared" si="1"/>
        <v/>
      </c>
    </row>
    <row r="859">
      <c r="N859" s="1174" t="str">
        <f t="shared" si="1"/>
        <v/>
      </c>
    </row>
    <row r="860">
      <c r="N860" s="1174" t="str">
        <f t="shared" si="1"/>
        <v/>
      </c>
    </row>
    <row r="861">
      <c r="N861" s="1174" t="str">
        <f t="shared" si="1"/>
        <v/>
      </c>
    </row>
    <row r="862">
      <c r="N862" s="1174" t="str">
        <f t="shared" si="1"/>
        <v/>
      </c>
    </row>
    <row r="863">
      <c r="N863" s="1174" t="str">
        <f t="shared" si="1"/>
        <v/>
      </c>
    </row>
    <row r="864">
      <c r="N864" s="1174" t="str">
        <f t="shared" si="1"/>
        <v/>
      </c>
    </row>
    <row r="865">
      <c r="N865" s="1174" t="str">
        <f t="shared" si="1"/>
        <v/>
      </c>
    </row>
    <row r="866">
      <c r="N866" s="1174" t="str">
        <f t="shared" si="1"/>
        <v/>
      </c>
    </row>
    <row r="867">
      <c r="N867" s="1174" t="str">
        <f t="shared" si="1"/>
        <v/>
      </c>
    </row>
    <row r="868">
      <c r="N868" s="1174" t="str">
        <f t="shared" si="1"/>
        <v/>
      </c>
    </row>
    <row r="869">
      <c r="N869" s="1174" t="str">
        <f t="shared" si="1"/>
        <v/>
      </c>
    </row>
    <row r="870">
      <c r="N870" s="1174" t="str">
        <f t="shared" si="1"/>
        <v/>
      </c>
    </row>
    <row r="871">
      <c r="N871" s="1174" t="str">
        <f t="shared" si="1"/>
        <v/>
      </c>
    </row>
    <row r="872">
      <c r="N872" s="1174" t="str">
        <f t="shared" si="1"/>
        <v/>
      </c>
    </row>
    <row r="873">
      <c r="N873" s="1174" t="str">
        <f t="shared" si="1"/>
        <v/>
      </c>
    </row>
    <row r="874">
      <c r="N874" s="1174" t="str">
        <f t="shared" si="1"/>
        <v/>
      </c>
    </row>
    <row r="875">
      <c r="N875" s="1174" t="str">
        <f t="shared" si="1"/>
        <v/>
      </c>
    </row>
    <row r="876">
      <c r="N876" s="1174" t="str">
        <f t="shared" si="1"/>
        <v/>
      </c>
    </row>
    <row r="877">
      <c r="N877" s="1174" t="str">
        <f t="shared" si="1"/>
        <v/>
      </c>
    </row>
    <row r="878">
      <c r="N878" s="1174" t="str">
        <f t="shared" si="1"/>
        <v/>
      </c>
    </row>
    <row r="879">
      <c r="N879" s="1174" t="str">
        <f t="shared" si="1"/>
        <v/>
      </c>
    </row>
    <row r="880">
      <c r="N880" s="1174" t="str">
        <f t="shared" si="1"/>
        <v/>
      </c>
    </row>
    <row r="881">
      <c r="N881" s="1174" t="str">
        <f t="shared" si="1"/>
        <v/>
      </c>
    </row>
    <row r="882">
      <c r="N882" s="1174" t="str">
        <f t="shared" si="1"/>
        <v/>
      </c>
    </row>
    <row r="883">
      <c r="N883" s="1174" t="str">
        <f t="shared" si="1"/>
        <v/>
      </c>
    </row>
    <row r="884">
      <c r="N884" s="1174" t="str">
        <f t="shared" si="1"/>
        <v/>
      </c>
    </row>
    <row r="885">
      <c r="N885" s="1174" t="str">
        <f t="shared" si="1"/>
        <v/>
      </c>
    </row>
    <row r="886">
      <c r="N886" s="1174" t="str">
        <f t="shared" si="1"/>
        <v/>
      </c>
    </row>
    <row r="887">
      <c r="N887" s="1174" t="str">
        <f t="shared" si="1"/>
        <v/>
      </c>
    </row>
    <row r="888">
      <c r="N888" s="1174" t="str">
        <f t="shared" si="1"/>
        <v/>
      </c>
    </row>
    <row r="889">
      <c r="N889" s="1174" t="str">
        <f t="shared" si="1"/>
        <v/>
      </c>
    </row>
    <row r="890">
      <c r="N890" s="1174" t="str">
        <f t="shared" si="1"/>
        <v/>
      </c>
    </row>
    <row r="891">
      <c r="N891" s="1174" t="str">
        <f t="shared" si="1"/>
        <v/>
      </c>
    </row>
    <row r="892">
      <c r="N892" s="1174" t="str">
        <f t="shared" si="1"/>
        <v/>
      </c>
    </row>
    <row r="893">
      <c r="N893" s="1174" t="str">
        <f t="shared" si="1"/>
        <v/>
      </c>
    </row>
    <row r="894">
      <c r="N894" s="1174" t="str">
        <f t="shared" si="1"/>
        <v/>
      </c>
    </row>
    <row r="895">
      <c r="N895" s="1174" t="str">
        <f t="shared" si="1"/>
        <v/>
      </c>
    </row>
    <row r="896">
      <c r="N896" s="1174" t="str">
        <f t="shared" si="1"/>
        <v/>
      </c>
    </row>
    <row r="897">
      <c r="N897" s="1174" t="str">
        <f t="shared" si="1"/>
        <v/>
      </c>
    </row>
    <row r="898">
      <c r="N898" s="1174" t="str">
        <f t="shared" si="1"/>
        <v/>
      </c>
    </row>
    <row r="899">
      <c r="N899" s="1174" t="str">
        <f t="shared" si="1"/>
        <v/>
      </c>
    </row>
    <row r="900">
      <c r="N900" s="1174" t="str">
        <f t="shared" si="1"/>
        <v/>
      </c>
    </row>
    <row r="901">
      <c r="N901" s="1174" t="str">
        <f t="shared" si="1"/>
        <v/>
      </c>
    </row>
    <row r="902">
      <c r="N902" s="1174" t="str">
        <f t="shared" si="1"/>
        <v/>
      </c>
    </row>
    <row r="903">
      <c r="N903" s="1174" t="str">
        <f t="shared" si="1"/>
        <v/>
      </c>
    </row>
    <row r="904">
      <c r="N904" s="1174" t="str">
        <f t="shared" si="1"/>
        <v/>
      </c>
    </row>
    <row r="905">
      <c r="N905" s="1174" t="str">
        <f t="shared" si="1"/>
        <v/>
      </c>
    </row>
    <row r="906">
      <c r="N906" s="1174" t="str">
        <f t="shared" si="1"/>
        <v/>
      </c>
    </row>
    <row r="907">
      <c r="N907" s="1174" t="str">
        <f t="shared" si="1"/>
        <v/>
      </c>
    </row>
    <row r="908">
      <c r="N908" s="1174" t="str">
        <f t="shared" si="1"/>
        <v/>
      </c>
    </row>
    <row r="909">
      <c r="N909" s="1174" t="str">
        <f t="shared" si="1"/>
        <v/>
      </c>
    </row>
    <row r="910">
      <c r="N910" s="1174" t="str">
        <f t="shared" si="1"/>
        <v/>
      </c>
    </row>
    <row r="911">
      <c r="N911" s="1174" t="str">
        <f t="shared" si="1"/>
        <v/>
      </c>
    </row>
    <row r="912">
      <c r="N912" s="1174" t="str">
        <f t="shared" si="1"/>
        <v/>
      </c>
    </row>
    <row r="913">
      <c r="N913" s="1174" t="str">
        <f t="shared" si="1"/>
        <v/>
      </c>
    </row>
    <row r="914">
      <c r="N914" s="1174" t="str">
        <f t="shared" si="1"/>
        <v/>
      </c>
    </row>
    <row r="915">
      <c r="N915" s="1174" t="str">
        <f t="shared" si="1"/>
        <v/>
      </c>
    </row>
    <row r="916">
      <c r="N916" s="1174" t="str">
        <f t="shared" si="1"/>
        <v/>
      </c>
    </row>
    <row r="917">
      <c r="N917" s="1174" t="str">
        <f t="shared" si="1"/>
        <v/>
      </c>
    </row>
    <row r="918">
      <c r="N918" s="1174" t="str">
        <f t="shared" si="1"/>
        <v/>
      </c>
    </row>
    <row r="919">
      <c r="N919" s="1174" t="str">
        <f t="shared" si="1"/>
        <v/>
      </c>
    </row>
    <row r="920">
      <c r="N920" s="1174" t="str">
        <f t="shared" si="1"/>
        <v/>
      </c>
    </row>
    <row r="921">
      <c r="N921" s="1174" t="str">
        <f t="shared" si="1"/>
        <v/>
      </c>
    </row>
    <row r="922">
      <c r="N922" s="1174" t="str">
        <f t="shared" si="1"/>
        <v/>
      </c>
    </row>
    <row r="923">
      <c r="N923" s="1174" t="str">
        <f t="shared" si="1"/>
        <v/>
      </c>
    </row>
    <row r="924">
      <c r="N924" s="1174" t="str">
        <f t="shared" si="1"/>
        <v/>
      </c>
    </row>
    <row r="925">
      <c r="N925" s="1174" t="str">
        <f t="shared" si="1"/>
        <v/>
      </c>
    </row>
    <row r="926">
      <c r="N926" s="1174" t="str">
        <f t="shared" si="1"/>
        <v/>
      </c>
    </row>
    <row r="927">
      <c r="N927" s="1174" t="str">
        <f t="shared" si="1"/>
        <v/>
      </c>
    </row>
    <row r="928">
      <c r="N928" s="1174" t="str">
        <f t="shared" si="1"/>
        <v/>
      </c>
    </row>
    <row r="929">
      <c r="N929" s="1174" t="str">
        <f t="shared" si="1"/>
        <v/>
      </c>
    </row>
    <row r="930">
      <c r="N930" s="1174" t="str">
        <f t="shared" si="1"/>
        <v/>
      </c>
    </row>
    <row r="931">
      <c r="N931" s="1174" t="str">
        <f t="shared" si="1"/>
        <v/>
      </c>
    </row>
    <row r="932">
      <c r="N932" s="1174" t="str">
        <f t="shared" si="1"/>
        <v/>
      </c>
    </row>
    <row r="933">
      <c r="N933" s="1174" t="str">
        <f t="shared" si="1"/>
        <v/>
      </c>
    </row>
    <row r="934">
      <c r="N934" s="1174" t="str">
        <f t="shared" si="1"/>
        <v/>
      </c>
    </row>
    <row r="935">
      <c r="N935" s="1174" t="str">
        <f t="shared" si="1"/>
        <v/>
      </c>
    </row>
    <row r="936">
      <c r="N936" s="1174" t="str">
        <f t="shared" si="1"/>
        <v/>
      </c>
    </row>
    <row r="937">
      <c r="N937" s="1174" t="str">
        <f t="shared" si="1"/>
        <v/>
      </c>
    </row>
    <row r="938">
      <c r="N938" s="1174" t="str">
        <f t="shared" si="1"/>
        <v/>
      </c>
    </row>
    <row r="939">
      <c r="N939" s="1174" t="str">
        <f t="shared" si="1"/>
        <v/>
      </c>
    </row>
    <row r="940">
      <c r="N940" s="1174" t="str">
        <f t="shared" si="1"/>
        <v/>
      </c>
    </row>
    <row r="941">
      <c r="N941" s="1174" t="str">
        <f t="shared" si="1"/>
        <v/>
      </c>
    </row>
    <row r="942">
      <c r="N942" s="1174" t="str">
        <f t="shared" si="1"/>
        <v/>
      </c>
    </row>
    <row r="943">
      <c r="N943" s="1174" t="str">
        <f t="shared" si="1"/>
        <v/>
      </c>
    </row>
    <row r="944">
      <c r="N944" s="1174" t="str">
        <f t="shared" si="1"/>
        <v/>
      </c>
    </row>
    <row r="945">
      <c r="N945" s="1174" t="str">
        <f t="shared" si="1"/>
        <v/>
      </c>
    </row>
    <row r="946">
      <c r="N946" s="1174" t="str">
        <f t="shared" si="1"/>
        <v/>
      </c>
    </row>
    <row r="947">
      <c r="N947" s="1174" t="str">
        <f t="shared" si="1"/>
        <v/>
      </c>
    </row>
    <row r="948">
      <c r="N948" s="1174" t="str">
        <f t="shared" si="1"/>
        <v/>
      </c>
    </row>
    <row r="949">
      <c r="N949" s="1174" t="str">
        <f t="shared" si="1"/>
        <v/>
      </c>
    </row>
    <row r="950">
      <c r="N950" s="1174" t="str">
        <f t="shared" si="1"/>
        <v/>
      </c>
    </row>
    <row r="951">
      <c r="N951" s="1174" t="str">
        <f t="shared" si="1"/>
        <v/>
      </c>
    </row>
    <row r="952">
      <c r="N952" s="1174" t="str">
        <f t="shared" si="1"/>
        <v/>
      </c>
    </row>
    <row r="953">
      <c r="N953" s="1174" t="str">
        <f t="shared" si="1"/>
        <v/>
      </c>
    </row>
    <row r="954">
      <c r="N954" s="1174" t="str">
        <f t="shared" si="1"/>
        <v/>
      </c>
    </row>
    <row r="955">
      <c r="N955" s="1174" t="str">
        <f t="shared" si="1"/>
        <v/>
      </c>
    </row>
    <row r="956">
      <c r="N956" s="1174" t="str">
        <f t="shared" si="1"/>
        <v/>
      </c>
    </row>
    <row r="957">
      <c r="N957" s="1174" t="str">
        <f t="shared" si="1"/>
        <v/>
      </c>
    </row>
    <row r="958">
      <c r="N958" s="1174" t="str">
        <f t="shared" si="1"/>
        <v/>
      </c>
    </row>
    <row r="959">
      <c r="N959" s="1174" t="str">
        <f t="shared" si="1"/>
        <v/>
      </c>
    </row>
    <row r="960">
      <c r="N960" s="1174" t="str">
        <f t="shared" si="1"/>
        <v/>
      </c>
    </row>
    <row r="961">
      <c r="N961" s="1174" t="str">
        <f t="shared" si="1"/>
        <v/>
      </c>
    </row>
    <row r="962">
      <c r="N962" s="1174" t="str">
        <f t="shared" si="1"/>
        <v/>
      </c>
    </row>
    <row r="963">
      <c r="N963" s="1174" t="str">
        <f t="shared" si="1"/>
        <v/>
      </c>
    </row>
    <row r="964">
      <c r="N964" s="1174" t="str">
        <f t="shared" si="1"/>
        <v/>
      </c>
    </row>
    <row r="965">
      <c r="N965" s="1174" t="str">
        <f t="shared" si="1"/>
        <v/>
      </c>
    </row>
    <row r="966">
      <c r="N966" s="1174" t="str">
        <f t="shared" si="1"/>
        <v/>
      </c>
    </row>
    <row r="967">
      <c r="N967" s="1174" t="str">
        <f t="shared" si="1"/>
        <v/>
      </c>
    </row>
    <row r="968">
      <c r="N968" s="1174" t="str">
        <f t="shared" si="1"/>
        <v/>
      </c>
    </row>
    <row r="969">
      <c r="N969" s="1174" t="str">
        <f t="shared" si="1"/>
        <v/>
      </c>
    </row>
    <row r="970">
      <c r="N970" s="1174" t="str">
        <f t="shared" si="1"/>
        <v/>
      </c>
    </row>
    <row r="971">
      <c r="N971" s="1174" t="str">
        <f t="shared" si="1"/>
        <v/>
      </c>
    </row>
    <row r="972">
      <c r="N972" s="1174" t="str">
        <f t="shared" si="1"/>
        <v/>
      </c>
    </row>
    <row r="973">
      <c r="N973" s="1174" t="str">
        <f t="shared" si="1"/>
        <v/>
      </c>
    </row>
    <row r="974">
      <c r="N974" s="1174" t="str">
        <f t="shared" si="1"/>
        <v/>
      </c>
    </row>
    <row r="975">
      <c r="N975" s="1174" t="str">
        <f t="shared" si="1"/>
        <v/>
      </c>
    </row>
    <row r="976">
      <c r="N976" s="1174" t="str">
        <f t="shared" si="1"/>
        <v/>
      </c>
    </row>
    <row r="977">
      <c r="N977" s="1174" t="str">
        <f t="shared" si="1"/>
        <v/>
      </c>
    </row>
    <row r="978">
      <c r="N978" s="1174" t="str">
        <f t="shared" si="1"/>
        <v/>
      </c>
    </row>
    <row r="979">
      <c r="N979" s="1174" t="str">
        <f t="shared" si="1"/>
        <v/>
      </c>
    </row>
    <row r="980">
      <c r="N980" s="1174" t="str">
        <f t="shared" si="1"/>
        <v/>
      </c>
    </row>
    <row r="981">
      <c r="N981" s="1174" t="str">
        <f t="shared" si="1"/>
        <v/>
      </c>
    </row>
    <row r="982">
      <c r="N982" s="1174" t="str">
        <f t="shared" si="1"/>
        <v/>
      </c>
    </row>
    <row r="983">
      <c r="N983" s="1174" t="str">
        <f t="shared" si="1"/>
        <v/>
      </c>
    </row>
    <row r="984">
      <c r="N984" s="1174" t="str">
        <f t="shared" si="1"/>
        <v/>
      </c>
    </row>
    <row r="985">
      <c r="N985" s="1174" t="str">
        <f t="shared" si="1"/>
        <v/>
      </c>
    </row>
    <row r="986">
      <c r="N986" s="1174" t="str">
        <f t="shared" si="1"/>
        <v/>
      </c>
    </row>
    <row r="987">
      <c r="N987" s="1174" t="str">
        <f t="shared" si="1"/>
        <v/>
      </c>
    </row>
    <row r="988">
      <c r="N988" s="1174" t="str">
        <f t="shared" si="1"/>
        <v/>
      </c>
    </row>
    <row r="989">
      <c r="N989" s="1174" t="str">
        <f t="shared" si="1"/>
        <v/>
      </c>
    </row>
    <row r="990">
      <c r="N990" s="1174" t="str">
        <f t="shared" si="1"/>
        <v/>
      </c>
    </row>
    <row r="991">
      <c r="N991" s="1174" t="str">
        <f t="shared" si="1"/>
        <v/>
      </c>
    </row>
    <row r="992">
      <c r="N992" s="1174" t="str">
        <f t="shared" si="1"/>
        <v/>
      </c>
    </row>
    <row r="993">
      <c r="N993" s="1174" t="str">
        <f t="shared" si="1"/>
        <v/>
      </c>
    </row>
    <row r="994">
      <c r="N994" s="1174" t="str">
        <f t="shared" si="1"/>
        <v/>
      </c>
    </row>
    <row r="995">
      <c r="N995" s="1174" t="str">
        <f t="shared" si="1"/>
        <v/>
      </c>
    </row>
    <row r="996">
      <c r="N996" s="1174" t="str">
        <f t="shared" si="1"/>
        <v/>
      </c>
    </row>
    <row r="997">
      <c r="N997" s="1174" t="str">
        <f t="shared" si="1"/>
        <v/>
      </c>
    </row>
    <row r="998">
      <c r="N998" s="1174" t="str">
        <f t="shared" si="1"/>
        <v/>
      </c>
    </row>
    <row r="999">
      <c r="N999" s="1174" t="str">
        <f t="shared" si="1"/>
        <v/>
      </c>
    </row>
    <row r="1000">
      <c r="N1000" s="1174" t="str">
        <f t="shared" si="1"/>
        <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4" max="4" width="48.88"/>
    <col customWidth="1" min="5" max="5" width="15.63"/>
    <col customWidth="1" min="6" max="6" width="31.38"/>
    <col customWidth="1" min="7" max="7" width="19.5"/>
    <col customWidth="1" min="9" max="9" width="38.13"/>
    <col hidden="1" min="10" max="14" width="12.63"/>
    <col hidden="1" min="16" max="17" width="12.63"/>
  </cols>
  <sheetData>
    <row r="1" ht="22.5" customHeight="1">
      <c r="A1" s="1178" t="s">
        <v>229</v>
      </c>
      <c r="B1" s="1178" t="s">
        <v>230</v>
      </c>
      <c r="C1" s="1178" t="s">
        <v>2818</v>
      </c>
      <c r="D1" s="1179" t="s">
        <v>231</v>
      </c>
      <c r="E1" s="1179" t="s">
        <v>232</v>
      </c>
      <c r="F1" s="1179" t="s">
        <v>11</v>
      </c>
      <c r="G1" s="1179" t="s">
        <v>9</v>
      </c>
      <c r="H1" s="1179" t="s">
        <v>234</v>
      </c>
      <c r="I1" s="1179" t="s">
        <v>13</v>
      </c>
      <c r="J1" s="1179" t="s">
        <v>2676</v>
      </c>
      <c r="K1" s="1179" t="s">
        <v>253</v>
      </c>
      <c r="L1" s="1179" t="s">
        <v>250</v>
      </c>
      <c r="M1" s="1179" t="s">
        <v>247</v>
      </c>
      <c r="N1" s="1179" t="s">
        <v>248</v>
      </c>
      <c r="O1" s="1180" t="s">
        <v>4</v>
      </c>
      <c r="P1" s="1180" t="s">
        <v>5</v>
      </c>
      <c r="Q1" s="1180" t="s">
        <v>6</v>
      </c>
      <c r="R1" s="1181" t="s">
        <v>237</v>
      </c>
    </row>
    <row r="2" ht="22.5" customHeight="1">
      <c r="A2" s="424" t="s">
        <v>34</v>
      </c>
      <c r="B2" s="209">
        <v>45839.0</v>
      </c>
      <c r="C2" s="209" t="str">
        <f t="shared" ref="C2:C142" si="1">TEXT(B2,"mmmm")</f>
        <v>julio</v>
      </c>
      <c r="D2" s="378" t="s">
        <v>565</v>
      </c>
      <c r="E2" s="378" t="s">
        <v>566</v>
      </c>
      <c r="F2" s="422" t="s">
        <v>28</v>
      </c>
      <c r="G2" s="425" t="s">
        <v>567</v>
      </c>
      <c r="H2" s="144" t="s">
        <v>257</v>
      </c>
      <c r="I2" s="432" t="s">
        <v>2819</v>
      </c>
      <c r="J2" s="433" t="s">
        <v>172</v>
      </c>
      <c r="K2" s="149" t="b">
        <v>0</v>
      </c>
      <c r="L2" s="162"/>
      <c r="M2" s="144"/>
      <c r="N2" s="148"/>
      <c r="O2" s="378">
        <v>5.1982720651E10</v>
      </c>
      <c r="P2" s="1182">
        <v>0.5</v>
      </c>
      <c r="Q2" s="168">
        <v>8520.0</v>
      </c>
      <c r="R2" s="168">
        <v>17037.82</v>
      </c>
    </row>
    <row r="3" ht="22.5" customHeight="1">
      <c r="A3" s="438" t="s">
        <v>34</v>
      </c>
      <c r="B3" s="435">
        <v>45842.0</v>
      </c>
      <c r="C3" s="435" t="str">
        <f t="shared" si="1"/>
        <v>julio</v>
      </c>
      <c r="D3" s="436" t="s">
        <v>569</v>
      </c>
      <c r="E3" s="440" t="s">
        <v>570</v>
      </c>
      <c r="F3" s="434" t="s">
        <v>28</v>
      </c>
      <c r="G3" s="439" t="s">
        <v>571</v>
      </c>
      <c r="H3" s="144" t="s">
        <v>257</v>
      </c>
      <c r="I3" s="440" t="s">
        <v>2820</v>
      </c>
      <c r="J3" s="434" t="s">
        <v>172</v>
      </c>
      <c r="K3" s="440" t="b">
        <v>0</v>
      </c>
      <c r="L3" s="444"/>
      <c r="M3" s="434"/>
      <c r="N3" s="438"/>
      <c r="O3" s="440" t="s">
        <v>572</v>
      </c>
      <c r="P3" s="434" t="s">
        <v>61</v>
      </c>
      <c r="Q3" s="706">
        <v>1560.0</v>
      </c>
      <c r="R3" s="168">
        <v>7799.0</v>
      </c>
    </row>
    <row r="4" ht="22.5" customHeight="1">
      <c r="A4" s="438" t="s">
        <v>34</v>
      </c>
      <c r="B4" s="435">
        <v>45843.0</v>
      </c>
      <c r="C4" s="435" t="str">
        <f t="shared" si="1"/>
        <v>julio</v>
      </c>
      <c r="D4" s="436" t="s">
        <v>569</v>
      </c>
      <c r="E4" s="440" t="s">
        <v>575</v>
      </c>
      <c r="F4" s="434" t="s">
        <v>28</v>
      </c>
      <c r="G4" s="439" t="s">
        <v>576</v>
      </c>
      <c r="H4" s="144" t="s">
        <v>257</v>
      </c>
      <c r="I4" s="440" t="s">
        <v>577</v>
      </c>
      <c r="J4" s="434" t="s">
        <v>172</v>
      </c>
      <c r="K4" s="440" t="b">
        <v>0</v>
      </c>
      <c r="L4" s="444"/>
      <c r="M4" s="434"/>
      <c r="N4" s="438"/>
      <c r="O4" s="440">
        <v>5.199915015E10</v>
      </c>
      <c r="P4" s="434" t="s">
        <v>61</v>
      </c>
      <c r="Q4" s="706">
        <v>1560.0</v>
      </c>
      <c r="R4" s="168">
        <v>7799.0</v>
      </c>
    </row>
    <row r="5" ht="22.5" customHeight="1">
      <c r="A5" s="148" t="s">
        <v>17</v>
      </c>
      <c r="B5" s="145">
        <v>45844.0</v>
      </c>
      <c r="C5" s="145" t="str">
        <f t="shared" si="1"/>
        <v>julio</v>
      </c>
      <c r="D5" s="393" t="s">
        <v>328</v>
      </c>
      <c r="E5" s="149" t="s">
        <v>578</v>
      </c>
      <c r="F5" s="144" t="s">
        <v>28</v>
      </c>
      <c r="G5" s="451" t="s">
        <v>579</v>
      </c>
      <c r="H5" s="144" t="s">
        <v>257</v>
      </c>
      <c r="I5" s="149" t="s">
        <v>580</v>
      </c>
      <c r="J5" s="144" t="s">
        <v>172</v>
      </c>
      <c r="K5" s="332" t="b">
        <v>0</v>
      </c>
      <c r="L5" s="162"/>
      <c r="M5" s="144"/>
      <c r="N5" s="453"/>
      <c r="P5" s="144" t="s">
        <v>61</v>
      </c>
      <c r="Q5" s="1013">
        <v>1340.0</v>
      </c>
      <c r="R5" s="1183">
        <v>6699.0</v>
      </c>
    </row>
    <row r="6" ht="22.5" customHeight="1">
      <c r="A6" s="367" t="s">
        <v>162</v>
      </c>
      <c r="B6" s="187">
        <v>45845.0</v>
      </c>
      <c r="C6" s="187" t="str">
        <f t="shared" si="1"/>
        <v>julio</v>
      </c>
      <c r="D6" s="113" t="s">
        <v>581</v>
      </c>
      <c r="E6" s="396" t="s">
        <v>582</v>
      </c>
      <c r="F6" s="365" t="s">
        <v>28</v>
      </c>
      <c r="G6" s="113" t="s">
        <v>583</v>
      </c>
      <c r="H6" s="144" t="s">
        <v>257</v>
      </c>
      <c r="I6" s="368" t="s">
        <v>2821</v>
      </c>
      <c r="J6" s="404" t="s">
        <v>172</v>
      </c>
      <c r="K6" s="149" t="b">
        <v>0</v>
      </c>
      <c r="L6" s="162"/>
      <c r="M6" s="144"/>
      <c r="N6" s="148" t="s">
        <v>584</v>
      </c>
      <c r="O6" s="368">
        <v>5.1999533067E10</v>
      </c>
      <c r="P6" s="365" t="s">
        <v>61</v>
      </c>
      <c r="Q6" s="790">
        <v>2663.0</v>
      </c>
      <c r="R6" s="168">
        <v>9027.0</v>
      </c>
    </row>
    <row r="7" ht="22.5" customHeight="1">
      <c r="A7" s="438" t="s">
        <v>34</v>
      </c>
      <c r="B7" s="435">
        <v>45846.0</v>
      </c>
      <c r="C7" s="435" t="str">
        <f t="shared" si="1"/>
        <v>julio</v>
      </c>
      <c r="D7" s="455" t="s">
        <v>569</v>
      </c>
      <c r="E7" s="1184" t="s">
        <v>586</v>
      </c>
      <c r="F7" s="434" t="s">
        <v>28</v>
      </c>
      <c r="G7" s="439" t="s">
        <v>587</v>
      </c>
      <c r="H7" s="144" t="s">
        <v>257</v>
      </c>
      <c r="I7" s="440" t="s">
        <v>2822</v>
      </c>
      <c r="J7" s="434" t="s">
        <v>172</v>
      </c>
      <c r="K7" s="440" t="b">
        <v>0</v>
      </c>
      <c r="L7" s="444"/>
      <c r="M7" s="434"/>
      <c r="N7" s="438"/>
      <c r="O7" s="440">
        <v>5.1947425028E10</v>
      </c>
      <c r="P7" s="434" t="s">
        <v>61</v>
      </c>
      <c r="Q7" s="706">
        <v>1560.0</v>
      </c>
      <c r="R7" s="168">
        <v>7799.0</v>
      </c>
    </row>
    <row r="8" ht="22.5" customHeight="1">
      <c r="A8" s="438" t="s">
        <v>34</v>
      </c>
      <c r="B8" s="435">
        <v>45847.0</v>
      </c>
      <c r="C8" s="435" t="str">
        <f t="shared" si="1"/>
        <v>julio</v>
      </c>
      <c r="D8" s="455" t="s">
        <v>569</v>
      </c>
      <c r="E8" s="1184" t="s">
        <v>589</v>
      </c>
      <c r="F8" s="434" t="s">
        <v>28</v>
      </c>
      <c r="G8" s="439" t="s">
        <v>590</v>
      </c>
      <c r="H8" s="144" t="s">
        <v>257</v>
      </c>
      <c r="I8" s="440" t="s">
        <v>2823</v>
      </c>
      <c r="J8" s="434" t="s">
        <v>172</v>
      </c>
      <c r="K8" s="440" t="b">
        <v>0</v>
      </c>
      <c r="L8" s="444"/>
      <c r="M8" s="434"/>
      <c r="N8" s="438"/>
      <c r="O8" s="440" t="s">
        <v>591</v>
      </c>
      <c r="P8" s="434" t="s">
        <v>61</v>
      </c>
      <c r="Q8" s="706">
        <v>1560.0</v>
      </c>
      <c r="R8" s="168">
        <v>7799.0</v>
      </c>
    </row>
    <row r="9" ht="22.5" customHeight="1">
      <c r="A9" s="438" t="s">
        <v>34</v>
      </c>
      <c r="B9" s="435">
        <v>45847.0</v>
      </c>
      <c r="C9" s="435" t="str">
        <f t="shared" si="1"/>
        <v>julio</v>
      </c>
      <c r="D9" s="458" t="s">
        <v>593</v>
      </c>
      <c r="E9" s="1184" t="s">
        <v>594</v>
      </c>
      <c r="F9" s="434" t="s">
        <v>28</v>
      </c>
      <c r="G9" s="459" t="s">
        <v>595</v>
      </c>
      <c r="H9" s="144" t="s">
        <v>257</v>
      </c>
      <c r="I9" s="440" t="s">
        <v>596</v>
      </c>
      <c r="J9" s="434" t="s">
        <v>172</v>
      </c>
      <c r="K9" s="440" t="b">
        <v>0</v>
      </c>
      <c r="L9" s="444"/>
      <c r="M9" s="434"/>
      <c r="N9" s="438"/>
      <c r="O9" s="440">
        <v>5.1945869823E10</v>
      </c>
      <c r="P9" s="434" t="s">
        <v>61</v>
      </c>
      <c r="Q9" s="706">
        <v>1140.0</v>
      </c>
      <c r="R9" s="168">
        <v>5699.0</v>
      </c>
    </row>
    <row r="10" ht="22.5" customHeight="1">
      <c r="A10" s="367" t="s">
        <v>162</v>
      </c>
      <c r="B10" s="187">
        <v>45847.0</v>
      </c>
      <c r="C10" s="187" t="str">
        <f t="shared" si="1"/>
        <v>julio</v>
      </c>
      <c r="D10" s="368" t="s">
        <v>597</v>
      </c>
      <c r="E10" s="396" t="s">
        <v>598</v>
      </c>
      <c r="F10" s="365" t="s">
        <v>28</v>
      </c>
      <c r="G10" s="113" t="s">
        <v>599</v>
      </c>
      <c r="H10" s="144" t="s">
        <v>257</v>
      </c>
      <c r="I10" s="368" t="s">
        <v>596</v>
      </c>
      <c r="J10" s="404" t="s">
        <v>172</v>
      </c>
      <c r="K10" s="149" t="b">
        <v>0</v>
      </c>
      <c r="L10" s="162"/>
      <c r="M10" s="144"/>
      <c r="N10" s="148" t="s">
        <v>584</v>
      </c>
      <c r="O10" s="368">
        <v>5.1917992496E10</v>
      </c>
      <c r="P10" s="365" t="s">
        <v>61</v>
      </c>
      <c r="Q10" s="790">
        <v>1032.0</v>
      </c>
      <c r="R10" s="168">
        <v>5403.0</v>
      </c>
    </row>
    <row r="11" ht="22.5" customHeight="1">
      <c r="A11" s="367" t="s">
        <v>162</v>
      </c>
      <c r="B11" s="187">
        <v>45847.0</v>
      </c>
      <c r="C11" s="187" t="str">
        <f t="shared" si="1"/>
        <v>julio</v>
      </c>
      <c r="D11" s="368" t="s">
        <v>600</v>
      </c>
      <c r="E11" s="396" t="s">
        <v>601</v>
      </c>
      <c r="F11" s="365" t="s">
        <v>28</v>
      </c>
      <c r="G11" s="351" t="s">
        <v>602</v>
      </c>
      <c r="H11" s="144" t="s">
        <v>257</v>
      </c>
      <c r="I11" s="113" t="s">
        <v>603</v>
      </c>
      <c r="J11" s="404" t="s">
        <v>172</v>
      </c>
      <c r="K11" s="149" t="b">
        <v>0</v>
      </c>
      <c r="L11" s="162"/>
      <c r="M11" s="144"/>
      <c r="N11" s="148"/>
      <c r="O11" s="368">
        <v>5.19546939E10</v>
      </c>
      <c r="P11" s="1185">
        <v>1.0</v>
      </c>
      <c r="Q11" s="866">
        <v>5797.53</v>
      </c>
      <c r="R11" s="168">
        <v>5797.53</v>
      </c>
    </row>
    <row r="12" ht="22.5" customHeight="1">
      <c r="A12" s="367" t="s">
        <v>162</v>
      </c>
      <c r="B12" s="187">
        <v>45848.0</v>
      </c>
      <c r="C12" s="187" t="str">
        <f t="shared" si="1"/>
        <v>julio</v>
      </c>
      <c r="D12" s="368" t="s">
        <v>600</v>
      </c>
      <c r="E12" s="396" t="s">
        <v>604</v>
      </c>
      <c r="F12" s="365" t="s">
        <v>28</v>
      </c>
      <c r="G12" s="351" t="s">
        <v>605</v>
      </c>
      <c r="H12" s="144" t="s">
        <v>257</v>
      </c>
      <c r="I12" s="368" t="s">
        <v>606</v>
      </c>
      <c r="J12" s="404" t="s">
        <v>172</v>
      </c>
      <c r="K12" s="149" t="b">
        <v>0</v>
      </c>
      <c r="L12" s="162"/>
      <c r="M12" s="144"/>
      <c r="N12" s="148"/>
      <c r="O12" s="368">
        <v>5.1918526037E10</v>
      </c>
      <c r="P12" s="365" t="s">
        <v>61</v>
      </c>
      <c r="Q12" s="790">
        <v>1240.0</v>
      </c>
      <c r="R12" s="168">
        <v>6199.0</v>
      </c>
    </row>
    <row r="13" ht="22.5" customHeight="1">
      <c r="A13" s="148" t="s">
        <v>34</v>
      </c>
      <c r="B13" s="145">
        <v>45849.0</v>
      </c>
      <c r="C13" s="145" t="str">
        <f t="shared" si="1"/>
        <v>julio</v>
      </c>
      <c r="D13" s="149" t="s">
        <v>539</v>
      </c>
      <c r="E13" s="396" t="s">
        <v>607</v>
      </c>
      <c r="F13" s="144" t="s">
        <v>28</v>
      </c>
      <c r="G13" s="467" t="s">
        <v>608</v>
      </c>
      <c r="H13" s="144" t="s">
        <v>257</v>
      </c>
      <c r="I13" s="165"/>
      <c r="J13" s="144" t="s">
        <v>172</v>
      </c>
      <c r="K13" s="332" t="b">
        <v>0</v>
      </c>
      <c r="L13" s="162"/>
      <c r="M13" s="144"/>
      <c r="N13" s="330"/>
      <c r="O13" s="104">
        <v>9.77237975E8</v>
      </c>
      <c r="P13" s="144" t="s">
        <v>61</v>
      </c>
      <c r="Q13" s="611">
        <v>1300.0</v>
      </c>
      <c r="R13" s="168">
        <v>6499.0</v>
      </c>
    </row>
    <row r="14" ht="22.5" customHeight="1">
      <c r="A14" s="471" t="s">
        <v>162</v>
      </c>
      <c r="B14" s="469">
        <v>45850.0</v>
      </c>
      <c r="C14" s="469" t="str">
        <f t="shared" si="1"/>
        <v>julio</v>
      </c>
      <c r="D14" s="470" t="s">
        <v>444</v>
      </c>
      <c r="E14" s="1186" t="s">
        <v>610</v>
      </c>
      <c r="F14" s="468" t="s">
        <v>28</v>
      </c>
      <c r="G14" s="472" t="s">
        <v>611</v>
      </c>
      <c r="H14" s="144" t="s">
        <v>257</v>
      </c>
      <c r="I14" s="470" t="s">
        <v>612</v>
      </c>
      <c r="J14" s="404" t="s">
        <v>172</v>
      </c>
      <c r="K14" s="149" t="b">
        <v>0</v>
      </c>
      <c r="L14" s="162"/>
      <c r="M14" s="144"/>
      <c r="N14" s="148"/>
      <c r="O14" s="470">
        <v>9.74510646E8</v>
      </c>
      <c r="P14" s="1187">
        <v>1.0</v>
      </c>
      <c r="Q14" s="1188"/>
      <c r="R14" s="168">
        <v>6499.0</v>
      </c>
    </row>
    <row r="15" ht="22.5" customHeight="1">
      <c r="A15" s="367" t="s">
        <v>162</v>
      </c>
      <c r="B15" s="187">
        <v>45850.0</v>
      </c>
      <c r="C15" s="187" t="str">
        <f t="shared" si="1"/>
        <v>julio</v>
      </c>
      <c r="D15" s="207" t="s">
        <v>613</v>
      </c>
      <c r="E15" s="368" t="s">
        <v>614</v>
      </c>
      <c r="F15" s="365" t="s">
        <v>28</v>
      </c>
      <c r="G15" s="480" t="s">
        <v>615</v>
      </c>
      <c r="H15" s="144" t="s">
        <v>257</v>
      </c>
      <c r="I15" s="368" t="s">
        <v>616</v>
      </c>
      <c r="J15" s="404" t="s">
        <v>172</v>
      </c>
      <c r="K15" s="149" t="b">
        <v>0</v>
      </c>
      <c r="L15" s="162"/>
      <c r="M15" s="144"/>
      <c r="N15" s="148" t="s">
        <v>584</v>
      </c>
      <c r="O15" s="368">
        <v>5.1901659626E10</v>
      </c>
      <c r="P15" s="1185">
        <v>0.3</v>
      </c>
      <c r="Q15" s="790">
        <v>2160.0</v>
      </c>
      <c r="R15" s="168">
        <v>7187.0</v>
      </c>
    </row>
    <row r="16" ht="22.5" customHeight="1">
      <c r="A16" s="148" t="s">
        <v>34</v>
      </c>
      <c r="B16" s="145">
        <v>45852.0</v>
      </c>
      <c r="C16" s="145" t="str">
        <f t="shared" si="1"/>
        <v>julio</v>
      </c>
      <c r="D16" s="481" t="s">
        <v>617</v>
      </c>
      <c r="E16" s="149" t="s">
        <v>618</v>
      </c>
      <c r="F16" s="144" t="s">
        <v>28</v>
      </c>
      <c r="G16" s="451" t="s">
        <v>619</v>
      </c>
      <c r="H16" s="144" t="s">
        <v>257</v>
      </c>
      <c r="I16" s="483" t="s">
        <v>620</v>
      </c>
      <c r="J16" s="484" t="s">
        <v>172</v>
      </c>
      <c r="K16" s="149" t="b">
        <v>0</v>
      </c>
      <c r="L16" s="162"/>
      <c r="M16" s="144"/>
      <c r="N16" s="148"/>
      <c r="O16" s="149">
        <v>5.1990908785E10</v>
      </c>
      <c r="P16" s="144" t="s">
        <v>61</v>
      </c>
      <c r="Q16" s="611">
        <v>1880.0</v>
      </c>
      <c r="R16" s="168">
        <v>9399.0</v>
      </c>
    </row>
    <row r="17" ht="22.5" customHeight="1">
      <c r="A17" s="367" t="s">
        <v>162</v>
      </c>
      <c r="B17" s="187">
        <v>45852.0</v>
      </c>
      <c r="C17" s="187" t="str">
        <f t="shared" si="1"/>
        <v>julio</v>
      </c>
      <c r="D17" s="387" t="s">
        <v>621</v>
      </c>
      <c r="E17" s="396" t="s">
        <v>622</v>
      </c>
      <c r="F17" s="365" t="s">
        <v>28</v>
      </c>
      <c r="G17" s="113" t="s">
        <v>623</v>
      </c>
      <c r="H17" s="144" t="s">
        <v>257</v>
      </c>
      <c r="I17" s="368" t="s">
        <v>624</v>
      </c>
      <c r="J17" s="404" t="s">
        <v>172</v>
      </c>
      <c r="K17" s="149" t="b">
        <v>0</v>
      </c>
      <c r="L17" s="162"/>
      <c r="M17" s="144"/>
      <c r="N17" s="148" t="s">
        <v>584</v>
      </c>
      <c r="O17" s="368">
        <v>5.192064512E10</v>
      </c>
      <c r="P17" s="1185">
        <v>0.5</v>
      </c>
      <c r="Q17" s="790">
        <v>9310.5</v>
      </c>
      <c r="R17" s="168">
        <v>18621.0</v>
      </c>
    </row>
    <row r="18" ht="22.5" customHeight="1">
      <c r="A18" s="148" t="s">
        <v>34</v>
      </c>
      <c r="B18" s="145">
        <v>45853.0</v>
      </c>
      <c r="C18" s="145" t="str">
        <f t="shared" si="1"/>
        <v>julio</v>
      </c>
      <c r="D18" s="353" t="s">
        <v>625</v>
      </c>
      <c r="E18" s="396" t="s">
        <v>626</v>
      </c>
      <c r="F18" s="144" t="s">
        <v>28</v>
      </c>
      <c r="G18" s="410" t="s">
        <v>627</v>
      </c>
      <c r="H18" s="144" t="s">
        <v>257</v>
      </c>
      <c r="I18" s="149" t="s">
        <v>628</v>
      </c>
      <c r="J18" s="144" t="s">
        <v>172</v>
      </c>
      <c r="K18" s="149" t="b">
        <v>0</v>
      </c>
      <c r="L18" s="162"/>
      <c r="M18" s="144"/>
      <c r="N18" s="148"/>
      <c r="O18" s="149">
        <v>5.1998705085E10</v>
      </c>
      <c r="P18" s="144" t="s">
        <v>61</v>
      </c>
      <c r="Q18" s="1189">
        <v>1720.0</v>
      </c>
      <c r="R18" s="168">
        <v>8605.17</v>
      </c>
    </row>
    <row r="19" ht="22.5" customHeight="1">
      <c r="A19" s="367" t="s">
        <v>162</v>
      </c>
      <c r="B19" s="187">
        <v>45853.0</v>
      </c>
      <c r="C19" s="187" t="str">
        <f t="shared" si="1"/>
        <v>julio</v>
      </c>
      <c r="D19" s="353" t="s">
        <v>625</v>
      </c>
      <c r="E19" s="396" t="s">
        <v>629</v>
      </c>
      <c r="F19" s="365" t="s">
        <v>28</v>
      </c>
      <c r="G19" s="113" t="s">
        <v>630</v>
      </c>
      <c r="H19" s="144" t="s">
        <v>257</v>
      </c>
      <c r="I19" s="487" t="s">
        <v>632</v>
      </c>
      <c r="J19" s="404" t="s">
        <v>172</v>
      </c>
      <c r="K19" s="149" t="b">
        <v>0</v>
      </c>
      <c r="L19" s="162"/>
      <c r="M19" s="144"/>
      <c r="N19" s="148" t="s">
        <v>584</v>
      </c>
      <c r="O19" s="368">
        <v>9.69645134E8</v>
      </c>
      <c r="P19" s="365" t="s">
        <v>61</v>
      </c>
      <c r="Q19" s="790">
        <v>2500.0</v>
      </c>
      <c r="R19" s="168">
        <v>8499.0</v>
      </c>
    </row>
    <row r="20" ht="22.5" customHeight="1">
      <c r="A20" s="367" t="s">
        <v>162</v>
      </c>
      <c r="B20" s="187">
        <v>45854.0</v>
      </c>
      <c r="C20" s="187" t="str">
        <f t="shared" si="1"/>
        <v>julio</v>
      </c>
      <c r="D20" s="488" t="s">
        <v>633</v>
      </c>
      <c r="E20" s="396" t="s">
        <v>634</v>
      </c>
      <c r="F20" s="365" t="s">
        <v>28</v>
      </c>
      <c r="G20" s="489" t="s">
        <v>635</v>
      </c>
      <c r="H20" s="144" t="s">
        <v>257</v>
      </c>
      <c r="I20" s="368" t="s">
        <v>636</v>
      </c>
      <c r="J20" s="404" t="s">
        <v>172</v>
      </c>
      <c r="K20" s="149" t="b">
        <v>0</v>
      </c>
      <c r="L20" s="162"/>
      <c r="M20" s="144" t="s">
        <v>584</v>
      </c>
      <c r="N20" s="148" t="s">
        <v>584</v>
      </c>
      <c r="O20" s="368">
        <v>5.1987210011E10</v>
      </c>
      <c r="P20" s="1185">
        <v>0.3</v>
      </c>
      <c r="Q20" s="790">
        <v>3588.0</v>
      </c>
      <c r="R20" s="168">
        <v>11961.0</v>
      </c>
    </row>
    <row r="21" ht="22.5" customHeight="1">
      <c r="A21" s="148" t="s">
        <v>17</v>
      </c>
      <c r="B21" s="145">
        <v>45854.0</v>
      </c>
      <c r="C21" s="209" t="str">
        <f t="shared" si="1"/>
        <v>julio</v>
      </c>
      <c r="D21" s="488" t="s">
        <v>633</v>
      </c>
      <c r="E21" s="396" t="s">
        <v>637</v>
      </c>
      <c r="F21" s="144" t="s">
        <v>28</v>
      </c>
      <c r="G21" s="410" t="s">
        <v>638</v>
      </c>
      <c r="H21" s="144" t="s">
        <v>257</v>
      </c>
      <c r="I21" s="149"/>
      <c r="J21" s="144" t="s">
        <v>172</v>
      </c>
      <c r="K21" s="149" t="b">
        <v>0</v>
      </c>
      <c r="L21" s="162"/>
      <c r="M21" s="144"/>
      <c r="N21" s="490" t="s">
        <v>584</v>
      </c>
      <c r="O21" s="149">
        <v>9.640872E8</v>
      </c>
      <c r="P21" s="144" t="s">
        <v>61</v>
      </c>
      <c r="Q21" s="1190">
        <v>2760.0</v>
      </c>
      <c r="R21" s="255">
        <v>12099.0</v>
      </c>
    </row>
    <row r="22" ht="22.5" customHeight="1">
      <c r="A22" s="148" t="s">
        <v>17</v>
      </c>
      <c r="B22" s="145">
        <v>45855.0</v>
      </c>
      <c r="C22" s="145" t="str">
        <f t="shared" si="1"/>
        <v>julio</v>
      </c>
      <c r="D22" s="353" t="s">
        <v>639</v>
      </c>
      <c r="E22" s="149" t="s">
        <v>640</v>
      </c>
      <c r="F22" s="144" t="s">
        <v>28</v>
      </c>
      <c r="G22" s="451" t="s">
        <v>641</v>
      </c>
      <c r="H22" s="144" t="s">
        <v>257</v>
      </c>
      <c r="I22" s="165"/>
      <c r="J22" s="144" t="s">
        <v>172</v>
      </c>
      <c r="K22" s="149" t="b">
        <v>0</v>
      </c>
      <c r="L22" s="162"/>
      <c r="M22" s="144"/>
      <c r="N22" s="194" t="s">
        <v>584</v>
      </c>
      <c r="O22" s="149">
        <v>5.1931994396E10</v>
      </c>
      <c r="P22" s="144" t="s">
        <v>61</v>
      </c>
      <c r="Q22" s="1190">
        <v>1699.8</v>
      </c>
      <c r="R22" s="168">
        <v>8499.0</v>
      </c>
    </row>
    <row r="23" ht="22.5" customHeight="1">
      <c r="A23" s="367" t="s">
        <v>162</v>
      </c>
      <c r="B23" s="187">
        <v>45856.0</v>
      </c>
      <c r="C23" s="187" t="str">
        <f t="shared" si="1"/>
        <v>julio</v>
      </c>
      <c r="D23" s="353" t="s">
        <v>639</v>
      </c>
      <c r="E23" s="396" t="s">
        <v>642</v>
      </c>
      <c r="F23" s="365" t="s">
        <v>28</v>
      </c>
      <c r="G23" s="368" t="s">
        <v>643</v>
      </c>
      <c r="H23" s="144" t="s">
        <v>257</v>
      </c>
      <c r="I23" s="368" t="s">
        <v>644</v>
      </c>
      <c r="J23" s="404" t="s">
        <v>172</v>
      </c>
      <c r="K23" s="149" t="b">
        <v>0</v>
      </c>
      <c r="L23" s="162"/>
      <c r="M23" s="144" t="s">
        <v>584</v>
      </c>
      <c r="N23" s="148" t="s">
        <v>584</v>
      </c>
      <c r="O23" s="368">
        <v>5.19492247E10</v>
      </c>
      <c r="P23" s="1185">
        <v>0.3</v>
      </c>
      <c r="Q23" s="790">
        <v>2550.0</v>
      </c>
      <c r="R23" s="168">
        <v>8499.0</v>
      </c>
    </row>
    <row r="24" ht="22.5" customHeight="1">
      <c r="A24" s="148" t="s">
        <v>17</v>
      </c>
      <c r="B24" s="145">
        <v>45856.0</v>
      </c>
      <c r="C24" s="145" t="str">
        <f t="shared" si="1"/>
        <v>julio</v>
      </c>
      <c r="D24" s="492" t="s">
        <v>645</v>
      </c>
      <c r="E24" s="149" t="s">
        <v>646</v>
      </c>
      <c r="F24" s="144" t="s">
        <v>28</v>
      </c>
      <c r="G24" s="467" t="s">
        <v>647</v>
      </c>
      <c r="H24" s="144" t="s">
        <v>257</v>
      </c>
      <c r="I24" s="165"/>
      <c r="J24" s="144" t="s">
        <v>172</v>
      </c>
      <c r="K24" s="149" t="b">
        <v>0</v>
      </c>
      <c r="L24" s="162"/>
      <c r="M24" s="144"/>
      <c r="N24" s="194"/>
      <c r="O24" s="149">
        <v>5.193647973E10</v>
      </c>
      <c r="P24" s="1191">
        <v>1.0</v>
      </c>
      <c r="Q24" s="1039"/>
      <c r="R24" s="255">
        <v>6099.0</v>
      </c>
    </row>
    <row r="25" ht="22.5" customHeight="1">
      <c r="A25" s="148" t="s">
        <v>17</v>
      </c>
      <c r="B25" s="145">
        <v>45856.0</v>
      </c>
      <c r="C25" s="145" t="str">
        <f t="shared" si="1"/>
        <v>julio</v>
      </c>
      <c r="D25" s="377" t="s">
        <v>444</v>
      </c>
      <c r="E25" s="149" t="s">
        <v>648</v>
      </c>
      <c r="F25" s="144" t="s">
        <v>28</v>
      </c>
      <c r="G25" s="494" t="s">
        <v>649</v>
      </c>
      <c r="H25" s="144" t="s">
        <v>257</v>
      </c>
      <c r="I25" s="165"/>
      <c r="J25" s="144" t="s">
        <v>172</v>
      </c>
      <c r="K25" s="149" t="b">
        <v>0</v>
      </c>
      <c r="L25" s="162"/>
      <c r="M25" s="144"/>
      <c r="N25" s="194"/>
      <c r="O25" s="149" t="s">
        <v>650</v>
      </c>
      <c r="P25" s="1191">
        <v>1.0</v>
      </c>
      <c r="Q25" s="1039"/>
      <c r="R25" s="255">
        <v>6499.0</v>
      </c>
    </row>
    <row r="26" ht="22.5" customHeight="1">
      <c r="A26" s="148" t="s">
        <v>17</v>
      </c>
      <c r="B26" s="145">
        <v>45856.0</v>
      </c>
      <c r="C26" s="145" t="str">
        <f t="shared" si="1"/>
        <v>julio</v>
      </c>
      <c r="D26" s="495" t="s">
        <v>645</v>
      </c>
      <c r="E26" s="396" t="s">
        <v>651</v>
      </c>
      <c r="F26" s="144" t="s">
        <v>28</v>
      </c>
      <c r="G26" s="467" t="s">
        <v>652</v>
      </c>
      <c r="H26" s="144" t="s">
        <v>257</v>
      </c>
      <c r="I26" s="165"/>
      <c r="J26" s="144" t="s">
        <v>172</v>
      </c>
      <c r="K26" s="149" t="b">
        <v>0</v>
      </c>
      <c r="L26" s="162"/>
      <c r="M26" s="144"/>
      <c r="N26" s="194"/>
      <c r="O26" s="149">
        <v>9.88298012E8</v>
      </c>
      <c r="P26" s="1191">
        <v>1.0</v>
      </c>
      <c r="Q26" s="1039"/>
      <c r="R26" s="168">
        <v>5900.0</v>
      </c>
    </row>
    <row r="27" ht="22.5" customHeight="1">
      <c r="A27" s="148" t="s">
        <v>17</v>
      </c>
      <c r="B27" s="145">
        <v>45856.0</v>
      </c>
      <c r="C27" s="145" t="str">
        <f t="shared" si="1"/>
        <v>julio</v>
      </c>
      <c r="D27" s="393" t="s">
        <v>328</v>
      </c>
      <c r="E27" s="396" t="s">
        <v>653</v>
      </c>
      <c r="F27" s="144" t="s">
        <v>28</v>
      </c>
      <c r="G27" s="338" t="s">
        <v>654</v>
      </c>
      <c r="H27" s="144" t="s">
        <v>257</v>
      </c>
      <c r="I27" s="165"/>
      <c r="J27" s="144" t="s">
        <v>172</v>
      </c>
      <c r="K27" s="149" t="b">
        <v>0</v>
      </c>
      <c r="L27" s="162"/>
      <c r="M27" s="144"/>
      <c r="N27" s="194"/>
      <c r="O27" s="149" t="s">
        <v>655</v>
      </c>
      <c r="P27" s="1191">
        <v>1.0</v>
      </c>
      <c r="Q27" s="1192"/>
      <c r="R27" s="168">
        <v>7199.0</v>
      </c>
    </row>
    <row r="28" ht="22.5" customHeight="1">
      <c r="A28" s="148" t="s">
        <v>34</v>
      </c>
      <c r="B28" s="145">
        <v>45857.0</v>
      </c>
      <c r="C28" s="145" t="str">
        <f t="shared" si="1"/>
        <v>julio</v>
      </c>
      <c r="D28" s="188" t="s">
        <v>656</v>
      </c>
      <c r="E28" s="396" t="s">
        <v>657</v>
      </c>
      <c r="F28" s="144" t="s">
        <v>399</v>
      </c>
      <c r="G28" s="338"/>
      <c r="H28" s="144" t="s">
        <v>257</v>
      </c>
      <c r="I28" s="165"/>
      <c r="J28" s="166"/>
      <c r="K28" s="149" t="b">
        <v>0</v>
      </c>
      <c r="L28" s="162"/>
      <c r="M28" s="144"/>
      <c r="N28" s="148"/>
      <c r="O28" s="149">
        <v>5.1918003463E10</v>
      </c>
      <c r="P28" s="144" t="s">
        <v>61</v>
      </c>
      <c r="Q28" s="611">
        <v>1180.0</v>
      </c>
      <c r="R28" s="168">
        <v>5899.0</v>
      </c>
    </row>
    <row r="29" ht="22.5" customHeight="1">
      <c r="A29" s="148" t="s">
        <v>17</v>
      </c>
      <c r="B29" s="145">
        <v>45857.0</v>
      </c>
      <c r="C29" s="145" t="str">
        <f t="shared" si="1"/>
        <v>julio</v>
      </c>
      <c r="D29" s="496" t="s">
        <v>658</v>
      </c>
      <c r="E29" s="396" t="s">
        <v>659</v>
      </c>
      <c r="F29" s="144" t="s">
        <v>28</v>
      </c>
      <c r="G29" s="410" t="s">
        <v>660</v>
      </c>
      <c r="H29" s="144" t="s">
        <v>257</v>
      </c>
      <c r="I29" s="149" t="s">
        <v>661</v>
      </c>
      <c r="J29" s="144" t="s">
        <v>172</v>
      </c>
      <c r="K29" s="149" t="b">
        <v>0</v>
      </c>
      <c r="L29" s="162"/>
      <c r="M29" s="144"/>
      <c r="N29" s="194" t="s">
        <v>584</v>
      </c>
      <c r="O29" s="149">
        <v>5.1969801639E10</v>
      </c>
      <c r="P29" s="144" t="s">
        <v>61</v>
      </c>
      <c r="Q29" s="611">
        <v>1179.8</v>
      </c>
      <c r="R29" s="168">
        <v>5899.0</v>
      </c>
    </row>
    <row r="30" ht="22.5" customHeight="1">
      <c r="A30" s="148" t="s">
        <v>17</v>
      </c>
      <c r="B30" s="145">
        <v>45857.0</v>
      </c>
      <c r="C30" s="145" t="str">
        <f t="shared" si="1"/>
        <v>julio</v>
      </c>
      <c r="D30" s="496" t="s">
        <v>662</v>
      </c>
      <c r="E30" s="149" t="s">
        <v>663</v>
      </c>
      <c r="F30" s="144" t="s">
        <v>28</v>
      </c>
      <c r="G30" s="410" t="s">
        <v>664</v>
      </c>
      <c r="H30" s="144" t="s">
        <v>257</v>
      </c>
      <c r="I30" s="149" t="s">
        <v>665</v>
      </c>
      <c r="J30" s="144" t="s">
        <v>172</v>
      </c>
      <c r="K30" s="149" t="b">
        <v>0</v>
      </c>
      <c r="L30" s="162"/>
      <c r="M30" s="144"/>
      <c r="N30" s="194" t="s">
        <v>584</v>
      </c>
      <c r="O30" s="149">
        <v>5.1977140006E10</v>
      </c>
      <c r="P30" s="144" t="s">
        <v>61</v>
      </c>
      <c r="Q30" s="1190">
        <v>1945.85</v>
      </c>
      <c r="R30" s="168">
        <v>9739.29</v>
      </c>
    </row>
    <row r="31" ht="22.5" customHeight="1">
      <c r="A31" s="438" t="s">
        <v>34</v>
      </c>
      <c r="B31" s="435">
        <v>45857.0</v>
      </c>
      <c r="C31" s="435" t="str">
        <f t="shared" si="1"/>
        <v>julio</v>
      </c>
      <c r="D31" s="1193" t="s">
        <v>666</v>
      </c>
      <c r="E31" s="1184" t="s">
        <v>667</v>
      </c>
      <c r="F31" s="434" t="s">
        <v>28</v>
      </c>
      <c r="G31" s="497" t="s">
        <v>668</v>
      </c>
      <c r="H31" s="144" t="s">
        <v>257</v>
      </c>
      <c r="I31" s="440"/>
      <c r="J31" s="434" t="s">
        <v>172</v>
      </c>
      <c r="K31" s="440" t="b">
        <v>0</v>
      </c>
      <c r="L31" s="434" t="s">
        <v>584</v>
      </c>
      <c r="M31" s="434" t="s">
        <v>584</v>
      </c>
      <c r="N31" s="438"/>
      <c r="O31" s="440">
        <v>5.193125541E10</v>
      </c>
      <c r="P31" s="1194">
        <v>0.3</v>
      </c>
      <c r="Q31" s="706">
        <v>2625.0</v>
      </c>
      <c r="R31" s="168">
        <v>11402.0</v>
      </c>
    </row>
    <row r="32" ht="22.5" customHeight="1">
      <c r="A32" s="438" t="s">
        <v>34</v>
      </c>
      <c r="B32" s="435">
        <v>45859.0</v>
      </c>
      <c r="C32" s="435" t="str">
        <f t="shared" si="1"/>
        <v>julio</v>
      </c>
      <c r="D32" s="500" t="s">
        <v>670</v>
      </c>
      <c r="E32" s="1184" t="s">
        <v>671</v>
      </c>
      <c r="F32" s="434" t="s">
        <v>28</v>
      </c>
      <c r="G32" s="497" t="s">
        <v>672</v>
      </c>
      <c r="H32" s="144" t="s">
        <v>257</v>
      </c>
      <c r="I32" s="440" t="s">
        <v>2824</v>
      </c>
      <c r="J32" s="434" t="s">
        <v>172</v>
      </c>
      <c r="K32" s="440" t="b">
        <v>0</v>
      </c>
      <c r="L32" s="444"/>
      <c r="M32" s="434"/>
      <c r="N32" s="438"/>
      <c r="O32" s="440">
        <v>5.1918003463E10</v>
      </c>
      <c r="P32" s="434" t="s">
        <v>61</v>
      </c>
      <c r="Q32" s="706">
        <v>1180.0</v>
      </c>
      <c r="R32" s="168">
        <v>6599.0</v>
      </c>
    </row>
    <row r="33" ht="22.5" customHeight="1">
      <c r="A33" s="148" t="s">
        <v>17</v>
      </c>
      <c r="B33" s="145">
        <v>45859.0</v>
      </c>
      <c r="C33" s="145" t="str">
        <f t="shared" si="1"/>
        <v>julio</v>
      </c>
      <c r="D33" s="501" t="s">
        <v>674</v>
      </c>
      <c r="E33" s="149" t="s">
        <v>675</v>
      </c>
      <c r="F33" s="144" t="s">
        <v>28</v>
      </c>
      <c r="G33" s="467" t="s">
        <v>676</v>
      </c>
      <c r="H33" s="144" t="s">
        <v>257</v>
      </c>
      <c r="I33" s="165"/>
      <c r="J33" s="144" t="s">
        <v>172</v>
      </c>
      <c r="K33" s="149" t="b">
        <v>0</v>
      </c>
      <c r="L33" s="162"/>
      <c r="M33" s="144"/>
      <c r="N33" s="194"/>
      <c r="O33" s="149">
        <v>5.1985461648E10</v>
      </c>
      <c r="P33" s="1191">
        <v>1.0</v>
      </c>
      <c r="Q33" s="611"/>
      <c r="R33" s="255">
        <v>7999.0</v>
      </c>
    </row>
    <row r="34" ht="22.5" customHeight="1">
      <c r="A34" s="148" t="s">
        <v>17</v>
      </c>
      <c r="B34" s="145">
        <v>45859.0</v>
      </c>
      <c r="C34" s="145" t="str">
        <f t="shared" si="1"/>
        <v>julio</v>
      </c>
      <c r="D34" s="502" t="s">
        <v>677</v>
      </c>
      <c r="E34" s="396" t="s">
        <v>678</v>
      </c>
      <c r="F34" s="144" t="s">
        <v>28</v>
      </c>
      <c r="G34" s="410">
        <v>1.213072008E9</v>
      </c>
      <c r="H34" s="144" t="s">
        <v>257</v>
      </c>
      <c r="I34" s="149" t="s">
        <v>679</v>
      </c>
      <c r="J34" s="144" t="s">
        <v>172</v>
      </c>
      <c r="K34" s="149" t="b">
        <v>0</v>
      </c>
      <c r="L34" s="162"/>
      <c r="M34" s="144"/>
      <c r="N34" s="194" t="s">
        <v>584</v>
      </c>
      <c r="O34" s="149">
        <v>5.1964852509E10</v>
      </c>
      <c r="P34" s="1191">
        <v>0.3</v>
      </c>
      <c r="Q34" s="611">
        <v>2429.7</v>
      </c>
      <c r="R34" s="168">
        <v>8099.0</v>
      </c>
    </row>
    <row r="35" ht="22.5" customHeight="1">
      <c r="A35" s="438" t="s">
        <v>34</v>
      </c>
      <c r="B35" s="435">
        <v>45859.0</v>
      </c>
      <c r="C35" s="435" t="str">
        <f t="shared" si="1"/>
        <v>julio</v>
      </c>
      <c r="D35" s="503" t="s">
        <v>677</v>
      </c>
      <c r="E35" s="1184" t="s">
        <v>680</v>
      </c>
      <c r="F35" s="434" t="s">
        <v>28</v>
      </c>
      <c r="G35" s="504" t="s">
        <v>2825</v>
      </c>
      <c r="H35" s="144" t="s">
        <v>257</v>
      </c>
      <c r="I35" s="507" t="s">
        <v>682</v>
      </c>
      <c r="J35" s="508" t="s">
        <v>172</v>
      </c>
      <c r="K35" s="440" t="b">
        <v>0</v>
      </c>
      <c r="L35" s="444"/>
      <c r="M35" s="434" t="s">
        <v>584</v>
      </c>
      <c r="N35" s="438"/>
      <c r="O35" s="440">
        <v>5.1982543831E10</v>
      </c>
      <c r="P35" s="434" t="s">
        <v>61</v>
      </c>
      <c r="Q35" s="706">
        <v>1620.0</v>
      </c>
      <c r="R35" s="168">
        <v>8099.0</v>
      </c>
    </row>
    <row r="36" ht="22.5" customHeight="1">
      <c r="A36" s="148" t="s">
        <v>34</v>
      </c>
      <c r="B36" s="145">
        <v>45862.0</v>
      </c>
      <c r="C36" s="145" t="str">
        <f t="shared" si="1"/>
        <v>julio</v>
      </c>
      <c r="D36" s="393" t="s">
        <v>328</v>
      </c>
      <c r="E36" s="396" t="s">
        <v>683</v>
      </c>
      <c r="F36" s="144" t="s">
        <v>28</v>
      </c>
      <c r="G36" s="451" t="s">
        <v>684</v>
      </c>
      <c r="H36" s="144" t="s">
        <v>257</v>
      </c>
      <c r="I36" s="165"/>
      <c r="J36" s="144" t="s">
        <v>172</v>
      </c>
      <c r="K36" s="149" t="b">
        <v>0</v>
      </c>
      <c r="L36" s="162"/>
      <c r="M36" s="144"/>
      <c r="N36" s="148"/>
      <c r="O36" s="149">
        <v>5.1910427702E10</v>
      </c>
      <c r="P36" s="144" t="s">
        <v>61</v>
      </c>
      <c r="Q36" s="611">
        <v>1440.0</v>
      </c>
      <c r="R36" s="168">
        <v>7199.0</v>
      </c>
    </row>
    <row r="37" ht="22.5" customHeight="1">
      <c r="A37" s="367" t="s">
        <v>162</v>
      </c>
      <c r="B37" s="187">
        <v>45862.0</v>
      </c>
      <c r="C37" s="187" t="str">
        <f t="shared" si="1"/>
        <v>julio</v>
      </c>
      <c r="D37" s="368" t="s">
        <v>685</v>
      </c>
      <c r="E37" s="396" t="s">
        <v>686</v>
      </c>
      <c r="F37" s="365" t="s">
        <v>28</v>
      </c>
      <c r="G37" s="113" t="s">
        <v>687</v>
      </c>
      <c r="H37" s="144" t="s">
        <v>257</v>
      </c>
      <c r="I37" s="368" t="s">
        <v>689</v>
      </c>
      <c r="J37" s="404" t="s">
        <v>172</v>
      </c>
      <c r="K37" s="149" t="b">
        <v>0</v>
      </c>
      <c r="L37" s="162"/>
      <c r="M37" s="144"/>
      <c r="N37" s="148" t="s">
        <v>584</v>
      </c>
      <c r="O37" s="368">
        <v>5.1974593846E10</v>
      </c>
      <c r="P37" s="365" t="s">
        <v>61</v>
      </c>
      <c r="Q37" s="790">
        <v>1420.0</v>
      </c>
      <c r="R37" s="168">
        <v>7103.0</v>
      </c>
    </row>
    <row r="38" ht="22.5" customHeight="1">
      <c r="A38" s="367" t="s">
        <v>162</v>
      </c>
      <c r="B38" s="187">
        <v>45863.0</v>
      </c>
      <c r="C38" s="187" t="str">
        <f t="shared" si="1"/>
        <v>julio</v>
      </c>
      <c r="D38" s="368" t="s">
        <v>613</v>
      </c>
      <c r="E38" s="368" t="s">
        <v>690</v>
      </c>
      <c r="F38" s="365" t="s">
        <v>28</v>
      </c>
      <c r="G38" s="113" t="s">
        <v>691</v>
      </c>
      <c r="H38" s="144" t="s">
        <v>257</v>
      </c>
      <c r="I38" s="368" t="s">
        <v>2826</v>
      </c>
      <c r="J38" s="404" t="s">
        <v>172</v>
      </c>
      <c r="K38" s="149" t="b">
        <v>0</v>
      </c>
      <c r="L38" s="162"/>
      <c r="M38" s="144" t="s">
        <v>584</v>
      </c>
      <c r="N38" s="148" t="s">
        <v>584</v>
      </c>
      <c r="O38" s="368">
        <v>5.1952058775E10</v>
      </c>
      <c r="P38" s="365" t="s">
        <v>61</v>
      </c>
      <c r="Q38" s="168">
        <v>1540.0</v>
      </c>
      <c r="R38" s="168">
        <v>7699.0</v>
      </c>
    </row>
    <row r="39" ht="22.5" customHeight="1">
      <c r="A39" s="438" t="s">
        <v>34</v>
      </c>
      <c r="B39" s="435">
        <v>45864.0</v>
      </c>
      <c r="C39" s="435" t="str">
        <f t="shared" si="1"/>
        <v>julio</v>
      </c>
      <c r="D39" s="514" t="s">
        <v>685</v>
      </c>
      <c r="E39" s="440" t="s">
        <v>695</v>
      </c>
      <c r="F39" s="434" t="s">
        <v>28</v>
      </c>
      <c r="G39" s="439" t="s">
        <v>696</v>
      </c>
      <c r="H39" s="144" t="s">
        <v>257</v>
      </c>
      <c r="I39" s="440" t="s">
        <v>2827</v>
      </c>
      <c r="J39" s="434" t="s">
        <v>172</v>
      </c>
      <c r="K39" s="518" t="b">
        <v>0</v>
      </c>
      <c r="L39" s="444"/>
      <c r="M39" s="434"/>
      <c r="N39" s="516"/>
      <c r="O39" s="515" t="s">
        <v>697</v>
      </c>
      <c r="P39" s="434" t="s">
        <v>61</v>
      </c>
      <c r="Q39" s="706">
        <v>1340.0</v>
      </c>
      <c r="R39" s="168">
        <v>6699.0</v>
      </c>
    </row>
    <row r="40" ht="22.5" customHeight="1">
      <c r="A40" s="367" t="s">
        <v>162</v>
      </c>
      <c r="B40" s="187">
        <v>45864.0</v>
      </c>
      <c r="C40" s="187" t="str">
        <f t="shared" si="1"/>
        <v>julio</v>
      </c>
      <c r="D40" s="519" t="s">
        <v>699</v>
      </c>
      <c r="E40" s="368" t="s">
        <v>700</v>
      </c>
      <c r="F40" s="365" t="s">
        <v>28</v>
      </c>
      <c r="G40" s="520" t="s">
        <v>701</v>
      </c>
      <c r="H40" s="144" t="s">
        <v>257</v>
      </c>
      <c r="I40" s="368" t="s">
        <v>2828</v>
      </c>
      <c r="J40" s="404" t="s">
        <v>172</v>
      </c>
      <c r="K40" s="149" t="b">
        <v>0</v>
      </c>
      <c r="L40" s="162"/>
      <c r="M40" s="144" t="s">
        <v>584</v>
      </c>
      <c r="N40" s="148" t="s">
        <v>584</v>
      </c>
      <c r="O40" s="368">
        <v>9.22253653E8</v>
      </c>
      <c r="P40" s="365" t="s">
        <v>61</v>
      </c>
      <c r="Q40" s="790">
        <v>8849.5</v>
      </c>
      <c r="R40" s="168">
        <v>17699.0</v>
      </c>
    </row>
    <row r="41" ht="22.5" customHeight="1">
      <c r="A41" s="367" t="s">
        <v>162</v>
      </c>
      <c r="B41" s="187">
        <v>45864.0</v>
      </c>
      <c r="C41" s="187" t="str">
        <f t="shared" si="1"/>
        <v>julio</v>
      </c>
      <c r="D41" s="368" t="s">
        <v>699</v>
      </c>
      <c r="E41" s="368" t="s">
        <v>700</v>
      </c>
      <c r="F41" s="365" t="s">
        <v>28</v>
      </c>
      <c r="G41" s="520" t="s">
        <v>703</v>
      </c>
      <c r="H41" s="144" t="s">
        <v>257</v>
      </c>
      <c r="I41" s="368" t="s">
        <v>2829</v>
      </c>
      <c r="J41" s="404" t="s">
        <v>172</v>
      </c>
      <c r="K41" s="149" t="b">
        <v>0</v>
      </c>
      <c r="L41" s="162"/>
      <c r="M41" s="144" t="s">
        <v>584</v>
      </c>
      <c r="N41" s="148" t="s">
        <v>584</v>
      </c>
      <c r="O41" s="368">
        <v>9.22253653E8</v>
      </c>
      <c r="P41" s="365" t="s">
        <v>61</v>
      </c>
      <c r="Q41" s="790">
        <v>8849.5</v>
      </c>
      <c r="R41" s="168">
        <v>17699.0</v>
      </c>
    </row>
    <row r="42" ht="22.5" customHeight="1">
      <c r="A42" s="367" t="s">
        <v>162</v>
      </c>
      <c r="B42" s="187">
        <v>45864.0</v>
      </c>
      <c r="C42" s="187" t="str">
        <f t="shared" si="1"/>
        <v>julio</v>
      </c>
      <c r="D42" s="368" t="s">
        <v>613</v>
      </c>
      <c r="E42" s="396" t="s">
        <v>705</v>
      </c>
      <c r="F42" s="365" t="s">
        <v>28</v>
      </c>
      <c r="G42" s="113" t="s">
        <v>706</v>
      </c>
      <c r="H42" s="144" t="s">
        <v>257</v>
      </c>
      <c r="I42" s="368" t="s">
        <v>2830</v>
      </c>
      <c r="J42" s="404" t="s">
        <v>172</v>
      </c>
      <c r="K42" s="149" t="b">
        <v>0</v>
      </c>
      <c r="L42" s="162"/>
      <c r="M42" s="144" t="s">
        <v>584</v>
      </c>
      <c r="N42" s="148" t="s">
        <v>584</v>
      </c>
      <c r="O42" s="368">
        <v>5.1988551794E10</v>
      </c>
      <c r="P42" s="1185">
        <v>0.3</v>
      </c>
      <c r="Q42" s="790">
        <v>2309.0</v>
      </c>
      <c r="R42" s="168">
        <v>7699.0</v>
      </c>
    </row>
    <row r="43" ht="22.5" customHeight="1">
      <c r="A43" s="148" t="s">
        <v>17</v>
      </c>
      <c r="B43" s="145">
        <v>45864.0</v>
      </c>
      <c r="C43" s="145" t="str">
        <f t="shared" si="1"/>
        <v>julio</v>
      </c>
      <c r="D43" s="149" t="s">
        <v>613</v>
      </c>
      <c r="E43" s="396" t="s">
        <v>709</v>
      </c>
      <c r="F43" s="144" t="s">
        <v>28</v>
      </c>
      <c r="G43" s="410" t="s">
        <v>710</v>
      </c>
      <c r="H43" s="144" t="s">
        <v>257</v>
      </c>
      <c r="I43" s="149" t="s">
        <v>2831</v>
      </c>
      <c r="J43" s="144" t="s">
        <v>172</v>
      </c>
      <c r="K43" s="149" t="b">
        <v>0</v>
      </c>
      <c r="L43" s="162"/>
      <c r="M43" s="144"/>
      <c r="N43" s="194" t="s">
        <v>584</v>
      </c>
      <c r="O43" s="165"/>
      <c r="P43" s="1191">
        <v>0.2</v>
      </c>
      <c r="Q43" s="1190">
        <v>1539.0</v>
      </c>
      <c r="R43" s="168">
        <v>7699.0</v>
      </c>
    </row>
    <row r="44" ht="22.5" customHeight="1">
      <c r="A44" s="148" t="s">
        <v>17</v>
      </c>
      <c r="B44" s="145">
        <v>45864.0</v>
      </c>
      <c r="C44" s="145" t="str">
        <f t="shared" si="1"/>
        <v>julio</v>
      </c>
      <c r="D44" s="501" t="s">
        <v>444</v>
      </c>
      <c r="E44" s="396" t="s">
        <v>712</v>
      </c>
      <c r="F44" s="144" t="s">
        <v>28</v>
      </c>
      <c r="G44" s="521" t="s">
        <v>713</v>
      </c>
      <c r="H44" s="144" t="s">
        <v>257</v>
      </c>
      <c r="I44" s="149"/>
      <c r="J44" s="144" t="s">
        <v>172</v>
      </c>
      <c r="K44" s="149" t="b">
        <v>0</v>
      </c>
      <c r="L44" s="162"/>
      <c r="M44" s="144"/>
      <c r="N44" s="194"/>
      <c r="O44" s="149" t="s">
        <v>714</v>
      </c>
      <c r="P44" s="1191">
        <v>0.2</v>
      </c>
      <c r="Q44" s="1195">
        <v>1300.0</v>
      </c>
      <c r="R44" s="168">
        <v>6599.0</v>
      </c>
    </row>
    <row r="45" ht="22.5" customHeight="1">
      <c r="A45" s="148" t="s">
        <v>162</v>
      </c>
      <c r="B45" s="145">
        <v>45865.0</v>
      </c>
      <c r="C45" s="145" t="str">
        <f t="shared" si="1"/>
        <v>julio</v>
      </c>
      <c r="D45" s="272" t="s">
        <v>715</v>
      </c>
      <c r="E45" s="1196" t="s">
        <v>716</v>
      </c>
      <c r="F45" s="144" t="s">
        <v>399</v>
      </c>
      <c r="G45" s="524"/>
      <c r="H45" s="144" t="s">
        <v>257</v>
      </c>
      <c r="I45" s="149" t="s">
        <v>717</v>
      </c>
      <c r="J45" s="162"/>
      <c r="K45" s="149" t="b">
        <v>0</v>
      </c>
      <c r="L45" s="162"/>
      <c r="M45" s="144"/>
      <c r="N45" s="148"/>
      <c r="O45" s="149">
        <v>5.193523592E10</v>
      </c>
      <c r="P45" s="144" t="s">
        <v>61</v>
      </c>
      <c r="Q45" s="611">
        <v>1058.0</v>
      </c>
      <c r="R45" s="168">
        <v>5289.0</v>
      </c>
    </row>
    <row r="46" ht="22.5" customHeight="1">
      <c r="A46" s="438" t="s">
        <v>34</v>
      </c>
      <c r="B46" s="435">
        <v>45866.0</v>
      </c>
      <c r="C46" s="435" t="str">
        <f t="shared" si="1"/>
        <v>julio</v>
      </c>
      <c r="D46" s="497" t="s">
        <v>718</v>
      </c>
      <c r="E46" s="1184" t="s">
        <v>719</v>
      </c>
      <c r="F46" s="434" t="s">
        <v>28</v>
      </c>
      <c r="G46" s="439" t="s">
        <v>720</v>
      </c>
      <c r="H46" s="144" t="s">
        <v>257</v>
      </c>
      <c r="I46" s="440" t="s">
        <v>2832</v>
      </c>
      <c r="J46" s="526" t="s">
        <v>172</v>
      </c>
      <c r="K46" s="440" t="b">
        <v>0</v>
      </c>
      <c r="L46" s="444"/>
      <c r="M46" s="434"/>
      <c r="N46" s="438"/>
      <c r="O46" s="440">
        <v>5.1902735656E10</v>
      </c>
      <c r="P46" s="434" t="s">
        <v>61</v>
      </c>
      <c r="Q46" s="706">
        <v>1600.0</v>
      </c>
      <c r="R46" s="168">
        <v>7999.0</v>
      </c>
    </row>
    <row r="47" ht="22.5" customHeight="1">
      <c r="A47" s="438" t="s">
        <v>34</v>
      </c>
      <c r="B47" s="435">
        <v>45868.0</v>
      </c>
      <c r="C47" s="435" t="str">
        <f t="shared" si="1"/>
        <v>julio</v>
      </c>
      <c r="D47" s="527" t="s">
        <v>541</v>
      </c>
      <c r="E47" s="1184" t="s">
        <v>722</v>
      </c>
      <c r="F47" s="434" t="s">
        <v>28</v>
      </c>
      <c r="G47" s="528" t="s">
        <v>723</v>
      </c>
      <c r="H47" s="144" t="s">
        <v>257</v>
      </c>
      <c r="I47" s="530"/>
      <c r="J47" s="531" t="s">
        <v>724</v>
      </c>
      <c r="K47" s="440" t="b">
        <v>1</v>
      </c>
      <c r="L47" s="444"/>
      <c r="M47" s="434" t="s">
        <v>584</v>
      </c>
      <c r="N47" s="438"/>
      <c r="O47" s="440">
        <v>5.1989935338E10</v>
      </c>
      <c r="P47" s="434" t="s">
        <v>61</v>
      </c>
      <c r="Q47" s="706">
        <v>1040.0</v>
      </c>
      <c r="R47" s="168">
        <v>5199.0</v>
      </c>
    </row>
    <row r="48" ht="22.5" customHeight="1">
      <c r="A48" s="367" t="s">
        <v>162</v>
      </c>
      <c r="B48" s="187">
        <v>45868.0</v>
      </c>
      <c r="C48" s="187" t="str">
        <f t="shared" si="1"/>
        <v>julio</v>
      </c>
      <c r="D48" s="353" t="s">
        <v>725</v>
      </c>
      <c r="E48" s="396" t="s">
        <v>726</v>
      </c>
      <c r="F48" s="365" t="s">
        <v>28</v>
      </c>
      <c r="G48" s="368" t="s">
        <v>727</v>
      </c>
      <c r="H48" s="144" t="s">
        <v>257</v>
      </c>
      <c r="I48" s="487" t="s">
        <v>729</v>
      </c>
      <c r="J48" s="404" t="s">
        <v>724</v>
      </c>
      <c r="K48" s="149" t="b">
        <v>1</v>
      </c>
      <c r="L48" s="144" t="s">
        <v>584</v>
      </c>
      <c r="M48" s="144" t="s">
        <v>584</v>
      </c>
      <c r="N48" s="148" t="s">
        <v>584</v>
      </c>
      <c r="O48" s="368">
        <v>5.1918518828E10</v>
      </c>
      <c r="P48" s="1185">
        <v>0.5</v>
      </c>
      <c r="Q48" s="790">
        <v>9509.0</v>
      </c>
      <c r="R48" s="168">
        <v>19018.0</v>
      </c>
    </row>
    <row r="49" ht="22.5" customHeight="1">
      <c r="A49" s="367" t="s">
        <v>162</v>
      </c>
      <c r="B49" s="187">
        <v>45868.0</v>
      </c>
      <c r="C49" s="187" t="str">
        <f t="shared" si="1"/>
        <v>julio</v>
      </c>
      <c r="D49" s="368" t="s">
        <v>613</v>
      </c>
      <c r="E49" s="368" t="s">
        <v>730</v>
      </c>
      <c r="F49" s="365" t="s">
        <v>28</v>
      </c>
      <c r="G49" s="536" t="s">
        <v>731</v>
      </c>
      <c r="H49" s="144" t="s">
        <v>257</v>
      </c>
      <c r="I49" s="487" t="s">
        <v>734</v>
      </c>
      <c r="J49" s="404" t="s">
        <v>172</v>
      </c>
      <c r="K49" s="149" t="b">
        <v>0</v>
      </c>
      <c r="L49" s="144" t="s">
        <v>584</v>
      </c>
      <c r="M49" s="144" t="s">
        <v>584</v>
      </c>
      <c r="N49" s="148" t="s">
        <v>584</v>
      </c>
      <c r="O49" s="368" t="s">
        <v>732</v>
      </c>
      <c r="P49" s="1185">
        <v>0.3</v>
      </c>
      <c r="Q49" s="790">
        <v>2310.0</v>
      </c>
      <c r="R49" s="168">
        <v>7250.0</v>
      </c>
    </row>
    <row r="50" ht="22.5" customHeight="1">
      <c r="A50" s="148" t="s">
        <v>17</v>
      </c>
      <c r="B50" s="145">
        <v>45869.0</v>
      </c>
      <c r="C50" s="145" t="str">
        <f t="shared" si="1"/>
        <v>julio</v>
      </c>
      <c r="D50" s="538" t="s">
        <v>593</v>
      </c>
      <c r="E50" s="149" t="s">
        <v>735</v>
      </c>
      <c r="F50" s="144" t="s">
        <v>28</v>
      </c>
      <c r="G50" s="539" t="s">
        <v>736</v>
      </c>
      <c r="H50" s="144" t="s">
        <v>257</v>
      </c>
      <c r="I50" s="540" t="s">
        <v>2833</v>
      </c>
      <c r="J50" s="541" t="s">
        <v>172</v>
      </c>
      <c r="K50" s="149" t="b">
        <v>0</v>
      </c>
      <c r="L50" s="162"/>
      <c r="M50" s="144"/>
      <c r="N50" s="194" t="s">
        <v>584</v>
      </c>
      <c r="O50" s="149" t="s">
        <v>737</v>
      </c>
      <c r="P50" s="144" t="s">
        <v>61</v>
      </c>
      <c r="Q50" s="1190">
        <v>5000.0</v>
      </c>
      <c r="R50" s="168">
        <v>5699.0</v>
      </c>
    </row>
    <row r="51" ht="22.5" customHeight="1">
      <c r="A51" s="546" t="s">
        <v>162</v>
      </c>
      <c r="B51" s="543">
        <v>45871.0</v>
      </c>
      <c r="C51" s="543" t="str">
        <f t="shared" si="1"/>
        <v>agosto</v>
      </c>
      <c r="D51" s="544" t="s">
        <v>613</v>
      </c>
      <c r="E51" s="1197" t="s">
        <v>739</v>
      </c>
      <c r="F51" s="542" t="s">
        <v>28</v>
      </c>
      <c r="G51" s="544" t="s">
        <v>740</v>
      </c>
      <c r="H51" s="144" t="s">
        <v>257</v>
      </c>
      <c r="I51" s="550"/>
      <c r="J51" s="542" t="s">
        <v>724</v>
      </c>
      <c r="K51" s="149" t="b">
        <v>1</v>
      </c>
      <c r="L51" s="162"/>
      <c r="M51" s="144" t="s">
        <v>584</v>
      </c>
      <c r="N51" s="148" t="s">
        <v>584</v>
      </c>
      <c r="O51" s="544">
        <v>5.1923856056E10</v>
      </c>
      <c r="P51" s="542" t="s">
        <v>61</v>
      </c>
      <c r="Q51" s="1198">
        <v>2309.0</v>
      </c>
      <c r="R51" s="168">
        <v>7250.0</v>
      </c>
    </row>
    <row r="52" ht="22.5" customHeight="1">
      <c r="A52" s="148" t="s">
        <v>162</v>
      </c>
      <c r="B52" s="145">
        <v>45871.0</v>
      </c>
      <c r="C52" s="145" t="str">
        <f t="shared" si="1"/>
        <v>agosto</v>
      </c>
      <c r="D52" s="149" t="s">
        <v>613</v>
      </c>
      <c r="E52" s="396" t="s">
        <v>742</v>
      </c>
      <c r="F52" s="144" t="s">
        <v>28</v>
      </c>
      <c r="G52" s="480" t="s">
        <v>743</v>
      </c>
      <c r="H52" s="144" t="s">
        <v>257</v>
      </c>
      <c r="I52" s="165"/>
      <c r="J52" s="144" t="s">
        <v>724</v>
      </c>
      <c r="K52" s="149" t="b">
        <v>1</v>
      </c>
      <c r="L52" s="162"/>
      <c r="M52" s="144" t="s">
        <v>584</v>
      </c>
      <c r="N52" s="148" t="s">
        <v>584</v>
      </c>
      <c r="O52" s="149">
        <v>5.1930377942E10</v>
      </c>
      <c r="P52" s="1191">
        <v>0.5</v>
      </c>
      <c r="Q52" s="611">
        <v>3400.0</v>
      </c>
      <c r="R52" s="168">
        <v>7699.0</v>
      </c>
    </row>
    <row r="53" ht="22.5" customHeight="1">
      <c r="A53" s="554" t="s">
        <v>17</v>
      </c>
      <c r="B53" s="551">
        <v>45871.0</v>
      </c>
      <c r="C53" s="551" t="str">
        <f t="shared" si="1"/>
        <v>agosto</v>
      </c>
      <c r="D53" s="552" t="s">
        <v>745</v>
      </c>
      <c r="E53" s="1199" t="s">
        <v>746</v>
      </c>
      <c r="F53" s="560" t="s">
        <v>28</v>
      </c>
      <c r="G53" s="555" t="s">
        <v>2834</v>
      </c>
      <c r="H53" s="144" t="s">
        <v>257</v>
      </c>
      <c r="I53" s="562"/>
      <c r="J53" s="560" t="s">
        <v>724</v>
      </c>
      <c r="K53" s="248" t="b">
        <v>1</v>
      </c>
      <c r="L53" s="560" t="s">
        <v>584</v>
      </c>
      <c r="M53" s="560" t="s">
        <v>584</v>
      </c>
      <c r="N53" s="194" t="s">
        <v>584</v>
      </c>
      <c r="O53" s="248">
        <v>5.1992875E10</v>
      </c>
      <c r="P53" s="1200">
        <v>0.2</v>
      </c>
      <c r="Q53" s="1201">
        <v>1400.0</v>
      </c>
      <c r="R53" s="168">
        <v>5899.0</v>
      </c>
    </row>
    <row r="54" ht="22.5" customHeight="1">
      <c r="A54" s="148" t="s">
        <v>17</v>
      </c>
      <c r="B54" s="145">
        <v>45871.0</v>
      </c>
      <c r="C54" s="145" t="str">
        <f t="shared" si="1"/>
        <v>agosto</v>
      </c>
      <c r="D54" s="149" t="s">
        <v>613</v>
      </c>
      <c r="E54" s="149" t="s">
        <v>748</v>
      </c>
      <c r="F54" s="144" t="s">
        <v>28</v>
      </c>
      <c r="G54" s="540" t="s">
        <v>749</v>
      </c>
      <c r="H54" s="144" t="s">
        <v>257</v>
      </c>
      <c r="I54" s="165"/>
      <c r="J54" s="144" t="s">
        <v>724</v>
      </c>
      <c r="K54" s="149" t="b">
        <v>1</v>
      </c>
      <c r="L54" s="144" t="s">
        <v>750</v>
      </c>
      <c r="M54" s="144" t="s">
        <v>584</v>
      </c>
      <c r="N54" s="194"/>
      <c r="O54" s="149">
        <v>5.1971791632E10</v>
      </c>
      <c r="P54" s="1191">
        <v>1.0</v>
      </c>
      <c r="Q54" s="1192"/>
      <c r="R54" s="151">
        <v>7799.0</v>
      </c>
    </row>
    <row r="55" ht="22.5" customHeight="1">
      <c r="A55" s="438" t="s">
        <v>34</v>
      </c>
      <c r="B55" s="435">
        <v>45873.0</v>
      </c>
      <c r="C55" s="435" t="str">
        <f t="shared" si="1"/>
        <v>agosto</v>
      </c>
      <c r="D55" s="497" t="s">
        <v>745</v>
      </c>
      <c r="E55" s="1184" t="s">
        <v>751</v>
      </c>
      <c r="F55" s="434" t="s">
        <v>28</v>
      </c>
      <c r="G55" s="497" t="s">
        <v>752</v>
      </c>
      <c r="H55" s="144" t="s">
        <v>257</v>
      </c>
      <c r="I55" s="563" t="s">
        <v>2835</v>
      </c>
      <c r="J55" s="564" t="s">
        <v>724</v>
      </c>
      <c r="K55" s="440" t="b">
        <v>1</v>
      </c>
      <c r="L55" s="434" t="s">
        <v>584</v>
      </c>
      <c r="M55" s="434" t="s">
        <v>584</v>
      </c>
      <c r="N55" s="438"/>
      <c r="O55" s="440">
        <v>5.1929561036E10</v>
      </c>
      <c r="P55" s="1194">
        <v>0.2</v>
      </c>
      <c r="Q55" s="706">
        <v>1180.0</v>
      </c>
      <c r="R55" s="168">
        <v>5899.0</v>
      </c>
    </row>
    <row r="56" ht="22.5" customHeight="1">
      <c r="A56" s="148" t="s">
        <v>162</v>
      </c>
      <c r="B56" s="145">
        <v>45874.0</v>
      </c>
      <c r="C56" s="145" t="str">
        <f t="shared" si="1"/>
        <v>agosto</v>
      </c>
      <c r="D56" s="149" t="s">
        <v>539</v>
      </c>
      <c r="E56" s="149" t="s">
        <v>754</v>
      </c>
      <c r="F56" s="144" t="s">
        <v>28</v>
      </c>
      <c r="G56" s="149" t="s">
        <v>755</v>
      </c>
      <c r="H56" s="144" t="s">
        <v>257</v>
      </c>
      <c r="I56" s="165"/>
      <c r="J56" s="144" t="s">
        <v>724</v>
      </c>
      <c r="K56" s="149" t="b">
        <v>1</v>
      </c>
      <c r="L56" s="162"/>
      <c r="M56" s="144" t="s">
        <v>584</v>
      </c>
      <c r="N56" s="148" t="s">
        <v>584</v>
      </c>
      <c r="O56" s="149">
        <v>5.1949765434E10</v>
      </c>
      <c r="P56" s="1191">
        <v>1.0</v>
      </c>
      <c r="Q56" s="1192"/>
      <c r="R56" s="168">
        <v>6199.0</v>
      </c>
    </row>
    <row r="57" ht="22.5" customHeight="1">
      <c r="A57" s="148" t="s">
        <v>162</v>
      </c>
      <c r="B57" s="145">
        <v>45876.0</v>
      </c>
      <c r="C57" s="145" t="str">
        <f t="shared" si="1"/>
        <v>agosto</v>
      </c>
      <c r="D57" s="149" t="s">
        <v>756</v>
      </c>
      <c r="E57" s="396" t="s">
        <v>757</v>
      </c>
      <c r="F57" s="144" t="s">
        <v>28</v>
      </c>
      <c r="G57" s="149" t="s">
        <v>758</v>
      </c>
      <c r="H57" s="144" t="s">
        <v>257</v>
      </c>
      <c r="I57" s="165"/>
      <c r="J57" s="144" t="s">
        <v>724</v>
      </c>
      <c r="K57" s="149" t="b">
        <v>1</v>
      </c>
      <c r="L57" s="162"/>
      <c r="M57" s="144" t="s">
        <v>584</v>
      </c>
      <c r="N57" s="148" t="s">
        <v>584</v>
      </c>
      <c r="O57" s="149">
        <v>5.1931827335E10</v>
      </c>
      <c r="P57" s="1191">
        <v>1.0</v>
      </c>
      <c r="Q57" s="1192"/>
      <c r="R57" s="168">
        <v>7799.0</v>
      </c>
    </row>
    <row r="58" ht="22.5" customHeight="1">
      <c r="A58" s="148" t="s">
        <v>17</v>
      </c>
      <c r="B58" s="145">
        <v>45876.0</v>
      </c>
      <c r="C58" s="145" t="str">
        <f t="shared" si="1"/>
        <v>agosto</v>
      </c>
      <c r="D58" s="565" t="s">
        <v>759</v>
      </c>
      <c r="E58" s="396" t="s">
        <v>760</v>
      </c>
      <c r="F58" s="144" t="s">
        <v>28</v>
      </c>
      <c r="G58" s="262" t="s">
        <v>761</v>
      </c>
      <c r="H58" s="144" t="s">
        <v>257</v>
      </c>
      <c r="I58" s="149" t="s">
        <v>762</v>
      </c>
      <c r="J58" s="144" t="s">
        <v>724</v>
      </c>
      <c r="K58" s="149" t="b">
        <v>1</v>
      </c>
      <c r="L58" s="144" t="s">
        <v>584</v>
      </c>
      <c r="M58" s="144" t="s">
        <v>584</v>
      </c>
      <c r="N58" s="194" t="s">
        <v>584</v>
      </c>
      <c r="O58" s="149">
        <v>5.199188758E10</v>
      </c>
      <c r="P58" s="1191">
        <v>0.3</v>
      </c>
      <c r="Q58" s="611">
        <v>2287.56</v>
      </c>
      <c r="R58" s="168">
        <v>7625.21</v>
      </c>
    </row>
    <row r="59" ht="22.5" customHeight="1">
      <c r="A59" s="148" t="s">
        <v>17</v>
      </c>
      <c r="B59" s="145">
        <v>45877.0</v>
      </c>
      <c r="C59" s="145" t="str">
        <f t="shared" si="1"/>
        <v>agosto</v>
      </c>
      <c r="D59" s="188" t="s">
        <v>763</v>
      </c>
      <c r="E59" s="149" t="s">
        <v>764</v>
      </c>
      <c r="F59" s="144" t="s">
        <v>28</v>
      </c>
      <c r="G59" s="149" t="s">
        <v>765</v>
      </c>
      <c r="H59" s="144" t="s">
        <v>257</v>
      </c>
      <c r="I59" s="165"/>
      <c r="J59" s="144" t="s">
        <v>724</v>
      </c>
      <c r="K59" s="149" t="b">
        <v>1</v>
      </c>
      <c r="L59" s="144" t="s">
        <v>584</v>
      </c>
      <c r="M59" s="144" t="s">
        <v>584</v>
      </c>
      <c r="N59" s="194" t="s">
        <v>584</v>
      </c>
      <c r="O59" s="149" t="s">
        <v>766</v>
      </c>
      <c r="P59" s="1191">
        <v>0.5</v>
      </c>
      <c r="Q59" s="790">
        <v>8673.16</v>
      </c>
      <c r="R59" s="168">
        <v>17446.33</v>
      </c>
    </row>
    <row r="60" ht="22.5" customHeight="1">
      <c r="A60" s="438" t="s">
        <v>34</v>
      </c>
      <c r="B60" s="435">
        <v>45877.0</v>
      </c>
      <c r="C60" s="435" t="str">
        <f t="shared" si="1"/>
        <v>agosto</v>
      </c>
      <c r="D60" s="566" t="s">
        <v>767</v>
      </c>
      <c r="E60" s="1184" t="s">
        <v>768</v>
      </c>
      <c r="F60" s="434" t="s">
        <v>28</v>
      </c>
      <c r="G60" s="497" t="s">
        <v>769</v>
      </c>
      <c r="H60" s="144" t="s">
        <v>257</v>
      </c>
      <c r="I60" s="440" t="s">
        <v>770</v>
      </c>
      <c r="J60" s="434" t="s">
        <v>724</v>
      </c>
      <c r="K60" s="440" t="b">
        <v>1</v>
      </c>
      <c r="L60" s="434" t="s">
        <v>584</v>
      </c>
      <c r="M60" s="434" t="s">
        <v>584</v>
      </c>
      <c r="N60" s="438"/>
      <c r="O60" s="440">
        <v>5.1967096731E10</v>
      </c>
      <c r="P60" s="1194">
        <v>0.2</v>
      </c>
      <c r="Q60" s="706">
        <v>1640.0</v>
      </c>
      <c r="R60" s="168">
        <v>8199.0</v>
      </c>
    </row>
    <row r="61" ht="22.5" customHeight="1">
      <c r="A61" s="148" t="s">
        <v>17</v>
      </c>
      <c r="B61" s="145">
        <v>45877.0</v>
      </c>
      <c r="C61" s="145" t="str">
        <f t="shared" si="1"/>
        <v>agosto</v>
      </c>
      <c r="D61" s="567" t="s">
        <v>771</v>
      </c>
      <c r="E61" s="149" t="s">
        <v>772</v>
      </c>
      <c r="F61" s="144" t="s">
        <v>28</v>
      </c>
      <c r="G61" s="568">
        <v>1.214828689E9</v>
      </c>
      <c r="H61" s="144" t="s">
        <v>257</v>
      </c>
      <c r="I61" s="165"/>
      <c r="J61" s="144" t="s">
        <v>724</v>
      </c>
      <c r="K61" s="149" t="b">
        <v>1</v>
      </c>
      <c r="L61" s="144" t="s">
        <v>584</v>
      </c>
      <c r="M61" s="144" t="s">
        <v>584</v>
      </c>
      <c r="N61" s="194" t="s">
        <v>584</v>
      </c>
      <c r="O61" s="149">
        <v>5.198877679E10</v>
      </c>
      <c r="P61" s="1191">
        <v>0.2</v>
      </c>
      <c r="Q61" s="790">
        <v>2760.0</v>
      </c>
      <c r="R61" s="168">
        <v>9199.0</v>
      </c>
    </row>
    <row r="62" ht="22.5" customHeight="1">
      <c r="A62" s="367" t="s">
        <v>17</v>
      </c>
      <c r="B62" s="187">
        <v>45877.0</v>
      </c>
      <c r="C62" s="187" t="str">
        <f t="shared" si="1"/>
        <v>agosto</v>
      </c>
      <c r="D62" s="569" t="s">
        <v>674</v>
      </c>
      <c r="E62" s="368" t="s">
        <v>773</v>
      </c>
      <c r="F62" s="365" t="s">
        <v>28</v>
      </c>
      <c r="G62" s="113" t="s">
        <v>774</v>
      </c>
      <c r="H62" s="144" t="s">
        <v>257</v>
      </c>
      <c r="I62" s="388"/>
      <c r="J62" s="365" t="s">
        <v>724</v>
      </c>
      <c r="K62" s="368" t="b">
        <v>1</v>
      </c>
      <c r="L62" s="365" t="s">
        <v>750</v>
      </c>
      <c r="M62" s="365" t="s">
        <v>584</v>
      </c>
      <c r="N62" s="194" t="s">
        <v>584</v>
      </c>
      <c r="O62" s="368" t="s">
        <v>775</v>
      </c>
      <c r="P62" s="1185">
        <v>1.0</v>
      </c>
      <c r="Q62" s="1188"/>
      <c r="R62" s="168">
        <v>8400.0</v>
      </c>
    </row>
    <row r="63" ht="22.5" customHeight="1">
      <c r="A63" s="554" t="s">
        <v>17</v>
      </c>
      <c r="B63" s="551">
        <v>45877.0</v>
      </c>
      <c r="C63" s="551" t="str">
        <f t="shared" si="1"/>
        <v>agosto</v>
      </c>
      <c r="D63" s="570" t="s">
        <v>776</v>
      </c>
      <c r="E63" s="248" t="s">
        <v>777</v>
      </c>
      <c r="F63" s="560" t="s">
        <v>28</v>
      </c>
      <c r="G63" s="249" t="s">
        <v>778</v>
      </c>
      <c r="H63" s="144" t="s">
        <v>257</v>
      </c>
      <c r="I63" s="562"/>
      <c r="J63" s="560" t="s">
        <v>724</v>
      </c>
      <c r="K63" s="248" t="b">
        <v>1</v>
      </c>
      <c r="L63" s="560" t="s">
        <v>750</v>
      </c>
      <c r="M63" s="560" t="s">
        <v>584</v>
      </c>
      <c r="N63" s="194" t="s">
        <v>584</v>
      </c>
      <c r="O63" s="248">
        <v>5.1993287847E10</v>
      </c>
      <c r="P63" s="1200">
        <v>1.0</v>
      </c>
      <c r="Q63" s="897"/>
      <c r="R63" s="168">
        <v>5100.0</v>
      </c>
    </row>
    <row r="64" ht="22.5" customHeight="1">
      <c r="A64" s="438" t="s">
        <v>34</v>
      </c>
      <c r="B64" s="435">
        <v>45878.0</v>
      </c>
      <c r="C64" s="435" t="str">
        <f t="shared" si="1"/>
        <v>agosto</v>
      </c>
      <c r="D64" s="574" t="s">
        <v>613</v>
      </c>
      <c r="E64" s="1184" t="s">
        <v>779</v>
      </c>
      <c r="F64" s="434" t="s">
        <v>28</v>
      </c>
      <c r="G64" s="497" t="s">
        <v>780</v>
      </c>
      <c r="H64" s="144" t="s">
        <v>257</v>
      </c>
      <c r="I64" s="575"/>
      <c r="J64" s="434" t="s">
        <v>724</v>
      </c>
      <c r="K64" s="440" t="b">
        <v>1</v>
      </c>
      <c r="L64" s="434" t="s">
        <v>584</v>
      </c>
      <c r="M64" s="434" t="s">
        <v>584</v>
      </c>
      <c r="N64" s="438"/>
      <c r="O64" s="440" t="s">
        <v>781</v>
      </c>
      <c r="P64" s="1194">
        <v>0.2</v>
      </c>
      <c r="Q64" s="706">
        <v>1560.0</v>
      </c>
      <c r="R64" s="168">
        <v>8299.0</v>
      </c>
    </row>
    <row r="65" ht="22.5" customHeight="1">
      <c r="A65" s="367" t="s">
        <v>162</v>
      </c>
      <c r="B65" s="187">
        <v>45881.0</v>
      </c>
      <c r="C65" s="187" t="str">
        <f t="shared" si="1"/>
        <v>agosto</v>
      </c>
      <c r="D65" s="488" t="s">
        <v>782</v>
      </c>
      <c r="E65" s="396" t="s">
        <v>783</v>
      </c>
      <c r="F65" s="365" t="s">
        <v>28</v>
      </c>
      <c r="G65" s="113" t="s">
        <v>784</v>
      </c>
      <c r="H65" s="144" t="s">
        <v>257</v>
      </c>
      <c r="I65" s="388"/>
      <c r="J65" s="365" t="s">
        <v>724</v>
      </c>
      <c r="K65" s="368" t="b">
        <v>1</v>
      </c>
      <c r="L65" s="365" t="s">
        <v>584</v>
      </c>
      <c r="M65" s="365" t="s">
        <v>584</v>
      </c>
      <c r="N65" s="367" t="s">
        <v>584</v>
      </c>
      <c r="O65" s="368">
        <v>5.1923028718E10</v>
      </c>
      <c r="P65" s="1185">
        <v>0.5</v>
      </c>
      <c r="Q65" s="790">
        <v>6100.0</v>
      </c>
      <c r="R65" s="168">
        <v>11850.0</v>
      </c>
    </row>
    <row r="66" ht="22.5" customHeight="1">
      <c r="A66" s="438" t="s">
        <v>34</v>
      </c>
      <c r="B66" s="435">
        <v>45881.0</v>
      </c>
      <c r="C66" s="435" t="str">
        <f t="shared" si="1"/>
        <v>agosto</v>
      </c>
      <c r="D66" s="566" t="s">
        <v>745</v>
      </c>
      <c r="E66" s="1184" t="s">
        <v>786</v>
      </c>
      <c r="F66" s="434" t="s">
        <v>28</v>
      </c>
      <c r="G66" s="497" t="s">
        <v>787</v>
      </c>
      <c r="H66" s="144" t="s">
        <v>257</v>
      </c>
      <c r="I66" s="575"/>
      <c r="J66" s="434" t="s">
        <v>724</v>
      </c>
      <c r="K66" s="440" t="b">
        <v>1</v>
      </c>
      <c r="L66" s="444"/>
      <c r="M66" s="434" t="s">
        <v>584</v>
      </c>
      <c r="N66" s="438"/>
      <c r="O66" s="440">
        <v>5.1900193372E10</v>
      </c>
      <c r="P66" s="1194">
        <v>0.2</v>
      </c>
      <c r="Q66" s="706">
        <v>1180.0</v>
      </c>
      <c r="R66" s="168">
        <v>5899.0</v>
      </c>
    </row>
    <row r="67" ht="22.5" customHeight="1">
      <c r="A67" s="438" t="s">
        <v>34</v>
      </c>
      <c r="B67" s="435">
        <v>45882.0</v>
      </c>
      <c r="C67" s="435" t="str">
        <f t="shared" si="1"/>
        <v>agosto</v>
      </c>
      <c r="D67" s="455" t="s">
        <v>328</v>
      </c>
      <c r="E67" s="440" t="s">
        <v>788</v>
      </c>
      <c r="F67" s="434" t="s">
        <v>28</v>
      </c>
      <c r="G67" s="497" t="s">
        <v>789</v>
      </c>
      <c r="H67" s="144" t="s">
        <v>257</v>
      </c>
      <c r="I67" s="575"/>
      <c r="J67" s="434" t="s">
        <v>724</v>
      </c>
      <c r="K67" s="440" t="b">
        <v>1</v>
      </c>
      <c r="L67" s="444"/>
      <c r="M67" s="434" t="s">
        <v>584</v>
      </c>
      <c r="N67" s="438"/>
      <c r="O67" s="440" t="s">
        <v>790</v>
      </c>
      <c r="P67" s="1194">
        <v>1.0</v>
      </c>
      <c r="Q67" s="1202"/>
      <c r="R67" s="168">
        <v>7199.0</v>
      </c>
    </row>
    <row r="68" ht="22.5" customHeight="1">
      <c r="A68" s="367" t="s">
        <v>17</v>
      </c>
      <c r="B68" s="187">
        <v>45882.0</v>
      </c>
      <c r="C68" s="187" t="str">
        <f t="shared" si="1"/>
        <v>agosto</v>
      </c>
      <c r="D68" s="569" t="s">
        <v>613</v>
      </c>
      <c r="E68" s="368" t="s">
        <v>791</v>
      </c>
      <c r="F68" s="365" t="s">
        <v>28</v>
      </c>
      <c r="G68" s="578" t="s">
        <v>792</v>
      </c>
      <c r="H68" s="144" t="s">
        <v>257</v>
      </c>
      <c r="I68" s="388"/>
      <c r="J68" s="365" t="s">
        <v>724</v>
      </c>
      <c r="K68" s="368" t="b">
        <v>1</v>
      </c>
      <c r="L68" s="365" t="s">
        <v>584</v>
      </c>
      <c r="M68" s="365" t="s">
        <v>584</v>
      </c>
      <c r="N68" s="194" t="s">
        <v>584</v>
      </c>
      <c r="O68" s="368" t="s">
        <v>793</v>
      </c>
      <c r="P68" s="1185">
        <v>0.2</v>
      </c>
      <c r="Q68" s="1203">
        <v>1559.8</v>
      </c>
      <c r="R68" s="168">
        <v>7799.0</v>
      </c>
    </row>
    <row r="69" ht="22.5" customHeight="1">
      <c r="A69" s="438" t="s">
        <v>34</v>
      </c>
      <c r="B69" s="435">
        <v>45883.0</v>
      </c>
      <c r="C69" s="435" t="str">
        <f t="shared" si="1"/>
        <v>agosto</v>
      </c>
      <c r="D69" s="579" t="s">
        <v>794</v>
      </c>
      <c r="E69" s="440" t="s">
        <v>795</v>
      </c>
      <c r="F69" s="434" t="s">
        <v>28</v>
      </c>
      <c r="G69" s="580" t="s">
        <v>796</v>
      </c>
      <c r="H69" s="144" t="s">
        <v>257</v>
      </c>
      <c r="I69" s="575"/>
      <c r="J69" s="434" t="s">
        <v>724</v>
      </c>
      <c r="K69" s="440" t="b">
        <v>1</v>
      </c>
      <c r="L69" s="444"/>
      <c r="M69" s="434" t="s">
        <v>584</v>
      </c>
      <c r="N69" s="438"/>
      <c r="O69" s="440" t="s">
        <v>797</v>
      </c>
      <c r="P69" s="1194">
        <v>0.2</v>
      </c>
      <c r="Q69" s="706">
        <v>1340.0</v>
      </c>
      <c r="R69" s="168">
        <v>6699.0</v>
      </c>
    </row>
    <row r="70" ht="22.5" customHeight="1">
      <c r="A70" s="148" t="s">
        <v>17</v>
      </c>
      <c r="B70" s="145">
        <v>45885.0</v>
      </c>
      <c r="C70" s="145" t="str">
        <f t="shared" si="1"/>
        <v>agosto</v>
      </c>
      <c r="D70" s="309" t="s">
        <v>798</v>
      </c>
      <c r="E70" s="396" t="s">
        <v>799</v>
      </c>
      <c r="F70" s="144" t="s">
        <v>399</v>
      </c>
      <c r="G70" s="262" t="s">
        <v>800</v>
      </c>
      <c r="H70" s="144" t="s">
        <v>257</v>
      </c>
      <c r="I70" s="149" t="s">
        <v>801</v>
      </c>
      <c r="J70" s="162"/>
      <c r="K70" s="149" t="b">
        <v>0</v>
      </c>
      <c r="L70" s="144" t="s">
        <v>584</v>
      </c>
      <c r="M70" s="144" t="s">
        <v>584</v>
      </c>
      <c r="N70" s="194"/>
      <c r="O70" s="149">
        <v>5.1940883472E10</v>
      </c>
      <c r="P70" s="1191">
        <v>0.3</v>
      </c>
      <c r="Q70" s="790">
        <v>2310.64</v>
      </c>
      <c r="R70" s="168">
        <v>7702.12</v>
      </c>
    </row>
    <row r="71" ht="22.5" customHeight="1">
      <c r="A71" s="148" t="s">
        <v>17</v>
      </c>
      <c r="B71" s="145">
        <v>45885.0</v>
      </c>
      <c r="C71" s="145" t="str">
        <f t="shared" si="1"/>
        <v>agosto</v>
      </c>
      <c r="D71" s="581" t="s">
        <v>802</v>
      </c>
      <c r="E71" s="396" t="s">
        <v>803</v>
      </c>
      <c r="F71" s="144" t="s">
        <v>28</v>
      </c>
      <c r="G71" s="262" t="s">
        <v>804</v>
      </c>
      <c r="H71" s="144" t="s">
        <v>257</v>
      </c>
      <c r="I71" s="149" t="s">
        <v>806</v>
      </c>
      <c r="J71" s="144" t="s">
        <v>724</v>
      </c>
      <c r="K71" s="149" t="b">
        <v>1</v>
      </c>
      <c r="L71" s="144" t="s">
        <v>584</v>
      </c>
      <c r="M71" s="144" t="s">
        <v>584</v>
      </c>
      <c r="N71" s="194" t="s">
        <v>584</v>
      </c>
      <c r="O71" s="149" t="s">
        <v>805</v>
      </c>
      <c r="P71" s="1191">
        <v>0.3</v>
      </c>
      <c r="Q71" s="611">
        <v>3000.0</v>
      </c>
      <c r="R71" s="168">
        <v>9999.0</v>
      </c>
    </row>
    <row r="72" ht="22.5" customHeight="1">
      <c r="A72" s="554" t="s">
        <v>34</v>
      </c>
      <c r="B72" s="551">
        <v>45887.0</v>
      </c>
      <c r="C72" s="551" t="str">
        <f t="shared" si="1"/>
        <v>agosto</v>
      </c>
      <c r="D72" s="582" t="s">
        <v>794</v>
      </c>
      <c r="E72" s="1199" t="s">
        <v>807</v>
      </c>
      <c r="F72" s="560" t="s">
        <v>28</v>
      </c>
      <c r="G72" s="583" t="s">
        <v>808</v>
      </c>
      <c r="H72" s="144" t="s">
        <v>257</v>
      </c>
      <c r="I72" s="585" t="s">
        <v>811</v>
      </c>
      <c r="J72" s="560" t="s">
        <v>724</v>
      </c>
      <c r="K72" s="248" t="b">
        <v>1</v>
      </c>
      <c r="L72" s="560" t="s">
        <v>584</v>
      </c>
      <c r="M72" s="560"/>
      <c r="N72" s="554"/>
      <c r="O72" s="248" t="s">
        <v>809</v>
      </c>
      <c r="P72" s="1200">
        <v>0.2</v>
      </c>
      <c r="Q72" s="783">
        <v>1460.0</v>
      </c>
      <c r="R72" s="783">
        <v>7299.0</v>
      </c>
    </row>
    <row r="73" ht="22.5" customHeight="1">
      <c r="A73" s="148" t="s">
        <v>162</v>
      </c>
      <c r="B73" s="145">
        <v>45887.0</v>
      </c>
      <c r="C73" s="145" t="str">
        <f t="shared" si="1"/>
        <v>agosto</v>
      </c>
      <c r="D73" s="149" t="s">
        <v>812</v>
      </c>
      <c r="E73" s="396" t="s">
        <v>813</v>
      </c>
      <c r="F73" s="144" t="s">
        <v>28</v>
      </c>
      <c r="G73" s="262" t="s">
        <v>814</v>
      </c>
      <c r="H73" s="144" t="s">
        <v>257</v>
      </c>
      <c r="I73" s="149" t="s">
        <v>815</v>
      </c>
      <c r="J73" s="144" t="s">
        <v>724</v>
      </c>
      <c r="K73" s="149" t="b">
        <v>1</v>
      </c>
      <c r="L73" s="144" t="s">
        <v>584</v>
      </c>
      <c r="M73" s="144" t="s">
        <v>584</v>
      </c>
      <c r="N73" s="148" t="s">
        <v>584</v>
      </c>
      <c r="O73" s="149">
        <v>5.1923462845E10</v>
      </c>
      <c r="P73" s="144" t="s">
        <v>61</v>
      </c>
      <c r="Q73" s="790">
        <v>1500.0</v>
      </c>
      <c r="R73" s="168">
        <v>6143.0</v>
      </c>
    </row>
    <row r="74" ht="22.5" customHeight="1">
      <c r="A74" s="148" t="s">
        <v>162</v>
      </c>
      <c r="B74" s="145">
        <v>45887.0</v>
      </c>
      <c r="C74" s="145" t="str">
        <f t="shared" si="1"/>
        <v>agosto</v>
      </c>
      <c r="D74" s="207" t="s">
        <v>816</v>
      </c>
      <c r="E74" s="149" t="s">
        <v>817</v>
      </c>
      <c r="F74" s="144" t="s">
        <v>28</v>
      </c>
      <c r="G74" s="262" t="s">
        <v>818</v>
      </c>
      <c r="H74" s="144" t="s">
        <v>257</v>
      </c>
      <c r="I74" s="149" t="s">
        <v>819</v>
      </c>
      <c r="J74" s="144" t="s">
        <v>724</v>
      </c>
      <c r="K74" s="149" t="b">
        <v>1</v>
      </c>
      <c r="L74" s="144" t="s">
        <v>584</v>
      </c>
      <c r="M74" s="144" t="s">
        <v>584</v>
      </c>
      <c r="N74" s="148" t="s">
        <v>584</v>
      </c>
      <c r="O74" s="149">
        <v>5.1924374659E10</v>
      </c>
      <c r="P74" s="144" t="s">
        <v>61</v>
      </c>
      <c r="Q74" s="790">
        <v>1025.0</v>
      </c>
      <c r="R74" s="168">
        <v>5129.0</v>
      </c>
    </row>
    <row r="75" ht="22.5" customHeight="1">
      <c r="A75" s="367" t="s">
        <v>162</v>
      </c>
      <c r="B75" s="187">
        <v>45887.0</v>
      </c>
      <c r="C75" s="187" t="str">
        <f t="shared" si="1"/>
        <v>agosto</v>
      </c>
      <c r="D75" s="368" t="s">
        <v>745</v>
      </c>
      <c r="E75" s="396" t="s">
        <v>820</v>
      </c>
      <c r="F75" s="365" t="s">
        <v>28</v>
      </c>
      <c r="G75" s="368" t="s">
        <v>821</v>
      </c>
      <c r="H75" s="144" t="s">
        <v>257</v>
      </c>
      <c r="I75" s="388"/>
      <c r="J75" s="365" t="s">
        <v>724</v>
      </c>
      <c r="K75" s="368" t="b">
        <v>1</v>
      </c>
      <c r="L75" s="375"/>
      <c r="M75" s="365" t="s">
        <v>584</v>
      </c>
      <c r="N75" s="367" t="s">
        <v>584</v>
      </c>
      <c r="O75" s="368">
        <v>5.1916567801E10</v>
      </c>
      <c r="P75" s="365" t="s">
        <v>61</v>
      </c>
      <c r="Q75" s="790">
        <v>1180.0</v>
      </c>
      <c r="R75" s="168">
        <v>5899.0</v>
      </c>
    </row>
    <row r="76" ht="22.5" customHeight="1">
      <c r="A76" s="438" t="s">
        <v>34</v>
      </c>
      <c r="B76" s="435">
        <v>45888.0</v>
      </c>
      <c r="C76" s="435" t="str">
        <f t="shared" si="1"/>
        <v>agosto</v>
      </c>
      <c r="D76" s="574" t="s">
        <v>613</v>
      </c>
      <c r="E76" s="1184" t="s">
        <v>823</v>
      </c>
      <c r="F76" s="434" t="s">
        <v>28</v>
      </c>
      <c r="G76" s="566" t="s">
        <v>824</v>
      </c>
      <c r="H76" s="144" t="s">
        <v>257</v>
      </c>
      <c r="I76" s="575"/>
      <c r="J76" s="434" t="s">
        <v>724</v>
      </c>
      <c r="K76" s="440" t="b">
        <v>1</v>
      </c>
      <c r="L76" s="434" t="s">
        <v>584</v>
      </c>
      <c r="M76" s="434" t="s">
        <v>584</v>
      </c>
      <c r="N76" s="438"/>
      <c r="O76" s="440">
        <v>5.1976730053E10</v>
      </c>
      <c r="P76" s="1194">
        <v>0.2</v>
      </c>
      <c r="Q76" s="706">
        <v>1559.8</v>
      </c>
      <c r="R76" s="168">
        <v>7799.0</v>
      </c>
    </row>
    <row r="77" ht="22.5" customHeight="1">
      <c r="A77" s="148" t="s">
        <v>34</v>
      </c>
      <c r="B77" s="145">
        <v>45888.0</v>
      </c>
      <c r="C77" s="145" t="str">
        <f t="shared" si="1"/>
        <v>agosto</v>
      </c>
      <c r="D77" s="567" t="s">
        <v>825</v>
      </c>
      <c r="E77" s="396" t="s">
        <v>826</v>
      </c>
      <c r="F77" s="144" t="s">
        <v>28</v>
      </c>
      <c r="G77" s="586" t="s">
        <v>827</v>
      </c>
      <c r="H77" s="144" t="s">
        <v>257</v>
      </c>
      <c r="I77" s="165"/>
      <c r="J77" s="144" t="s">
        <v>724</v>
      </c>
      <c r="K77" s="149" t="b">
        <v>1</v>
      </c>
      <c r="L77" s="144" t="s">
        <v>584</v>
      </c>
      <c r="M77" s="144" t="s">
        <v>584</v>
      </c>
      <c r="N77" s="148"/>
      <c r="O77" s="149" t="s">
        <v>828</v>
      </c>
      <c r="P77" s="1191">
        <v>0.2</v>
      </c>
      <c r="Q77" s="790">
        <v>1540.0</v>
      </c>
      <c r="R77" s="168">
        <v>7699.0</v>
      </c>
    </row>
    <row r="78" ht="22.5" customHeight="1">
      <c r="A78" s="148" t="s">
        <v>162</v>
      </c>
      <c r="B78" s="145">
        <v>45888.0</v>
      </c>
      <c r="C78" s="145" t="str">
        <f t="shared" si="1"/>
        <v>agosto</v>
      </c>
      <c r="D78" s="353" t="s">
        <v>829</v>
      </c>
      <c r="E78" s="396" t="s">
        <v>830</v>
      </c>
      <c r="F78" s="144" t="s">
        <v>28</v>
      </c>
      <c r="G78" s="587" t="s">
        <v>831</v>
      </c>
      <c r="H78" s="144" t="s">
        <v>257</v>
      </c>
      <c r="I78" s="165"/>
      <c r="J78" s="144" t="s">
        <v>724</v>
      </c>
      <c r="K78" s="149" t="b">
        <v>1</v>
      </c>
      <c r="L78" s="162"/>
      <c r="M78" s="144" t="s">
        <v>584</v>
      </c>
      <c r="N78" s="148" t="s">
        <v>584</v>
      </c>
      <c r="O78" s="149">
        <v>5.1960198782E10</v>
      </c>
      <c r="P78" s="144" t="s">
        <v>61</v>
      </c>
      <c r="Q78" s="790">
        <v>5925.0</v>
      </c>
      <c r="R78" s="168">
        <v>11850.0</v>
      </c>
    </row>
    <row r="79" ht="22.5" customHeight="1">
      <c r="A79" s="148" t="s">
        <v>162</v>
      </c>
      <c r="B79" s="145">
        <v>45888.0</v>
      </c>
      <c r="C79" s="145" t="str">
        <f t="shared" si="1"/>
        <v>agosto</v>
      </c>
      <c r="D79" s="149" t="s">
        <v>613</v>
      </c>
      <c r="E79" s="396" t="s">
        <v>833</v>
      </c>
      <c r="F79" s="144" t="s">
        <v>28</v>
      </c>
      <c r="G79" s="149" t="s">
        <v>834</v>
      </c>
      <c r="H79" s="144" t="s">
        <v>257</v>
      </c>
      <c r="I79" s="165"/>
      <c r="J79" s="144" t="s">
        <v>724</v>
      </c>
      <c r="K79" s="149" t="b">
        <v>1</v>
      </c>
      <c r="L79" s="162"/>
      <c r="M79" s="144" t="s">
        <v>584</v>
      </c>
      <c r="N79" s="148" t="s">
        <v>584</v>
      </c>
      <c r="O79" s="149">
        <v>9.39291517E8</v>
      </c>
      <c r="P79" s="144" t="s">
        <v>61</v>
      </c>
      <c r="Q79" s="790">
        <v>2300.0</v>
      </c>
      <c r="R79" s="168">
        <v>7799.0</v>
      </c>
    </row>
    <row r="80" ht="22.5" customHeight="1">
      <c r="A80" s="367" t="s">
        <v>17</v>
      </c>
      <c r="B80" s="187">
        <v>45888.0</v>
      </c>
      <c r="C80" s="187" t="str">
        <f t="shared" si="1"/>
        <v>agosto</v>
      </c>
      <c r="D80" s="589" t="s">
        <v>613</v>
      </c>
      <c r="E80" s="368" t="s">
        <v>835</v>
      </c>
      <c r="F80" s="365" t="s">
        <v>28</v>
      </c>
      <c r="G80" s="590" t="s">
        <v>836</v>
      </c>
      <c r="H80" s="144" t="s">
        <v>257</v>
      </c>
      <c r="I80" s="388"/>
      <c r="J80" s="144" t="s">
        <v>724</v>
      </c>
      <c r="K80" s="368" t="b">
        <v>1</v>
      </c>
      <c r="L80" s="365" t="s">
        <v>584</v>
      </c>
      <c r="M80" s="365" t="s">
        <v>584</v>
      </c>
      <c r="N80" s="194" t="s">
        <v>584</v>
      </c>
      <c r="O80" s="368">
        <v>5.1966987064E10</v>
      </c>
      <c r="P80" s="1185">
        <v>1.0</v>
      </c>
      <c r="Q80" s="1188"/>
      <c r="R80" s="168">
        <v>7799.0</v>
      </c>
    </row>
    <row r="81" ht="22.5" customHeight="1">
      <c r="A81" s="148" t="s">
        <v>17</v>
      </c>
      <c r="B81" s="145">
        <v>45889.0</v>
      </c>
      <c r="C81" s="145" t="str">
        <f t="shared" si="1"/>
        <v>agosto</v>
      </c>
      <c r="D81" s="591" t="s">
        <v>837</v>
      </c>
      <c r="E81" s="149" t="s">
        <v>838</v>
      </c>
      <c r="F81" s="144" t="s">
        <v>28</v>
      </c>
      <c r="G81" s="591" t="s">
        <v>839</v>
      </c>
      <c r="H81" s="144" t="s">
        <v>257</v>
      </c>
      <c r="I81" s="165"/>
      <c r="J81" s="144" t="s">
        <v>724</v>
      </c>
      <c r="K81" s="149" t="b">
        <v>1</v>
      </c>
      <c r="L81" s="144" t="s">
        <v>750</v>
      </c>
      <c r="M81" s="144" t="s">
        <v>584</v>
      </c>
      <c r="N81" s="194" t="s">
        <v>584</v>
      </c>
      <c r="O81" s="149" t="s">
        <v>840</v>
      </c>
      <c r="P81" s="1191">
        <v>0.2</v>
      </c>
      <c r="Q81" s="790">
        <v>1200.0</v>
      </c>
      <c r="R81" s="168">
        <v>5899.0</v>
      </c>
    </row>
    <row r="82" ht="22.5" customHeight="1">
      <c r="A82" s="367" t="s">
        <v>17</v>
      </c>
      <c r="B82" s="187">
        <v>45891.0</v>
      </c>
      <c r="C82" s="187" t="str">
        <f t="shared" si="1"/>
        <v>agosto</v>
      </c>
      <c r="D82" s="592" t="s">
        <v>841</v>
      </c>
      <c r="E82" s="368" t="s">
        <v>842</v>
      </c>
      <c r="F82" s="365" t="s">
        <v>28</v>
      </c>
      <c r="G82" s="113" t="s">
        <v>843</v>
      </c>
      <c r="H82" s="144" t="s">
        <v>257</v>
      </c>
      <c r="I82" s="368"/>
      <c r="J82" s="365" t="s">
        <v>724</v>
      </c>
      <c r="K82" s="368" t="b">
        <v>1</v>
      </c>
      <c r="L82" s="365" t="s">
        <v>584</v>
      </c>
      <c r="M82" s="365" t="s">
        <v>584</v>
      </c>
      <c r="N82" s="367" t="s">
        <v>584</v>
      </c>
      <c r="O82" s="368" t="s">
        <v>844</v>
      </c>
      <c r="P82" s="1185">
        <v>0.2</v>
      </c>
      <c r="Q82" s="790">
        <v>1785.29</v>
      </c>
      <c r="R82" s="168">
        <v>5950.96</v>
      </c>
    </row>
    <row r="83" ht="22.5" customHeight="1">
      <c r="A83" s="398" t="s">
        <v>34</v>
      </c>
      <c r="B83" s="594">
        <v>45892.0</v>
      </c>
      <c r="C83" s="594" t="str">
        <f t="shared" si="1"/>
        <v>agosto</v>
      </c>
      <c r="D83" s="595" t="s">
        <v>845</v>
      </c>
      <c r="E83" s="397" t="s">
        <v>846</v>
      </c>
      <c r="F83" s="593" t="s">
        <v>28</v>
      </c>
      <c r="G83" s="597" t="s">
        <v>847</v>
      </c>
      <c r="H83" s="144" t="s">
        <v>257</v>
      </c>
      <c r="I83" s="397" t="s">
        <v>849</v>
      </c>
      <c r="J83" s="593" t="s">
        <v>724</v>
      </c>
      <c r="K83" s="397" t="b">
        <v>1</v>
      </c>
      <c r="L83" s="593" t="s">
        <v>584</v>
      </c>
      <c r="M83" s="593" t="s">
        <v>584</v>
      </c>
      <c r="N83" s="398"/>
      <c r="O83" s="397" t="s">
        <v>848</v>
      </c>
      <c r="P83" s="1204">
        <v>0.2</v>
      </c>
      <c r="Q83" s="715">
        <v>1000.0</v>
      </c>
      <c r="R83" s="608">
        <v>4654.87</v>
      </c>
    </row>
    <row r="84" ht="22.5" customHeight="1">
      <c r="A84" s="148" t="s">
        <v>162</v>
      </c>
      <c r="B84" s="145">
        <v>45892.0</v>
      </c>
      <c r="C84" s="145" t="str">
        <f t="shared" si="1"/>
        <v>agosto</v>
      </c>
      <c r="D84" s="149" t="s">
        <v>825</v>
      </c>
      <c r="E84" s="149" t="s">
        <v>850</v>
      </c>
      <c r="F84" s="144" t="s">
        <v>28</v>
      </c>
      <c r="G84" s="149" t="s">
        <v>851</v>
      </c>
      <c r="H84" s="144" t="s">
        <v>257</v>
      </c>
      <c r="I84" s="165"/>
      <c r="J84" s="144" t="s">
        <v>724</v>
      </c>
      <c r="K84" s="149" t="b">
        <v>1</v>
      </c>
      <c r="L84" s="144" t="s">
        <v>584</v>
      </c>
      <c r="M84" s="144" t="s">
        <v>584</v>
      </c>
      <c r="N84" s="148" t="s">
        <v>584</v>
      </c>
      <c r="O84" s="149">
        <v>5.197313298E10</v>
      </c>
      <c r="P84" s="1191">
        <v>0.3</v>
      </c>
      <c r="Q84" s="611">
        <v>2310.0</v>
      </c>
      <c r="R84" s="168">
        <v>7749.0</v>
      </c>
    </row>
    <row r="85" ht="22.5" customHeight="1">
      <c r="A85" s="148" t="s">
        <v>162</v>
      </c>
      <c r="B85" s="145">
        <v>45892.0</v>
      </c>
      <c r="C85" s="145" t="str">
        <f t="shared" si="1"/>
        <v>agosto</v>
      </c>
      <c r="D85" s="149" t="s">
        <v>745</v>
      </c>
      <c r="E85" s="396" t="s">
        <v>852</v>
      </c>
      <c r="F85" s="144" t="s">
        <v>28</v>
      </c>
      <c r="G85" s="149" t="s">
        <v>853</v>
      </c>
      <c r="H85" s="144" t="s">
        <v>257</v>
      </c>
      <c r="I85" s="165"/>
      <c r="J85" s="144" t="s">
        <v>724</v>
      </c>
      <c r="K85" s="149" t="b">
        <v>1</v>
      </c>
      <c r="L85" s="162"/>
      <c r="M85" s="144" t="s">
        <v>584</v>
      </c>
      <c r="N85" s="148" t="s">
        <v>584</v>
      </c>
      <c r="O85" s="149">
        <v>5.1955256909E10</v>
      </c>
      <c r="P85" s="1191">
        <v>1.0</v>
      </c>
      <c r="Q85" s="611">
        <v>5859.0</v>
      </c>
      <c r="R85" s="168">
        <v>5859.0</v>
      </c>
    </row>
    <row r="86" ht="22.5" customHeight="1">
      <c r="A86" s="148" t="s">
        <v>17</v>
      </c>
      <c r="B86" s="145">
        <v>45892.0</v>
      </c>
      <c r="C86" s="145" t="str">
        <f t="shared" si="1"/>
        <v>agosto</v>
      </c>
      <c r="D86" s="601" t="s">
        <v>854</v>
      </c>
      <c r="E86" s="396" t="s">
        <v>855</v>
      </c>
      <c r="F86" s="144" t="s">
        <v>28</v>
      </c>
      <c r="G86" s="591" t="s">
        <v>856</v>
      </c>
      <c r="H86" s="144" t="s">
        <v>257</v>
      </c>
      <c r="I86" s="165"/>
      <c r="J86" s="144" t="s">
        <v>724</v>
      </c>
      <c r="K86" s="338" t="b">
        <v>1</v>
      </c>
      <c r="L86" s="144" t="s">
        <v>584</v>
      </c>
      <c r="M86" s="144" t="s">
        <v>584</v>
      </c>
      <c r="N86" s="194" t="s">
        <v>584</v>
      </c>
      <c r="O86" s="149" t="s">
        <v>857</v>
      </c>
      <c r="P86" s="1191">
        <v>1.0</v>
      </c>
      <c r="Q86" s="1205"/>
      <c r="R86" s="168">
        <v>8099.0</v>
      </c>
    </row>
    <row r="87" ht="22.5" customHeight="1">
      <c r="A87" s="398" t="s">
        <v>34</v>
      </c>
      <c r="B87" s="594">
        <v>45892.0</v>
      </c>
      <c r="C87" s="594" t="str">
        <f t="shared" si="1"/>
        <v>agosto</v>
      </c>
      <c r="D87" s="602" t="s">
        <v>666</v>
      </c>
      <c r="E87" s="1206" t="s">
        <v>858</v>
      </c>
      <c r="F87" s="593" t="s">
        <v>28</v>
      </c>
      <c r="G87" s="604" t="s">
        <v>859</v>
      </c>
      <c r="H87" s="144" t="s">
        <v>257</v>
      </c>
      <c r="I87" s="397" t="s">
        <v>861</v>
      </c>
      <c r="J87" s="593" t="s">
        <v>724</v>
      </c>
      <c r="K87" s="397" t="b">
        <v>1</v>
      </c>
      <c r="L87" s="593" t="s">
        <v>584</v>
      </c>
      <c r="M87" s="593" t="s">
        <v>584</v>
      </c>
      <c r="N87" s="398"/>
      <c r="O87" s="397" t="s">
        <v>860</v>
      </c>
      <c r="P87" s="593" t="s">
        <v>61</v>
      </c>
      <c r="Q87" s="715">
        <v>6000.0</v>
      </c>
      <c r="R87" s="715">
        <v>11929.0</v>
      </c>
    </row>
    <row r="88" ht="22.5" customHeight="1">
      <c r="A88" s="367" t="s">
        <v>17</v>
      </c>
      <c r="B88" s="187">
        <v>45888.0</v>
      </c>
      <c r="C88" s="187" t="str">
        <f t="shared" si="1"/>
        <v>agosto</v>
      </c>
      <c r="D88" s="565" t="s">
        <v>862</v>
      </c>
      <c r="E88" s="396" t="s">
        <v>863</v>
      </c>
      <c r="F88" s="365" t="s">
        <v>28</v>
      </c>
      <c r="G88" s="113" t="s">
        <v>864</v>
      </c>
      <c r="H88" s="144" t="s">
        <v>257</v>
      </c>
      <c r="I88" s="368" t="s">
        <v>866</v>
      </c>
      <c r="J88" s="365" t="s">
        <v>724</v>
      </c>
      <c r="K88" s="368" t="b">
        <v>1</v>
      </c>
      <c r="L88" s="365" t="s">
        <v>584</v>
      </c>
      <c r="M88" s="365" t="s">
        <v>584</v>
      </c>
      <c r="N88" s="367" t="s">
        <v>584</v>
      </c>
      <c r="O88" s="368" t="s">
        <v>865</v>
      </c>
      <c r="P88" s="365" t="s">
        <v>61</v>
      </c>
      <c r="Q88" s="790">
        <v>2519.7</v>
      </c>
      <c r="R88" s="168">
        <v>9839.0</v>
      </c>
    </row>
    <row r="89" ht="22.5" customHeight="1">
      <c r="A89" s="148" t="s">
        <v>162</v>
      </c>
      <c r="B89" s="145">
        <v>45894.0</v>
      </c>
      <c r="C89" s="145" t="str">
        <f t="shared" si="1"/>
        <v>agosto</v>
      </c>
      <c r="D89" s="149" t="s">
        <v>771</v>
      </c>
      <c r="E89" s="149" t="s">
        <v>867</v>
      </c>
      <c r="F89" s="144" t="s">
        <v>28</v>
      </c>
      <c r="G89" s="149" t="s">
        <v>868</v>
      </c>
      <c r="H89" s="144" t="s">
        <v>257</v>
      </c>
      <c r="I89" s="165"/>
      <c r="J89" s="144" t="s">
        <v>724</v>
      </c>
      <c r="K89" s="149" t="b">
        <v>1</v>
      </c>
      <c r="L89" s="162"/>
      <c r="M89" s="365" t="s">
        <v>584</v>
      </c>
      <c r="N89" s="148" t="s">
        <v>584</v>
      </c>
      <c r="O89" s="149">
        <v>5.198029522E10</v>
      </c>
      <c r="P89" s="1191">
        <v>1.0</v>
      </c>
      <c r="Q89" s="611">
        <v>8650.0</v>
      </c>
      <c r="R89" s="168">
        <v>8650.0</v>
      </c>
    </row>
    <row r="90" ht="22.5" customHeight="1">
      <c r="A90" s="148" t="s">
        <v>162</v>
      </c>
      <c r="B90" s="145">
        <v>45895.0</v>
      </c>
      <c r="C90" s="145" t="str">
        <f t="shared" si="1"/>
        <v>agosto</v>
      </c>
      <c r="D90" s="149" t="s">
        <v>869</v>
      </c>
      <c r="E90" s="149" t="s">
        <v>870</v>
      </c>
      <c r="F90" s="144" t="s">
        <v>28</v>
      </c>
      <c r="G90" s="149" t="s">
        <v>871</v>
      </c>
      <c r="H90" s="144" t="s">
        <v>257</v>
      </c>
      <c r="I90" s="165"/>
      <c r="J90" s="144" t="s">
        <v>724</v>
      </c>
      <c r="K90" s="149" t="b">
        <v>1</v>
      </c>
      <c r="L90" s="162"/>
      <c r="M90" s="144" t="s">
        <v>584</v>
      </c>
      <c r="N90" s="148" t="s">
        <v>584</v>
      </c>
      <c r="O90" s="149">
        <v>5.1949796293E10</v>
      </c>
      <c r="P90" s="1191">
        <v>1.0</v>
      </c>
      <c r="Q90" s="611">
        <v>5950.0</v>
      </c>
      <c r="R90" s="168">
        <v>5990.0</v>
      </c>
    </row>
    <row r="91" ht="22.5" customHeight="1">
      <c r="A91" s="148" t="s">
        <v>34</v>
      </c>
      <c r="B91" s="145">
        <v>45896.0</v>
      </c>
      <c r="C91" s="145" t="str">
        <f t="shared" si="1"/>
        <v>agosto</v>
      </c>
      <c r="D91" s="149" t="s">
        <v>873</v>
      </c>
      <c r="E91" s="396" t="s">
        <v>874</v>
      </c>
      <c r="F91" s="144" t="s">
        <v>28</v>
      </c>
      <c r="G91" s="351" t="s">
        <v>875</v>
      </c>
      <c r="H91" s="144" t="s">
        <v>257</v>
      </c>
      <c r="I91" s="165"/>
      <c r="J91" s="144" t="s">
        <v>724</v>
      </c>
      <c r="K91" s="149" t="b">
        <v>1</v>
      </c>
      <c r="L91" s="144" t="s">
        <v>584</v>
      </c>
      <c r="M91" s="144" t="s">
        <v>584</v>
      </c>
      <c r="N91" s="148"/>
      <c r="O91" s="149" t="s">
        <v>876</v>
      </c>
      <c r="P91" s="1191">
        <v>0.5</v>
      </c>
      <c r="Q91" s="611">
        <v>7399.0</v>
      </c>
      <c r="R91" s="168">
        <v>14799.0</v>
      </c>
    </row>
    <row r="92" ht="22.5" customHeight="1">
      <c r="A92" s="438" t="s">
        <v>34</v>
      </c>
      <c r="B92" s="435">
        <v>45896.0</v>
      </c>
      <c r="C92" s="435" t="str">
        <f t="shared" si="1"/>
        <v>agosto</v>
      </c>
      <c r="D92" s="527" t="s">
        <v>756</v>
      </c>
      <c r="E92" s="440" t="s">
        <v>877</v>
      </c>
      <c r="F92" s="434" t="s">
        <v>28</v>
      </c>
      <c r="G92" s="605" t="s">
        <v>878</v>
      </c>
      <c r="H92" s="144" t="s">
        <v>257</v>
      </c>
      <c r="I92" s="575"/>
      <c r="J92" s="434" t="s">
        <v>724</v>
      </c>
      <c r="K92" s="440" t="b">
        <v>1</v>
      </c>
      <c r="L92" s="444"/>
      <c r="M92" s="434" t="s">
        <v>584</v>
      </c>
      <c r="N92" s="438"/>
      <c r="O92" s="440">
        <v>5.1954104553E10</v>
      </c>
      <c r="P92" s="1194">
        <v>1.0</v>
      </c>
      <c r="Q92" s="706">
        <v>7799.0</v>
      </c>
      <c r="R92" s="168">
        <v>7799.0</v>
      </c>
    </row>
    <row r="93" ht="22.5" customHeight="1">
      <c r="A93" s="398" t="s">
        <v>34</v>
      </c>
      <c r="B93" s="594">
        <v>45896.0</v>
      </c>
      <c r="C93" s="594" t="str">
        <f t="shared" si="1"/>
        <v>agosto</v>
      </c>
      <c r="D93" s="606" t="s">
        <v>879</v>
      </c>
      <c r="E93" s="1207" t="s">
        <v>880</v>
      </c>
      <c r="F93" s="593" t="s">
        <v>28</v>
      </c>
      <c r="G93" s="604" t="s">
        <v>881</v>
      </c>
      <c r="H93" s="144" t="s">
        <v>257</v>
      </c>
      <c r="I93" s="397" t="s">
        <v>883</v>
      </c>
      <c r="J93" s="593" t="s">
        <v>724</v>
      </c>
      <c r="K93" s="397" t="b">
        <v>1</v>
      </c>
      <c r="L93" s="593" t="s">
        <v>584</v>
      </c>
      <c r="M93" s="593" t="s">
        <v>584</v>
      </c>
      <c r="N93" s="398"/>
      <c r="O93" s="397" t="s">
        <v>882</v>
      </c>
      <c r="P93" s="1204">
        <v>0.2</v>
      </c>
      <c r="Q93" s="715">
        <v>1320.0</v>
      </c>
      <c r="R93" s="715">
        <v>6599.0</v>
      </c>
    </row>
    <row r="94" ht="22.5" customHeight="1">
      <c r="A94" s="148" t="s">
        <v>17</v>
      </c>
      <c r="B94" s="145">
        <v>45896.0</v>
      </c>
      <c r="C94" s="145" t="str">
        <f t="shared" si="1"/>
        <v>agosto</v>
      </c>
      <c r="D94" s="610" t="s">
        <v>884</v>
      </c>
      <c r="E94" s="149" t="s">
        <v>885</v>
      </c>
      <c r="F94" s="144" t="s">
        <v>28</v>
      </c>
      <c r="G94" s="591" t="s">
        <v>886</v>
      </c>
      <c r="H94" s="144" t="s">
        <v>257</v>
      </c>
      <c r="I94" s="165"/>
      <c r="J94" s="144" t="s">
        <v>724</v>
      </c>
      <c r="K94" s="149" t="b">
        <v>1</v>
      </c>
      <c r="L94" s="162"/>
      <c r="M94" s="144" t="s">
        <v>584</v>
      </c>
      <c r="N94" s="194" t="s">
        <v>584</v>
      </c>
      <c r="O94" s="611" t="s">
        <v>887</v>
      </c>
      <c r="P94" s="150">
        <v>0.2</v>
      </c>
      <c r="Q94" s="347">
        <v>1099.8</v>
      </c>
      <c r="R94" s="1208">
        <v>5499.0</v>
      </c>
    </row>
    <row r="95" ht="22.5" customHeight="1">
      <c r="A95" s="148" t="s">
        <v>162</v>
      </c>
      <c r="B95" s="145">
        <v>45897.0</v>
      </c>
      <c r="C95" s="145" t="str">
        <f t="shared" si="1"/>
        <v>agosto</v>
      </c>
      <c r="D95" s="149" t="s">
        <v>888</v>
      </c>
      <c r="E95" s="396" t="s">
        <v>889</v>
      </c>
      <c r="F95" s="144" t="s">
        <v>28</v>
      </c>
      <c r="G95" s="262" t="s">
        <v>890</v>
      </c>
      <c r="H95" s="144" t="s">
        <v>257</v>
      </c>
      <c r="I95" s="149" t="s">
        <v>891</v>
      </c>
      <c r="J95" s="144" t="s">
        <v>724</v>
      </c>
      <c r="K95" s="149" t="b">
        <v>1</v>
      </c>
      <c r="L95" s="144" t="s">
        <v>584</v>
      </c>
      <c r="M95" s="144" t="s">
        <v>584</v>
      </c>
      <c r="N95" s="148" t="s">
        <v>584</v>
      </c>
      <c r="O95" s="149">
        <v>9.4156237E8</v>
      </c>
      <c r="P95" s="150">
        <v>0.2</v>
      </c>
      <c r="Q95" s="347">
        <v>1000.0</v>
      </c>
      <c r="R95" s="1208">
        <v>4999.0</v>
      </c>
    </row>
    <row r="96" ht="22.5" customHeight="1">
      <c r="A96" s="148" t="s">
        <v>162</v>
      </c>
      <c r="B96" s="145">
        <v>45898.0</v>
      </c>
      <c r="C96" s="145" t="str">
        <f t="shared" si="1"/>
        <v>agosto</v>
      </c>
      <c r="D96" s="149" t="s">
        <v>900</v>
      </c>
      <c r="E96" s="149" t="s">
        <v>901</v>
      </c>
      <c r="F96" s="144" t="s">
        <v>28</v>
      </c>
      <c r="G96" s="262" t="s">
        <v>902</v>
      </c>
      <c r="H96" s="144" t="s">
        <v>257</v>
      </c>
      <c r="I96" s="165"/>
      <c r="J96" s="144" t="s">
        <v>899</v>
      </c>
      <c r="K96" s="149" t="b">
        <v>1</v>
      </c>
      <c r="L96" s="144" t="s">
        <v>584</v>
      </c>
      <c r="M96" s="144" t="s">
        <v>584</v>
      </c>
      <c r="N96" s="148" t="s">
        <v>584</v>
      </c>
      <c r="O96" s="149">
        <v>5.1961208275E10</v>
      </c>
      <c r="P96" s="1191">
        <v>1.0</v>
      </c>
      <c r="Q96" s="611">
        <v>6599.0</v>
      </c>
      <c r="R96" s="168">
        <v>6599.0</v>
      </c>
    </row>
    <row r="97" ht="22.5" customHeight="1">
      <c r="A97" s="148" t="s">
        <v>162</v>
      </c>
      <c r="B97" s="145">
        <v>45898.0</v>
      </c>
      <c r="C97" s="145" t="str">
        <f t="shared" si="1"/>
        <v>agosto</v>
      </c>
      <c r="D97" s="618" t="s">
        <v>903</v>
      </c>
      <c r="E97" s="149" t="s">
        <v>904</v>
      </c>
      <c r="F97" s="144" t="s">
        <v>28</v>
      </c>
      <c r="G97" s="619" t="s">
        <v>905</v>
      </c>
      <c r="H97" s="144" t="s">
        <v>257</v>
      </c>
      <c r="I97" s="620" t="s">
        <v>811</v>
      </c>
      <c r="J97" s="144" t="s">
        <v>899</v>
      </c>
      <c r="K97" s="149" t="b">
        <v>1</v>
      </c>
      <c r="L97" s="144" t="s">
        <v>584</v>
      </c>
      <c r="M97" s="144" t="s">
        <v>584</v>
      </c>
      <c r="N97" s="148" t="s">
        <v>584</v>
      </c>
      <c r="O97" s="149">
        <v>5.1947408727E10</v>
      </c>
      <c r="P97" s="1191">
        <v>1.0</v>
      </c>
      <c r="Q97" s="611">
        <v>7360.0</v>
      </c>
      <c r="R97" s="168">
        <v>7360.0</v>
      </c>
    </row>
    <row r="98" ht="22.5" customHeight="1">
      <c r="A98" s="398" t="s">
        <v>34</v>
      </c>
      <c r="B98" s="594">
        <v>45898.0</v>
      </c>
      <c r="C98" s="594" t="str">
        <f t="shared" si="1"/>
        <v>agosto</v>
      </c>
      <c r="D98" s="621" t="s">
        <v>906</v>
      </c>
      <c r="E98" s="397" t="s">
        <v>907</v>
      </c>
      <c r="F98" s="593" t="s">
        <v>28</v>
      </c>
      <c r="G98" s="622" t="s">
        <v>908</v>
      </c>
      <c r="H98" s="144" t="s">
        <v>257</v>
      </c>
      <c r="I98" s="397" t="s">
        <v>910</v>
      </c>
      <c r="J98" s="593" t="s">
        <v>899</v>
      </c>
      <c r="K98" s="397" t="b">
        <v>1</v>
      </c>
      <c r="L98" s="640"/>
      <c r="M98" s="593" t="s">
        <v>584</v>
      </c>
      <c r="N98" s="398" t="s">
        <v>584</v>
      </c>
      <c r="O98" s="397" t="s">
        <v>909</v>
      </c>
      <c r="P98" s="1204">
        <v>0.2</v>
      </c>
      <c r="Q98" s="715">
        <v>1100.0</v>
      </c>
      <c r="R98" s="715">
        <v>5499.0</v>
      </c>
    </row>
    <row r="99" ht="22.5" customHeight="1">
      <c r="A99" s="424" t="s">
        <v>34</v>
      </c>
      <c r="B99" s="209">
        <v>45901.0</v>
      </c>
      <c r="C99" s="209" t="str">
        <f t="shared" si="1"/>
        <v>septiembre</v>
      </c>
      <c r="D99" s="623" t="s">
        <v>911</v>
      </c>
      <c r="E99" s="1209" t="s">
        <v>912</v>
      </c>
      <c r="F99" s="422" t="s">
        <v>28</v>
      </c>
      <c r="G99" s="625" t="s">
        <v>913</v>
      </c>
      <c r="H99" s="144" t="s">
        <v>257</v>
      </c>
      <c r="I99" s="627"/>
      <c r="J99" s="422" t="s">
        <v>899</v>
      </c>
      <c r="K99" s="378" t="b">
        <v>1</v>
      </c>
      <c r="L99" s="422" t="s">
        <v>584</v>
      </c>
      <c r="M99" s="422" t="s">
        <v>584</v>
      </c>
      <c r="N99" s="424" t="s">
        <v>584</v>
      </c>
      <c r="O99" s="378">
        <v>5.1947660504E10</v>
      </c>
      <c r="P99" s="1182">
        <v>0.2</v>
      </c>
      <c r="Q99" s="168">
        <v>1160.0</v>
      </c>
      <c r="R99" s="168">
        <v>5799.0</v>
      </c>
    </row>
    <row r="100" ht="22.5" customHeight="1">
      <c r="A100" s="148" t="s">
        <v>162</v>
      </c>
      <c r="B100" s="145">
        <v>45902.0</v>
      </c>
      <c r="C100" s="145" t="str">
        <f t="shared" si="1"/>
        <v>septiembre</v>
      </c>
      <c r="D100" s="615" t="s">
        <v>911</v>
      </c>
      <c r="E100" s="149" t="s">
        <v>914</v>
      </c>
      <c r="F100" s="144" t="s">
        <v>28</v>
      </c>
      <c r="G100" s="149" t="s">
        <v>915</v>
      </c>
      <c r="H100" s="144" t="s">
        <v>257</v>
      </c>
      <c r="I100" s="165"/>
      <c r="J100" s="144" t="s">
        <v>899</v>
      </c>
      <c r="K100" s="149" t="b">
        <v>1</v>
      </c>
      <c r="L100" s="144" t="s">
        <v>584</v>
      </c>
      <c r="M100" s="144" t="s">
        <v>584</v>
      </c>
      <c r="N100" s="148" t="s">
        <v>584</v>
      </c>
      <c r="O100" s="149" t="s">
        <v>916</v>
      </c>
      <c r="P100" s="1191">
        <v>0.2</v>
      </c>
      <c r="Q100" s="611">
        <v>1160.0</v>
      </c>
      <c r="R100" s="168">
        <v>5799.0</v>
      </c>
    </row>
    <row r="101" ht="22.5" customHeight="1">
      <c r="A101" s="148" t="s">
        <v>162</v>
      </c>
      <c r="B101" s="145">
        <v>45902.0</v>
      </c>
      <c r="C101" s="145" t="str">
        <f t="shared" si="1"/>
        <v>septiembre</v>
      </c>
      <c r="D101" s="149" t="s">
        <v>918</v>
      </c>
      <c r="E101" s="396" t="s">
        <v>919</v>
      </c>
      <c r="F101" s="144" t="s">
        <v>28</v>
      </c>
      <c r="G101" s="149" t="s">
        <v>920</v>
      </c>
      <c r="H101" s="144" t="s">
        <v>257</v>
      </c>
      <c r="I101" s="149" t="s">
        <v>922</v>
      </c>
      <c r="J101" s="144" t="s">
        <v>899</v>
      </c>
      <c r="K101" s="149" t="b">
        <v>1</v>
      </c>
      <c r="L101" s="144" t="s">
        <v>584</v>
      </c>
      <c r="M101" s="144" t="s">
        <v>584</v>
      </c>
      <c r="N101" s="148" t="s">
        <v>584</v>
      </c>
      <c r="O101" s="149">
        <v>5.197547796E10</v>
      </c>
      <c r="P101" s="1191">
        <v>1.0</v>
      </c>
      <c r="Q101" s="611">
        <v>5699.0</v>
      </c>
      <c r="R101" s="168">
        <v>5699.0</v>
      </c>
    </row>
    <row r="102" ht="22.5" customHeight="1">
      <c r="A102" s="148" t="s">
        <v>162</v>
      </c>
      <c r="B102" s="145">
        <v>45902.0</v>
      </c>
      <c r="C102" s="145" t="str">
        <f t="shared" si="1"/>
        <v>septiembre</v>
      </c>
      <c r="D102" s="149" t="s">
        <v>923</v>
      </c>
      <c r="E102" s="149" t="s">
        <v>924</v>
      </c>
      <c r="F102" s="144" t="s">
        <v>28</v>
      </c>
      <c r="G102" s="149" t="s">
        <v>925</v>
      </c>
      <c r="H102" s="144" t="s">
        <v>257</v>
      </c>
      <c r="I102" s="388"/>
      <c r="J102" s="365" t="s">
        <v>899</v>
      </c>
      <c r="K102" s="368" t="b">
        <v>1</v>
      </c>
      <c r="L102" s="375"/>
      <c r="M102" s="365" t="s">
        <v>584</v>
      </c>
      <c r="N102" s="367" t="s">
        <v>584</v>
      </c>
      <c r="O102" s="149" t="s">
        <v>926</v>
      </c>
      <c r="P102" s="1191">
        <v>1.0</v>
      </c>
      <c r="Q102" s="790">
        <v>8199.0</v>
      </c>
      <c r="R102" s="168">
        <v>8199.0</v>
      </c>
    </row>
    <row r="103" ht="22.5" customHeight="1">
      <c r="A103" s="148" t="s">
        <v>162</v>
      </c>
      <c r="B103" s="145">
        <v>45903.0</v>
      </c>
      <c r="C103" s="145" t="str">
        <f t="shared" si="1"/>
        <v>septiembre</v>
      </c>
      <c r="D103" s="149" t="s">
        <v>617</v>
      </c>
      <c r="E103" s="396" t="s">
        <v>928</v>
      </c>
      <c r="F103" s="144" t="s">
        <v>28</v>
      </c>
      <c r="G103" s="149" t="s">
        <v>929</v>
      </c>
      <c r="H103" s="144" t="s">
        <v>257</v>
      </c>
      <c r="I103" s="165"/>
      <c r="J103" s="144" t="s">
        <v>899</v>
      </c>
      <c r="K103" s="149" t="b">
        <v>1</v>
      </c>
      <c r="L103" s="162"/>
      <c r="M103" s="144" t="s">
        <v>584</v>
      </c>
      <c r="N103" s="148" t="s">
        <v>584</v>
      </c>
      <c r="O103" s="149">
        <v>5.1952636699E10</v>
      </c>
      <c r="P103" s="1191">
        <v>0.3</v>
      </c>
      <c r="Q103" s="1210">
        <v>2969.7</v>
      </c>
      <c r="R103" s="168">
        <v>9899.0</v>
      </c>
    </row>
    <row r="104" ht="22.5" customHeight="1">
      <c r="A104" s="398" t="s">
        <v>34</v>
      </c>
      <c r="B104" s="594">
        <v>45904.0</v>
      </c>
      <c r="C104" s="594" t="str">
        <f t="shared" si="1"/>
        <v>septiembre</v>
      </c>
      <c r="D104" s="606" t="s">
        <v>903</v>
      </c>
      <c r="E104" s="397" t="s">
        <v>930</v>
      </c>
      <c r="F104" s="593" t="s">
        <v>28</v>
      </c>
      <c r="G104" s="622" t="s">
        <v>931</v>
      </c>
      <c r="H104" s="144" t="s">
        <v>257</v>
      </c>
      <c r="I104" s="629"/>
      <c r="J104" s="593" t="s">
        <v>899</v>
      </c>
      <c r="K104" s="397" t="b">
        <v>1</v>
      </c>
      <c r="L104" s="593" t="s">
        <v>584</v>
      </c>
      <c r="M104" s="593" t="s">
        <v>584</v>
      </c>
      <c r="N104" s="398" t="s">
        <v>584</v>
      </c>
      <c r="O104" s="397">
        <v>9.29469718E8</v>
      </c>
      <c r="P104" s="1204">
        <v>0.2</v>
      </c>
      <c r="Q104" s="715">
        <v>1375.0</v>
      </c>
      <c r="R104" s="715">
        <v>6874.0</v>
      </c>
    </row>
    <row r="105" ht="22.5" customHeight="1">
      <c r="A105" s="148" t="s">
        <v>34</v>
      </c>
      <c r="B105" s="145">
        <v>45904.0</v>
      </c>
      <c r="C105" s="145" t="str">
        <f t="shared" si="1"/>
        <v>septiembre</v>
      </c>
      <c r="D105" s="615" t="s">
        <v>923</v>
      </c>
      <c r="E105" s="396" t="s">
        <v>932</v>
      </c>
      <c r="F105" s="144" t="s">
        <v>28</v>
      </c>
      <c r="G105" s="630" t="s">
        <v>933</v>
      </c>
      <c r="H105" s="144" t="s">
        <v>257</v>
      </c>
      <c r="I105" s="165"/>
      <c r="J105" s="144" t="s">
        <v>899</v>
      </c>
      <c r="K105" s="149" t="b">
        <v>1</v>
      </c>
      <c r="L105" s="162"/>
      <c r="M105" s="144" t="s">
        <v>584</v>
      </c>
      <c r="N105" s="148" t="s">
        <v>584</v>
      </c>
      <c r="O105" s="149">
        <v>5.1974730778E10</v>
      </c>
      <c r="P105" s="1191">
        <v>0.3</v>
      </c>
      <c r="Q105" s="611">
        <v>2400.0</v>
      </c>
      <c r="R105" s="168">
        <v>7999.0</v>
      </c>
    </row>
    <row r="106" ht="22.5" customHeight="1">
      <c r="A106" s="367" t="s">
        <v>17</v>
      </c>
      <c r="B106" s="187">
        <v>45904.0</v>
      </c>
      <c r="C106" s="187" t="str">
        <f t="shared" si="1"/>
        <v>septiembre</v>
      </c>
      <c r="D106" s="631" t="s">
        <v>911</v>
      </c>
      <c r="E106" s="1211" t="s">
        <v>934</v>
      </c>
      <c r="F106" s="365" t="s">
        <v>28</v>
      </c>
      <c r="G106" s="586" t="s">
        <v>935</v>
      </c>
      <c r="H106" s="144" t="s">
        <v>257</v>
      </c>
      <c r="I106" s="388"/>
      <c r="J106" s="365" t="s">
        <v>899</v>
      </c>
      <c r="K106" s="368" t="b">
        <v>1</v>
      </c>
      <c r="L106" s="365" t="s">
        <v>584</v>
      </c>
      <c r="M106" s="365" t="s">
        <v>584</v>
      </c>
      <c r="N106" s="367" t="s">
        <v>584</v>
      </c>
      <c r="O106" s="368" t="s">
        <v>936</v>
      </c>
      <c r="P106" s="1185">
        <v>0.2</v>
      </c>
      <c r="Q106" s="790">
        <v>1159.8</v>
      </c>
      <c r="R106" s="790">
        <v>5799.0</v>
      </c>
    </row>
    <row r="107" ht="22.5" customHeight="1">
      <c r="A107" s="148" t="s">
        <v>17</v>
      </c>
      <c r="B107" s="145">
        <v>45904.0</v>
      </c>
      <c r="C107" s="145" t="str">
        <f t="shared" si="1"/>
        <v>septiembre</v>
      </c>
      <c r="D107" s="633" t="s">
        <v>937</v>
      </c>
      <c r="E107" s="899" t="s">
        <v>938</v>
      </c>
      <c r="F107" s="144" t="s">
        <v>28</v>
      </c>
      <c r="G107" s="591" t="s">
        <v>939</v>
      </c>
      <c r="H107" s="144" t="s">
        <v>257</v>
      </c>
      <c r="I107" s="165"/>
      <c r="J107" s="144" t="s">
        <v>899</v>
      </c>
      <c r="K107" s="149" t="b">
        <v>1</v>
      </c>
      <c r="L107" s="162"/>
      <c r="M107" s="144" t="s">
        <v>584</v>
      </c>
      <c r="N107" s="148" t="s">
        <v>584</v>
      </c>
      <c r="O107" s="149" t="s">
        <v>940</v>
      </c>
      <c r="P107" s="1191">
        <v>1.0</v>
      </c>
      <c r="Q107" s="1192"/>
      <c r="R107" s="168">
        <v>8034.0</v>
      </c>
    </row>
    <row r="108" ht="22.5" customHeight="1">
      <c r="A108" s="148" t="s">
        <v>17</v>
      </c>
      <c r="B108" s="145">
        <v>45904.0</v>
      </c>
      <c r="C108" s="145" t="str">
        <f t="shared" si="1"/>
        <v>septiembre</v>
      </c>
      <c r="D108" s="615" t="s">
        <v>918</v>
      </c>
      <c r="E108" s="650" t="s">
        <v>941</v>
      </c>
      <c r="F108" s="144" t="s">
        <v>28</v>
      </c>
      <c r="G108" s="489" t="s">
        <v>942</v>
      </c>
      <c r="H108" s="144" t="s">
        <v>257</v>
      </c>
      <c r="I108" s="149" t="s">
        <v>944</v>
      </c>
      <c r="J108" s="144" t="s">
        <v>899</v>
      </c>
      <c r="K108" s="149" t="b">
        <v>1</v>
      </c>
      <c r="L108" s="144" t="s">
        <v>584</v>
      </c>
      <c r="M108" s="144" t="s">
        <v>584</v>
      </c>
      <c r="N108" s="148" t="s">
        <v>584</v>
      </c>
      <c r="O108" s="149" t="s">
        <v>943</v>
      </c>
      <c r="P108" s="1191">
        <v>0.2</v>
      </c>
      <c r="Q108" s="611">
        <v>1139.8</v>
      </c>
      <c r="R108" s="168">
        <v>5699.0</v>
      </c>
    </row>
    <row r="109" ht="22.5" customHeight="1">
      <c r="A109" s="398" t="s">
        <v>34</v>
      </c>
      <c r="B109" s="594">
        <v>45905.0</v>
      </c>
      <c r="C109" s="594" t="str">
        <f t="shared" si="1"/>
        <v>septiembre</v>
      </c>
      <c r="D109" s="636" t="s">
        <v>918</v>
      </c>
      <c r="E109" s="1206" t="s">
        <v>945</v>
      </c>
      <c r="F109" s="593" t="s">
        <v>28</v>
      </c>
      <c r="G109" s="622" t="s">
        <v>946</v>
      </c>
      <c r="H109" s="144" t="s">
        <v>257</v>
      </c>
      <c r="I109" s="397" t="s">
        <v>947</v>
      </c>
      <c r="J109" s="593" t="s">
        <v>899</v>
      </c>
      <c r="K109" s="397" t="b">
        <v>1</v>
      </c>
      <c r="L109" s="593" t="s">
        <v>584</v>
      </c>
      <c r="M109" s="593" t="s">
        <v>584</v>
      </c>
      <c r="N109" s="398" t="s">
        <v>584</v>
      </c>
      <c r="O109" s="397">
        <v>5.1922335436E10</v>
      </c>
      <c r="P109" s="1204">
        <v>0.2</v>
      </c>
      <c r="Q109" s="715">
        <v>1140.0</v>
      </c>
      <c r="R109" s="715">
        <v>5699.0</v>
      </c>
    </row>
    <row r="110" ht="22.5" customHeight="1">
      <c r="A110" s="148" t="s">
        <v>17</v>
      </c>
      <c r="B110" s="145">
        <v>45906.0</v>
      </c>
      <c r="C110" s="145" t="str">
        <f t="shared" si="1"/>
        <v>septiembre</v>
      </c>
      <c r="D110" s="637" t="s">
        <v>948</v>
      </c>
      <c r="E110" s="149" t="s">
        <v>949</v>
      </c>
      <c r="F110" s="144" t="s">
        <v>28</v>
      </c>
      <c r="G110" s="262" t="s">
        <v>950</v>
      </c>
      <c r="H110" s="144" t="s">
        <v>257</v>
      </c>
      <c r="I110" s="149" t="s">
        <v>952</v>
      </c>
      <c r="J110" s="144" t="s">
        <v>899</v>
      </c>
      <c r="K110" s="149" t="b">
        <v>1</v>
      </c>
      <c r="L110" s="144" t="s">
        <v>584</v>
      </c>
      <c r="M110" s="144" t="s">
        <v>584</v>
      </c>
      <c r="N110" s="148" t="s">
        <v>584</v>
      </c>
      <c r="O110" s="149" t="s">
        <v>951</v>
      </c>
      <c r="P110" s="144" t="s">
        <v>61</v>
      </c>
      <c r="Q110" s="611">
        <v>2426.0</v>
      </c>
      <c r="R110" s="168">
        <v>8974.0</v>
      </c>
    </row>
    <row r="111" ht="22.5" customHeight="1">
      <c r="A111" s="398" t="s">
        <v>34</v>
      </c>
      <c r="B111" s="594">
        <v>45905.0</v>
      </c>
      <c r="C111" s="594" t="str">
        <f t="shared" si="1"/>
        <v>septiembre</v>
      </c>
      <c r="D111" s="606" t="s">
        <v>903</v>
      </c>
      <c r="E111" s="397" t="s">
        <v>953</v>
      </c>
      <c r="F111" s="593" t="s">
        <v>28</v>
      </c>
      <c r="G111" s="622" t="s">
        <v>954</v>
      </c>
      <c r="H111" s="144" t="s">
        <v>257</v>
      </c>
      <c r="I111" s="629"/>
      <c r="J111" s="593" t="s">
        <v>899</v>
      </c>
      <c r="K111" s="397" t="b">
        <v>1</v>
      </c>
      <c r="L111" s="640"/>
      <c r="M111" s="593" t="s">
        <v>584</v>
      </c>
      <c r="N111" s="398" t="s">
        <v>584</v>
      </c>
      <c r="O111" s="638">
        <v>9.67227837E8</v>
      </c>
      <c r="P111" s="1212"/>
      <c r="Q111" s="715">
        <v>1400.0</v>
      </c>
      <c r="R111" s="715">
        <v>6699.0</v>
      </c>
    </row>
    <row r="112" ht="22.5" customHeight="1">
      <c r="A112" s="398" t="s">
        <v>34</v>
      </c>
      <c r="B112" s="594">
        <v>45906.0</v>
      </c>
      <c r="C112" s="594" t="str">
        <f t="shared" si="1"/>
        <v>septiembre</v>
      </c>
      <c r="D112" s="397" t="s">
        <v>955</v>
      </c>
      <c r="E112" s="1206" t="s">
        <v>956</v>
      </c>
      <c r="F112" s="593" t="s">
        <v>28</v>
      </c>
      <c r="G112" s="604" t="s">
        <v>957</v>
      </c>
      <c r="H112" s="144" t="s">
        <v>257</v>
      </c>
      <c r="I112" s="397" t="s">
        <v>958</v>
      </c>
      <c r="J112" s="593" t="s">
        <v>899</v>
      </c>
      <c r="K112" s="397" t="b">
        <v>1</v>
      </c>
      <c r="L112" s="593" t="s">
        <v>584</v>
      </c>
      <c r="M112" s="593" t="s">
        <v>584</v>
      </c>
      <c r="N112" s="398" t="s">
        <v>584</v>
      </c>
      <c r="O112" s="397">
        <v>5.1972762646E10</v>
      </c>
      <c r="P112" s="1212"/>
      <c r="Q112" s="715">
        <v>1600.0</v>
      </c>
      <c r="R112" s="715">
        <v>7999.0</v>
      </c>
    </row>
    <row r="113" ht="22.5" customHeight="1">
      <c r="A113" s="148" t="s">
        <v>17</v>
      </c>
      <c r="B113" s="145">
        <v>45907.0</v>
      </c>
      <c r="C113" s="145" t="str">
        <f t="shared" si="1"/>
        <v>septiembre</v>
      </c>
      <c r="D113" s="615" t="s">
        <v>918</v>
      </c>
      <c r="E113" s="1209" t="s">
        <v>959</v>
      </c>
      <c r="F113" s="144" t="s">
        <v>28</v>
      </c>
      <c r="G113" s="489" t="s">
        <v>960</v>
      </c>
      <c r="H113" s="144" t="s">
        <v>257</v>
      </c>
      <c r="I113" s="165"/>
      <c r="J113" s="144" t="s">
        <v>899</v>
      </c>
      <c r="K113" s="149" t="b">
        <v>1</v>
      </c>
      <c r="L113" s="162"/>
      <c r="M113" s="144" t="s">
        <v>584</v>
      </c>
      <c r="N113" s="148" t="s">
        <v>584</v>
      </c>
      <c r="O113" s="165"/>
      <c r="P113" s="1191">
        <v>0.2</v>
      </c>
      <c r="Q113" s="611">
        <v>1200.0</v>
      </c>
      <c r="R113" s="168">
        <v>5699.0</v>
      </c>
    </row>
    <row r="114" ht="22.5" customHeight="1">
      <c r="A114" s="148" t="s">
        <v>34</v>
      </c>
      <c r="B114" s="145">
        <v>45906.0</v>
      </c>
      <c r="C114" s="145" t="str">
        <f t="shared" si="1"/>
        <v>septiembre</v>
      </c>
      <c r="D114" s="149" t="s">
        <v>961</v>
      </c>
      <c r="E114" s="149" t="s">
        <v>962</v>
      </c>
      <c r="F114" s="144" t="s">
        <v>399</v>
      </c>
      <c r="G114" s="246" t="s">
        <v>963</v>
      </c>
      <c r="H114" s="144" t="s">
        <v>257</v>
      </c>
      <c r="I114" s="149" t="s">
        <v>965</v>
      </c>
      <c r="J114" s="144" t="s">
        <v>899</v>
      </c>
      <c r="K114" s="149" t="b">
        <v>0</v>
      </c>
      <c r="L114" s="144" t="s">
        <v>584</v>
      </c>
      <c r="M114" s="144" t="s">
        <v>584</v>
      </c>
      <c r="N114" s="148"/>
      <c r="O114" s="149">
        <v>5.191254025E10</v>
      </c>
      <c r="P114" s="1191">
        <v>0.2</v>
      </c>
      <c r="Q114" s="611">
        <v>1760.0</v>
      </c>
      <c r="R114" s="168">
        <v>8799.0</v>
      </c>
    </row>
    <row r="115" ht="22.5" customHeight="1">
      <c r="A115" s="554" t="s">
        <v>34</v>
      </c>
      <c r="B115" s="551">
        <v>45906.0</v>
      </c>
      <c r="C115" s="551" t="str">
        <f t="shared" si="1"/>
        <v>septiembre</v>
      </c>
      <c r="D115" s="641" t="s">
        <v>906</v>
      </c>
      <c r="E115" s="248" t="s">
        <v>966</v>
      </c>
      <c r="F115" s="560" t="s">
        <v>399</v>
      </c>
      <c r="G115" s="642" t="s">
        <v>967</v>
      </c>
      <c r="H115" s="144" t="s">
        <v>257</v>
      </c>
      <c r="I115" s="248" t="s">
        <v>969</v>
      </c>
      <c r="J115" s="560" t="s">
        <v>899</v>
      </c>
      <c r="K115" s="248" t="b">
        <v>0</v>
      </c>
      <c r="L115" s="560" t="s">
        <v>968</v>
      </c>
      <c r="M115" s="560" t="s">
        <v>584</v>
      </c>
      <c r="N115" s="554"/>
      <c r="O115" s="248">
        <v>5.1917234894E10</v>
      </c>
      <c r="P115" s="1200">
        <v>0.2</v>
      </c>
      <c r="Q115" s="783">
        <v>1159.8</v>
      </c>
      <c r="R115" s="783">
        <v>5799.0</v>
      </c>
    </row>
    <row r="116" ht="22.5" customHeight="1">
      <c r="A116" s="148" t="s">
        <v>162</v>
      </c>
      <c r="B116" s="145">
        <v>45906.0</v>
      </c>
      <c r="C116" s="145" t="str">
        <f t="shared" si="1"/>
        <v>septiembre</v>
      </c>
      <c r="D116" s="149" t="s">
        <v>923</v>
      </c>
      <c r="E116" s="149" t="s">
        <v>970</v>
      </c>
      <c r="F116" s="144" t="s">
        <v>28</v>
      </c>
      <c r="G116" s="149" t="s">
        <v>971</v>
      </c>
      <c r="H116" s="144" t="s">
        <v>257</v>
      </c>
      <c r="I116" s="165"/>
      <c r="J116" s="144" t="s">
        <v>899</v>
      </c>
      <c r="K116" s="149" t="b">
        <v>1</v>
      </c>
      <c r="L116" s="162"/>
      <c r="M116" s="144" t="s">
        <v>584</v>
      </c>
      <c r="N116" s="148" t="s">
        <v>584</v>
      </c>
      <c r="O116" s="149">
        <v>5.1978211098E10</v>
      </c>
      <c r="P116" s="1191">
        <v>1.0</v>
      </c>
      <c r="Q116" s="611">
        <v>8199.0</v>
      </c>
      <c r="R116" s="168">
        <v>8199.0</v>
      </c>
    </row>
    <row r="117" ht="22.5" customHeight="1">
      <c r="A117" s="148" t="s">
        <v>17</v>
      </c>
      <c r="B117" s="145">
        <v>45906.0</v>
      </c>
      <c r="C117" s="145" t="str">
        <f t="shared" si="1"/>
        <v>septiembre</v>
      </c>
      <c r="D117" s="615" t="s">
        <v>923</v>
      </c>
      <c r="E117" s="664" t="s">
        <v>972</v>
      </c>
      <c r="F117" s="144" t="s">
        <v>28</v>
      </c>
      <c r="G117" s="489" t="s">
        <v>973</v>
      </c>
      <c r="H117" s="144" t="s">
        <v>257</v>
      </c>
      <c r="I117" s="165"/>
      <c r="J117" s="144" t="s">
        <v>899</v>
      </c>
      <c r="K117" s="149" t="b">
        <v>1</v>
      </c>
      <c r="L117" s="162"/>
      <c r="M117" s="144" t="s">
        <v>584</v>
      </c>
      <c r="N117" s="148" t="s">
        <v>584</v>
      </c>
      <c r="O117" s="149" t="s">
        <v>974</v>
      </c>
      <c r="P117" s="1191">
        <v>1.0</v>
      </c>
      <c r="Q117" s="611"/>
      <c r="R117" s="168">
        <v>8050.0</v>
      </c>
    </row>
    <row r="118" ht="22.5" customHeight="1">
      <c r="A118" s="148" t="s">
        <v>17</v>
      </c>
      <c r="B118" s="145">
        <v>45906.0</v>
      </c>
      <c r="C118" s="145" t="str">
        <f t="shared" si="1"/>
        <v>septiembre</v>
      </c>
      <c r="D118" s="615" t="s">
        <v>975</v>
      </c>
      <c r="E118" s="664" t="s">
        <v>976</v>
      </c>
      <c r="F118" s="144" t="s">
        <v>28</v>
      </c>
      <c r="G118" s="489" t="s">
        <v>977</v>
      </c>
      <c r="H118" s="144" t="s">
        <v>257</v>
      </c>
      <c r="I118" s="165"/>
      <c r="J118" s="144" t="s">
        <v>899</v>
      </c>
      <c r="K118" s="149" t="b">
        <v>1</v>
      </c>
      <c r="L118" s="162"/>
      <c r="M118" s="144" t="s">
        <v>584</v>
      </c>
      <c r="N118" s="148" t="s">
        <v>584</v>
      </c>
      <c r="O118" s="149">
        <v>5.1951946395E10</v>
      </c>
      <c r="P118" s="1191">
        <v>0.2</v>
      </c>
      <c r="Q118" s="611">
        <v>1339.8</v>
      </c>
      <c r="R118" s="168">
        <v>6699.0</v>
      </c>
    </row>
    <row r="119" ht="22.5" customHeight="1">
      <c r="A119" s="398" t="s">
        <v>34</v>
      </c>
      <c r="B119" s="594">
        <v>45909.0</v>
      </c>
      <c r="C119" s="594" t="str">
        <f t="shared" si="1"/>
        <v>septiembre</v>
      </c>
      <c r="D119" s="606" t="s">
        <v>903</v>
      </c>
      <c r="E119" s="1206" t="s">
        <v>978</v>
      </c>
      <c r="F119" s="593" t="s">
        <v>28</v>
      </c>
      <c r="G119" s="597" t="s">
        <v>979</v>
      </c>
      <c r="H119" s="144" t="s">
        <v>257</v>
      </c>
      <c r="I119" s="629"/>
      <c r="J119" s="593" t="s">
        <v>899</v>
      </c>
      <c r="K119" s="397" t="b">
        <v>1</v>
      </c>
      <c r="L119" s="593" t="s">
        <v>584</v>
      </c>
      <c r="M119" s="593" t="s">
        <v>584</v>
      </c>
      <c r="N119" s="398" t="s">
        <v>584</v>
      </c>
      <c r="O119" s="397" t="s">
        <v>980</v>
      </c>
      <c r="P119" s="1204">
        <v>0.2</v>
      </c>
      <c r="Q119" s="715">
        <v>1340.0</v>
      </c>
      <c r="R119" s="715">
        <v>6699.0</v>
      </c>
    </row>
    <row r="120" ht="22.5" customHeight="1">
      <c r="A120" s="398" t="s">
        <v>34</v>
      </c>
      <c r="B120" s="594">
        <v>45910.0</v>
      </c>
      <c r="C120" s="594" t="str">
        <f t="shared" si="1"/>
        <v>septiembre</v>
      </c>
      <c r="D120" s="602" t="s">
        <v>869</v>
      </c>
      <c r="E120" s="1206" t="s">
        <v>981</v>
      </c>
      <c r="F120" s="593" t="s">
        <v>28</v>
      </c>
      <c r="G120" s="597" t="s">
        <v>982</v>
      </c>
      <c r="H120" s="144" t="s">
        <v>257</v>
      </c>
      <c r="I120" s="397" t="s">
        <v>983</v>
      </c>
      <c r="J120" s="593" t="s">
        <v>899</v>
      </c>
      <c r="K120" s="397" t="b">
        <v>1</v>
      </c>
      <c r="L120" s="593" t="s">
        <v>584</v>
      </c>
      <c r="M120" s="593" t="s">
        <v>584</v>
      </c>
      <c r="N120" s="398" t="s">
        <v>584</v>
      </c>
      <c r="O120" s="397">
        <v>5.1979999426E10</v>
      </c>
      <c r="P120" s="1204">
        <v>0.2</v>
      </c>
      <c r="Q120" s="715">
        <v>1280.0</v>
      </c>
      <c r="R120" s="715">
        <v>6399.0</v>
      </c>
    </row>
    <row r="121" ht="22.5" customHeight="1">
      <c r="A121" s="438" t="s">
        <v>34</v>
      </c>
      <c r="B121" s="435">
        <v>45910.0</v>
      </c>
      <c r="C121" s="435" t="str">
        <f t="shared" si="1"/>
        <v>septiembre</v>
      </c>
      <c r="D121" s="644" t="s">
        <v>802</v>
      </c>
      <c r="E121" s="440" t="s">
        <v>984</v>
      </c>
      <c r="F121" s="434" t="s">
        <v>28</v>
      </c>
      <c r="G121" s="497" t="s">
        <v>985</v>
      </c>
      <c r="H121" s="434" t="s">
        <v>257</v>
      </c>
      <c r="I121" s="440" t="s">
        <v>987</v>
      </c>
      <c r="J121" s="434" t="s">
        <v>899</v>
      </c>
      <c r="K121" s="440" t="b">
        <v>1</v>
      </c>
      <c r="L121" s="434" t="s">
        <v>584</v>
      </c>
      <c r="M121" s="434" t="s">
        <v>584</v>
      </c>
      <c r="N121" s="438" t="s">
        <v>584</v>
      </c>
      <c r="O121" s="440" t="s">
        <v>986</v>
      </c>
      <c r="P121" s="1194">
        <v>0.3</v>
      </c>
      <c r="Q121" s="706">
        <v>3000.0</v>
      </c>
      <c r="R121" s="706">
        <v>9999.0</v>
      </c>
    </row>
    <row r="122" ht="22.5" customHeight="1">
      <c r="A122" s="148" t="s">
        <v>17</v>
      </c>
      <c r="B122" s="145">
        <v>45910.0</v>
      </c>
      <c r="C122" s="145" t="str">
        <f t="shared" si="1"/>
        <v>septiembre</v>
      </c>
      <c r="D122" s="1193" t="s">
        <v>988</v>
      </c>
      <c r="E122" s="149" t="s">
        <v>989</v>
      </c>
      <c r="F122" s="144" t="s">
        <v>28</v>
      </c>
      <c r="G122" s="262" t="s">
        <v>990</v>
      </c>
      <c r="H122" s="144" t="s">
        <v>257</v>
      </c>
      <c r="I122" s="646" t="s">
        <v>991</v>
      </c>
      <c r="J122" s="144" t="s">
        <v>899</v>
      </c>
      <c r="K122" s="149" t="b">
        <v>1</v>
      </c>
      <c r="L122" s="144" t="s">
        <v>584</v>
      </c>
      <c r="M122" s="144" t="s">
        <v>584</v>
      </c>
      <c r="N122" s="148" t="s">
        <v>584</v>
      </c>
      <c r="O122" s="149">
        <v>5.1966653741E10</v>
      </c>
      <c r="P122" s="1191">
        <v>0.2</v>
      </c>
      <c r="Q122" s="790">
        <v>1150.0</v>
      </c>
      <c r="R122" s="168">
        <v>5731.98</v>
      </c>
    </row>
    <row r="123" ht="22.5" customHeight="1">
      <c r="A123" s="148" t="s">
        <v>17</v>
      </c>
      <c r="B123" s="145">
        <v>45910.0</v>
      </c>
      <c r="C123" s="145" t="str">
        <f t="shared" si="1"/>
        <v>septiembre</v>
      </c>
      <c r="D123" s="633" t="s">
        <v>771</v>
      </c>
      <c r="E123" s="149" t="s">
        <v>992</v>
      </c>
      <c r="F123" s="144" t="s">
        <v>28</v>
      </c>
      <c r="G123" s="647">
        <v>1.217751766E9</v>
      </c>
      <c r="H123" s="144" t="s">
        <v>257</v>
      </c>
      <c r="I123" s="165"/>
      <c r="J123" s="144" t="s">
        <v>899</v>
      </c>
      <c r="K123" s="149" t="b">
        <v>1</v>
      </c>
      <c r="L123" s="162"/>
      <c r="M123" s="144" t="s">
        <v>584</v>
      </c>
      <c r="N123" s="648" t="s">
        <v>584</v>
      </c>
      <c r="O123" s="149" t="s">
        <v>993</v>
      </c>
      <c r="P123" s="1191">
        <v>1.0</v>
      </c>
      <c r="Q123" s="1192"/>
      <c r="R123" s="168">
        <v>8999.0</v>
      </c>
    </row>
    <row r="124" ht="22.5" customHeight="1">
      <c r="A124" s="148" t="s">
        <v>17</v>
      </c>
      <c r="B124" s="145">
        <v>45912.0</v>
      </c>
      <c r="C124" s="145" t="str">
        <f t="shared" si="1"/>
        <v>septiembre</v>
      </c>
      <c r="D124" s="615" t="s">
        <v>923</v>
      </c>
      <c r="E124" s="149" t="s">
        <v>994</v>
      </c>
      <c r="F124" s="144" t="s">
        <v>28</v>
      </c>
      <c r="G124" s="630" t="s">
        <v>995</v>
      </c>
      <c r="H124" s="144" t="s">
        <v>257</v>
      </c>
      <c r="I124" s="165"/>
      <c r="J124" s="144" t="s">
        <v>899</v>
      </c>
      <c r="K124" s="149" t="b">
        <v>1</v>
      </c>
      <c r="L124" s="162"/>
      <c r="M124" s="144" t="s">
        <v>584</v>
      </c>
      <c r="N124" s="148" t="s">
        <v>584</v>
      </c>
      <c r="O124" s="149">
        <v>5.198051751E10</v>
      </c>
      <c r="P124" s="1191">
        <v>1.0</v>
      </c>
      <c r="Q124" s="1192"/>
      <c r="R124" s="168">
        <v>7999.0</v>
      </c>
    </row>
    <row r="125" ht="22.5" customHeight="1">
      <c r="A125" s="148" t="s">
        <v>17</v>
      </c>
      <c r="B125" s="145">
        <v>45912.0</v>
      </c>
      <c r="C125" s="145" t="str">
        <f t="shared" si="1"/>
        <v>septiembre</v>
      </c>
      <c r="D125" s="1213" t="s">
        <v>996</v>
      </c>
      <c r="E125" s="1214" t="s">
        <v>997</v>
      </c>
      <c r="F125" s="144" t="s">
        <v>112</v>
      </c>
      <c r="G125" s="650" t="s">
        <v>998</v>
      </c>
      <c r="H125" s="144" t="s">
        <v>257</v>
      </c>
      <c r="I125" s="149"/>
      <c r="J125" s="144" t="s">
        <v>899</v>
      </c>
      <c r="K125" s="149" t="b">
        <v>1</v>
      </c>
      <c r="L125" s="144" t="s">
        <v>584</v>
      </c>
      <c r="M125" s="144" t="s">
        <v>584</v>
      </c>
      <c r="N125" s="148"/>
      <c r="O125" s="651">
        <v>5.1992772257E10</v>
      </c>
      <c r="P125" s="1191">
        <v>0.5</v>
      </c>
      <c r="Q125" s="347" t="s">
        <v>999</v>
      </c>
      <c r="R125" s="347">
        <v>18803.85</v>
      </c>
    </row>
    <row r="126" ht="22.5" customHeight="1">
      <c r="A126" s="438" t="s">
        <v>34</v>
      </c>
      <c r="B126" s="435">
        <v>45913.0</v>
      </c>
      <c r="C126" s="145" t="str">
        <f t="shared" si="1"/>
        <v>septiembre</v>
      </c>
      <c r="D126" s="653" t="s">
        <v>1000</v>
      </c>
      <c r="E126" s="440" t="s">
        <v>1001</v>
      </c>
      <c r="F126" s="434" t="s">
        <v>28</v>
      </c>
      <c r="G126" s="566" t="s">
        <v>1002</v>
      </c>
      <c r="H126" s="144" t="s">
        <v>257</v>
      </c>
      <c r="I126" s="575"/>
      <c r="J126" s="434" t="s">
        <v>899</v>
      </c>
      <c r="K126" s="440" t="b">
        <v>1</v>
      </c>
      <c r="L126" s="444"/>
      <c r="M126" s="434" t="s">
        <v>584</v>
      </c>
      <c r="N126" s="438" t="s">
        <v>584</v>
      </c>
      <c r="O126" s="440">
        <v>5.1992772257E10</v>
      </c>
      <c r="P126" s="1194">
        <v>1.0</v>
      </c>
      <c r="Q126" s="347">
        <v>8999.0</v>
      </c>
      <c r="R126" s="347">
        <v>8999.0</v>
      </c>
    </row>
    <row r="127" ht="22.5" customHeight="1">
      <c r="A127" s="148" t="s">
        <v>17</v>
      </c>
      <c r="B127" s="145">
        <v>45913.0</v>
      </c>
      <c r="C127" s="145" t="str">
        <f t="shared" si="1"/>
        <v>septiembre</v>
      </c>
      <c r="D127" s="615" t="s">
        <v>923</v>
      </c>
      <c r="E127" s="149" t="s">
        <v>1003</v>
      </c>
      <c r="F127" s="144" t="s">
        <v>28</v>
      </c>
      <c r="G127" s="630" t="s">
        <v>1004</v>
      </c>
      <c r="H127" s="144" t="s">
        <v>257</v>
      </c>
      <c r="I127" s="165"/>
      <c r="J127" s="144" t="s">
        <v>899</v>
      </c>
      <c r="K127" s="149" t="b">
        <v>1</v>
      </c>
      <c r="L127" s="144" t="s">
        <v>584</v>
      </c>
      <c r="M127" s="144" t="s">
        <v>584</v>
      </c>
      <c r="N127" s="148" t="s">
        <v>584</v>
      </c>
      <c r="O127" s="149">
        <v>5.1994267201E10</v>
      </c>
      <c r="P127" s="1191">
        <v>0.3</v>
      </c>
      <c r="Q127" s="611">
        <v>2339.7</v>
      </c>
      <c r="R127" s="168">
        <v>7799.0</v>
      </c>
    </row>
    <row r="128" ht="22.5" customHeight="1">
      <c r="A128" s="148" t="s">
        <v>17</v>
      </c>
      <c r="B128" s="145">
        <v>45914.0</v>
      </c>
      <c r="C128" s="145" t="str">
        <f t="shared" si="1"/>
        <v>septiembre</v>
      </c>
      <c r="D128" s="149" t="s">
        <v>1005</v>
      </c>
      <c r="E128" s="1215" t="s">
        <v>1006</v>
      </c>
      <c r="F128" s="144" t="s">
        <v>112</v>
      </c>
      <c r="G128" s="351" t="s">
        <v>1007</v>
      </c>
      <c r="H128" s="144" t="s">
        <v>257</v>
      </c>
      <c r="I128" s="149" t="s">
        <v>1009</v>
      </c>
      <c r="J128" s="144" t="s">
        <v>899</v>
      </c>
      <c r="K128" s="149" t="b">
        <v>1</v>
      </c>
      <c r="L128" s="144" t="s">
        <v>584</v>
      </c>
      <c r="M128" s="144" t="s">
        <v>584</v>
      </c>
      <c r="N128" s="148"/>
      <c r="O128" s="165"/>
      <c r="P128" s="1191">
        <v>0.2</v>
      </c>
      <c r="Q128" s="611">
        <v>1319.8</v>
      </c>
      <c r="R128" s="168">
        <v>6599.0</v>
      </c>
    </row>
    <row r="129" ht="22.5" customHeight="1">
      <c r="A129" s="148" t="s">
        <v>17</v>
      </c>
      <c r="B129" s="145">
        <v>45915.0</v>
      </c>
      <c r="C129" s="145" t="str">
        <f t="shared" si="1"/>
        <v>septiembre</v>
      </c>
      <c r="D129" s="309" t="s">
        <v>798</v>
      </c>
      <c r="E129" s="1216" t="s">
        <v>799</v>
      </c>
      <c r="F129" s="144" t="s">
        <v>112</v>
      </c>
      <c r="G129" s="246" t="s">
        <v>1010</v>
      </c>
      <c r="H129" s="144" t="s">
        <v>257</v>
      </c>
      <c r="I129" s="149" t="s">
        <v>1012</v>
      </c>
      <c r="J129" s="144" t="s">
        <v>899</v>
      </c>
      <c r="K129" s="149" t="b">
        <v>1</v>
      </c>
      <c r="L129" s="144" t="s">
        <v>584</v>
      </c>
      <c r="M129" s="144" t="s">
        <v>584</v>
      </c>
      <c r="N129" s="148"/>
      <c r="O129" s="165"/>
      <c r="P129" s="1191">
        <v>0.3</v>
      </c>
      <c r="Q129" s="790">
        <v>2310.64</v>
      </c>
      <c r="R129" s="168">
        <v>8069.94</v>
      </c>
    </row>
    <row r="130" ht="22.5" customHeight="1">
      <c r="A130" s="148" t="s">
        <v>162</v>
      </c>
      <c r="B130" s="145">
        <v>45917.0</v>
      </c>
      <c r="C130" s="145" t="str">
        <f t="shared" si="1"/>
        <v>septiembre</v>
      </c>
      <c r="D130" s="1217" t="s">
        <v>1013</v>
      </c>
      <c r="E130" s="149" t="s">
        <v>1014</v>
      </c>
      <c r="F130" s="144" t="s">
        <v>28</v>
      </c>
      <c r="G130" s="262" t="s">
        <v>1015</v>
      </c>
      <c r="H130" s="144" t="s">
        <v>257</v>
      </c>
      <c r="I130" s="149" t="s">
        <v>1016</v>
      </c>
      <c r="J130" s="144" t="s">
        <v>899</v>
      </c>
      <c r="K130" s="149" t="b">
        <v>1</v>
      </c>
      <c r="L130" s="144" t="s">
        <v>584</v>
      </c>
      <c r="M130" s="144" t="s">
        <v>584</v>
      </c>
      <c r="N130" s="367" t="s">
        <v>584</v>
      </c>
      <c r="O130" s="149">
        <v>5.1959374238E10</v>
      </c>
      <c r="P130" s="1191">
        <v>0.2</v>
      </c>
      <c r="Q130" s="611">
        <v>1390.0</v>
      </c>
      <c r="R130" s="168">
        <v>6950.0</v>
      </c>
    </row>
    <row r="131" ht="22.5" customHeight="1">
      <c r="A131" s="148" t="s">
        <v>17</v>
      </c>
      <c r="B131" s="145">
        <v>45917.0</v>
      </c>
      <c r="C131" s="145" t="str">
        <f t="shared" si="1"/>
        <v>septiembre</v>
      </c>
      <c r="D131" s="615" t="s">
        <v>911</v>
      </c>
      <c r="E131" s="149" t="s">
        <v>1017</v>
      </c>
      <c r="F131" s="144" t="s">
        <v>28</v>
      </c>
      <c r="G131" s="630" t="s">
        <v>1018</v>
      </c>
      <c r="H131" s="144" t="s">
        <v>257</v>
      </c>
      <c r="I131" s="165"/>
      <c r="J131" s="144" t="s">
        <v>899</v>
      </c>
      <c r="K131" s="149" t="b">
        <v>1</v>
      </c>
      <c r="L131" s="162"/>
      <c r="M131" s="144" t="s">
        <v>584</v>
      </c>
      <c r="N131" s="148" t="s">
        <v>584</v>
      </c>
      <c r="O131" s="149">
        <v>5.1912501518E10</v>
      </c>
      <c r="P131" s="1191">
        <v>1.0</v>
      </c>
      <c r="Q131" s="1192"/>
      <c r="R131" s="168">
        <v>6699.0</v>
      </c>
    </row>
    <row r="132" ht="22.5" customHeight="1">
      <c r="A132" s="148" t="s">
        <v>34</v>
      </c>
      <c r="B132" s="145">
        <v>45920.0</v>
      </c>
      <c r="C132" s="145" t="str">
        <f t="shared" si="1"/>
        <v>septiembre</v>
      </c>
      <c r="D132" s="615" t="s">
        <v>888</v>
      </c>
      <c r="E132" s="1218" t="s">
        <v>1019</v>
      </c>
      <c r="F132" s="144" t="s">
        <v>112</v>
      </c>
      <c r="G132" s="246" t="s">
        <v>1020</v>
      </c>
      <c r="H132" s="144" t="s">
        <v>257</v>
      </c>
      <c r="I132" s="149" t="s">
        <v>1021</v>
      </c>
      <c r="J132" s="144" t="s">
        <v>899</v>
      </c>
      <c r="K132" s="149" t="b">
        <v>1</v>
      </c>
      <c r="L132" s="144" t="s">
        <v>584</v>
      </c>
      <c r="M132" s="144" t="s">
        <v>584</v>
      </c>
      <c r="N132" s="148"/>
      <c r="O132" s="149">
        <v>5.1932012707E10</v>
      </c>
      <c r="P132" s="166"/>
      <c r="Q132" s="611">
        <v>1140.0</v>
      </c>
      <c r="R132" s="168">
        <v>5699.0</v>
      </c>
    </row>
    <row r="133" ht="22.5" customHeight="1">
      <c r="A133" s="148" t="s">
        <v>162</v>
      </c>
      <c r="B133" s="145">
        <v>45920.0</v>
      </c>
      <c r="C133" s="145" t="str">
        <f t="shared" si="1"/>
        <v>septiembre</v>
      </c>
      <c r="D133" s="615" t="s">
        <v>1022</v>
      </c>
      <c r="E133" s="149" t="s">
        <v>1023</v>
      </c>
      <c r="F133" s="144" t="s">
        <v>28</v>
      </c>
      <c r="G133" s="262" t="s">
        <v>1024</v>
      </c>
      <c r="H133" s="144" t="s">
        <v>257</v>
      </c>
      <c r="I133" s="149" t="s">
        <v>1026</v>
      </c>
      <c r="J133" s="144" t="s">
        <v>899</v>
      </c>
      <c r="K133" s="149" t="b">
        <v>1</v>
      </c>
      <c r="L133" s="144" t="s">
        <v>584</v>
      </c>
      <c r="M133" s="144" t="s">
        <v>584</v>
      </c>
      <c r="N133" s="148" t="s">
        <v>584</v>
      </c>
      <c r="O133" s="149">
        <v>5.1928925168E10</v>
      </c>
      <c r="P133" s="1191">
        <v>0.2</v>
      </c>
      <c r="Q133" s="611">
        <v>1260.0</v>
      </c>
      <c r="R133" s="168">
        <v>6299.0</v>
      </c>
    </row>
    <row r="134" ht="22.5" customHeight="1">
      <c r="A134" s="148" t="s">
        <v>162</v>
      </c>
      <c r="B134" s="145">
        <v>45923.0</v>
      </c>
      <c r="C134" s="145" t="str">
        <f t="shared" si="1"/>
        <v>septiembre</v>
      </c>
      <c r="D134" s="149" t="s">
        <v>593</v>
      </c>
      <c r="E134" s="149" t="s">
        <v>1027</v>
      </c>
      <c r="F134" s="144" t="s">
        <v>28</v>
      </c>
      <c r="G134" s="149" t="s">
        <v>1028</v>
      </c>
      <c r="H134" s="144" t="s">
        <v>257</v>
      </c>
      <c r="I134" s="165"/>
      <c r="J134" s="144" t="s">
        <v>899</v>
      </c>
      <c r="K134" s="149" t="b">
        <v>1</v>
      </c>
      <c r="L134" s="162"/>
      <c r="M134" s="144" t="s">
        <v>584</v>
      </c>
      <c r="N134" s="148" t="s">
        <v>584</v>
      </c>
      <c r="O134" s="149" t="s">
        <v>1029</v>
      </c>
      <c r="P134" s="1191">
        <v>1.0</v>
      </c>
      <c r="Q134" s="611">
        <v>400.0</v>
      </c>
      <c r="R134" s="168">
        <v>6048.0</v>
      </c>
    </row>
    <row r="135" ht="22.5" customHeight="1">
      <c r="A135" s="398" t="s">
        <v>34</v>
      </c>
      <c r="B135" s="594">
        <v>45924.0</v>
      </c>
      <c r="C135" s="594" t="str">
        <f t="shared" si="1"/>
        <v>septiembre</v>
      </c>
      <c r="D135" s="658" t="s">
        <v>1030</v>
      </c>
      <c r="E135" s="1219" t="s">
        <v>1031</v>
      </c>
      <c r="F135" s="593" t="s">
        <v>28</v>
      </c>
      <c r="G135" s="597" t="s">
        <v>1032</v>
      </c>
      <c r="H135" s="593" t="s">
        <v>257</v>
      </c>
      <c r="I135" s="397" t="s">
        <v>1033</v>
      </c>
      <c r="J135" s="593" t="s">
        <v>899</v>
      </c>
      <c r="K135" s="397" t="b">
        <v>1</v>
      </c>
      <c r="L135" s="593" t="s">
        <v>584</v>
      </c>
      <c r="M135" s="593" t="s">
        <v>584</v>
      </c>
      <c r="N135" s="398" t="s">
        <v>584</v>
      </c>
      <c r="O135" s="397">
        <v>5.1912920157E10</v>
      </c>
      <c r="P135" s="1212"/>
      <c r="Q135" s="715">
        <v>1140.0</v>
      </c>
      <c r="R135" s="715">
        <v>5699.0</v>
      </c>
    </row>
    <row r="136" ht="22.5" customHeight="1">
      <c r="A136" s="148" t="s">
        <v>162</v>
      </c>
      <c r="B136" s="145">
        <v>45924.0</v>
      </c>
      <c r="C136" s="145" t="str">
        <f t="shared" si="1"/>
        <v>septiembre</v>
      </c>
      <c r="D136" s="149" t="s">
        <v>879</v>
      </c>
      <c r="E136" s="149" t="s">
        <v>1034</v>
      </c>
      <c r="F136" s="144" t="s">
        <v>28</v>
      </c>
      <c r="G136" s="149" t="s">
        <v>1035</v>
      </c>
      <c r="H136" s="144" t="s">
        <v>257</v>
      </c>
      <c r="I136" s="165"/>
      <c r="J136" s="144" t="s">
        <v>899</v>
      </c>
      <c r="K136" s="149" t="b">
        <v>1</v>
      </c>
      <c r="L136" s="144" t="s">
        <v>584</v>
      </c>
      <c r="M136" s="144" t="s">
        <v>584</v>
      </c>
      <c r="N136" s="367" t="s">
        <v>584</v>
      </c>
      <c r="O136" s="149" t="s">
        <v>1036</v>
      </c>
      <c r="P136" s="1191">
        <v>0.5</v>
      </c>
      <c r="Q136" s="611">
        <v>3000.0</v>
      </c>
      <c r="R136" s="168">
        <v>6699.0</v>
      </c>
    </row>
    <row r="137" ht="22.5" customHeight="1">
      <c r="A137" s="148" t="s">
        <v>162</v>
      </c>
      <c r="B137" s="145">
        <v>45924.0</v>
      </c>
      <c r="C137" s="145" t="str">
        <f t="shared" si="1"/>
        <v>septiembre</v>
      </c>
      <c r="D137" s="659" t="s">
        <v>593</v>
      </c>
      <c r="E137" s="43" t="s">
        <v>1037</v>
      </c>
      <c r="F137" s="144" t="s">
        <v>28</v>
      </c>
      <c r="G137" s="149" t="s">
        <v>1038</v>
      </c>
      <c r="H137" s="144" t="s">
        <v>257</v>
      </c>
      <c r="I137" s="165"/>
      <c r="J137" s="144" t="s">
        <v>899</v>
      </c>
      <c r="K137" s="149" t="b">
        <v>1</v>
      </c>
      <c r="L137" s="144" t="s">
        <v>584</v>
      </c>
      <c r="M137" s="144" t="s">
        <v>584</v>
      </c>
      <c r="N137" s="148" t="s">
        <v>584</v>
      </c>
      <c r="O137" s="149">
        <v>5.1933802363E10</v>
      </c>
      <c r="P137" s="1191">
        <v>0.2</v>
      </c>
      <c r="Q137" s="611">
        <v>1139.8</v>
      </c>
      <c r="R137" s="168">
        <v>5699.0</v>
      </c>
    </row>
    <row r="138" ht="22.5" customHeight="1">
      <c r="A138" s="194" t="s">
        <v>34</v>
      </c>
      <c r="B138" s="1220">
        <v>45925.0</v>
      </c>
      <c r="C138" s="1220" t="str">
        <f t="shared" si="1"/>
        <v>septiembre</v>
      </c>
      <c r="D138" s="1221" t="s">
        <v>1039</v>
      </c>
      <c r="E138" s="1222" t="s">
        <v>1040</v>
      </c>
      <c r="F138" s="1223" t="s">
        <v>28</v>
      </c>
      <c r="G138" s="1224" t="s">
        <v>1041</v>
      </c>
      <c r="H138" s="1223" t="s">
        <v>257</v>
      </c>
      <c r="I138" s="1225"/>
      <c r="J138" s="1223" t="s">
        <v>899</v>
      </c>
      <c r="K138" s="1226" t="b">
        <v>1</v>
      </c>
      <c r="L138" s="1223" t="s">
        <v>584</v>
      </c>
      <c r="M138" s="1223" t="s">
        <v>584</v>
      </c>
      <c r="N138" s="194"/>
      <c r="O138" s="1226">
        <v>5.1979681174E10</v>
      </c>
      <c r="P138" s="1227">
        <v>0.5</v>
      </c>
      <c r="Q138" s="1228">
        <v>6330.0</v>
      </c>
      <c r="R138" s="1228">
        <v>12661.48</v>
      </c>
    </row>
    <row r="139" ht="22.5" customHeight="1">
      <c r="A139" s="148" t="s">
        <v>17</v>
      </c>
      <c r="B139" s="145">
        <v>45925.0</v>
      </c>
      <c r="C139" s="145" t="str">
        <f t="shared" si="1"/>
        <v>septiembre</v>
      </c>
      <c r="D139" s="262" t="s">
        <v>1042</v>
      </c>
      <c r="E139" s="149" t="s">
        <v>1043</v>
      </c>
      <c r="F139" s="144" t="s">
        <v>28</v>
      </c>
      <c r="G139" s="661" t="s">
        <v>179</v>
      </c>
      <c r="H139" s="144" t="s">
        <v>257</v>
      </c>
      <c r="I139" s="165"/>
      <c r="J139" s="144" t="s">
        <v>899</v>
      </c>
      <c r="K139" s="149" t="b">
        <v>1</v>
      </c>
      <c r="L139" s="162"/>
      <c r="M139" s="144" t="s">
        <v>584</v>
      </c>
      <c r="N139" s="148" t="s">
        <v>584</v>
      </c>
      <c r="O139" s="149">
        <v>5.1982739768E10</v>
      </c>
      <c r="P139" s="1191">
        <v>1.0</v>
      </c>
      <c r="Q139" s="1192"/>
      <c r="R139" s="168">
        <v>10499.0</v>
      </c>
    </row>
    <row r="140" ht="22.5" customHeight="1">
      <c r="A140" s="148" t="s">
        <v>34</v>
      </c>
      <c r="B140" s="145">
        <v>45927.0</v>
      </c>
      <c r="C140" s="145" t="str">
        <f t="shared" si="1"/>
        <v>septiembre</v>
      </c>
      <c r="D140" s="1044" t="s">
        <v>1044</v>
      </c>
      <c r="E140" s="43" t="s">
        <v>1045</v>
      </c>
      <c r="F140" s="144" t="s">
        <v>112</v>
      </c>
      <c r="G140" s="246" t="s">
        <v>1046</v>
      </c>
      <c r="H140" s="144" t="s">
        <v>257</v>
      </c>
      <c r="I140" s="149" t="s">
        <v>1047</v>
      </c>
      <c r="J140" s="144" t="s">
        <v>1048</v>
      </c>
      <c r="K140" s="149" t="b">
        <v>0</v>
      </c>
      <c r="L140" s="144" t="s">
        <v>584</v>
      </c>
      <c r="M140" s="144" t="s">
        <v>584</v>
      </c>
      <c r="N140" s="148"/>
      <c r="O140" s="149">
        <v>5.1901293728E10</v>
      </c>
      <c r="P140" s="1191">
        <v>0.2</v>
      </c>
      <c r="Q140" s="1189">
        <v>1050.0</v>
      </c>
      <c r="R140" s="611">
        <v>5235.72</v>
      </c>
    </row>
    <row r="141" ht="22.5" customHeight="1">
      <c r="A141" s="148" t="s">
        <v>162</v>
      </c>
      <c r="B141" s="145">
        <v>45927.0</v>
      </c>
      <c r="C141" s="145" t="str">
        <f t="shared" si="1"/>
        <v>septiembre</v>
      </c>
      <c r="D141" s="149" t="s">
        <v>923</v>
      </c>
      <c r="E141" s="149" t="s">
        <v>1049</v>
      </c>
      <c r="F141" s="144" t="s">
        <v>28</v>
      </c>
      <c r="G141" s="451" t="s">
        <v>1050</v>
      </c>
      <c r="H141" s="144" t="s">
        <v>257</v>
      </c>
      <c r="I141" s="165"/>
      <c r="J141" s="144" t="s">
        <v>899</v>
      </c>
      <c r="K141" s="149" t="b">
        <v>1</v>
      </c>
      <c r="L141" s="162"/>
      <c r="M141" s="144" t="s">
        <v>584</v>
      </c>
      <c r="N141" s="148" t="s">
        <v>584</v>
      </c>
      <c r="O141" s="149">
        <v>5.1945801348E10</v>
      </c>
      <c r="P141" s="1191">
        <v>1.0</v>
      </c>
      <c r="Q141" s="611">
        <v>8099.0</v>
      </c>
      <c r="R141" s="168">
        <v>8099.0</v>
      </c>
    </row>
    <row r="142" ht="22.5" customHeight="1">
      <c r="A142" s="148" t="s">
        <v>162</v>
      </c>
      <c r="B142" s="145">
        <v>45927.0</v>
      </c>
      <c r="C142" s="145" t="str">
        <f t="shared" si="1"/>
        <v>septiembre</v>
      </c>
      <c r="D142" s="149" t="s">
        <v>1000</v>
      </c>
      <c r="E142" s="149" t="s">
        <v>1051</v>
      </c>
      <c r="F142" s="144" t="s">
        <v>28</v>
      </c>
      <c r="G142" s="410" t="s">
        <v>1052</v>
      </c>
      <c r="H142" s="144" t="s">
        <v>257</v>
      </c>
      <c r="I142" s="165"/>
      <c r="J142" s="144" t="s">
        <v>899</v>
      </c>
      <c r="K142" s="149" t="b">
        <v>1</v>
      </c>
      <c r="L142" s="162"/>
      <c r="M142" s="144" t="s">
        <v>584</v>
      </c>
      <c r="N142" s="148" t="s">
        <v>584</v>
      </c>
      <c r="O142" s="149">
        <v>5.1996655049E10</v>
      </c>
      <c r="P142" s="1191">
        <v>1.0</v>
      </c>
      <c r="Q142" s="611">
        <v>8479.0</v>
      </c>
      <c r="R142" s="168">
        <v>8479.0</v>
      </c>
    </row>
    <row r="143" ht="22.5" customHeight="1">
      <c r="A143" s="148" t="s">
        <v>162</v>
      </c>
      <c r="B143" s="1229"/>
      <c r="C143" s="145" t="str">
        <f>TEXT(B142,"mmmm")</f>
        <v>septiembre</v>
      </c>
      <c r="D143" s="1230" t="s">
        <v>617</v>
      </c>
      <c r="E143" s="149" t="s">
        <v>1057</v>
      </c>
      <c r="F143" s="144" t="s">
        <v>28</v>
      </c>
      <c r="G143" s="149" t="s">
        <v>1058</v>
      </c>
      <c r="H143" s="144" t="s">
        <v>257</v>
      </c>
      <c r="I143" s="165"/>
      <c r="J143" s="144" t="s">
        <v>899</v>
      </c>
      <c r="K143" s="149" t="b">
        <v>1</v>
      </c>
      <c r="L143" s="144" t="s">
        <v>584</v>
      </c>
      <c r="M143" s="144" t="s">
        <v>584</v>
      </c>
      <c r="N143" s="148" t="s">
        <v>584</v>
      </c>
      <c r="O143" s="149" t="s">
        <v>1059</v>
      </c>
      <c r="P143" s="1191">
        <v>0.3</v>
      </c>
      <c r="Q143" s="611">
        <v>2970.0</v>
      </c>
      <c r="R143" s="168">
        <v>9699.0</v>
      </c>
    </row>
    <row r="144" ht="22.5" customHeight="1">
      <c r="A144" s="148" t="s">
        <v>17</v>
      </c>
      <c r="B144" s="145">
        <v>45927.0</v>
      </c>
      <c r="C144" s="145" t="str">
        <f t="shared" ref="C144:C149" si="2">TEXT(B144,"mmmm")</f>
        <v>septiembre</v>
      </c>
      <c r="D144" s="1231" t="s">
        <v>1013</v>
      </c>
      <c r="E144" s="149" t="s">
        <v>1061</v>
      </c>
      <c r="F144" s="144" t="s">
        <v>112</v>
      </c>
      <c r="G144" s="489" t="s">
        <v>1062</v>
      </c>
      <c r="H144" s="144" t="s">
        <v>257</v>
      </c>
      <c r="I144" s="149" t="s">
        <v>1064</v>
      </c>
      <c r="J144" s="144" t="s">
        <v>899</v>
      </c>
      <c r="K144" s="149" t="b">
        <v>1</v>
      </c>
      <c r="L144" s="144" t="s">
        <v>584</v>
      </c>
      <c r="M144" s="144" t="s">
        <v>584</v>
      </c>
      <c r="N144" s="148"/>
      <c r="O144" s="149" t="s">
        <v>1063</v>
      </c>
      <c r="P144" s="1191">
        <v>0.2</v>
      </c>
      <c r="Q144" s="790">
        <v>1399.0</v>
      </c>
      <c r="R144" s="168">
        <v>6999.0</v>
      </c>
    </row>
    <row r="145" ht="22.5" customHeight="1">
      <c r="A145" s="148" t="s">
        <v>34</v>
      </c>
      <c r="B145" s="145">
        <v>45930.0</v>
      </c>
      <c r="C145" s="145" t="str">
        <f t="shared" si="2"/>
        <v>septiembre</v>
      </c>
      <c r="D145" s="1232" t="s">
        <v>1065</v>
      </c>
      <c r="E145" s="149" t="s">
        <v>962</v>
      </c>
      <c r="F145" s="144" t="s">
        <v>112</v>
      </c>
      <c r="G145" s="262" t="s">
        <v>1066</v>
      </c>
      <c r="H145" s="144" t="s">
        <v>257</v>
      </c>
      <c r="I145" s="149" t="s">
        <v>1068</v>
      </c>
      <c r="J145" s="144" t="s">
        <v>1048</v>
      </c>
      <c r="K145" s="149" t="b">
        <v>0</v>
      </c>
      <c r="L145" s="144" t="s">
        <v>584</v>
      </c>
      <c r="M145" s="144" t="s">
        <v>584</v>
      </c>
      <c r="N145" s="148"/>
      <c r="O145" s="149">
        <v>5.191254025E10</v>
      </c>
      <c r="P145" s="144" t="s">
        <v>61</v>
      </c>
      <c r="Q145" s="611">
        <v>1760.0</v>
      </c>
      <c r="R145" s="168">
        <v>9099.0</v>
      </c>
    </row>
    <row r="146" ht="22.5" customHeight="1">
      <c r="A146" s="148" t="s">
        <v>34</v>
      </c>
      <c r="B146" s="145">
        <v>45930.0</v>
      </c>
      <c r="C146" s="145" t="str">
        <f t="shared" si="2"/>
        <v>septiembre</v>
      </c>
      <c r="D146" s="667" t="s">
        <v>906</v>
      </c>
      <c r="E146" s="368" t="s">
        <v>966</v>
      </c>
      <c r="F146" s="144" t="s">
        <v>28</v>
      </c>
      <c r="G146" s="668" t="s">
        <v>1069</v>
      </c>
      <c r="H146" s="144" t="s">
        <v>257</v>
      </c>
      <c r="I146" s="165"/>
      <c r="J146" s="144" t="s">
        <v>899</v>
      </c>
      <c r="K146" s="149" t="b">
        <v>1</v>
      </c>
      <c r="L146" s="144" t="s">
        <v>584</v>
      </c>
      <c r="M146" s="144" t="s">
        <v>584</v>
      </c>
      <c r="N146" s="148"/>
      <c r="O146" s="544">
        <v>5.1917234894E10</v>
      </c>
      <c r="P146" s="166"/>
      <c r="Q146" s="1198">
        <v>1159.8</v>
      </c>
      <c r="R146" s="168">
        <v>5799.0</v>
      </c>
    </row>
    <row r="147" ht="22.5" customHeight="1">
      <c r="A147" s="148" t="s">
        <v>162</v>
      </c>
      <c r="B147" s="145">
        <v>45930.0</v>
      </c>
      <c r="C147" s="145" t="str">
        <f t="shared" si="2"/>
        <v>septiembre</v>
      </c>
      <c r="D147" s="353" t="s">
        <v>1071</v>
      </c>
      <c r="E147" s="149" t="s">
        <v>1072</v>
      </c>
      <c r="F147" s="144" t="s">
        <v>28</v>
      </c>
      <c r="G147" s="262" t="s">
        <v>1073</v>
      </c>
      <c r="H147" s="144" t="s">
        <v>257</v>
      </c>
      <c r="I147" s="165"/>
      <c r="J147" s="144" t="s">
        <v>899</v>
      </c>
      <c r="K147" s="149" t="b">
        <v>1</v>
      </c>
      <c r="L147" s="144" t="s">
        <v>584</v>
      </c>
      <c r="M147" s="144" t="s">
        <v>584</v>
      </c>
      <c r="N147" s="148" t="s">
        <v>584</v>
      </c>
      <c r="O147" s="149">
        <v>5.1912778797E10</v>
      </c>
      <c r="P147" s="1191">
        <v>0.5</v>
      </c>
      <c r="Q147" s="611">
        <v>7500.0</v>
      </c>
      <c r="R147" s="168">
        <v>15984.0</v>
      </c>
    </row>
    <row r="148" ht="22.5" customHeight="1">
      <c r="A148" s="148" t="s">
        <v>162</v>
      </c>
      <c r="B148" s="145">
        <v>45930.0</v>
      </c>
      <c r="C148" s="145" t="str">
        <f t="shared" si="2"/>
        <v>septiembre</v>
      </c>
      <c r="D148" s="353" t="s">
        <v>1074</v>
      </c>
      <c r="E148" s="149" t="s">
        <v>1072</v>
      </c>
      <c r="F148" s="144" t="s">
        <v>28</v>
      </c>
      <c r="G148" s="410" t="s">
        <v>1075</v>
      </c>
      <c r="H148" s="144" t="s">
        <v>1076</v>
      </c>
      <c r="I148" s="165"/>
      <c r="J148" s="144" t="s">
        <v>899</v>
      </c>
      <c r="K148" s="149" t="b">
        <v>1</v>
      </c>
      <c r="L148" s="162"/>
      <c r="M148" s="672"/>
      <c r="N148" s="148" t="s">
        <v>968</v>
      </c>
      <c r="O148" s="149">
        <v>5.1912778797E10</v>
      </c>
      <c r="P148" s="1191">
        <v>0.2</v>
      </c>
      <c r="Q148" s="611">
        <v>250.0</v>
      </c>
      <c r="R148" s="168">
        <v>374.0</v>
      </c>
    </row>
    <row r="149" ht="22.5" customHeight="1">
      <c r="A149" s="148" t="s">
        <v>34</v>
      </c>
      <c r="B149" s="145">
        <v>45930.0</v>
      </c>
      <c r="C149" s="145" t="str">
        <f t="shared" si="2"/>
        <v>septiembre</v>
      </c>
      <c r="D149" s="1233" t="s">
        <v>1077</v>
      </c>
      <c r="E149" s="43" t="s">
        <v>1078</v>
      </c>
      <c r="F149" s="144" t="s">
        <v>112</v>
      </c>
      <c r="G149" s="262" t="s">
        <v>1079</v>
      </c>
      <c r="H149" s="144" t="s">
        <v>257</v>
      </c>
      <c r="I149" s="149" t="s">
        <v>1080</v>
      </c>
      <c r="J149" s="144" t="s">
        <v>1048</v>
      </c>
      <c r="K149" s="149" t="b">
        <v>0</v>
      </c>
      <c r="L149" s="144" t="s">
        <v>584</v>
      </c>
      <c r="M149" s="144" t="s">
        <v>584</v>
      </c>
      <c r="N149" s="148"/>
      <c r="O149" s="149">
        <v>5.1964678083E10</v>
      </c>
      <c r="P149" s="1191">
        <v>0.5</v>
      </c>
      <c r="Q149" s="611">
        <v>7600.0</v>
      </c>
      <c r="R149" s="168">
        <v>14499.0</v>
      </c>
    </row>
  </sheetData>
  <dataValidations>
    <dataValidation type="list" allowBlank="1" sqref="M2:N147 N148 M149:N149">
      <formula1>"NO,SI"</formula1>
    </dataValidation>
    <dataValidation type="list" allowBlank="1" sqref="A2:A149">
      <formula1>"MARYORY ,DAMARIS,JOSELYN,ROMINA,KARINA,JULIO,SOFIA"</formula1>
    </dataValidation>
    <dataValidation type="custom" allowBlank="1" showDropDown="1" sqref="B2:B149">
      <formula1>OR(NOT(ISERROR(DATEVALUE(B2))), AND(ISNUMBER(B2), LEFT(CELL("format", B2))="D"))</formula1>
    </dataValidation>
    <dataValidation type="list" allowBlank="1" sqref="F2:F149">
      <formula1>"stock,COMPRADA,SOLICITADA ,tránsito,FALTA COMPRAR,ENTREGADA AL CLIENTE,ADUANAS,CANCELADA,ALMACÉN"</formula1>
    </dataValidation>
    <dataValidation type="list" allowBlank="1" sqref="H2:H149">
      <formula1>"Laptop,Otro"</formula1>
    </dataValidation>
    <dataValidation type="custom" allowBlank="1" showDropDown="1" sqref="Q2:R149">
      <formula1>AND(ISNUMBER(Q2),(NOT(OR(NOT(ISERROR(DATEVALUE(Q2))), AND(ISNUMBER(Q2), LEFT(CELL("format", Q2))="D")))))</formula1>
    </dataValidation>
    <dataValidation type="list" allowBlank="1" sqref="J2:J149">
      <formula1>"JULIO,AGOSTO,SETIEMBRE,OCTUBRE"</formula1>
    </dataValidation>
    <dataValidation type="list" allowBlank="1" sqref="L2:L149">
      <formula1>"NO,SI"</formula1>
    </dataValidation>
    <dataValidation type="list" allowBlank="1" sqref="P2:P149">
      <formula1>"100%,30%,50%,OTRO,20%"</formula1>
    </dataValidation>
  </dataValidations>
  <hyperlinks>
    <hyperlink r:id="rId2" ref="G2"/>
    <hyperlink r:id="rId3" ref="I2"/>
    <hyperlink r:id="rId4" ref="G3"/>
    <hyperlink r:id="rId5" ref="G4"/>
    <hyperlink r:id="rId6" ref="G5"/>
    <hyperlink r:id="rId7" ref="R5"/>
    <hyperlink r:id="rId8" ref="G6"/>
    <hyperlink r:id="rId9" ref="G7"/>
    <hyperlink r:id="rId10" ref="G8"/>
    <hyperlink r:id="rId11" ref="G9"/>
    <hyperlink r:id="rId12" ref="G10"/>
    <hyperlink r:id="rId13" ref="G13"/>
    <hyperlink r:id="rId14" ref="D16"/>
    <hyperlink r:id="rId15" ref="G16"/>
    <hyperlink r:id="rId16" ref="G17"/>
    <hyperlink r:id="rId17" ref="G18"/>
    <hyperlink r:id="rId18" ref="G19"/>
    <hyperlink r:id="rId19" ref="G20"/>
    <hyperlink r:id="rId20" ref="G21"/>
    <hyperlink r:id="rId21" ref="Q21"/>
    <hyperlink r:id="rId22" ref="R21"/>
    <hyperlink r:id="rId23" ref="G22"/>
    <hyperlink r:id="rId24" ref="Q22"/>
    <hyperlink r:id="rId25" ref="G24"/>
    <hyperlink r:id="rId26" ref="R24"/>
    <hyperlink r:id="rId27" ref="R25"/>
    <hyperlink r:id="rId28" ref="D26"/>
    <hyperlink r:id="rId29" ref="G26"/>
    <hyperlink r:id="rId30" ref="G29"/>
    <hyperlink r:id="rId31" ref="G30"/>
    <hyperlink r:id="rId32" ref="Q30"/>
    <hyperlink r:id="rId33" ref="G31"/>
    <hyperlink r:id="rId34" ref="G32"/>
    <hyperlink r:id="rId35" ref="G33"/>
    <hyperlink r:id="rId36" ref="R33"/>
    <hyperlink r:id="rId37" ref="G34"/>
    <hyperlink r:id="rId38" ref="G36"/>
    <hyperlink r:id="rId39" ref="G37"/>
    <hyperlink r:id="rId40" ref="G38"/>
    <hyperlink r:id="rId41" ref="D39"/>
    <hyperlink r:id="rId42" ref="G39"/>
    <hyperlink r:id="rId43" ref="G42"/>
    <hyperlink r:id="rId44" ref="Q43"/>
    <hyperlink r:id="rId45" ref="G44"/>
    <hyperlink r:id="rId46" ref="D46"/>
    <hyperlink r:id="rId47" ref="G46"/>
    <hyperlink r:id="rId48" ref="G47"/>
    <hyperlink r:id="rId49" ref="Q50"/>
    <hyperlink r:id="rId50" ref="D53"/>
    <hyperlink r:id="rId51" ref="G53"/>
    <hyperlink r:id="rId52" ref="Q53"/>
    <hyperlink r:id="rId53" ref="G54"/>
    <hyperlink r:id="rId54" ref="R54"/>
    <hyperlink r:id="rId55" ref="D55"/>
    <hyperlink r:id="rId56" ref="G58"/>
    <hyperlink r:id="rId57" ref="D60"/>
    <hyperlink r:id="rId58" ref="G60"/>
    <hyperlink r:id="rId59" ref="G61"/>
    <hyperlink r:id="rId60" ref="G62"/>
    <hyperlink r:id="rId61" ref="G63"/>
    <hyperlink r:id="rId62" ref="G64"/>
    <hyperlink r:id="rId63" ref="G65"/>
    <hyperlink r:id="rId64" ref="D66"/>
    <hyperlink r:id="rId65" ref="G66"/>
    <hyperlink r:id="rId66" ref="G67"/>
    <hyperlink r:id="rId67" ref="G68"/>
    <hyperlink r:id="rId68" ref="Q68"/>
    <hyperlink r:id="rId69" ref="G70"/>
    <hyperlink r:id="rId70" ref="G71"/>
    <hyperlink r:id="rId71" ref="G72"/>
    <hyperlink r:id="rId72" ref="G73"/>
    <hyperlink r:id="rId73" ref="G74"/>
    <hyperlink r:id="rId74" ref="G76"/>
    <hyperlink r:id="rId75" ref="G77"/>
    <hyperlink r:id="rId76" ref="D81"/>
    <hyperlink r:id="rId77" ref="G81"/>
    <hyperlink r:id="rId78" ref="G82"/>
    <hyperlink r:id="rId79" ref="G83"/>
    <hyperlink r:id="rId80" ref="G86"/>
    <hyperlink r:id="rId81" ref="G87"/>
    <hyperlink r:id="rId82" ref="G88"/>
    <hyperlink r:id="rId83" ref="G92"/>
    <hyperlink r:id="rId84" ref="G93"/>
    <hyperlink r:id="rId85" ref="G94"/>
    <hyperlink r:id="rId86" ref="G95"/>
    <hyperlink r:id="rId87" ref="G96"/>
    <hyperlink r:id="rId88" ref="G97"/>
    <hyperlink r:id="rId89" ref="G98"/>
    <hyperlink r:id="rId90" ref="G99"/>
    <hyperlink r:id="rId91" ref="G104"/>
    <hyperlink r:id="rId92" ref="G105"/>
    <hyperlink r:id="rId93" ref="G106"/>
    <hyperlink r:id="rId94" ref="G107"/>
    <hyperlink r:id="rId95" ref="G108"/>
    <hyperlink r:id="rId96" ref="G109"/>
    <hyperlink r:id="rId97" ref="G110"/>
    <hyperlink r:id="rId98" ref="G111"/>
    <hyperlink r:id="rId99" ref="G112"/>
    <hyperlink r:id="rId100" ref="G113"/>
    <hyperlink r:id="rId101" ref="G114"/>
    <hyperlink r:id="rId102" ref="G115"/>
    <hyperlink r:id="rId103" ref="G117"/>
    <hyperlink r:id="rId104" ref="G118"/>
    <hyperlink r:id="rId105" ref="G119"/>
    <hyperlink r:id="rId106" ref="G120"/>
    <hyperlink r:id="rId107" ref="G121"/>
    <hyperlink r:id="rId108" ref="G122"/>
    <hyperlink r:id="rId109" ref="G123"/>
    <hyperlink r:id="rId110" ref="N123"/>
    <hyperlink r:id="rId111" ref="G124"/>
    <hyperlink r:id="rId112" ref="G126"/>
    <hyperlink r:id="rId113" ref="G127"/>
    <hyperlink r:id="rId114" ref="G129"/>
    <hyperlink r:id="rId115" ref="G130"/>
    <hyperlink r:id="rId116" ref="G131"/>
    <hyperlink r:id="rId117" ref="G132"/>
    <hyperlink r:id="rId118" ref="G133"/>
    <hyperlink r:id="rId119" ref="D135"/>
    <hyperlink r:id="rId120" ref="G135"/>
    <hyperlink r:id="rId121" ref="G138"/>
    <hyperlink r:id="rId122" ref="D139"/>
    <hyperlink r:id="rId123" ref="G139"/>
    <hyperlink r:id="rId124" ref="G140"/>
    <hyperlink r:id="rId125" ref="G141"/>
    <hyperlink r:id="rId126" ref="G142"/>
    <hyperlink r:id="rId127" ref="G144"/>
    <hyperlink r:id="rId128" ref="G145"/>
    <hyperlink r:id="rId129" ref="G146"/>
    <hyperlink r:id="rId130" ref="G147"/>
    <hyperlink r:id="rId131" ref="G148"/>
    <hyperlink r:id="rId132" ref="G149"/>
  </hyperlinks>
  <drawing r:id="rId133"/>
  <legacyDrawing r:id="rId134"/>
  <tableParts count="1">
    <tablePart r:id="rId13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 customWidth="1" min="3" max="3" width="20.63"/>
    <col customWidth="1" min="4" max="4" width="24.88"/>
    <col customWidth="1" min="5" max="5" width="28.25"/>
  </cols>
  <sheetData>
    <row r="1">
      <c r="A1" s="1234"/>
    </row>
    <row r="3">
      <c r="A3" s="1235" t="s">
        <v>2836</v>
      </c>
      <c r="B3" s="1235" t="s">
        <v>2837</v>
      </c>
      <c r="C3" s="1235" t="s">
        <v>2838</v>
      </c>
      <c r="D3" s="1235" t="s">
        <v>10</v>
      </c>
      <c r="E3" s="1235" t="s">
        <v>2839</v>
      </c>
    </row>
    <row r="4">
      <c r="A4" s="68"/>
      <c r="B4" s="68"/>
      <c r="C4" s="68"/>
      <c r="D4" s="68"/>
      <c r="E4" s="68"/>
    </row>
    <row r="5">
      <c r="A5" s="68"/>
      <c r="B5" s="68"/>
      <c r="C5" s="68"/>
      <c r="D5" s="68"/>
      <c r="E5" s="68"/>
    </row>
    <row r="6">
      <c r="A6" s="68"/>
      <c r="B6" s="68"/>
      <c r="C6" s="68"/>
      <c r="D6" s="68"/>
      <c r="E6" s="68"/>
    </row>
    <row r="7">
      <c r="A7" s="68"/>
      <c r="B7" s="68"/>
      <c r="C7" s="68"/>
      <c r="D7" s="68"/>
      <c r="E7" s="68"/>
    </row>
    <row r="8">
      <c r="A8" s="68"/>
      <c r="B8" s="68"/>
      <c r="C8" s="68"/>
      <c r="D8" s="68"/>
      <c r="E8" s="68"/>
    </row>
    <row r="9">
      <c r="A9" s="68"/>
      <c r="B9" s="68"/>
      <c r="C9" s="68"/>
      <c r="D9" s="68"/>
      <c r="E9" s="68"/>
    </row>
    <row r="10">
      <c r="A10" s="68"/>
      <c r="B10" s="68"/>
      <c r="C10" s="68"/>
      <c r="D10" s="68"/>
      <c r="E10" s="68"/>
    </row>
    <row r="11">
      <c r="A11" s="68"/>
      <c r="B11" s="68"/>
      <c r="C11" s="68"/>
      <c r="D11" s="68"/>
      <c r="E11" s="68"/>
    </row>
    <row r="12">
      <c r="A12" s="68"/>
      <c r="B12" s="68"/>
      <c r="C12" s="68"/>
      <c r="D12" s="68"/>
      <c r="E12" s="68"/>
    </row>
    <row r="13">
      <c r="A13" s="68"/>
      <c r="B13" s="68"/>
      <c r="C13" s="68"/>
      <c r="D13" s="68"/>
      <c r="E13" s="68"/>
    </row>
    <row r="14">
      <c r="A14" s="68"/>
      <c r="B14" s="68"/>
      <c r="C14" s="68"/>
      <c r="D14" s="68"/>
      <c r="E14" s="68"/>
    </row>
    <row r="15">
      <c r="A15" s="68"/>
      <c r="B15" s="68"/>
      <c r="C15" s="68"/>
      <c r="D15" s="68"/>
      <c r="E15" s="68"/>
    </row>
    <row r="16">
      <c r="A16" s="68"/>
      <c r="B16" s="68"/>
      <c r="C16" s="68"/>
      <c r="D16" s="68"/>
      <c r="E16" s="68"/>
    </row>
    <row r="17">
      <c r="A17" s="68"/>
      <c r="B17" s="68"/>
      <c r="C17" s="68"/>
      <c r="D17" s="68"/>
      <c r="E17" s="68"/>
    </row>
    <row r="18">
      <c r="A18" s="68"/>
      <c r="B18" s="68"/>
      <c r="C18" s="68"/>
      <c r="D18" s="68"/>
      <c r="E18" s="68"/>
    </row>
    <row r="19">
      <c r="A19" s="68"/>
      <c r="B19" s="68"/>
      <c r="C19" s="68"/>
      <c r="D19" s="68"/>
      <c r="E19" s="68"/>
    </row>
    <row r="20">
      <c r="A20" s="68"/>
      <c r="B20" s="68"/>
      <c r="C20" s="68"/>
      <c r="D20" s="68"/>
      <c r="E20" s="68"/>
    </row>
    <row r="21">
      <c r="A21" s="68"/>
      <c r="B21" s="68"/>
      <c r="C21" s="68"/>
      <c r="D21" s="68"/>
      <c r="E21" s="68"/>
    </row>
    <row r="22">
      <c r="A22" s="68"/>
      <c r="B22" s="68"/>
      <c r="C22" s="68"/>
      <c r="D22" s="68"/>
      <c r="E22" s="68"/>
    </row>
    <row r="23">
      <c r="A23" s="68"/>
      <c r="B23" s="68"/>
      <c r="C23" s="68"/>
      <c r="D23" s="68"/>
      <c r="E23" s="68"/>
    </row>
    <row r="24">
      <c r="A24" s="68"/>
      <c r="B24" s="68"/>
      <c r="C24" s="68"/>
      <c r="D24" s="68"/>
      <c r="E24" s="68"/>
    </row>
    <row r="25">
      <c r="A25" s="68"/>
      <c r="B25" s="68"/>
      <c r="C25" s="68"/>
      <c r="D25" s="68"/>
      <c r="E25" s="68"/>
    </row>
    <row r="26">
      <c r="A26" s="68"/>
      <c r="B26" s="68"/>
      <c r="C26" s="68"/>
      <c r="D26" s="68"/>
      <c r="E26" s="68"/>
    </row>
    <row r="27">
      <c r="A27" s="68"/>
      <c r="B27" s="68"/>
      <c r="C27" s="68"/>
      <c r="D27" s="68"/>
      <c r="E27" s="68"/>
    </row>
    <row r="28">
      <c r="A28" s="68"/>
      <c r="B28" s="68"/>
      <c r="C28" s="68"/>
      <c r="D28" s="68"/>
      <c r="E28" s="68"/>
    </row>
    <row r="29">
      <c r="A29" s="68"/>
      <c r="B29" s="68"/>
      <c r="C29" s="68"/>
      <c r="D29" s="68"/>
      <c r="E29" s="68"/>
    </row>
    <row r="30">
      <c r="A30" s="68"/>
      <c r="B30" s="68"/>
      <c r="C30" s="68"/>
      <c r="D30" s="68"/>
      <c r="E30" s="68"/>
    </row>
    <row r="31">
      <c r="A31" s="68"/>
      <c r="B31" s="68"/>
      <c r="C31" s="68"/>
      <c r="D31" s="68"/>
      <c r="E31" s="6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5"/>
    <col customWidth="1" min="7" max="7" width="14.25"/>
    <col customWidth="1" min="12" max="12" width="13.75"/>
    <col customWidth="1" min="13" max="13" width="16.13"/>
  </cols>
  <sheetData>
    <row r="1">
      <c r="A1" s="1171" t="str">
        <f>IFERROR(__xludf.DUMMYFUNCTION("QUERY(importaciones[#ALL], ""SELECT B, F, AE, AF, H, N, P, R, AG, L WHERE A = 'KARINA'"", 1)"),"FECHA DE PEDIDO / VENTA")</f>
        <v>FECHA DE PEDIDO / VENTA</v>
      </c>
      <c r="B1" s="1172" t="str">
        <f>IFERROR(__xludf.DUMMYFUNCTION("""COMPUTED_VALUE"""),"ORDEN DE COMPRA/ código interno")</f>
        <v>ORDEN DE COMPRA/ código interno</v>
      </c>
      <c r="C1" s="1172" t="str">
        <f>IFERROR(__xludf.DUMMYFUNCTION("""COMPUTED_VALUE"""),"COMISIÓN PARA LAPTOP")</f>
        <v>COMISIÓN PARA LAPTOP</v>
      </c>
      <c r="D1" s="1172" t="str">
        <f>IFERROR(__xludf.DUMMYFUNCTION("""COMPUTED_VALUE"""),"COMISIÓN VALIDADA")</f>
        <v>COMISIÓN VALIDADA</v>
      </c>
      <c r="E1" s="1172" t="str">
        <f>IFERROR(__xludf.DUMMYFUNCTION("""COMPUTED_VALUE"""),"Tipo de producto")</f>
        <v>Tipo de producto</v>
      </c>
      <c r="F1" s="1172" t="str">
        <f>IFERROR(__xludf.DUMMYFUNCTION("""COMPUTED_VALUE"""),"PPRECIO EN DOLARES (EEUU)")</f>
        <v>PPRECIO EN DOLARES (EEUU)</v>
      </c>
      <c r="G1" s="1172" t="str">
        <f>IFERROR(__xludf.DUMMYFUNCTION("""COMPUTED_VALUE"""),"(FÓRMULA)
TOTAL EXCEDENTE NETO")</f>
        <v>(FÓRMULA)
TOTAL EXCEDENTE NETO</v>
      </c>
      <c r="H1" s="1172" t="str">
        <f>IFERROR(__xludf.DUMMYFUNCTION("""COMPUTED_VALUE"""),"GARANTIA EXPRESS")</f>
        <v>GARANTIA EXPRESS</v>
      </c>
      <c r="I1" s="1172" t="str">
        <f>IFERROR(__xludf.DUMMYFUNCTION("""COMPUTED_VALUE"""),"COMISIÓN PARA EXCEDENTES")</f>
        <v>COMISIÓN PARA EXCEDENTES</v>
      </c>
      <c r="J1" s="1172" t="str">
        <f>IFERROR(__xludf.DUMMYFUNCTION("""COMPUTED_VALUE"""),"TOTAL COBRADO")</f>
        <v>TOTAL COBRADO</v>
      </c>
      <c r="M1" s="1172" t="str">
        <f>IFERROR(__xludf.DUMMYFUNCTION("QUERY(locales[#ALL], ""SELECT G,D,Q,C, M where A = 'KARINA' AND H = TRUE"", 1)"),"COMISIÓN PARA EL MES")</f>
        <v>COMISIÓN PARA EL MES</v>
      </c>
      <c r="N1" s="1172" t="str">
        <f>IFERROR(__xludf.DUMMYFUNCTION("""COMPUTED_VALUE"""),"SN")</f>
        <v>SN</v>
      </c>
      <c r="O1" s="1172" t="str">
        <f>IFERROR(__xludf.DUMMYFUNCTION("""COMPUTED_VALUE"""),"EXCEDENTE PARA PORLLES")</f>
        <v>EXCEDENTE PARA PORLLES</v>
      </c>
      <c r="P1" s="1172" t="str">
        <f>IFERROR(__xludf.DUMMYFUNCTION("""COMPUTED_VALUE"""),"FECHA DE PEDIDO / VENTA")</f>
        <v>FECHA DE PEDIDO / VENTA</v>
      </c>
      <c r="Q1" s="1172" t="str">
        <f>IFERROR(__xludf.DUMMYFUNCTION("""COMPUTED_VALUE"""),"TOTAL COBRADO")</f>
        <v>TOTAL COBRADO</v>
      </c>
    </row>
    <row r="2">
      <c r="A2" s="1175">
        <f>IFERROR(__xludf.DUMMYFUNCTION("""COMPUTED_VALUE"""),45756.0)</f>
        <v>45756</v>
      </c>
      <c r="B2" s="1174" t="str">
        <f>IFERROR(__xludf.DUMMYFUNCTION("""COMPUTED_VALUE"""),"K-A-113-8281122-5677001")</f>
        <v>K-A-113-8281122-5677001</v>
      </c>
      <c r="C2" s="1174"/>
      <c r="D2" s="1174" t="b">
        <f>IFERROR(__xludf.DUMMYFUNCTION("""COMPUTED_VALUE"""),FALSE)</f>
        <v>0</v>
      </c>
      <c r="E2" s="1174" t="str">
        <f>IFERROR(__xludf.DUMMYFUNCTION("""COMPUTED_VALUE"""),"Laptop")</f>
        <v>Laptop</v>
      </c>
      <c r="F2" s="1176">
        <f>IFERROR(__xludf.DUMMYFUNCTION("""COMPUTED_VALUE"""),1399.0)</f>
        <v>1399</v>
      </c>
      <c r="G2" s="1177">
        <f>IFERROR(__xludf.DUMMYFUNCTION("""COMPUTED_VALUE"""),0.0)</f>
        <v>0</v>
      </c>
      <c r="H2" s="1174"/>
      <c r="I2" s="1174"/>
      <c r="J2" s="1177">
        <f>IFERROR(__xludf.DUMMYFUNCTION("""COMPUTED_VALUE"""),6779.0)</f>
        <v>6779</v>
      </c>
      <c r="M2" s="1174" t="str">
        <f>IFERROR(__xludf.DUMMYFUNCTION("""COMPUTED_VALUE"""),"OCTUBRE")</f>
        <v>OCTUBRE</v>
      </c>
      <c r="N2" s="1174" t="str">
        <f>IFERROR(__xludf.DUMMYFUNCTION("""COMPUTED_VALUE"""),"PF5Q4BY6")</f>
        <v>PF5Q4BY6</v>
      </c>
      <c r="O2" s="1177">
        <f>IFERROR(__xludf.DUMMYFUNCTION("""COMPUTED_VALUE"""),0.0)</f>
        <v>0</v>
      </c>
      <c r="P2" s="1175">
        <f>IFERROR(__xludf.DUMMYFUNCTION("""COMPUTED_VALUE"""),45931.0)</f>
        <v>45931</v>
      </c>
      <c r="Q2" s="1177">
        <f>IFERROR(__xludf.DUMMYFUNCTION("""COMPUTED_VALUE"""),7329.0)</f>
        <v>7329</v>
      </c>
    </row>
    <row r="3">
      <c r="A3" s="1175">
        <f>IFERROR(__xludf.DUMMYFUNCTION("""COMPUTED_VALUE"""),45757.0)</f>
        <v>45757</v>
      </c>
      <c r="B3" s="1174" t="str">
        <f>IFERROR(__xludf.DUMMYFUNCTION("""COMPUTED_VALUE"""),"S-BH-1118964558")</f>
        <v>S-BH-1118964558</v>
      </c>
      <c r="C3" s="1174"/>
      <c r="D3" s="1174" t="b">
        <f>IFERROR(__xludf.DUMMYFUNCTION("""COMPUTED_VALUE"""),FALSE)</f>
        <v>0</v>
      </c>
      <c r="E3" s="1174" t="str">
        <f>IFERROR(__xludf.DUMMYFUNCTION("""COMPUTED_VALUE"""),"Laptop")</f>
        <v>Laptop</v>
      </c>
      <c r="F3" s="1176">
        <f>IFERROR(__xludf.DUMMYFUNCTION("""COMPUTED_VALUE"""),1529.0)</f>
        <v>1529</v>
      </c>
      <c r="G3" s="1177">
        <f>IFERROR(__xludf.DUMMYFUNCTION("""COMPUTED_VALUE"""),0.0)</f>
        <v>0</v>
      </c>
      <c r="H3" s="1174"/>
      <c r="I3" s="1174"/>
      <c r="J3" s="1177">
        <f>IFERROR(__xludf.DUMMYFUNCTION("""COMPUTED_VALUE"""),7160.86)</f>
        <v>7160.86</v>
      </c>
      <c r="M3" s="1174" t="str">
        <f>IFERROR(__xludf.DUMMYFUNCTION("""COMPUTED_VALUE"""),"OCTUBRE")</f>
        <v>OCTUBRE</v>
      </c>
      <c r="N3" s="1174" t="str">
        <f>IFERROR(__xludf.DUMMYFUNCTION("""COMPUTED_VALUE"""),"YV0000HZ")</f>
        <v>YV0000HZ</v>
      </c>
      <c r="O3" s="1177">
        <f>IFERROR(__xludf.DUMMYFUNCTION("""COMPUTED_VALUE"""),0.0)</f>
        <v>0</v>
      </c>
      <c r="P3" s="1175">
        <f>IFERROR(__xludf.DUMMYFUNCTION("""COMPUTED_VALUE"""),45952.0)</f>
        <v>45952</v>
      </c>
      <c r="Q3" s="1177">
        <f>IFERROR(__xludf.DUMMYFUNCTION("""COMPUTED_VALUE"""),4929.0)</f>
        <v>4929</v>
      </c>
    </row>
    <row r="4">
      <c r="A4" s="1175">
        <f>IFERROR(__xludf.DUMMYFUNCTION("""COMPUTED_VALUE"""),45759.0)</f>
        <v>45759</v>
      </c>
      <c r="B4" s="1174" t="str">
        <f>IFERROR(__xludf.DUMMYFUNCTION("""COMPUTED_VALUE"""),"K-C-250412-01")</f>
        <v>K-C-250412-01</v>
      </c>
      <c r="C4" s="1174"/>
      <c r="D4" s="1174" t="b">
        <f>IFERROR(__xludf.DUMMYFUNCTION("""COMPUTED_VALUE"""),FALSE)</f>
        <v>0</v>
      </c>
      <c r="E4" s="1174" t="str">
        <f>IFERROR(__xludf.DUMMYFUNCTION("""COMPUTED_VALUE"""),"Laptop")</f>
        <v>Laptop</v>
      </c>
      <c r="F4" s="1176">
        <f>IFERROR(__xludf.DUMMYFUNCTION("""COMPUTED_VALUE"""),999.99)</f>
        <v>999.99</v>
      </c>
      <c r="G4" s="1177">
        <f>IFERROR(__xludf.DUMMYFUNCTION("""COMPUTED_VALUE"""),0.0)</f>
        <v>0</v>
      </c>
      <c r="H4" s="1174"/>
      <c r="I4" s="1174"/>
      <c r="J4" s="1177">
        <f>IFERROR(__xludf.DUMMYFUNCTION("""COMPUTED_VALUE"""),5160.24)</f>
        <v>5160.24</v>
      </c>
      <c r="M4" s="1174" t="str">
        <f>IFERROR(__xludf.DUMMYFUNCTION("""COMPUTED_VALUE"""),"OCTUBRE")</f>
        <v>OCTUBRE</v>
      </c>
      <c r="N4" s="1174" t="str">
        <f>IFERROR(__xludf.DUMMYFUNCTION("""COMPUTED_VALUE"""),"MP2RWDEE")</f>
        <v>MP2RWDEE</v>
      </c>
      <c r="O4" s="1177">
        <f>IFERROR(__xludf.DUMMYFUNCTION("""COMPUTED_VALUE"""),0.0)</f>
        <v>0</v>
      </c>
      <c r="P4" s="1175">
        <f>IFERROR(__xludf.DUMMYFUNCTION("""COMPUTED_VALUE"""),45959.0)</f>
        <v>45959</v>
      </c>
      <c r="Q4" s="1177">
        <f>IFERROR(__xludf.DUMMYFUNCTION("""COMPUTED_VALUE"""),4703.85)</f>
        <v>4703.85</v>
      </c>
    </row>
    <row r="5">
      <c r="A5" s="1175">
        <f>IFERROR(__xludf.DUMMYFUNCTION("""COMPUTED_VALUE"""),45760.0)</f>
        <v>45760</v>
      </c>
      <c r="B5" s="1174" t="str">
        <f>IFERROR(__xludf.DUMMYFUNCTION("""COMPUTED_VALUE"""),"A-BH-1118755989")</f>
        <v>A-BH-1118755989</v>
      </c>
      <c r="C5" s="1174"/>
      <c r="D5" s="1174" t="b">
        <f>IFERROR(__xludf.DUMMYFUNCTION("""COMPUTED_VALUE"""),FALSE)</f>
        <v>0</v>
      </c>
      <c r="E5" s="1174" t="str">
        <f>IFERROR(__xludf.DUMMYFUNCTION("""COMPUTED_VALUE"""),"Laptop")</f>
        <v>Laptop</v>
      </c>
      <c r="F5" s="1176">
        <f>IFERROR(__xludf.DUMMYFUNCTION("""COMPUTED_VALUE"""),1299.0)</f>
        <v>1299</v>
      </c>
      <c r="G5" s="1177">
        <f>IFERROR(__xludf.DUMMYFUNCTION("""COMPUTED_VALUE"""),0.0)</f>
        <v>0</v>
      </c>
      <c r="H5" s="1174"/>
      <c r="I5" s="1174"/>
      <c r="J5" s="1177">
        <f>IFERROR(__xludf.DUMMYFUNCTION("""COMPUTED_VALUE"""),6290.75)</f>
        <v>6290.75</v>
      </c>
      <c r="M5" s="1174" t="str">
        <f>IFERROR(__xludf.DUMMYFUNCTION("""COMPUTED_VALUE"""),"OCTUBRE")</f>
        <v>OCTUBRE</v>
      </c>
      <c r="N5" s="1174" t="str">
        <f>IFERROR(__xludf.DUMMYFUNCTION("""COMPUTED_VALUE"""),"PF5ME3W2")</f>
        <v>PF5ME3W2</v>
      </c>
      <c r="O5" s="1177">
        <f>IFERROR(__xludf.DUMMYFUNCTION("""COMPUTED_VALUE"""),140.0)</f>
        <v>140</v>
      </c>
      <c r="P5" s="1175">
        <f>IFERROR(__xludf.DUMMYFUNCTION("""COMPUTED_VALUE"""),45960.0)</f>
        <v>45960</v>
      </c>
      <c r="Q5" s="1177">
        <f>IFERROR(__xludf.DUMMYFUNCTION("""COMPUTED_VALUE"""),6498.23)</f>
        <v>6498.23</v>
      </c>
    </row>
    <row r="6">
      <c r="A6" s="1175">
        <f>IFERROR(__xludf.DUMMYFUNCTION("""COMPUTED_VALUE"""),45761.0)</f>
        <v>45761</v>
      </c>
      <c r="B6" s="1174" t="str">
        <f>IFERROR(__xludf.DUMMYFUNCTION("""COMPUTED_VALUE"""),"S-BH-1118757112")</f>
        <v>S-BH-1118757112</v>
      </c>
      <c r="C6" s="1174"/>
      <c r="D6" s="1174" t="b">
        <f>IFERROR(__xludf.DUMMYFUNCTION("""COMPUTED_VALUE"""),FALSE)</f>
        <v>0</v>
      </c>
      <c r="E6" s="1174" t="str">
        <f>IFERROR(__xludf.DUMMYFUNCTION("""COMPUTED_VALUE"""),"Laptop")</f>
        <v>Laptop</v>
      </c>
      <c r="F6" s="1176">
        <f>IFERROR(__xludf.DUMMYFUNCTION("""COMPUTED_VALUE"""),1299.0)</f>
        <v>1299</v>
      </c>
      <c r="G6" s="1177">
        <f>IFERROR(__xludf.DUMMYFUNCTION("""COMPUTED_VALUE"""),0.0)</f>
        <v>0</v>
      </c>
      <c r="H6" s="1174"/>
      <c r="I6" s="1174"/>
      <c r="J6" s="1177">
        <f>IFERROR(__xludf.DUMMYFUNCTION("""COMPUTED_VALUE"""),6284.3)</f>
        <v>6284.3</v>
      </c>
      <c r="M6" s="1174" t="str">
        <f>IFERROR(__xludf.DUMMYFUNCTION("""COMPUTED_VALUE"""),"OCTUBRE")</f>
        <v>OCTUBRE</v>
      </c>
      <c r="N6" s="1174"/>
      <c r="O6" s="1177">
        <f>IFERROR(__xludf.DUMMYFUNCTION("""COMPUTED_VALUE"""),65.0)</f>
        <v>65</v>
      </c>
      <c r="P6" s="1175">
        <f>IFERROR(__xludf.DUMMYFUNCTION("""COMPUTED_VALUE"""),45932.0)</f>
        <v>45932</v>
      </c>
      <c r="Q6" s="1177">
        <f>IFERROR(__xludf.DUMMYFUNCTION("""COMPUTED_VALUE"""),545.0)</f>
        <v>545</v>
      </c>
    </row>
    <row r="7">
      <c r="A7" s="1175">
        <f>IFERROR(__xludf.DUMMYFUNCTION("""COMPUTED_VALUE"""),45769.0)</f>
        <v>45769</v>
      </c>
      <c r="B7" s="1174" t="str">
        <f>IFERROR(__xludf.DUMMYFUNCTION("""COMPUTED_VALUE"""),"K-e-07-12993-30137")</f>
        <v>K-e-07-12993-30137</v>
      </c>
      <c r="C7" s="1174"/>
      <c r="D7" s="1174" t="b">
        <f>IFERROR(__xludf.DUMMYFUNCTION("""COMPUTED_VALUE"""),FALSE)</f>
        <v>0</v>
      </c>
      <c r="E7" s="1174" t="str">
        <f>IFERROR(__xludf.DUMMYFUNCTION("""COMPUTED_VALUE"""),"Laptop")</f>
        <v>Laptop</v>
      </c>
      <c r="F7" s="1176">
        <f>IFERROR(__xludf.DUMMYFUNCTION("""COMPUTED_VALUE"""),1499.99)</f>
        <v>1499.99</v>
      </c>
      <c r="G7" s="1177">
        <f>IFERROR(__xludf.DUMMYFUNCTION("""COMPUTED_VALUE"""),0.0)</f>
        <v>0</v>
      </c>
      <c r="H7" s="1174"/>
      <c r="I7" s="1174"/>
      <c r="J7" s="1177">
        <f>IFERROR(__xludf.DUMMYFUNCTION("""COMPUTED_VALUE"""),6948.91)</f>
        <v>6948.91</v>
      </c>
      <c r="M7" s="1174" t="str">
        <f>IFERROR(__xludf.DUMMYFUNCTION("""COMPUTED_VALUE"""),"NOVIEMBRE")</f>
        <v>NOVIEMBRE</v>
      </c>
      <c r="N7" s="1174" t="str">
        <f>IFERROR(__xludf.DUMMYFUNCTION("""COMPUTED_VALUE"""),"T7NRSG00157630A")</f>
        <v>T7NRSG00157630A</v>
      </c>
      <c r="O7" s="1177">
        <f>IFERROR(__xludf.DUMMYFUNCTION("""COMPUTED_VALUE"""),86.0)</f>
        <v>86</v>
      </c>
      <c r="P7" s="1175">
        <f>IFERROR(__xludf.DUMMYFUNCTION("""COMPUTED_VALUE"""),45973.0)</f>
        <v>45973</v>
      </c>
      <c r="Q7" s="1177">
        <f>IFERROR(__xludf.DUMMYFUNCTION("""COMPUTED_VALUE"""),6845.0)</f>
        <v>6845</v>
      </c>
    </row>
    <row r="8">
      <c r="A8" s="1175">
        <f>IFERROR(__xludf.DUMMYFUNCTION("""COMPUTED_VALUE"""),45771.0)</f>
        <v>45771</v>
      </c>
      <c r="B8" s="1174" t="str">
        <f>IFERROR(__xludf.DUMMYFUNCTION("""COMPUTED_VALUE"""),"K-W-200013145861017")</f>
        <v>K-W-200013145861017</v>
      </c>
      <c r="C8" s="1174"/>
      <c r="D8" s="1174" t="b">
        <f>IFERROR(__xludf.DUMMYFUNCTION("""COMPUTED_VALUE"""),FALSE)</f>
        <v>0</v>
      </c>
      <c r="E8" s="1174" t="str">
        <f>IFERROR(__xludf.DUMMYFUNCTION("""COMPUTED_VALUE"""),"Laptop")</f>
        <v>Laptop</v>
      </c>
      <c r="F8" s="1176">
        <f>IFERROR(__xludf.DUMMYFUNCTION("""COMPUTED_VALUE"""),699.0)</f>
        <v>699</v>
      </c>
      <c r="G8" s="1177">
        <f>IFERROR(__xludf.DUMMYFUNCTION("""COMPUTED_VALUE"""),0.0)</f>
        <v>0</v>
      </c>
      <c r="H8" s="1174"/>
      <c r="I8" s="1174"/>
      <c r="J8" s="1177">
        <f>IFERROR(__xludf.DUMMYFUNCTION("""COMPUTED_VALUE"""),3710.98)</f>
        <v>3710.98</v>
      </c>
      <c r="M8" s="1174" t="str">
        <f>IFERROR(__xludf.DUMMYFUNCTION("""COMPUTED_VALUE"""),"NOVIEMBRE")</f>
        <v>NOVIEMBRE</v>
      </c>
      <c r="N8" s="1174" t="str">
        <f>IFERROR(__xludf.DUMMYFUNCTION("""COMPUTED_VALUE"""),"T8NRPX00P53034F")</f>
        <v>T8NRPX00P53034F</v>
      </c>
      <c r="O8" s="1177">
        <f>IFERROR(__xludf.DUMMYFUNCTION("""COMPUTED_VALUE"""),10.0)</f>
        <v>10</v>
      </c>
      <c r="P8" s="1175">
        <f>IFERROR(__xludf.DUMMYFUNCTION("""COMPUTED_VALUE"""),45988.0)</f>
        <v>45988</v>
      </c>
      <c r="Q8" s="1177">
        <f>IFERROR(__xludf.DUMMYFUNCTION("""COMPUTED_VALUE"""),3599.0)</f>
        <v>3599</v>
      </c>
    </row>
    <row r="9">
      <c r="A9" s="1175">
        <f>IFERROR(__xludf.DUMMYFUNCTION("""COMPUTED_VALUE"""),45772.0)</f>
        <v>45772</v>
      </c>
      <c r="B9" s="1174" t="str">
        <f>IFERROR(__xludf.DUMMYFUNCTION("""COMPUTED_VALUE"""),"L-M-250425")</f>
        <v>L-M-250425</v>
      </c>
      <c r="C9" s="1174"/>
      <c r="D9" s="1174" t="b">
        <f>IFERROR(__xludf.DUMMYFUNCTION("""COMPUTED_VALUE"""),FALSE)</f>
        <v>0</v>
      </c>
      <c r="E9" s="1174" t="str">
        <f>IFERROR(__xludf.DUMMYFUNCTION("""COMPUTED_VALUE"""),"Laptop")</f>
        <v>Laptop</v>
      </c>
      <c r="F9" s="1176">
        <f>IFERROR(__xludf.DUMMYFUNCTION("""COMPUTED_VALUE"""),1699.99)</f>
        <v>1699.99</v>
      </c>
      <c r="G9" s="1177">
        <f>IFERROR(__xludf.DUMMYFUNCTION("""COMPUTED_VALUE"""),0.0)</f>
        <v>0</v>
      </c>
      <c r="H9" s="1174"/>
      <c r="I9" s="1174"/>
      <c r="J9" s="1177">
        <f>IFERROR(__xludf.DUMMYFUNCTION("""COMPUTED_VALUE"""),8003.63)</f>
        <v>8003.63</v>
      </c>
      <c r="M9" s="1174" t="str">
        <f>IFERROR(__xludf.DUMMYFUNCTION("""COMPUTED_VALUE"""),"NOVIEMBRE")</f>
        <v>NOVIEMBRE</v>
      </c>
      <c r="N9" s="1174" t="str">
        <f>IFERROR(__xludf.DUMMYFUNCTION("""COMPUTED_VALUE"""),"PF5T8X6P")</f>
        <v>PF5T8X6P</v>
      </c>
      <c r="O9" s="1177"/>
      <c r="P9" s="1175">
        <f>IFERROR(__xludf.DUMMYFUNCTION("""COMPUTED_VALUE"""),45988.0)</f>
        <v>45988</v>
      </c>
      <c r="Q9" s="1177">
        <f>IFERROR(__xludf.DUMMYFUNCTION("""COMPUTED_VALUE"""),5999.0)</f>
        <v>5999</v>
      </c>
    </row>
    <row r="10">
      <c r="A10" s="1175">
        <f>IFERROR(__xludf.DUMMYFUNCTION("""COMPUTED_VALUE"""),45775.0)</f>
        <v>45775</v>
      </c>
      <c r="B10" s="1174" t="str">
        <f>IFERROR(__xludf.DUMMYFUNCTION("""COMPUTED_VALUE"""),"K-a- 113-0768897-4029021")</f>
        <v>K-a- 113-0768897-4029021</v>
      </c>
      <c r="C10" s="1174"/>
      <c r="D10" s="1174" t="b">
        <f>IFERROR(__xludf.DUMMYFUNCTION("""COMPUTED_VALUE"""),FALSE)</f>
        <v>0</v>
      </c>
      <c r="E10" s="1174" t="str">
        <f>IFERROR(__xludf.DUMMYFUNCTION("""COMPUTED_VALUE"""),"Laptop")</f>
        <v>Laptop</v>
      </c>
      <c r="F10" s="1176">
        <f>IFERROR(__xludf.DUMMYFUNCTION("""COMPUTED_VALUE"""),999.99)</f>
        <v>999.99</v>
      </c>
      <c r="G10" s="1177">
        <f>IFERROR(__xludf.DUMMYFUNCTION("""COMPUTED_VALUE"""),0.0)</f>
        <v>0</v>
      </c>
      <c r="H10" s="1174"/>
      <c r="I10" s="1174"/>
      <c r="J10" s="1177">
        <f>IFERROR(__xludf.DUMMYFUNCTION("""COMPUTED_VALUE"""),4871.47)</f>
        <v>4871.47</v>
      </c>
      <c r="M10" s="1174" t="str">
        <f>IFERROR(__xludf.DUMMYFUNCTION("""COMPUTED_VALUE"""),"DICIEMBRE")</f>
        <v>DICIEMBRE</v>
      </c>
      <c r="N10" s="1174" t="str">
        <f>IFERROR(__xludf.DUMMYFUNCTION("""COMPUTED_VALUE"""),"V2507N0008346")</f>
        <v>V2507N0008346</v>
      </c>
      <c r="O10" s="1177">
        <f>IFERROR(__xludf.DUMMYFUNCTION("""COMPUTED_VALUE"""),50.0)</f>
        <v>50</v>
      </c>
      <c r="P10" s="1175">
        <f>IFERROR(__xludf.DUMMYFUNCTION("""COMPUTED_VALUE"""),46004.0)</f>
        <v>46004</v>
      </c>
      <c r="Q10" s="1177">
        <f>IFERROR(__xludf.DUMMYFUNCTION("""COMPUTED_VALUE"""),8079.0)</f>
        <v>8079</v>
      </c>
    </row>
    <row r="11">
      <c r="A11" s="1175">
        <f>IFERROR(__xludf.DUMMYFUNCTION("""COMPUTED_VALUE"""),45775.0)</f>
        <v>45775</v>
      </c>
      <c r="B11" s="1174" t="str">
        <f>IFERROR(__xludf.DUMMYFUNCTION("""COMPUTED_VALUE"""),"k-e-15-12947-33453")</f>
        <v>k-e-15-12947-33453</v>
      </c>
      <c r="C11" s="1174"/>
      <c r="D11" s="1174" t="b">
        <f>IFERROR(__xludf.DUMMYFUNCTION("""COMPUTED_VALUE"""),FALSE)</f>
        <v>0</v>
      </c>
      <c r="E11" s="1174" t="str">
        <f>IFERROR(__xludf.DUMMYFUNCTION("""COMPUTED_VALUE"""),"Laptop")</f>
        <v>Laptop</v>
      </c>
      <c r="F11" s="1176">
        <f>IFERROR(__xludf.DUMMYFUNCTION("""COMPUTED_VALUE"""),1199.0)</f>
        <v>1199</v>
      </c>
      <c r="G11" s="1177">
        <f>IFERROR(__xludf.DUMMYFUNCTION("""COMPUTED_VALUE"""),0.0)</f>
        <v>0</v>
      </c>
      <c r="H11" s="1174"/>
      <c r="I11" s="1174"/>
      <c r="J11" s="1177">
        <f>IFERROR(__xludf.DUMMYFUNCTION("""COMPUTED_VALUE"""),5999.0)</f>
        <v>5999</v>
      </c>
      <c r="M11" s="1174" t="str">
        <f>IFERROR(__xludf.DUMMYFUNCTION("""COMPUTED_VALUE"""),"DICIEMBRE")</f>
        <v>DICIEMBRE</v>
      </c>
      <c r="N11" s="1174" t="str">
        <f>IFERROR(__xludf.DUMMYFUNCTION("""COMPUTED_VALUE"""),"T5NRSG006989203")</f>
        <v>T5NRSG006989203</v>
      </c>
      <c r="O11" s="1177">
        <f>IFERROR(__xludf.DUMMYFUNCTION("""COMPUTED_VALUE"""),80.0)</f>
        <v>80</v>
      </c>
      <c r="P11" s="1175">
        <f>IFERROR(__xludf.DUMMYFUNCTION("""COMPUTED_VALUE"""),46010.0)</f>
        <v>46010</v>
      </c>
      <c r="Q11" s="1177">
        <f>IFERROR(__xludf.DUMMYFUNCTION("""COMPUTED_VALUE"""),6049.0)</f>
        <v>6049</v>
      </c>
    </row>
    <row r="12">
      <c r="A12" s="1175">
        <f>IFERROR(__xludf.DUMMYFUNCTION("""COMPUTED_VALUE"""),45780.0)</f>
        <v>45780</v>
      </c>
      <c r="B12" s="1174" t="str">
        <f>IFERROR(__xludf.DUMMYFUNCTION("""COMPUTED_VALUE"""),"K-a-113-6920257-9788214")</f>
        <v>K-a-113-6920257-9788214</v>
      </c>
      <c r="C12" s="1174"/>
      <c r="D12" s="1174" t="b">
        <f>IFERROR(__xludf.DUMMYFUNCTION("""COMPUTED_VALUE"""),FALSE)</f>
        <v>0</v>
      </c>
      <c r="E12" s="1174" t="str">
        <f>IFERROR(__xludf.DUMMYFUNCTION("""COMPUTED_VALUE"""),"Laptop")</f>
        <v>Laptop</v>
      </c>
      <c r="F12" s="1176">
        <f>IFERROR(__xludf.DUMMYFUNCTION("""COMPUTED_VALUE"""),699.99)</f>
        <v>699.99</v>
      </c>
      <c r="G12" s="1177">
        <f>IFERROR(__xludf.DUMMYFUNCTION("""COMPUTED_VALUE"""),0.0)</f>
        <v>0</v>
      </c>
      <c r="H12" s="1174"/>
      <c r="I12" s="1174"/>
      <c r="J12" s="1177">
        <f>IFERROR(__xludf.DUMMYFUNCTION("""COMPUTED_VALUE"""),3801.0)</f>
        <v>3801</v>
      </c>
      <c r="M12" s="1174" t="str">
        <f>IFERROR(__xludf.DUMMYFUNCTION("""COMPUTED_VALUE"""),"ENERO")</f>
        <v>ENERO</v>
      </c>
      <c r="N12" s="1174" t="str">
        <f>IFERROR(__xludf.DUMMYFUNCTION("""COMPUTED_VALUE"""),"5CD5318GQJ")</f>
        <v>5CD5318GQJ</v>
      </c>
      <c r="O12" s="1177"/>
      <c r="P12" s="1175">
        <f>IFERROR(__xludf.DUMMYFUNCTION("""COMPUTED_VALUE"""),46024.0)</f>
        <v>46024</v>
      </c>
      <c r="Q12" s="1177">
        <f>IFERROR(__xludf.DUMMYFUNCTION("""COMPUTED_VALUE"""),2245.0)</f>
        <v>2245</v>
      </c>
    </row>
    <row r="13">
      <c r="A13" s="1175">
        <f>IFERROR(__xludf.DUMMYFUNCTION("""COMPUTED_VALUE"""),45780.0)</f>
        <v>45780</v>
      </c>
      <c r="B13" s="1174" t="str">
        <f>IFERROR(__xludf.DUMMYFUNCTION("""COMPUTED_VALUE"""),"S-e-19-12958-42295")</f>
        <v>S-e-19-12958-42295</v>
      </c>
      <c r="C13" s="1174"/>
      <c r="D13" s="1174" t="b">
        <f>IFERROR(__xludf.DUMMYFUNCTION("""COMPUTED_VALUE"""),FALSE)</f>
        <v>0</v>
      </c>
      <c r="E13" s="1174" t="str">
        <f>IFERROR(__xludf.DUMMYFUNCTION("""COMPUTED_VALUE"""),"Laptop")</f>
        <v>Laptop</v>
      </c>
      <c r="F13" s="1176">
        <f>IFERROR(__xludf.DUMMYFUNCTION("""COMPUTED_VALUE"""),1050.0)</f>
        <v>1050</v>
      </c>
      <c r="G13" s="1177">
        <f>IFERROR(__xludf.DUMMYFUNCTION("""COMPUTED_VALUE"""),0.0)</f>
        <v>0</v>
      </c>
      <c r="H13" s="1174"/>
      <c r="I13" s="1174"/>
      <c r="J13" s="1177">
        <f>IFERROR(__xludf.DUMMYFUNCTION("""COMPUTED_VALUE"""),5299.0)</f>
        <v>5299</v>
      </c>
      <c r="M13" s="1174" t="str">
        <f>IFERROR(__xludf.DUMMYFUNCTION("""COMPUTED_VALUE"""),"ENERO")</f>
        <v>ENERO</v>
      </c>
      <c r="N13" s="1174" t="str">
        <f>IFERROR(__xludf.DUMMYFUNCTION("""COMPUTED_VALUE"""),"5CD5318GY4")</f>
        <v>5CD5318GY4</v>
      </c>
      <c r="O13" s="1177"/>
      <c r="P13" s="1175">
        <f>IFERROR(__xludf.DUMMYFUNCTION("""COMPUTED_VALUE"""),46024.0)</f>
        <v>46024</v>
      </c>
      <c r="Q13" s="1177">
        <f>IFERROR(__xludf.DUMMYFUNCTION("""COMPUTED_VALUE"""),2245.0)</f>
        <v>2245</v>
      </c>
    </row>
    <row r="14">
      <c r="A14" s="1175">
        <f>IFERROR(__xludf.DUMMYFUNCTION("""COMPUTED_VALUE"""),45783.0)</f>
        <v>45783</v>
      </c>
      <c r="B14" s="1174" t="str">
        <f>IFERROR(__xludf.DUMMYFUNCTION("""COMPUTED_VALUE"""),"S- e 01-13058-18669")</f>
        <v>S- e 01-13058-18669</v>
      </c>
      <c r="C14" s="1174"/>
      <c r="D14" s="1174" t="b">
        <f>IFERROR(__xludf.DUMMYFUNCTION("""COMPUTED_VALUE"""),FALSE)</f>
        <v>0</v>
      </c>
      <c r="E14" s="1174" t="str">
        <f>IFERROR(__xludf.DUMMYFUNCTION("""COMPUTED_VALUE"""),"Laptop")</f>
        <v>Laptop</v>
      </c>
      <c r="F14" s="1176">
        <f>IFERROR(__xludf.DUMMYFUNCTION("""COMPUTED_VALUE"""),999.0)</f>
        <v>999</v>
      </c>
      <c r="G14" s="1177">
        <f>IFERROR(__xludf.DUMMYFUNCTION("""COMPUTED_VALUE"""),0.0)</f>
        <v>0</v>
      </c>
      <c r="H14" s="1174"/>
      <c r="I14" s="1174"/>
      <c r="J14" s="1177">
        <f>IFERROR(__xludf.DUMMYFUNCTION("""COMPUTED_VALUE"""),4901.0)</f>
        <v>4901</v>
      </c>
      <c r="M14" s="1174" t="str">
        <f>IFERROR(__xludf.DUMMYFUNCTION("""COMPUTED_VALUE"""),"ENERO")</f>
        <v>ENERO</v>
      </c>
      <c r="N14" s="1174" t="str">
        <f>IFERROR(__xludf.DUMMYFUNCTION("""COMPUTED_VALUE"""),"1H85443GVL")</f>
        <v>1H85443GVL</v>
      </c>
      <c r="O14" s="1177">
        <f>IFERROR(__xludf.DUMMYFUNCTION("""COMPUTED_VALUE"""),31.0)</f>
        <v>31</v>
      </c>
      <c r="P14" s="1175">
        <f>IFERROR(__xludf.DUMMYFUNCTION("""COMPUTED_VALUE"""),46037.0)</f>
        <v>46037</v>
      </c>
      <c r="Q14" s="1177">
        <f>IFERROR(__xludf.DUMMYFUNCTION("""COMPUTED_VALUE"""),5500.0)</f>
        <v>5500</v>
      </c>
    </row>
    <row r="15">
      <c r="A15" s="1175">
        <f>IFERROR(__xludf.DUMMYFUNCTION("""COMPUTED_VALUE"""),45785.0)</f>
        <v>45785</v>
      </c>
      <c r="B15" s="1174" t="str">
        <f>IFERROR(__xludf.DUMMYFUNCTION("""COMPUTED_VALUE"""),"K-a-113-6199406-4498619")</f>
        <v>K-a-113-6199406-4498619</v>
      </c>
      <c r="C15" s="1174"/>
      <c r="D15" s="1174" t="b">
        <f>IFERROR(__xludf.DUMMYFUNCTION("""COMPUTED_VALUE"""),FALSE)</f>
        <v>0</v>
      </c>
      <c r="E15" s="1174" t="str">
        <f>IFERROR(__xludf.DUMMYFUNCTION("""COMPUTED_VALUE"""),"Laptop")</f>
        <v>Laptop</v>
      </c>
      <c r="F15" s="1176">
        <f>IFERROR(__xludf.DUMMYFUNCTION("""COMPUTED_VALUE"""),1150.0)</f>
        <v>1150</v>
      </c>
      <c r="G15" s="1177">
        <f>IFERROR(__xludf.DUMMYFUNCTION("""COMPUTED_VALUE"""),0.0)</f>
        <v>0</v>
      </c>
      <c r="H15" s="1174"/>
      <c r="I15" s="1174"/>
      <c r="J15" s="1177">
        <f>IFERROR(__xludf.DUMMYFUNCTION("""COMPUTED_VALUE"""),5899.0)</f>
        <v>5899</v>
      </c>
      <c r="M15" s="1174" t="str">
        <f>IFERROR(__xludf.DUMMYFUNCTION("""COMPUTED_VALUE"""),"ENERO")</f>
        <v>ENERO</v>
      </c>
      <c r="N15" s="1174" t="str">
        <f>IFERROR(__xludf.DUMMYFUNCTION("""COMPUTED_VALUE"""),"MP2T5QEM")</f>
        <v>MP2T5QEM</v>
      </c>
      <c r="O15" s="1177">
        <f>IFERROR(__xludf.DUMMYFUNCTION("""COMPUTED_VALUE"""),9.0)</f>
        <v>9</v>
      </c>
      <c r="P15" s="1175">
        <f>IFERROR(__xludf.DUMMYFUNCTION("""COMPUTED_VALUE"""),46050.0)</f>
        <v>46050</v>
      </c>
      <c r="Q15" s="1177">
        <f>IFERROR(__xludf.DUMMYFUNCTION("""COMPUTED_VALUE"""),4899.0)</f>
        <v>4899</v>
      </c>
    </row>
    <row r="16">
      <c r="A16" s="1175">
        <f>IFERROR(__xludf.DUMMYFUNCTION("""COMPUTED_VALUE"""),45787.0)</f>
        <v>45787</v>
      </c>
      <c r="B16" s="1174" t="str">
        <f>IFERROR(__xludf.DUMMYFUNCTION("""COMPUTED_VALUE"""),"K-e-13-13057-89033")</f>
        <v>K-e-13-13057-89033</v>
      </c>
      <c r="C16" s="1174"/>
      <c r="D16" s="1174" t="b">
        <f>IFERROR(__xludf.DUMMYFUNCTION("""COMPUTED_VALUE"""),FALSE)</f>
        <v>0</v>
      </c>
      <c r="E16" s="1174" t="str">
        <f>IFERROR(__xludf.DUMMYFUNCTION("""COMPUTED_VALUE"""),"Laptop")</f>
        <v>Laptop</v>
      </c>
      <c r="F16" s="1176">
        <f>IFERROR(__xludf.DUMMYFUNCTION("""COMPUTED_VALUE"""),1325.99)</f>
        <v>1325.99</v>
      </c>
      <c r="G16" s="1177">
        <f>IFERROR(__xludf.DUMMYFUNCTION("""COMPUTED_VALUE"""),0.0)</f>
        <v>0</v>
      </c>
      <c r="H16" s="1174"/>
      <c r="I16" s="1174"/>
      <c r="J16" s="1177">
        <f>IFERROR(__xludf.DUMMYFUNCTION("""COMPUTED_VALUE"""),6199.0)</f>
        <v>6199</v>
      </c>
      <c r="M16" s="1174" t="str">
        <f>IFERROR(__xludf.DUMMYFUNCTION("""COMPUTED_VALUE"""),"FEBRERO")</f>
        <v>FEBRERO</v>
      </c>
      <c r="N16" s="1174" t="str">
        <f>IFERROR(__xludf.DUMMYFUNCTION("""COMPUTED_VALUE"""),"YXOFJL8G")</f>
        <v>YXOFJL8G</v>
      </c>
      <c r="O16" s="1177"/>
      <c r="P16" s="1175">
        <f>IFERROR(__xludf.DUMMYFUNCTION("""COMPUTED_VALUE"""),46077.0)</f>
        <v>46077</v>
      </c>
      <c r="Q16" s="1177">
        <f>IFERROR(__xludf.DUMMYFUNCTION("""COMPUTED_VALUE"""),3350.0)</f>
        <v>3350</v>
      </c>
    </row>
    <row r="17">
      <c r="A17" s="1175">
        <f>IFERROR(__xludf.DUMMYFUNCTION("""COMPUTED_VALUE"""),45787.0)</f>
        <v>45787</v>
      </c>
      <c r="B17" s="1174" t="str">
        <f>IFERROR(__xludf.DUMMYFUNCTION("""COMPUTED_VALUE"""),"K-a-113-2172889-4377858")</f>
        <v>K-a-113-2172889-4377858</v>
      </c>
      <c r="C17" s="1174"/>
      <c r="D17" s="1174" t="b">
        <f>IFERROR(__xludf.DUMMYFUNCTION("""COMPUTED_VALUE"""),FALSE)</f>
        <v>0</v>
      </c>
      <c r="E17" s="1174" t="str">
        <f>IFERROR(__xludf.DUMMYFUNCTION("""COMPUTED_VALUE"""),"Laptop")</f>
        <v>Laptop</v>
      </c>
      <c r="F17" s="1176">
        <f>IFERROR(__xludf.DUMMYFUNCTION("""COMPUTED_VALUE"""),1385.0)</f>
        <v>1385</v>
      </c>
      <c r="G17" s="1177">
        <f>IFERROR(__xludf.DUMMYFUNCTION("""COMPUTED_VALUE"""),0.0)</f>
        <v>0</v>
      </c>
      <c r="H17" s="1174"/>
      <c r="I17" s="1174"/>
      <c r="J17" s="1177">
        <f>IFERROR(__xludf.DUMMYFUNCTION("""COMPUTED_VALUE"""),6999.0)</f>
        <v>6999</v>
      </c>
      <c r="M17" s="1174" t="str">
        <f>IFERROR(__xludf.DUMMYFUNCTION("""COMPUTED_VALUE"""),"FEBRERO")</f>
        <v>FEBRERO</v>
      </c>
      <c r="N17" s="1174" t="str">
        <f>IFERROR(__xludf.DUMMYFUNCTION("""COMPUTED_VALUE"""),"5CD525B4ZC")</f>
        <v>5CD525B4ZC</v>
      </c>
      <c r="O17" s="1177"/>
      <c r="P17" s="1175">
        <f>IFERROR(__xludf.DUMMYFUNCTION("""COMPUTED_VALUE"""),46079.0)</f>
        <v>46079</v>
      </c>
      <c r="Q17" s="1177">
        <f>IFERROR(__xludf.DUMMYFUNCTION("""COMPUTED_VALUE"""),2245.0)</f>
        <v>2245</v>
      </c>
    </row>
    <row r="18">
      <c r="A18" s="1175">
        <f>IFERROR(__xludf.DUMMYFUNCTION("""COMPUTED_VALUE"""),45790.0)</f>
        <v>45790</v>
      </c>
      <c r="B18" s="1174" t="str">
        <f>IFERROR(__xludf.DUMMYFUNCTION("""COMPUTED_VALUE"""),"K- W -200013103306779")</f>
        <v>K- W -200013103306779</v>
      </c>
      <c r="C18" s="1174"/>
      <c r="D18" s="1174" t="b">
        <f>IFERROR(__xludf.DUMMYFUNCTION("""COMPUTED_VALUE"""),FALSE)</f>
        <v>0</v>
      </c>
      <c r="E18" s="1174" t="str">
        <f>IFERROR(__xludf.DUMMYFUNCTION("""COMPUTED_VALUE"""),"Laptop")</f>
        <v>Laptop</v>
      </c>
      <c r="F18" s="1176">
        <f>IFERROR(__xludf.DUMMYFUNCTION("""COMPUTED_VALUE"""),998.0)</f>
        <v>998</v>
      </c>
      <c r="G18" s="1177">
        <f>IFERROR(__xludf.DUMMYFUNCTION("""COMPUTED_VALUE"""),0.0)</f>
        <v>0</v>
      </c>
      <c r="H18" s="1174"/>
      <c r="I18" s="1174"/>
      <c r="J18" s="1177">
        <f>IFERROR(__xludf.DUMMYFUNCTION("""COMPUTED_VALUE"""),5099.0)</f>
        <v>5099</v>
      </c>
      <c r="M18" s="1174" t="str">
        <f>IFERROR(__xludf.DUMMYFUNCTION("""COMPUTED_VALUE"""),"FEBRERO")</f>
        <v>FEBRERO</v>
      </c>
      <c r="N18" s="1174" t="str">
        <f>IFERROR(__xludf.DUMMYFUNCTION("""COMPUTED_VALUE"""),"NHU2EAA0035393D5CA2P00")</f>
        <v>NHU2EAA0035393D5CA2P00</v>
      </c>
      <c r="O18" s="1177"/>
      <c r="P18" s="1175">
        <f>IFERROR(__xludf.DUMMYFUNCTION("""COMPUTED_VALUE"""),46079.0)</f>
        <v>46079</v>
      </c>
      <c r="Q18" s="1177">
        <f>IFERROR(__xludf.DUMMYFUNCTION("""COMPUTED_VALUE"""),5645.0)</f>
        <v>5645</v>
      </c>
    </row>
    <row r="19">
      <c r="A19" s="1175">
        <f>IFERROR(__xludf.DUMMYFUNCTION("""COMPUTED_VALUE"""),45791.0)</f>
        <v>45791</v>
      </c>
      <c r="B19" s="1174" t="str">
        <f>IFERROR(__xludf.DUMMYFUNCTION("""COMPUTED_VALUE"""),"K - e11-13076-74191")</f>
        <v>K - e11-13076-74191</v>
      </c>
      <c r="C19" s="1174"/>
      <c r="D19" s="1174" t="b">
        <f>IFERROR(__xludf.DUMMYFUNCTION("""COMPUTED_VALUE"""),FALSE)</f>
        <v>0</v>
      </c>
      <c r="E19" s="1174" t="str">
        <f>IFERROR(__xludf.DUMMYFUNCTION("""COMPUTED_VALUE"""),"Laptop")</f>
        <v>Laptop</v>
      </c>
      <c r="F19" s="1176">
        <f>IFERROR(__xludf.DUMMYFUNCTION("""COMPUTED_VALUE"""),1459.99)</f>
        <v>1459.99</v>
      </c>
      <c r="G19" s="1177">
        <f>IFERROR(__xludf.DUMMYFUNCTION("""COMPUTED_VALUE"""),0.0)</f>
        <v>0</v>
      </c>
      <c r="H19" s="1174"/>
      <c r="I19" s="1174"/>
      <c r="J19" s="1177">
        <f>IFERROR(__xludf.DUMMYFUNCTION("""COMPUTED_VALUE"""),6899.0)</f>
        <v>6899</v>
      </c>
      <c r="M19" s="1174" t="str">
        <f>IFERROR(__xludf.DUMMYFUNCTION("""COMPUTED_VALUE"""),"FEBRERO")</f>
        <v>FEBRERO</v>
      </c>
      <c r="N19" s="1174" t="str">
        <f>IFERROR(__xludf.DUMMYFUNCTION("""COMPUTED_VALUE"""),"PF5MNW4R")</f>
        <v>PF5MNW4R</v>
      </c>
      <c r="O19" s="1177">
        <f>IFERROR(__xludf.DUMMYFUNCTION("""COMPUTED_VALUE"""),21.0)</f>
        <v>21</v>
      </c>
      <c r="P19" s="1175">
        <f>IFERROR(__xludf.DUMMYFUNCTION("""COMPUTED_VALUE"""),46080.0)</f>
        <v>46080</v>
      </c>
      <c r="Q19" s="1177">
        <f>IFERROR(__xludf.DUMMYFUNCTION("""COMPUTED_VALUE"""),2545.0)</f>
        <v>2545</v>
      </c>
    </row>
    <row r="20">
      <c r="A20" s="1175">
        <f>IFERROR(__xludf.DUMMYFUNCTION("""COMPUTED_VALUE"""),45792.0)</f>
        <v>45792</v>
      </c>
      <c r="B20" s="1174" t="str">
        <f>IFERROR(__xludf.DUMMYFUNCTION("""COMPUTED_VALUE"""),"K-e- 113-2117447-5814652")</f>
        <v>K-e- 113-2117447-5814652</v>
      </c>
      <c r="C20" s="1174"/>
      <c r="D20" s="1174" t="b">
        <f>IFERROR(__xludf.DUMMYFUNCTION("""COMPUTED_VALUE"""),FALSE)</f>
        <v>0</v>
      </c>
      <c r="E20" s="1174" t="str">
        <f>IFERROR(__xludf.DUMMYFUNCTION("""COMPUTED_VALUE"""),"Laptop")</f>
        <v>Laptop</v>
      </c>
      <c r="F20" s="1176">
        <f>IFERROR(__xludf.DUMMYFUNCTION("""COMPUTED_VALUE"""),1385.0)</f>
        <v>1385</v>
      </c>
      <c r="G20" s="1177">
        <f>IFERROR(__xludf.DUMMYFUNCTION("""COMPUTED_VALUE"""),0.0)</f>
        <v>0</v>
      </c>
      <c r="H20" s="1174"/>
      <c r="I20" s="1174"/>
      <c r="J20" s="1177">
        <f>IFERROR(__xludf.DUMMYFUNCTION("""COMPUTED_VALUE"""),6550.0)</f>
        <v>6550</v>
      </c>
      <c r="M20" s="1174" t="str">
        <f>IFERROR(__xludf.DUMMYFUNCTION("""COMPUTED_VALUE"""),"MARZO")</f>
        <v>MARZO</v>
      </c>
      <c r="N20" s="1174" t="str">
        <f>IFERROR(__xludf.DUMMYFUNCTION("""COMPUTED_VALUE"""),"1H85482KKG")</f>
        <v>1H85482KKG</v>
      </c>
      <c r="O20" s="1177"/>
      <c r="P20" s="1175">
        <f>IFERROR(__xludf.DUMMYFUNCTION("""COMPUTED_VALUE"""),46086.0)</f>
        <v>46086</v>
      </c>
      <c r="Q20" s="1177">
        <f>IFERROR(__xludf.DUMMYFUNCTION("""COMPUTED_VALUE"""),5719.0)</f>
        <v>5719</v>
      </c>
    </row>
    <row r="21">
      <c r="A21" s="1175">
        <f>IFERROR(__xludf.DUMMYFUNCTION("""COMPUTED_VALUE"""),45792.0)</f>
        <v>45792</v>
      </c>
      <c r="B21" s="1174" t="str">
        <f>IFERROR(__xludf.DUMMYFUNCTION("""COMPUTED_VALUE""")," K e 22-13066-78910")</f>
        <v> K e 22-13066-78910</v>
      </c>
      <c r="C21" s="1174"/>
      <c r="D21" s="1174" t="b">
        <f>IFERROR(__xludf.DUMMYFUNCTION("""COMPUTED_VALUE"""),FALSE)</f>
        <v>0</v>
      </c>
      <c r="E21" s="1174" t="str">
        <f>IFERROR(__xludf.DUMMYFUNCTION("""COMPUTED_VALUE"""),"Laptop")</f>
        <v>Laptop</v>
      </c>
      <c r="F21" s="1176">
        <f>IFERROR(__xludf.DUMMYFUNCTION("""COMPUTED_VALUE"""),1249.0)</f>
        <v>1249</v>
      </c>
      <c r="G21" s="1177">
        <f>IFERROR(__xludf.DUMMYFUNCTION("""COMPUTED_VALUE"""),0.0)</f>
        <v>0</v>
      </c>
      <c r="H21" s="1174"/>
      <c r="I21" s="1174"/>
      <c r="J21" s="1177">
        <f>IFERROR(__xludf.DUMMYFUNCTION("""COMPUTED_VALUE"""),5917.0)</f>
        <v>5917</v>
      </c>
      <c r="M21" s="1174" t="str">
        <f>IFERROR(__xludf.DUMMYFUNCTION("""COMPUTED_VALUE"""),"MARZO")</f>
        <v>MARZO</v>
      </c>
      <c r="N21" s="1174" t="str">
        <f>IFERROR(__xludf.DUMMYFUNCTION("""COMPUTED_VALUE"""),"NHU0MAA001537300D67600")</f>
        <v>NHU0MAA001537300D67600</v>
      </c>
      <c r="O21" s="1177">
        <f>IFERROR(__xludf.DUMMYFUNCTION("""COMPUTED_VALUE"""),0.0)</f>
        <v>0</v>
      </c>
      <c r="P21" s="1175">
        <f>IFERROR(__xludf.DUMMYFUNCTION("""COMPUTED_VALUE"""),46112.0)</f>
        <v>46112</v>
      </c>
      <c r="Q21" s="1177">
        <f>IFERROR(__xludf.DUMMYFUNCTION("""COMPUTED_VALUE"""),6599.0)</f>
        <v>6599</v>
      </c>
    </row>
    <row r="22">
      <c r="A22" s="1175">
        <f>IFERROR(__xludf.DUMMYFUNCTION("""COMPUTED_VALUE"""),45794.0)</f>
        <v>45794</v>
      </c>
      <c r="B22" s="1174" t="str">
        <f>IFERROR(__xludf.DUMMYFUNCTION("""COMPUTED_VALUE"""),"L-17052025")</f>
        <v>L-17052025</v>
      </c>
      <c r="C22" s="1174"/>
      <c r="D22" s="1174" t="b">
        <f>IFERROR(__xludf.DUMMYFUNCTION("""COMPUTED_VALUE"""),FALSE)</f>
        <v>0</v>
      </c>
      <c r="E22" s="1174" t="str">
        <f>IFERROR(__xludf.DUMMYFUNCTION("""COMPUTED_VALUE"""),"Laptop")</f>
        <v>Laptop</v>
      </c>
      <c r="F22" s="1176">
        <f>IFERROR(__xludf.DUMMYFUNCTION("""COMPUTED_VALUE"""),3059.99)</f>
        <v>3059.99</v>
      </c>
      <c r="G22" s="1177">
        <f>IFERROR(__xludf.DUMMYFUNCTION("""COMPUTED_VALUE"""),0.0)</f>
        <v>0</v>
      </c>
      <c r="H22" s="1174"/>
      <c r="I22" s="1174"/>
      <c r="J22" s="1177">
        <f>IFERROR(__xludf.DUMMYFUNCTION("""COMPUTED_VALUE"""),13699.0)</f>
        <v>13699</v>
      </c>
      <c r="M22" s="1174" t="str">
        <f>IFERROR(__xludf.DUMMYFUNCTION("""COMPUTED_VALUE"""),"MARZO")</f>
        <v>MARZO</v>
      </c>
      <c r="N22" s="1174" t="str">
        <f>IFERROR(__xludf.DUMMYFUNCTION("""COMPUTED_VALUE"""),"PF61PQ95")</f>
        <v>PF61PQ95</v>
      </c>
      <c r="O22" s="1177">
        <f>IFERROR(__xludf.DUMMYFUNCTION("""COMPUTED_VALUE"""),0.0)</f>
        <v>0</v>
      </c>
      <c r="P22" s="1175">
        <f>IFERROR(__xludf.DUMMYFUNCTION("""COMPUTED_VALUE"""),46112.0)</f>
        <v>46112</v>
      </c>
      <c r="Q22" s="1177">
        <f>IFERROR(__xludf.DUMMYFUNCTION("""COMPUTED_VALUE"""),7745.0)</f>
        <v>7745</v>
      </c>
    </row>
    <row r="23">
      <c r="A23" s="1175">
        <f>IFERROR(__xludf.DUMMYFUNCTION("""COMPUTED_VALUE"""),45797.0)</f>
        <v>45797</v>
      </c>
      <c r="B23" s="1174" t="str">
        <f>IFERROR(__xludf.DUMMYFUNCTION("""COMPUTED_VALUE"""),"K-e-25-13083-10532")</f>
        <v>K-e-25-13083-10532</v>
      </c>
      <c r="C23" s="1174"/>
      <c r="D23" s="1174" t="b">
        <f>IFERROR(__xludf.DUMMYFUNCTION("""COMPUTED_VALUE"""),FALSE)</f>
        <v>0</v>
      </c>
      <c r="E23" s="1174" t="str">
        <f>IFERROR(__xludf.DUMMYFUNCTION("""COMPUTED_VALUE"""),"Laptop")</f>
        <v>Laptop</v>
      </c>
      <c r="F23" s="1176">
        <f>IFERROR(__xludf.DUMMYFUNCTION("""COMPUTED_VALUE"""),1329.99)</f>
        <v>1329.99</v>
      </c>
      <c r="G23" s="1177">
        <f>IFERROR(__xludf.DUMMYFUNCTION("""COMPUTED_VALUE"""),0.0)</f>
        <v>0</v>
      </c>
      <c r="H23" s="1174"/>
      <c r="I23" s="1174"/>
      <c r="J23" s="1177">
        <f>IFERROR(__xludf.DUMMYFUNCTION("""COMPUTED_VALUE"""),6499.0)</f>
        <v>6499</v>
      </c>
      <c r="M23" s="1174" t="str">
        <f>IFERROR(__xludf.DUMMYFUNCTION("""COMPUTED_VALUE"""),"ABRIL")</f>
        <v>ABRIL</v>
      </c>
      <c r="N23" s="1174" t="str">
        <f>IFERROR(__xludf.DUMMYFUNCTION("""COMPUTED_VALUE"""),"1H854138ZT")</f>
        <v>1H854138ZT</v>
      </c>
      <c r="O23" s="1177">
        <f>IFERROR(__xludf.DUMMYFUNCTION("""COMPUTED_VALUE"""),40.0)</f>
        <v>40</v>
      </c>
      <c r="P23" s="1175">
        <f>IFERROR(__xludf.DUMMYFUNCTION("""COMPUTED_VALUE"""),46121.0)</f>
        <v>46121</v>
      </c>
      <c r="Q23" s="1177">
        <f>IFERROR(__xludf.DUMMYFUNCTION("""COMPUTED_VALUE"""),3424.0)</f>
        <v>3424</v>
      </c>
    </row>
    <row r="24">
      <c r="A24" s="1175">
        <f>IFERROR(__xludf.DUMMYFUNCTION("""COMPUTED_VALUE"""),45797.0)</f>
        <v>45797</v>
      </c>
      <c r="B24" s="1174" t="str">
        <f>IFERROR(__xludf.DUMMYFUNCTION("""COMPUTED_VALUE"""),"K-a-113-1482075-1916267")</f>
        <v>K-a-113-1482075-1916267</v>
      </c>
      <c r="C24" s="1174"/>
      <c r="D24" s="1174" t="b">
        <f>IFERROR(__xludf.DUMMYFUNCTION("""COMPUTED_VALUE"""),FALSE)</f>
        <v>0</v>
      </c>
      <c r="E24" s="1174" t="str">
        <f>IFERROR(__xludf.DUMMYFUNCTION("""COMPUTED_VALUE"""),"Laptop")</f>
        <v>Laptop</v>
      </c>
      <c r="F24" s="1176">
        <f>IFERROR(__xludf.DUMMYFUNCTION("""COMPUTED_VALUE"""),2499.99)</f>
        <v>2499.99</v>
      </c>
      <c r="G24" s="1177">
        <f>IFERROR(__xludf.DUMMYFUNCTION("""COMPUTED_VALUE"""),0.0)</f>
        <v>0</v>
      </c>
      <c r="H24" s="1174"/>
      <c r="I24" s="1174"/>
      <c r="J24" s="1177">
        <f>IFERROR(__xludf.DUMMYFUNCTION("""COMPUTED_VALUE"""),11416.0)</f>
        <v>11416</v>
      </c>
      <c r="M24" s="1174" t="str">
        <f>IFERROR(__xludf.DUMMYFUNCTION("""COMPUTED_VALUE"""),"ABRIL")</f>
        <v>ABRIL</v>
      </c>
      <c r="N24" s="1174" t="str">
        <f>IFERROR(__xludf.DUMMYFUNCTION("""COMPUTED_VALUE"""),"NHU1PAA004541178037600")</f>
        <v>NHU1PAA004541178037600</v>
      </c>
      <c r="O24" s="1177">
        <f>IFERROR(__xludf.DUMMYFUNCTION("""COMPUTED_VALUE"""),31.0)</f>
        <v>31</v>
      </c>
      <c r="P24" s="1175">
        <f>IFERROR(__xludf.DUMMYFUNCTION("""COMPUTED_VALUE"""),46127.0)</f>
        <v>46127</v>
      </c>
      <c r="Q24" s="1177">
        <f>IFERROR(__xludf.DUMMYFUNCTION("""COMPUTED_VALUE"""),4130.0)</f>
        <v>4130</v>
      </c>
    </row>
    <row r="25">
      <c r="A25" s="1175">
        <f>IFERROR(__xludf.DUMMYFUNCTION("""COMPUTED_VALUE"""),45800.0)</f>
        <v>45800</v>
      </c>
      <c r="B25" s="1174" t="str">
        <f>IFERROR(__xludf.DUMMYFUNCTION("""COMPUTED_VALUE"""),"J- w- 2000131-53828073")</f>
        <v>J- w- 2000131-53828073</v>
      </c>
      <c r="C25" s="1174"/>
      <c r="D25" s="1174" t="b">
        <f>IFERROR(__xludf.DUMMYFUNCTION("""COMPUTED_VALUE"""),FALSE)</f>
        <v>0</v>
      </c>
      <c r="E25" s="1174" t="str">
        <f>IFERROR(__xludf.DUMMYFUNCTION("""COMPUTED_VALUE"""),"Laptop")</f>
        <v>Laptop</v>
      </c>
      <c r="F25" s="1176">
        <f>IFERROR(__xludf.DUMMYFUNCTION("""COMPUTED_VALUE"""),998.0)</f>
        <v>998</v>
      </c>
      <c r="G25" s="1177">
        <f>IFERROR(__xludf.DUMMYFUNCTION("""COMPUTED_VALUE"""),0.0)</f>
        <v>0</v>
      </c>
      <c r="H25" s="1174"/>
      <c r="I25" s="1174"/>
      <c r="J25" s="1177">
        <f>IFERROR(__xludf.DUMMYFUNCTION("""COMPUTED_VALUE"""),5099.0)</f>
        <v>5099</v>
      </c>
      <c r="M25" s="1174" t="str">
        <f>IFERROR(__xludf.DUMMYFUNCTION("""COMPUTED_VALUE"""),"ABRIL")</f>
        <v>ABRIL</v>
      </c>
      <c r="N25" s="1174" t="str">
        <f>IFERROR(__xludf.DUMMYFUNCTION("""COMPUTED_VALUE"""),"TANRSG004076435")</f>
        <v>TANRSG004076435</v>
      </c>
      <c r="O25" s="1177">
        <f>IFERROR(__xludf.DUMMYFUNCTION("""COMPUTED_VALUE"""),0.0)</f>
        <v>0</v>
      </c>
      <c r="P25" s="1175">
        <f>IFERROR(__xludf.DUMMYFUNCTION("""COMPUTED_VALUE"""),46129.0)</f>
        <v>46129</v>
      </c>
      <c r="Q25" s="1177">
        <f>IFERROR(__xludf.DUMMYFUNCTION("""COMPUTED_VALUE"""),9319.0)</f>
        <v>9319</v>
      </c>
    </row>
    <row r="26">
      <c r="A26" s="1175">
        <f>IFERROR(__xludf.DUMMYFUNCTION("""COMPUTED_VALUE"""),45800.0)</f>
        <v>45800</v>
      </c>
      <c r="B26" s="1174" t="str">
        <f>IFERROR(__xludf.DUMMYFUNCTION("""COMPUTED_VALUE"""),"K-e-11-13059-83097")</f>
        <v>K-e-11-13059-83097</v>
      </c>
      <c r="C26" s="1174"/>
      <c r="D26" s="1174" t="b">
        <f>IFERROR(__xludf.DUMMYFUNCTION("""COMPUTED_VALUE"""),FALSE)</f>
        <v>0</v>
      </c>
      <c r="E26" s="1174" t="str">
        <f>IFERROR(__xludf.DUMMYFUNCTION("""COMPUTED_VALUE"""),"Laptop")</f>
        <v>Laptop</v>
      </c>
      <c r="F26" s="1176">
        <f>IFERROR(__xludf.DUMMYFUNCTION("""COMPUTED_VALUE"""),1299.0)</f>
        <v>1299</v>
      </c>
      <c r="G26" s="1177">
        <f>IFERROR(__xludf.DUMMYFUNCTION("""COMPUTED_VALUE"""),0.0)</f>
        <v>0</v>
      </c>
      <c r="H26" s="1174"/>
      <c r="I26" s="1174"/>
      <c r="J26" s="1177">
        <f>IFERROR(__xludf.DUMMYFUNCTION("""COMPUTED_VALUE"""),6499.0)</f>
        <v>6499</v>
      </c>
      <c r="M26" s="1174" t="str">
        <f>IFERROR(__xludf.DUMMYFUNCTION("""COMPUTED_VALUE"""),"ABRIL")</f>
        <v>ABRIL</v>
      </c>
      <c r="N26" s="1174" t="str">
        <f>IFERROR(__xludf.DUMMYFUNCTION("""COMPUTED_VALUE"""),"PF5YJ8N9")</f>
        <v>PF5YJ8N9</v>
      </c>
      <c r="O26" s="1177">
        <f>IFERROR(__xludf.DUMMYFUNCTION("""COMPUTED_VALUE"""),6.0)</f>
        <v>6</v>
      </c>
      <c r="P26" s="1175">
        <f>IFERROR(__xludf.DUMMYFUNCTION("""COMPUTED_VALUE"""),46136.0)</f>
        <v>46136</v>
      </c>
      <c r="Q26" s="1177">
        <f>IFERROR(__xludf.DUMMYFUNCTION("""COMPUTED_VALUE"""),4545.0)</f>
        <v>4545</v>
      </c>
    </row>
    <row r="27">
      <c r="A27" s="1175">
        <f>IFERROR(__xludf.DUMMYFUNCTION("""COMPUTED_VALUE"""),45801.0)</f>
        <v>45801</v>
      </c>
      <c r="B27" s="1174" t="str">
        <f>IFERROR(__xludf.DUMMYFUNCTION("""COMPUTED_VALUE"""),"k-e-19-13102-55585")</f>
        <v>k-e-19-13102-55585</v>
      </c>
      <c r="C27" s="1174"/>
      <c r="D27" s="1174" t="b">
        <f>IFERROR(__xludf.DUMMYFUNCTION("""COMPUTED_VALUE"""),FALSE)</f>
        <v>0</v>
      </c>
      <c r="E27" s="1174" t="str">
        <f>IFERROR(__xludf.DUMMYFUNCTION("""COMPUTED_VALUE"""),"Laptop")</f>
        <v>Laptop</v>
      </c>
      <c r="F27" s="1176">
        <f>IFERROR(__xludf.DUMMYFUNCTION("""COMPUTED_VALUE"""),1329.99)</f>
        <v>1329.99</v>
      </c>
      <c r="G27" s="1177">
        <f>IFERROR(__xludf.DUMMYFUNCTION("""COMPUTED_VALUE"""),0.0)</f>
        <v>0</v>
      </c>
      <c r="H27" s="1174"/>
      <c r="I27" s="1174"/>
      <c r="J27" s="1177">
        <f>IFERROR(__xludf.DUMMYFUNCTION("""COMPUTED_VALUE"""),6499.0)</f>
        <v>6499</v>
      </c>
      <c r="M27" s="1174" t="str">
        <f>IFERROR(__xludf.DUMMYFUNCTION("""COMPUTED_VALUE"""),"MAYO")</f>
        <v>MAYO</v>
      </c>
      <c r="N27" s="1174" t="str">
        <f>IFERROR(__xludf.DUMMYFUNCTION("""COMPUTED_VALUE"""),"V2510N0002121")</f>
        <v>V2510N0002121</v>
      </c>
      <c r="O27" s="1177">
        <f>IFERROR(__xludf.DUMMYFUNCTION("""COMPUTED_VALUE"""),46.0)</f>
        <v>46</v>
      </c>
      <c r="P27" s="1175">
        <f>IFERROR(__xludf.DUMMYFUNCTION("""COMPUTED_VALUE"""),46142.0)</f>
        <v>46142</v>
      </c>
      <c r="Q27" s="1177">
        <f>IFERROR(__xludf.DUMMYFUNCTION("""COMPUTED_VALUE"""),8380.0)</f>
        <v>8380</v>
      </c>
    </row>
    <row r="28">
      <c r="A28" s="1175">
        <f>IFERROR(__xludf.DUMMYFUNCTION("""COMPUTED_VALUE"""),45805.0)</f>
        <v>45805</v>
      </c>
      <c r="B28" s="1174" t="str">
        <f>IFERROR(__xludf.DUMMYFUNCTION("""COMPUTED_VALUE"""),"K-a-113-9903877-6837018")</f>
        <v>K-a-113-9903877-6837018</v>
      </c>
      <c r="C28" s="1174"/>
      <c r="D28" s="1174" t="b">
        <f>IFERROR(__xludf.DUMMYFUNCTION("""COMPUTED_VALUE"""),FALSE)</f>
        <v>0</v>
      </c>
      <c r="E28" s="1174" t="str">
        <f>IFERROR(__xludf.DUMMYFUNCTION("""COMPUTED_VALUE"""),"Laptop")</f>
        <v>Laptop</v>
      </c>
      <c r="F28" s="1176">
        <f>IFERROR(__xludf.DUMMYFUNCTION("""COMPUTED_VALUE"""),950.0)</f>
        <v>950</v>
      </c>
      <c r="G28" s="1177">
        <f>IFERROR(__xludf.DUMMYFUNCTION("""COMPUTED_VALUE"""),0.0)</f>
        <v>0</v>
      </c>
      <c r="H28" s="1174"/>
      <c r="I28" s="1174"/>
      <c r="J28" s="1177">
        <f>IFERROR(__xludf.DUMMYFUNCTION("""COMPUTED_VALUE"""),5099.0)</f>
        <v>5099</v>
      </c>
      <c r="M28" s="1174" t="str">
        <f>IFERROR(__xludf.DUMMYFUNCTION("""COMPUTED_VALUE"""),"MAYO")</f>
        <v>MAYO</v>
      </c>
      <c r="N28" s="1174" t="str">
        <f>IFERROR(__xludf.DUMMYFUNCTION("""COMPUTED_VALUE"""),"PF60PM2D")</f>
        <v>PF60PM2D</v>
      </c>
      <c r="O28" s="1177">
        <f>IFERROR(__xludf.DUMMYFUNCTION("""COMPUTED_VALUE"""),93.0)</f>
        <v>93</v>
      </c>
      <c r="P28" s="1175">
        <f>IFERROR(__xludf.DUMMYFUNCTION("""COMPUTED_VALUE"""),46155.0)</f>
        <v>46155</v>
      </c>
      <c r="Q28" s="1177">
        <f>IFERROR(__xludf.DUMMYFUNCTION("""COMPUTED_VALUE"""),3280.0)</f>
        <v>3280</v>
      </c>
    </row>
    <row r="29">
      <c r="A29" s="1175">
        <f>IFERROR(__xludf.DUMMYFUNCTION("""COMPUTED_VALUE"""),45808.0)</f>
        <v>45808</v>
      </c>
      <c r="B29" s="1174" t="str">
        <f>IFERROR(__xludf.DUMMYFUNCTION("""COMPUTED_VALUE"""),"J M 220525")</f>
        <v>J M 220525</v>
      </c>
      <c r="C29" s="1174"/>
      <c r="D29" s="1174" t="b">
        <f>IFERROR(__xludf.DUMMYFUNCTION("""COMPUTED_VALUE"""),FALSE)</f>
        <v>0</v>
      </c>
      <c r="E29" s="1174" t="str">
        <f>IFERROR(__xludf.DUMMYFUNCTION("""COMPUTED_VALUE"""),"Laptop")</f>
        <v>Laptop</v>
      </c>
      <c r="F29" s="1176">
        <f>IFERROR(__xludf.DUMMYFUNCTION("""COMPUTED_VALUE"""),1599.0)</f>
        <v>1599</v>
      </c>
      <c r="G29" s="1177">
        <f>IFERROR(__xludf.DUMMYFUNCTION("""COMPUTED_VALUE"""),0.0)</f>
        <v>0</v>
      </c>
      <c r="H29" s="1174"/>
      <c r="I29" s="1174"/>
      <c r="J29" s="1177">
        <f>IFERROR(__xludf.DUMMYFUNCTION("""COMPUTED_VALUE"""),8399.0)</f>
        <v>8399</v>
      </c>
      <c r="M29" s="1174" t="str">
        <f>IFERROR(__xludf.DUMMYFUNCTION("""COMPUTED_VALUE"""),"JUNIO")</f>
        <v>JUNIO</v>
      </c>
      <c r="N29" s="1174" t="str">
        <f>IFERROR(__xludf.DUMMYFUNCTION("""COMPUTED_VALUE"""),"W1NRSG007534030")</f>
        <v>W1NRSG007534030</v>
      </c>
      <c r="O29" s="1177">
        <f>IFERROR(__xludf.DUMMYFUNCTION("""COMPUTED_VALUE"""),0.0)</f>
        <v>0</v>
      </c>
      <c r="P29" s="1175">
        <f>IFERROR(__xludf.DUMMYFUNCTION("""COMPUTED_VALUE"""),46186.0)</f>
        <v>46186</v>
      </c>
      <c r="Q29" s="1177">
        <f>IFERROR(__xludf.DUMMYFUNCTION("""COMPUTED_VALUE"""),7124.0)</f>
        <v>7124</v>
      </c>
    </row>
    <row r="30">
      <c r="A30" s="1175">
        <f>IFERROR(__xludf.DUMMYFUNCTION("""COMPUTED_VALUE"""),45813.0)</f>
        <v>45813</v>
      </c>
      <c r="B30" s="1174" t="str">
        <f>IFERROR(__xludf.DUMMYFUNCTION("""COMPUTED_VALUE"""),"L M-2 230535")</f>
        <v>L M-2 230535</v>
      </c>
      <c r="C30" s="1174"/>
      <c r="D30" s="1174" t="b">
        <f>IFERROR(__xludf.DUMMYFUNCTION("""COMPUTED_VALUE"""),FALSE)</f>
        <v>0</v>
      </c>
      <c r="E30" s="1174" t="str">
        <f>IFERROR(__xludf.DUMMYFUNCTION("""COMPUTED_VALUE"""),"Laptop")</f>
        <v>Laptop</v>
      </c>
      <c r="F30" s="1176">
        <f>IFERROR(__xludf.DUMMYFUNCTION("""COMPUTED_VALUE"""),1500.0)</f>
        <v>1500</v>
      </c>
      <c r="G30" s="1177">
        <f>IFERROR(__xludf.DUMMYFUNCTION("""COMPUTED_VALUE"""),0.0)</f>
        <v>0</v>
      </c>
      <c r="H30" s="1174"/>
      <c r="I30" s="1174"/>
      <c r="J30" s="1177">
        <f>IFERROR(__xludf.DUMMYFUNCTION("""COMPUTED_VALUE"""),8399.0)</f>
        <v>8399</v>
      </c>
    </row>
    <row r="31">
      <c r="A31" s="1175">
        <f>IFERROR(__xludf.DUMMYFUNCTION("""COMPUTED_VALUE"""),45813.0)</f>
        <v>45813</v>
      </c>
      <c r="B31" s="1174" t="str">
        <f>IFERROR(__xludf.DUMMYFUNCTION("""COMPUTED_VALUE"""),"L M - 070625")</f>
        <v>L M - 070625</v>
      </c>
      <c r="C31" s="1174"/>
      <c r="D31" s="1174" t="b">
        <f>IFERROR(__xludf.DUMMYFUNCTION("""COMPUTED_VALUE"""),FALSE)</f>
        <v>0</v>
      </c>
      <c r="E31" s="1174" t="str">
        <f>IFERROR(__xludf.DUMMYFUNCTION("""COMPUTED_VALUE"""),"Laptop")</f>
        <v>Laptop</v>
      </c>
      <c r="F31" s="1176">
        <f>IFERROR(__xludf.DUMMYFUNCTION("""COMPUTED_VALUE"""),1599.99)</f>
        <v>1599.99</v>
      </c>
      <c r="G31" s="1177">
        <f>IFERROR(__xludf.DUMMYFUNCTION("""COMPUTED_VALUE"""),0.0)</f>
        <v>0</v>
      </c>
      <c r="H31" s="1174"/>
      <c r="I31" s="1174"/>
      <c r="J31" s="1177">
        <f>IFERROR(__xludf.DUMMYFUNCTION("""COMPUTED_VALUE"""),8399.0)</f>
        <v>8399</v>
      </c>
    </row>
    <row r="32">
      <c r="A32" s="1175">
        <f>IFERROR(__xludf.DUMMYFUNCTION("""COMPUTED_VALUE"""),45817.0)</f>
        <v>45817</v>
      </c>
      <c r="B32" s="1174" t="str">
        <f>IFERROR(__xludf.DUMMYFUNCTION("""COMPUTED_VALUE"""),"k-e-13-13180-91100")</f>
        <v>k-e-13-13180-91100</v>
      </c>
      <c r="C32" s="1174"/>
      <c r="D32" s="1174" t="b">
        <f>IFERROR(__xludf.DUMMYFUNCTION("""COMPUTED_VALUE"""),FALSE)</f>
        <v>0</v>
      </c>
      <c r="E32" s="1174" t="str">
        <f>IFERROR(__xludf.DUMMYFUNCTION("""COMPUTED_VALUE"""),"Laptop")</f>
        <v>Laptop</v>
      </c>
      <c r="F32" s="1176">
        <f>IFERROR(__xludf.DUMMYFUNCTION("""COMPUTED_VALUE"""),1349.0)</f>
        <v>1349</v>
      </c>
      <c r="G32" s="1177">
        <f>IFERROR(__xludf.DUMMYFUNCTION("""COMPUTED_VALUE"""),0.0)</f>
        <v>0</v>
      </c>
      <c r="H32" s="1174"/>
      <c r="I32" s="1174"/>
      <c r="J32" s="1177">
        <f>IFERROR(__xludf.DUMMYFUNCTION("""COMPUTED_VALUE"""),6499.0)</f>
        <v>6499</v>
      </c>
    </row>
    <row r="33">
      <c r="A33" s="1175">
        <f>IFERROR(__xludf.DUMMYFUNCTION("""COMPUTED_VALUE"""),45820.0)</f>
        <v>45820</v>
      </c>
      <c r="B33" s="1174" t="str">
        <f>IFERROR(__xludf.DUMMYFUNCTION("""COMPUTED_VALUE"""),"k-e-12-13193-51374")</f>
        <v>k-e-12-13193-51374</v>
      </c>
      <c r="C33" s="1174"/>
      <c r="D33" s="1174" t="b">
        <f>IFERROR(__xludf.DUMMYFUNCTION("""COMPUTED_VALUE"""),FALSE)</f>
        <v>0</v>
      </c>
      <c r="E33" s="1174" t="str">
        <f>IFERROR(__xludf.DUMMYFUNCTION("""COMPUTED_VALUE"""),"Laptop")</f>
        <v>Laptop</v>
      </c>
      <c r="F33" s="1176">
        <f>IFERROR(__xludf.DUMMYFUNCTION("""COMPUTED_VALUE"""),1999.99)</f>
        <v>1999.99</v>
      </c>
      <c r="G33" s="1177">
        <f>IFERROR(__xludf.DUMMYFUNCTION("""COMPUTED_VALUE"""),0.0)</f>
        <v>0</v>
      </c>
      <c r="H33" s="1174"/>
      <c r="I33" s="1174"/>
      <c r="J33" s="1177">
        <f>IFERROR(__xludf.DUMMYFUNCTION("""COMPUTED_VALUE"""),9599.0)</f>
        <v>9599</v>
      </c>
    </row>
    <row r="34">
      <c r="A34" s="1175">
        <f>IFERROR(__xludf.DUMMYFUNCTION("""COMPUTED_VALUE"""),45820.0)</f>
        <v>45820</v>
      </c>
      <c r="B34" s="1174" t="str">
        <f>IFERROR(__xludf.DUMMYFUNCTION("""COMPUTED_VALUE"""),"S- e 07-13146-37554")</f>
        <v>S- e 07-13146-37554</v>
      </c>
      <c r="C34" s="1174"/>
      <c r="D34" s="1174" t="b">
        <f>IFERROR(__xludf.DUMMYFUNCTION("""COMPUTED_VALUE"""),FALSE)</f>
        <v>0</v>
      </c>
      <c r="E34" s="1174" t="str">
        <f>IFERROR(__xludf.DUMMYFUNCTION("""COMPUTED_VALUE"""),"Laptop")</f>
        <v>Laptop</v>
      </c>
      <c r="F34" s="1176">
        <f>IFERROR(__xludf.DUMMYFUNCTION("""COMPUTED_VALUE"""),1329.99)</f>
        <v>1329.99</v>
      </c>
      <c r="G34" s="1177">
        <f>IFERROR(__xludf.DUMMYFUNCTION("""COMPUTED_VALUE"""),0.0)</f>
        <v>0</v>
      </c>
      <c r="H34" s="1174"/>
      <c r="I34" s="1174"/>
      <c r="J34" s="1177">
        <f>IFERROR(__xludf.DUMMYFUNCTION("""COMPUTED_VALUE"""),6499.0)</f>
        <v>6499</v>
      </c>
    </row>
    <row r="35">
      <c r="A35" s="1175">
        <f>IFERROR(__xludf.DUMMYFUNCTION("""COMPUTED_VALUE"""),45825.0)</f>
        <v>45825</v>
      </c>
      <c r="B35" s="1174" t="str">
        <f>IFERROR(__xludf.DUMMYFUNCTION("""COMPUTED_VALUE"""),"k-a-113-5835758-0311433")</f>
        <v>k-a-113-5835758-0311433</v>
      </c>
      <c r="C35" s="1174"/>
      <c r="D35" s="1174" t="b">
        <f>IFERROR(__xludf.DUMMYFUNCTION("""COMPUTED_VALUE"""),FALSE)</f>
        <v>0</v>
      </c>
      <c r="E35" s="1174" t="str">
        <f>IFERROR(__xludf.DUMMYFUNCTION("""COMPUTED_VALUE"""),"Laptop")</f>
        <v>Laptop</v>
      </c>
      <c r="F35" s="1176">
        <f>IFERROR(__xludf.DUMMYFUNCTION("""COMPUTED_VALUE"""),1198.99)</f>
        <v>1198.99</v>
      </c>
      <c r="G35" s="1177">
        <f>IFERROR(__xludf.DUMMYFUNCTION("""COMPUTED_VALUE"""),0.0)</f>
        <v>0</v>
      </c>
      <c r="H35" s="1174"/>
      <c r="I35" s="1174"/>
      <c r="J35" s="1177">
        <f>IFERROR(__xludf.DUMMYFUNCTION("""COMPUTED_VALUE"""),6171.0)</f>
        <v>6171</v>
      </c>
    </row>
    <row r="36">
      <c r="A36" s="1175">
        <f>IFERROR(__xludf.DUMMYFUNCTION("""COMPUTED_VALUE"""),45831.0)</f>
        <v>45831</v>
      </c>
      <c r="B36" s="1174" t="str">
        <f>IFERROR(__xludf.DUMMYFUNCTION("""COMPUTED_VALUE"""),"K-e-09-13193-74759")</f>
        <v>K-e-09-13193-74759</v>
      </c>
      <c r="C36" s="1174"/>
      <c r="D36" s="1174" t="b">
        <f>IFERROR(__xludf.DUMMYFUNCTION("""COMPUTED_VALUE"""),FALSE)</f>
        <v>0</v>
      </c>
      <c r="E36" s="1174" t="str">
        <f>IFERROR(__xludf.DUMMYFUNCTION("""COMPUTED_VALUE"""),"Laptop")</f>
        <v>Laptop</v>
      </c>
      <c r="F36" s="1176">
        <f>IFERROR(__xludf.DUMMYFUNCTION("""COMPUTED_VALUE"""),1349.0)</f>
        <v>1349</v>
      </c>
      <c r="G36" s="1177">
        <f>IFERROR(__xludf.DUMMYFUNCTION("""COMPUTED_VALUE"""),0.0)</f>
        <v>0</v>
      </c>
      <c r="H36" s="1174"/>
      <c r="I36" s="1174"/>
      <c r="J36" s="1177">
        <f>IFERROR(__xludf.DUMMYFUNCTION("""COMPUTED_VALUE"""),6289.0)</f>
        <v>6289</v>
      </c>
    </row>
    <row r="37">
      <c r="A37" s="1175">
        <f>IFERROR(__xludf.DUMMYFUNCTION("""COMPUTED_VALUE"""),45832.0)</f>
        <v>45832</v>
      </c>
      <c r="B37" s="1174" t="str">
        <f>IFERROR(__xludf.DUMMYFUNCTION("""COMPUTED_VALUE"""),"K-e-04-13161-42102")</f>
        <v>K-e-04-13161-42102</v>
      </c>
      <c r="C37" s="1174"/>
      <c r="D37" s="1174" t="b">
        <f>IFERROR(__xludf.DUMMYFUNCTION("""COMPUTED_VALUE"""),FALSE)</f>
        <v>0</v>
      </c>
      <c r="E37" s="1174" t="str">
        <f>IFERROR(__xludf.DUMMYFUNCTION("""COMPUTED_VALUE"""),"Laptop")</f>
        <v>Laptop</v>
      </c>
      <c r="F37" s="1176">
        <f>IFERROR(__xludf.DUMMYFUNCTION("""COMPUTED_VALUE"""),1069.49)</f>
        <v>1069.49</v>
      </c>
      <c r="G37" s="1177">
        <f>IFERROR(__xludf.DUMMYFUNCTION("""COMPUTED_VALUE"""),0.0)</f>
        <v>0</v>
      </c>
      <c r="H37" s="1174"/>
      <c r="I37" s="1174"/>
      <c r="J37" s="1177">
        <f>IFERROR(__xludf.DUMMYFUNCTION("""COMPUTED_VALUE"""),5259.0)</f>
        <v>5259</v>
      </c>
    </row>
    <row r="38">
      <c r="A38" s="1175">
        <f>IFERROR(__xludf.DUMMYFUNCTION("""COMPUTED_VALUE"""),45838.0)</f>
        <v>45838</v>
      </c>
      <c r="B38" s="1174" t="str">
        <f>IFERROR(__xludf.DUMMYFUNCTION("""COMPUTED_VALUE"""),"L-M-010725-01")</f>
        <v>L-M-010725-01</v>
      </c>
      <c r="C38" s="1174" t="str">
        <f>IFERROR(__xludf.DUMMYFUNCTION("""COMPUTED_VALUE"""),"JULIO")</f>
        <v>JULIO</v>
      </c>
      <c r="D38" s="1174" t="b">
        <f>IFERROR(__xludf.DUMMYFUNCTION("""COMPUTED_VALUE"""),FALSE)</f>
        <v>0</v>
      </c>
      <c r="E38" s="1174" t="str">
        <f>IFERROR(__xludf.DUMMYFUNCTION("""COMPUTED_VALUE"""),"Laptop")</f>
        <v>Laptop</v>
      </c>
      <c r="F38" s="1176">
        <f>IFERROR(__xludf.DUMMYFUNCTION("""COMPUTED_VALUE"""),449.99)</f>
        <v>449.99</v>
      </c>
      <c r="G38" s="1177">
        <f>IFERROR(__xludf.DUMMYFUNCTION("""COMPUTED_VALUE"""),0.0)</f>
        <v>0</v>
      </c>
      <c r="H38" s="1174"/>
      <c r="I38" s="1174"/>
      <c r="J38" s="1177">
        <f>IFERROR(__xludf.DUMMYFUNCTION("""COMPUTED_VALUE"""),2258.0)</f>
        <v>2258</v>
      </c>
    </row>
    <row r="39">
      <c r="A39" s="1175">
        <f>IFERROR(__xludf.DUMMYFUNCTION("""COMPUTED_VALUE"""),45845.0)</f>
        <v>45845</v>
      </c>
      <c r="B39" s="1174" t="str">
        <f>IFERROR(__xludf.DUMMYFUNCTION("""COMPUTED_VALUE"""),"Kd-2009630591567")</f>
        <v>Kd-2009630591567</v>
      </c>
      <c r="C39" s="1174" t="str">
        <f>IFERROR(__xludf.DUMMYFUNCTION("""COMPUTED_VALUE"""),"JULIO")</f>
        <v>JULIO</v>
      </c>
      <c r="D39" s="1174" t="b">
        <f>IFERROR(__xludf.DUMMYFUNCTION("""COMPUTED_VALUE"""),FALSE)</f>
        <v>0</v>
      </c>
      <c r="E39" s="1174" t="str">
        <f>IFERROR(__xludf.DUMMYFUNCTION("""COMPUTED_VALUE"""),"Laptop")</f>
        <v>Laptop</v>
      </c>
      <c r="F39" s="1176">
        <f>IFERROR(__xludf.DUMMYFUNCTION("""COMPUTED_VALUE"""),1949.99)</f>
        <v>1949.99</v>
      </c>
      <c r="G39" s="1177">
        <f>IFERROR(__xludf.DUMMYFUNCTION("""COMPUTED_VALUE"""),0.0)</f>
        <v>0</v>
      </c>
      <c r="H39" s="1174"/>
      <c r="I39" s="1174"/>
      <c r="J39" s="1177">
        <f>IFERROR(__xludf.DUMMYFUNCTION("""COMPUTED_VALUE"""),9027.0)</f>
        <v>9027</v>
      </c>
    </row>
    <row r="40">
      <c r="A40" s="1175">
        <f>IFERROR(__xludf.DUMMYFUNCTION("""COMPUTED_VALUE"""),45847.0)</f>
        <v>45847</v>
      </c>
      <c r="B40" s="1174" t="str">
        <f>IFERROR(__xludf.DUMMYFUNCTION("""COMPUTED_VALUE"""),"k-n-552371014")</f>
        <v>k-n-552371014</v>
      </c>
      <c r="C40" s="1174" t="str">
        <f>IFERROR(__xludf.DUMMYFUNCTION("""COMPUTED_VALUE"""),"JULIO")</f>
        <v>JULIO</v>
      </c>
      <c r="D40" s="1174" t="b">
        <f>IFERROR(__xludf.DUMMYFUNCTION("""COMPUTED_VALUE"""),FALSE)</f>
        <v>0</v>
      </c>
      <c r="E40" s="1174" t="str">
        <f>IFERROR(__xludf.DUMMYFUNCTION("""COMPUTED_VALUE"""),"Laptop")</f>
        <v>Laptop</v>
      </c>
      <c r="F40" s="1176">
        <f>IFERROR(__xludf.DUMMYFUNCTION("""COMPUTED_VALUE"""),1069.99)</f>
        <v>1069.99</v>
      </c>
      <c r="G40" s="1177">
        <f>IFERROR(__xludf.DUMMYFUNCTION("""COMPUTED_VALUE"""),0.0)</f>
        <v>0</v>
      </c>
      <c r="H40" s="1174"/>
      <c r="I40" s="1174"/>
      <c r="J40" s="1177">
        <f>IFERROR(__xludf.DUMMYFUNCTION("""COMPUTED_VALUE"""),5403.0)</f>
        <v>5403</v>
      </c>
    </row>
    <row r="41">
      <c r="A41" s="1175">
        <f>IFERROR(__xludf.DUMMYFUNCTION("""COMPUTED_VALUE"""),45847.0)</f>
        <v>45847</v>
      </c>
      <c r="B41" s="1174" t="str">
        <f>IFERROR(__xludf.DUMMYFUNCTION("""COMPUTED_VALUE"""),"k-a-113-2444535-1861821")</f>
        <v>k-a-113-2444535-1861821</v>
      </c>
      <c r="C41" s="1174" t="str">
        <f>IFERROR(__xludf.DUMMYFUNCTION("""COMPUTED_VALUE"""),"JULIO")</f>
        <v>JULIO</v>
      </c>
      <c r="D41" s="1174" t="b">
        <f>IFERROR(__xludf.DUMMYFUNCTION("""COMPUTED_VALUE"""),FALSE)</f>
        <v>0</v>
      </c>
      <c r="E41" s="1174" t="str">
        <f>IFERROR(__xludf.DUMMYFUNCTION("""COMPUTED_VALUE"""),"Laptop")</f>
        <v>Laptop</v>
      </c>
      <c r="F41" s="1176">
        <f>IFERROR(__xludf.DUMMYFUNCTION("""COMPUTED_VALUE"""),1274.99)</f>
        <v>1274.99</v>
      </c>
      <c r="G41" s="1177">
        <f>IFERROR(__xludf.DUMMYFUNCTION("""COMPUTED_VALUE"""),0.0)</f>
        <v>0</v>
      </c>
      <c r="H41" s="1174"/>
      <c r="I41" s="1174"/>
      <c r="J41" s="1177">
        <f>IFERROR(__xludf.DUMMYFUNCTION("""COMPUTED_VALUE"""),5797.53)</f>
        <v>5797.53</v>
      </c>
    </row>
    <row r="42">
      <c r="A42" s="1175">
        <f>IFERROR(__xludf.DUMMYFUNCTION("""COMPUTED_VALUE"""),45848.0)</f>
        <v>45848</v>
      </c>
      <c r="B42" s="1174" t="str">
        <f>IFERROR(__xludf.DUMMYFUNCTION("""COMPUTED_VALUE"""),"k-a-113-9886513-1205829")</f>
        <v>k-a-113-9886513-1205829</v>
      </c>
      <c r="C42" s="1174" t="str">
        <f>IFERROR(__xludf.DUMMYFUNCTION("""COMPUTED_VALUE"""),"JULIO")</f>
        <v>JULIO</v>
      </c>
      <c r="D42" s="1174" t="b">
        <f>IFERROR(__xludf.DUMMYFUNCTION("""COMPUTED_VALUE"""),FALSE)</f>
        <v>0</v>
      </c>
      <c r="E42" s="1174" t="str">
        <f>IFERROR(__xludf.DUMMYFUNCTION("""COMPUTED_VALUE"""),"Laptop")</f>
        <v>Laptop</v>
      </c>
      <c r="F42" s="1176">
        <f>IFERROR(__xludf.DUMMYFUNCTION("""COMPUTED_VALUE"""),1274.99)</f>
        <v>1274.99</v>
      </c>
      <c r="G42" s="1177">
        <f>IFERROR(__xludf.DUMMYFUNCTION("""COMPUTED_VALUE"""),0.0)</f>
        <v>0</v>
      </c>
      <c r="H42" s="1174"/>
      <c r="I42" s="1174"/>
      <c r="J42" s="1177">
        <f>IFERROR(__xludf.DUMMYFUNCTION("""COMPUTED_VALUE"""),6199.0)</f>
        <v>6199</v>
      </c>
    </row>
    <row r="43">
      <c r="A43" s="1175">
        <f>IFERROR(__xludf.DUMMYFUNCTION("""COMPUTED_VALUE"""),45850.0)</f>
        <v>45850</v>
      </c>
      <c r="B43" s="1174" t="str">
        <f>IFERROR(__xludf.DUMMYFUNCTION("""COMPUTED_VALUE"""),"K - e- 12-13139-89511")</f>
        <v>K - e- 12-13139-89511</v>
      </c>
      <c r="C43" s="1174" t="str">
        <f>IFERROR(__xludf.DUMMYFUNCTION("""COMPUTED_VALUE"""),"JULIO")</f>
        <v>JULIO</v>
      </c>
      <c r="D43" s="1174" t="b">
        <f>IFERROR(__xludf.DUMMYFUNCTION("""COMPUTED_VALUE"""),FALSE)</f>
        <v>0</v>
      </c>
      <c r="E43" s="1174" t="str">
        <f>IFERROR(__xludf.DUMMYFUNCTION("""COMPUTED_VALUE"""),"Laptop")</f>
        <v>Laptop</v>
      </c>
      <c r="F43" s="1176">
        <f>IFERROR(__xludf.DUMMYFUNCTION("""COMPUTED_VALUE"""),1329.99)</f>
        <v>1329.99</v>
      </c>
      <c r="G43" s="1177">
        <f>IFERROR(__xludf.DUMMYFUNCTION("""COMPUTED_VALUE"""),0.0)</f>
        <v>0</v>
      </c>
      <c r="H43" s="1174"/>
      <c r="I43" s="1174"/>
      <c r="J43" s="1177">
        <f>IFERROR(__xludf.DUMMYFUNCTION("""COMPUTED_VALUE"""),6499.0)</f>
        <v>6499</v>
      </c>
    </row>
    <row r="44">
      <c r="A44" s="1175">
        <f>IFERROR(__xludf.DUMMYFUNCTION("""COMPUTED_VALUE"""),45850.0)</f>
        <v>45850</v>
      </c>
      <c r="B44" s="1174" t="str">
        <f>IFERROR(__xludf.DUMMYFUNCTION("""COMPUTED_VALUE"""),"K-BBY01-807071587735")</f>
        <v>K-BBY01-807071587735</v>
      </c>
      <c r="C44" s="1174" t="str">
        <f>IFERROR(__xludf.DUMMYFUNCTION("""COMPUTED_VALUE"""),"JULIO")</f>
        <v>JULIO</v>
      </c>
      <c r="D44" s="1174" t="b">
        <f>IFERROR(__xludf.DUMMYFUNCTION("""COMPUTED_VALUE"""),FALSE)</f>
        <v>0</v>
      </c>
      <c r="E44" s="1174" t="str">
        <f>IFERROR(__xludf.DUMMYFUNCTION("""COMPUTED_VALUE"""),"Laptop")</f>
        <v>Laptop</v>
      </c>
      <c r="F44" s="1176">
        <f>IFERROR(__xludf.DUMMYFUNCTION("""COMPUTED_VALUE"""),1559.99)</f>
        <v>1559.99</v>
      </c>
      <c r="G44" s="1177">
        <f>IFERROR(__xludf.DUMMYFUNCTION("""COMPUTED_VALUE"""),0.0)</f>
        <v>0</v>
      </c>
      <c r="H44" s="1174"/>
      <c r="I44" s="1174"/>
      <c r="J44" s="1177">
        <f>IFERROR(__xludf.DUMMYFUNCTION("""COMPUTED_VALUE"""),7187.0)</f>
        <v>7187</v>
      </c>
    </row>
    <row r="45">
      <c r="A45" s="1175">
        <f>IFERROR(__xludf.DUMMYFUNCTION("""COMPUTED_VALUE"""),45852.0)</f>
        <v>45852</v>
      </c>
      <c r="B45" s="1174" t="str">
        <f>IFERROR(__xludf.DUMMYFUNCTION("""COMPUTED_VALUE"""),"k-a-113-2287222-5807404")</f>
        <v>k-a-113-2287222-5807404</v>
      </c>
      <c r="C45" s="1174" t="str">
        <f>IFERROR(__xludf.DUMMYFUNCTION("""COMPUTED_VALUE"""),"JULIO")</f>
        <v>JULIO</v>
      </c>
      <c r="D45" s="1174" t="b">
        <f>IFERROR(__xludf.DUMMYFUNCTION("""COMPUTED_VALUE"""),FALSE)</f>
        <v>0</v>
      </c>
      <c r="E45" s="1174" t="str">
        <f>IFERROR(__xludf.DUMMYFUNCTION("""COMPUTED_VALUE"""),"Laptop")</f>
        <v>Laptop</v>
      </c>
      <c r="F45" s="1176">
        <f>IFERROR(__xludf.DUMMYFUNCTION("""COMPUTED_VALUE"""),4426.69)</f>
        <v>4426.69</v>
      </c>
      <c r="G45" s="1177">
        <f>IFERROR(__xludf.DUMMYFUNCTION("""COMPUTED_VALUE"""),0.0)</f>
        <v>0</v>
      </c>
      <c r="H45" s="1174"/>
      <c r="I45" s="1174"/>
      <c r="J45" s="1177">
        <f>IFERROR(__xludf.DUMMYFUNCTION("""COMPUTED_VALUE"""),18621.0)</f>
        <v>18621</v>
      </c>
    </row>
    <row r="46">
      <c r="A46" s="1175">
        <f>IFERROR(__xludf.DUMMYFUNCTION("""COMPUTED_VALUE"""),45853.0)</f>
        <v>45853</v>
      </c>
      <c r="B46" s="1174" t="str">
        <f>IFERROR(__xludf.DUMMYFUNCTION("""COMPUTED_VALUE"""),"L-17072025")</f>
        <v>L-17072025</v>
      </c>
      <c r="C46" s="1174" t="str">
        <f>IFERROR(__xludf.DUMMYFUNCTION("""COMPUTED_VALUE"""),"JULIO")</f>
        <v>JULIO</v>
      </c>
      <c r="D46" s="1174" t="b">
        <f>IFERROR(__xludf.DUMMYFUNCTION("""COMPUTED_VALUE"""),FALSE)</f>
        <v>0</v>
      </c>
      <c r="E46" s="1174" t="str">
        <f>IFERROR(__xludf.DUMMYFUNCTION("""COMPUTED_VALUE"""),"Laptop")</f>
        <v>Laptop</v>
      </c>
      <c r="F46" s="1176">
        <f>IFERROR(__xludf.DUMMYFUNCTION("""COMPUTED_VALUE"""),1799.99)</f>
        <v>1799.99</v>
      </c>
      <c r="G46" s="1177">
        <f>IFERROR(__xludf.DUMMYFUNCTION("""COMPUTED_VALUE"""),0.0)</f>
        <v>0</v>
      </c>
      <c r="H46" s="1174"/>
      <c r="I46" s="1174"/>
      <c r="J46" s="1177">
        <f>IFERROR(__xludf.DUMMYFUNCTION("""COMPUTED_VALUE"""),8499.0)</f>
        <v>8499</v>
      </c>
    </row>
    <row r="47">
      <c r="A47" s="1175">
        <f>IFERROR(__xludf.DUMMYFUNCTION("""COMPUTED_VALUE"""),45854.0)</f>
        <v>45854</v>
      </c>
      <c r="B47" s="1174" t="str">
        <f>IFERROR(__xludf.DUMMYFUNCTION("""COMPUTED_VALUE"""),"k-as-10001100875")</f>
        <v>k-as-10001100875</v>
      </c>
      <c r="C47" s="1174" t="str">
        <f>IFERROR(__xludf.DUMMYFUNCTION("""COMPUTED_VALUE"""),"JULIO")</f>
        <v>JULIO</v>
      </c>
      <c r="D47" s="1174" t="b">
        <f>IFERROR(__xludf.DUMMYFUNCTION("""COMPUTED_VALUE"""),FALSE)</f>
        <v>0</v>
      </c>
      <c r="E47" s="1174" t="str">
        <f>IFERROR(__xludf.DUMMYFUNCTION("""COMPUTED_VALUE"""),"Laptop")</f>
        <v>Laptop</v>
      </c>
      <c r="F47" s="1176">
        <f>IFERROR(__xludf.DUMMYFUNCTION("""COMPUTED_VALUE"""),2699.99)</f>
        <v>2699.99</v>
      </c>
      <c r="G47" s="1177">
        <f>IFERROR(__xludf.DUMMYFUNCTION("""COMPUTED_VALUE"""),0.0)</f>
        <v>0</v>
      </c>
      <c r="H47" s="1174"/>
      <c r="I47" s="1174"/>
      <c r="J47" s="1177">
        <f>IFERROR(__xludf.DUMMYFUNCTION("""COMPUTED_VALUE"""),11961.0)</f>
        <v>11961</v>
      </c>
    </row>
    <row r="48">
      <c r="A48" s="1175">
        <f>IFERROR(__xludf.DUMMYFUNCTION("""COMPUTED_VALUE"""),45856.0)</f>
        <v>45856</v>
      </c>
      <c r="B48" s="1174" t="str">
        <f>IFERROR(__xludf.DUMMYFUNCTION("""COMPUTED_VALUE"""),"r-m-19749020")</f>
        <v>r-m-19749020</v>
      </c>
      <c r="C48" s="1174" t="str">
        <f>IFERROR(__xludf.DUMMYFUNCTION("""COMPUTED_VALUE"""),"JULIO")</f>
        <v>JULIO</v>
      </c>
      <c r="D48" s="1174" t="b">
        <f>IFERROR(__xludf.DUMMYFUNCTION("""COMPUTED_VALUE"""),FALSE)</f>
        <v>0</v>
      </c>
      <c r="E48" s="1174" t="str">
        <f>IFERROR(__xludf.DUMMYFUNCTION("""COMPUTED_VALUE"""),"Laptop")</f>
        <v>Laptop</v>
      </c>
      <c r="F48" s="1176">
        <f>IFERROR(__xludf.DUMMYFUNCTION("""COMPUTED_VALUE"""),1799.99)</f>
        <v>1799.99</v>
      </c>
      <c r="G48" s="1177">
        <f>IFERROR(__xludf.DUMMYFUNCTION("""COMPUTED_VALUE"""),0.0)</f>
        <v>0</v>
      </c>
      <c r="H48" s="1174"/>
      <c r="I48" s="1174"/>
      <c r="J48" s="1177">
        <f>IFERROR(__xludf.DUMMYFUNCTION("""COMPUTED_VALUE"""),8499.0)</f>
        <v>8499</v>
      </c>
    </row>
    <row r="49">
      <c r="A49" s="1175">
        <f>IFERROR(__xludf.DUMMYFUNCTION("""COMPUTED_VALUE"""),45862.0)</f>
        <v>45862</v>
      </c>
      <c r="B49" s="1174" t="str">
        <f>IFERROR(__xludf.DUMMYFUNCTION("""COMPUTED_VALUE"""),"S-e-11-13347-98071")</f>
        <v>S-e-11-13347-98071</v>
      </c>
      <c r="C49" s="1174" t="str">
        <f>IFERROR(__xludf.DUMMYFUNCTION("""COMPUTED_VALUE"""),"JULIO")</f>
        <v>JULIO</v>
      </c>
      <c r="D49" s="1174" t="b">
        <f>IFERROR(__xludf.DUMMYFUNCTION("""COMPUTED_VALUE"""),FALSE)</f>
        <v>0</v>
      </c>
      <c r="E49" s="1174" t="str">
        <f>IFERROR(__xludf.DUMMYFUNCTION("""COMPUTED_VALUE"""),"Laptop")</f>
        <v>Laptop</v>
      </c>
      <c r="F49" s="1176">
        <f>IFERROR(__xludf.DUMMYFUNCTION("""COMPUTED_VALUE"""),1399.99)</f>
        <v>1399.99</v>
      </c>
      <c r="G49" s="1177">
        <f>IFERROR(__xludf.DUMMYFUNCTION("""COMPUTED_VALUE"""),0.0)</f>
        <v>0</v>
      </c>
      <c r="H49" s="1174"/>
      <c r="I49" s="1174"/>
      <c r="J49" s="1177">
        <f>IFERROR(__xludf.DUMMYFUNCTION("""COMPUTED_VALUE"""),7103.0)</f>
        <v>7103</v>
      </c>
    </row>
    <row r="50">
      <c r="A50" s="1175">
        <f>IFERROR(__xludf.DUMMYFUNCTION("""COMPUTED_VALUE"""),45863.0)</f>
        <v>45863</v>
      </c>
      <c r="B50" s="1174" t="str">
        <f>IFERROR(__xludf.DUMMYFUNCTION("""COMPUTED_VALUE"""),"k-BBY01-807074540903")</f>
        <v>k-BBY01-807074540903</v>
      </c>
      <c r="C50" s="1174" t="str">
        <f>IFERROR(__xludf.DUMMYFUNCTION("""COMPUTED_VALUE"""),"JULIO")</f>
        <v>JULIO</v>
      </c>
      <c r="D50" s="1174" t="b">
        <f>IFERROR(__xludf.DUMMYFUNCTION("""COMPUTED_VALUE"""),FALSE)</f>
        <v>0</v>
      </c>
      <c r="E50" s="1174" t="str">
        <f>IFERROR(__xludf.DUMMYFUNCTION("""COMPUTED_VALUE"""),"Laptop")</f>
        <v>Laptop</v>
      </c>
      <c r="F50" s="1176">
        <f>IFERROR(__xludf.DUMMYFUNCTION("""COMPUTED_VALUE"""),1549.99)</f>
        <v>1549.99</v>
      </c>
      <c r="G50" s="1177">
        <f>IFERROR(__xludf.DUMMYFUNCTION("""COMPUTED_VALUE"""),0.0)</f>
        <v>0</v>
      </c>
      <c r="H50" s="1174"/>
      <c r="I50" s="1174"/>
      <c r="J50" s="1177">
        <f>IFERROR(__xludf.DUMMYFUNCTION("""COMPUTED_VALUE"""),7699.0)</f>
        <v>7699</v>
      </c>
    </row>
    <row r="51">
      <c r="A51" s="1175">
        <f>IFERROR(__xludf.DUMMYFUNCTION("""COMPUTED_VALUE"""),45864.0)</f>
        <v>45864</v>
      </c>
      <c r="B51" s="1174" t="str">
        <f>IFERROR(__xludf.DUMMYFUNCTION("""COMPUTED_VALUE"""),"s-e-08-13372-04448")</f>
        <v>s-e-08-13372-04448</v>
      </c>
      <c r="C51" s="1174" t="str">
        <f>IFERROR(__xludf.DUMMYFUNCTION("""COMPUTED_VALUE"""),"JULIO")</f>
        <v>JULIO</v>
      </c>
      <c r="D51" s="1174" t="b">
        <f>IFERROR(__xludf.DUMMYFUNCTION("""COMPUTED_VALUE"""),FALSE)</f>
        <v>0</v>
      </c>
      <c r="E51" s="1174" t="str">
        <f>IFERROR(__xludf.DUMMYFUNCTION("""COMPUTED_VALUE"""),"Laptop")</f>
        <v>Laptop</v>
      </c>
      <c r="F51" s="1176">
        <f>IFERROR(__xludf.DUMMYFUNCTION("""COMPUTED_VALUE"""),4199.99)</f>
        <v>4199.99</v>
      </c>
      <c r="G51" s="1177">
        <f>IFERROR(__xludf.DUMMYFUNCTION("""COMPUTED_VALUE"""),0.0)</f>
        <v>0</v>
      </c>
      <c r="H51" s="1174"/>
      <c r="I51" s="1174"/>
      <c r="J51" s="1177">
        <f>IFERROR(__xludf.DUMMYFUNCTION("""COMPUTED_VALUE"""),17699.0)</f>
        <v>17699</v>
      </c>
    </row>
    <row r="52">
      <c r="A52" s="1175">
        <f>IFERROR(__xludf.DUMMYFUNCTION("""COMPUTED_VALUE"""),45864.0)</f>
        <v>45864</v>
      </c>
      <c r="B52" s="1174" t="str">
        <f>IFERROR(__xludf.DUMMYFUNCTION("""COMPUTED_VALUE"""),"s-e-07-13373-73067")</f>
        <v>s-e-07-13373-73067</v>
      </c>
      <c r="C52" s="1174" t="str">
        <f>IFERROR(__xludf.DUMMYFUNCTION("""COMPUTED_VALUE"""),"JULIO")</f>
        <v>JULIO</v>
      </c>
      <c r="D52" s="1174" t="b">
        <f>IFERROR(__xludf.DUMMYFUNCTION("""COMPUTED_VALUE"""),FALSE)</f>
        <v>0</v>
      </c>
      <c r="E52" s="1174" t="str">
        <f>IFERROR(__xludf.DUMMYFUNCTION("""COMPUTED_VALUE"""),"Laptop")</f>
        <v>Laptop</v>
      </c>
      <c r="F52" s="1176">
        <f>IFERROR(__xludf.DUMMYFUNCTION("""COMPUTED_VALUE"""),4199.99)</f>
        <v>4199.99</v>
      </c>
      <c r="G52" s="1177">
        <f>IFERROR(__xludf.DUMMYFUNCTION("""COMPUTED_VALUE"""),0.0)</f>
        <v>0</v>
      </c>
      <c r="H52" s="1174"/>
      <c r="I52" s="1174"/>
      <c r="J52" s="1177">
        <f>IFERROR(__xludf.DUMMYFUNCTION("""COMPUTED_VALUE"""),17699.0)</f>
        <v>17699</v>
      </c>
    </row>
    <row r="53">
      <c r="A53" s="1175">
        <f>IFERROR(__xludf.DUMMYFUNCTION("""COMPUTED_VALUE"""),45864.0)</f>
        <v>45864</v>
      </c>
      <c r="B53" s="1174" t="str">
        <f>IFERROR(__xludf.DUMMYFUNCTION("""COMPUTED_VALUE"""),"k-BBY01-807074545250")</f>
        <v>k-BBY01-807074545250</v>
      </c>
      <c r="C53" s="1174" t="str">
        <f>IFERROR(__xludf.DUMMYFUNCTION("""COMPUTED_VALUE"""),"JULIO")</f>
        <v>JULIO</v>
      </c>
      <c r="D53" s="1174" t="b">
        <f>IFERROR(__xludf.DUMMYFUNCTION("""COMPUTED_VALUE"""),FALSE)</f>
        <v>0</v>
      </c>
      <c r="E53" s="1174" t="str">
        <f>IFERROR(__xludf.DUMMYFUNCTION("""COMPUTED_VALUE"""),"Laptop")</f>
        <v>Laptop</v>
      </c>
      <c r="F53" s="1176">
        <f>IFERROR(__xludf.DUMMYFUNCTION("""COMPUTED_VALUE"""),1549.99)</f>
        <v>1549.99</v>
      </c>
      <c r="G53" s="1177">
        <f>IFERROR(__xludf.DUMMYFUNCTION("""COMPUTED_VALUE"""),14.0)</f>
        <v>14</v>
      </c>
      <c r="H53" s="1174"/>
      <c r="I53" s="1174"/>
      <c r="J53" s="1177">
        <f>IFERROR(__xludf.DUMMYFUNCTION("""COMPUTED_VALUE"""),7699.0)</f>
        <v>7699</v>
      </c>
    </row>
    <row r="54">
      <c r="A54" s="1175">
        <f>IFERROR(__xludf.DUMMYFUNCTION("""COMPUTED_VALUE"""),45865.0)</f>
        <v>45865</v>
      </c>
      <c r="B54" s="1174"/>
      <c r="C54" s="1174"/>
      <c r="D54" s="1174" t="b">
        <f>IFERROR(__xludf.DUMMYFUNCTION("""COMPUTED_VALUE"""),FALSE)</f>
        <v>0</v>
      </c>
      <c r="E54" s="1174" t="str">
        <f>IFERROR(__xludf.DUMMYFUNCTION("""COMPUTED_VALUE"""),"Laptop")</f>
        <v>Laptop</v>
      </c>
      <c r="F54" s="1176">
        <f>IFERROR(__xludf.DUMMYFUNCTION("""COMPUTED_VALUE"""),990.0)</f>
        <v>990</v>
      </c>
      <c r="G54" s="1177">
        <f>IFERROR(__xludf.DUMMYFUNCTION("""COMPUTED_VALUE"""),0.0)</f>
        <v>0</v>
      </c>
      <c r="H54" s="1174"/>
      <c r="I54" s="1174"/>
      <c r="J54" s="1177">
        <f>IFERROR(__xludf.DUMMYFUNCTION("""COMPUTED_VALUE"""),5289.0)</f>
        <v>5289</v>
      </c>
    </row>
    <row r="55">
      <c r="A55" s="1175">
        <f>IFERROR(__xludf.DUMMYFUNCTION("""COMPUTED_VALUE"""),45868.0)</f>
        <v>45868</v>
      </c>
      <c r="B55" s="1174" t="str">
        <f>IFERROR(__xludf.DUMMYFUNCTION("""COMPUTED_VALUE"""),"J-M-19790340")</f>
        <v>J-M-19790340</v>
      </c>
      <c r="C55" s="1174" t="str">
        <f>IFERROR(__xludf.DUMMYFUNCTION("""COMPUTED_VALUE"""),"AGOSTO")</f>
        <v>AGOSTO</v>
      </c>
      <c r="D55" s="1174" t="b">
        <f>IFERROR(__xludf.DUMMYFUNCTION("""COMPUTED_VALUE"""),TRUE)</f>
        <v>1</v>
      </c>
      <c r="E55" s="1174" t="str">
        <f>IFERROR(__xludf.DUMMYFUNCTION("""COMPUTED_VALUE"""),"Laptop")</f>
        <v>Laptop</v>
      </c>
      <c r="F55" s="1176">
        <f>IFERROR(__xludf.DUMMYFUNCTION("""COMPUTED_VALUE"""),4299.99)</f>
        <v>4299.99</v>
      </c>
      <c r="G55" s="1177">
        <f>IFERROR(__xludf.DUMMYFUNCTION("""COMPUTED_VALUE"""),0.0)</f>
        <v>0</v>
      </c>
      <c r="H55" s="1174"/>
      <c r="I55" s="1174"/>
      <c r="J55" s="1177">
        <f>IFERROR(__xludf.DUMMYFUNCTION("""COMPUTED_VALUE"""),19018.0)</f>
        <v>19018</v>
      </c>
    </row>
    <row r="56">
      <c r="A56" s="1175">
        <f>IFERROR(__xludf.DUMMYFUNCTION("""COMPUTED_VALUE"""),45868.0)</f>
        <v>45868</v>
      </c>
      <c r="B56" s="1174" t="str">
        <f>IFERROR(__xludf.DUMMYFUNCTION("""COMPUTED_VALUE"""),"K-R-BBY01-807074684387 ")</f>
        <v>K-R-BBY01-807074684387 </v>
      </c>
      <c r="C56" s="1174" t="str">
        <f>IFERROR(__xludf.DUMMYFUNCTION("""COMPUTED_VALUE"""),"JULIO")</f>
        <v>JULIO</v>
      </c>
      <c r="D56" s="1174" t="b">
        <f>IFERROR(__xludf.DUMMYFUNCTION("""COMPUTED_VALUE"""),FALSE)</f>
        <v>0</v>
      </c>
      <c r="E56" s="1174" t="str">
        <f>IFERROR(__xludf.DUMMYFUNCTION("""COMPUTED_VALUE"""),"Laptop")</f>
        <v>Laptop</v>
      </c>
      <c r="F56" s="1176">
        <f>IFERROR(__xludf.DUMMYFUNCTION("""COMPUTED_VALUE"""),1549.99)</f>
        <v>1549.99</v>
      </c>
      <c r="G56" s="1177"/>
      <c r="H56" s="1174"/>
      <c r="I56" s="1174"/>
      <c r="J56" s="1177">
        <f>IFERROR(__xludf.DUMMYFUNCTION("""COMPUTED_VALUE"""),7250.0)</f>
        <v>7250</v>
      </c>
    </row>
    <row r="57">
      <c r="A57" s="1175">
        <f>IFERROR(__xludf.DUMMYFUNCTION("""COMPUTED_VALUE"""),45871.0)</f>
        <v>45871</v>
      </c>
      <c r="B57" s="1174" t="str">
        <f>IFERROR(__xludf.DUMMYFUNCTION("""COMPUTED_VALUE"""),"K-S-BBY01-807074630847")</f>
        <v>K-S-BBY01-807074630847</v>
      </c>
      <c r="C57" s="1174" t="str">
        <f>IFERROR(__xludf.DUMMYFUNCTION("""COMPUTED_VALUE"""),"AGOSTO")</f>
        <v>AGOSTO</v>
      </c>
      <c r="D57" s="1174" t="b">
        <f>IFERROR(__xludf.DUMMYFUNCTION("""COMPUTED_VALUE"""),TRUE)</f>
        <v>1</v>
      </c>
      <c r="E57" s="1174" t="str">
        <f>IFERROR(__xludf.DUMMYFUNCTION("""COMPUTED_VALUE"""),"Laptop")</f>
        <v>Laptop</v>
      </c>
      <c r="F57" s="1176">
        <f>IFERROR(__xludf.DUMMYFUNCTION("""COMPUTED_VALUE"""),1549.99)</f>
        <v>1549.99</v>
      </c>
      <c r="G57" s="1177"/>
      <c r="H57" s="1174"/>
      <c r="I57" s="1174"/>
      <c r="J57" s="1177">
        <f>IFERROR(__xludf.DUMMYFUNCTION("""COMPUTED_VALUE"""),7250.0)</f>
        <v>7250</v>
      </c>
    </row>
    <row r="58">
      <c r="A58" s="1175">
        <f>IFERROR(__xludf.DUMMYFUNCTION("""COMPUTED_VALUE"""),45871.0)</f>
        <v>45871</v>
      </c>
      <c r="B58" s="1174" t="str">
        <f>IFERROR(__xludf.DUMMYFUNCTION("""COMPUTED_VALUE"""),"K-BBY01-807073466576-2
")</f>
        <v>K-BBY01-807073466576-2
</v>
      </c>
      <c r="C58" s="1174" t="str">
        <f>IFERROR(__xludf.DUMMYFUNCTION("""COMPUTED_VALUE"""),"AGOSTO")</f>
        <v>AGOSTO</v>
      </c>
      <c r="D58" s="1174" t="b">
        <f>IFERROR(__xludf.DUMMYFUNCTION("""COMPUTED_VALUE"""),TRUE)</f>
        <v>1</v>
      </c>
      <c r="E58" s="1174" t="str">
        <f>IFERROR(__xludf.DUMMYFUNCTION("""COMPUTED_VALUE"""),"Laptop")</f>
        <v>Laptop</v>
      </c>
      <c r="F58" s="1176">
        <f>IFERROR(__xludf.DUMMYFUNCTION("""COMPUTED_VALUE"""),1649.99)</f>
        <v>1649.99</v>
      </c>
      <c r="G58" s="1177">
        <f>IFERROR(__xludf.DUMMYFUNCTION("""COMPUTED_VALUE"""),0.0)</f>
        <v>0</v>
      </c>
      <c r="H58" s="1174"/>
      <c r="I58" s="1174"/>
      <c r="J58" s="1177">
        <f>IFERROR(__xludf.DUMMYFUNCTION("""COMPUTED_VALUE"""),7699.0)</f>
        <v>7699</v>
      </c>
    </row>
    <row r="59">
      <c r="A59" s="1175">
        <f>IFERROR(__xludf.DUMMYFUNCTION("""COMPUTED_VALUE"""),45874.0)</f>
        <v>45874</v>
      </c>
      <c r="B59" s="1174" t="str">
        <f>IFERROR(__xludf.DUMMYFUNCTION("""COMPUTED_VALUE"""),"k-e-12-13240-81691")</f>
        <v>k-e-12-13240-81691</v>
      </c>
      <c r="C59" s="1174" t="str">
        <f>IFERROR(__xludf.DUMMYFUNCTION("""COMPUTED_VALUE"""),"AGOSTO")</f>
        <v>AGOSTO</v>
      </c>
      <c r="D59" s="1174" t="b">
        <f>IFERROR(__xludf.DUMMYFUNCTION("""COMPUTED_VALUE"""),TRUE)</f>
        <v>1</v>
      </c>
      <c r="E59" s="1174" t="str">
        <f>IFERROR(__xludf.DUMMYFUNCTION("""COMPUTED_VALUE"""),"Laptop")</f>
        <v>Laptop</v>
      </c>
      <c r="F59" s="1176">
        <f>IFERROR(__xludf.DUMMYFUNCTION("""COMPUTED_VALUE"""),1349.0)</f>
        <v>1349</v>
      </c>
      <c r="G59" s="1177">
        <f>IFERROR(__xludf.DUMMYFUNCTION("""COMPUTED_VALUE"""),0.0)</f>
        <v>0</v>
      </c>
      <c r="H59" s="1174"/>
      <c r="I59" s="1174"/>
      <c r="J59" s="1177">
        <f>IFERROR(__xludf.DUMMYFUNCTION("""COMPUTED_VALUE"""),6199.0)</f>
        <v>6199</v>
      </c>
    </row>
    <row r="60">
      <c r="A60" s="1175">
        <f>IFERROR(__xludf.DUMMYFUNCTION("""COMPUTED_VALUE"""),45876.0)</f>
        <v>45876</v>
      </c>
      <c r="B60" s="1174" t="str">
        <f>IFERROR(__xludf.DUMMYFUNCTION("""COMPUTED_VALUE"""),"k-e-24-13242-67604")</f>
        <v>k-e-24-13242-67604</v>
      </c>
      <c r="C60" s="1174" t="str">
        <f>IFERROR(__xludf.DUMMYFUNCTION("""COMPUTED_VALUE"""),"AGOSTO")</f>
        <v>AGOSTO</v>
      </c>
      <c r="D60" s="1174" t="b">
        <f>IFERROR(__xludf.DUMMYFUNCTION("""COMPUTED_VALUE"""),TRUE)</f>
        <v>1</v>
      </c>
      <c r="E60" s="1174" t="str">
        <f>IFERROR(__xludf.DUMMYFUNCTION("""COMPUTED_VALUE"""),"Laptop")</f>
        <v>Laptop</v>
      </c>
      <c r="F60" s="1176">
        <f>IFERROR(__xludf.DUMMYFUNCTION("""COMPUTED_VALUE"""),1649.99)</f>
        <v>1649.99</v>
      </c>
      <c r="G60" s="1177">
        <f>IFERROR(__xludf.DUMMYFUNCTION("""COMPUTED_VALUE"""),0.0)</f>
        <v>0</v>
      </c>
      <c r="H60" s="1174"/>
      <c r="I60" s="1174"/>
      <c r="J60" s="1177">
        <f>IFERROR(__xludf.DUMMYFUNCTION("""COMPUTED_VALUE"""),7799.0)</f>
        <v>7799</v>
      </c>
    </row>
    <row r="61">
      <c r="A61" s="1175">
        <f>IFERROR(__xludf.DUMMYFUNCTION("""COMPUTED_VALUE"""),45881.0)</f>
        <v>45881</v>
      </c>
      <c r="B61" s="1174" t="str">
        <f>IFERROR(__xludf.DUMMYFUNCTION("""COMPUTED_VALUE"""),"A.J-13000305101")</f>
        <v>A.J-13000305101</v>
      </c>
      <c r="C61" s="1174" t="str">
        <f>IFERROR(__xludf.DUMMYFUNCTION("""COMPUTED_VALUE"""),"AGOSTO")</f>
        <v>AGOSTO</v>
      </c>
      <c r="D61" s="1174" t="b">
        <f>IFERROR(__xludf.DUMMYFUNCTION("""COMPUTED_VALUE"""),TRUE)</f>
        <v>1</v>
      </c>
      <c r="E61" s="1174" t="str">
        <f>IFERROR(__xludf.DUMMYFUNCTION("""COMPUTED_VALUE"""),"Laptop")</f>
        <v>Laptop</v>
      </c>
      <c r="F61" s="1176">
        <f>IFERROR(__xludf.DUMMYFUNCTION("""COMPUTED_VALUE"""),2699.99)</f>
        <v>2699.99</v>
      </c>
      <c r="G61" s="1177">
        <f>IFERROR(__xludf.DUMMYFUNCTION("""COMPUTED_VALUE"""),0.0)</f>
        <v>0</v>
      </c>
      <c r="H61" s="1174"/>
      <c r="I61" s="1174"/>
      <c r="J61" s="1177">
        <f>IFERROR(__xludf.DUMMYFUNCTION("""COMPUTED_VALUE"""),11850.0)</f>
        <v>11850</v>
      </c>
    </row>
    <row r="62">
      <c r="A62" s="1175">
        <f>IFERROR(__xludf.DUMMYFUNCTION("""COMPUTED_VALUE"""),45887.0)</f>
        <v>45887</v>
      </c>
      <c r="B62" s="1174" t="str">
        <f>IFERROR(__xludf.DUMMYFUNCTION("""COMPUTED_VALUE"""),"k-e-25-13460-72941")</f>
        <v>k-e-25-13460-72941</v>
      </c>
      <c r="C62" s="1174" t="str">
        <f>IFERROR(__xludf.DUMMYFUNCTION("""COMPUTED_VALUE"""),"AGOSTO")</f>
        <v>AGOSTO</v>
      </c>
      <c r="D62" s="1174" t="b">
        <f>IFERROR(__xludf.DUMMYFUNCTION("""COMPUTED_VALUE"""),TRUE)</f>
        <v>1</v>
      </c>
      <c r="E62" s="1174" t="str">
        <f>IFERROR(__xludf.DUMMYFUNCTION("""COMPUTED_VALUE"""),"Laptop")</f>
        <v>Laptop</v>
      </c>
      <c r="F62" s="1176">
        <f>IFERROR(__xludf.DUMMYFUNCTION("""COMPUTED_VALUE"""),1399.95)</f>
        <v>1399.95</v>
      </c>
      <c r="G62" s="1177">
        <f>IFERROR(__xludf.DUMMYFUNCTION("""COMPUTED_VALUE"""),0.0)</f>
        <v>0</v>
      </c>
      <c r="H62" s="1174"/>
      <c r="I62" s="1174"/>
      <c r="J62" s="1177">
        <f>IFERROR(__xludf.DUMMYFUNCTION("""COMPUTED_VALUE"""),6143.0)</f>
        <v>6143</v>
      </c>
    </row>
    <row r="63">
      <c r="A63" s="1175">
        <f>IFERROR(__xludf.DUMMYFUNCTION("""COMPUTED_VALUE"""),45887.0)</f>
        <v>45887</v>
      </c>
      <c r="B63" s="1174" t="str">
        <f>IFERROR(__xludf.DUMMYFUNCTION("""COMPUTED_VALUE"""),"k-b-BBY01-807080526880")</f>
        <v>k-b-BBY01-807080526880</v>
      </c>
      <c r="C63" s="1174" t="str">
        <f>IFERROR(__xludf.DUMMYFUNCTION("""COMPUTED_VALUE"""),"AGOSTO")</f>
        <v>AGOSTO</v>
      </c>
      <c r="D63" s="1174" t="b">
        <f>IFERROR(__xludf.DUMMYFUNCTION("""COMPUTED_VALUE"""),TRUE)</f>
        <v>1</v>
      </c>
      <c r="E63" s="1174" t="str">
        <f>IFERROR(__xludf.DUMMYFUNCTION("""COMPUTED_VALUE"""),"Laptop")</f>
        <v>Laptop</v>
      </c>
      <c r="F63" s="1176">
        <f>IFERROR(__xludf.DUMMYFUNCTION("""COMPUTED_VALUE"""),1099.99)</f>
        <v>1099.99</v>
      </c>
      <c r="G63" s="1177">
        <f>IFERROR(__xludf.DUMMYFUNCTION("""COMPUTED_VALUE"""),0.0)</f>
        <v>0</v>
      </c>
      <c r="H63" s="1174"/>
      <c r="I63" s="1174"/>
      <c r="J63" s="1177">
        <f>IFERROR(__xludf.DUMMYFUNCTION("""COMPUTED_VALUE"""),5129.0)</f>
        <v>5129</v>
      </c>
    </row>
    <row r="64">
      <c r="A64" s="1175">
        <f>IFERROR(__xludf.DUMMYFUNCTION("""COMPUTED_VALUE"""),45887.0)</f>
        <v>45887</v>
      </c>
      <c r="B64" s="1174" t="str">
        <f>IFERROR(__xludf.DUMMYFUNCTION("""COMPUTED_VALUE"""),"S-BBY01-807078026096")</f>
        <v>S-BBY01-807078026096</v>
      </c>
      <c r="C64" s="1174" t="str">
        <f>IFERROR(__xludf.DUMMYFUNCTION("""COMPUTED_VALUE"""),"AGOSTO")</f>
        <v>AGOSTO</v>
      </c>
      <c r="D64" s="1174" t="b">
        <f>IFERROR(__xludf.DUMMYFUNCTION("""COMPUTED_VALUE"""),TRUE)</f>
        <v>1</v>
      </c>
      <c r="E64" s="1174" t="str">
        <f>IFERROR(__xludf.DUMMYFUNCTION("""COMPUTED_VALUE"""),"Laptop")</f>
        <v>Laptop</v>
      </c>
      <c r="F64" s="1176">
        <f>IFERROR(__xludf.DUMMYFUNCTION("""COMPUTED_VALUE"""),1259.99)</f>
        <v>1259.99</v>
      </c>
      <c r="G64" s="1177">
        <f>IFERROR(__xludf.DUMMYFUNCTION("""COMPUTED_VALUE"""),14.0)</f>
        <v>14</v>
      </c>
      <c r="H64" s="1174"/>
      <c r="I64" s="1174"/>
      <c r="J64" s="1177">
        <f>IFERROR(__xludf.DUMMYFUNCTION("""COMPUTED_VALUE"""),5899.0)</f>
        <v>5899</v>
      </c>
    </row>
    <row r="65">
      <c r="A65" s="1175">
        <f>IFERROR(__xludf.DUMMYFUNCTION("""COMPUTED_VALUE"""),45888.0)</f>
        <v>45888</v>
      </c>
      <c r="B65" s="1174" t="str">
        <f>IFERROR(__xludf.DUMMYFUNCTION("""COMPUTED_VALUE"""),"c-m-171-wp-10157507")</f>
        <v>c-m-171-wp-10157507</v>
      </c>
      <c r="C65" s="1174" t="str">
        <f>IFERROR(__xludf.DUMMYFUNCTION("""COMPUTED_VALUE"""),"AGOSTO")</f>
        <v>AGOSTO</v>
      </c>
      <c r="D65" s="1174" t="b">
        <f>IFERROR(__xludf.DUMMYFUNCTION("""COMPUTED_VALUE"""),TRUE)</f>
        <v>1</v>
      </c>
      <c r="E65" s="1174" t="str">
        <f>IFERROR(__xludf.DUMMYFUNCTION("""COMPUTED_VALUE"""),"Laptop")</f>
        <v>Laptop</v>
      </c>
      <c r="F65" s="1176">
        <f>IFERROR(__xludf.DUMMYFUNCTION("""COMPUTED_VALUE"""),2299.99)</f>
        <v>2299.99</v>
      </c>
      <c r="G65" s="1177">
        <f>IFERROR(__xludf.DUMMYFUNCTION("""COMPUTED_VALUE"""),0.0)</f>
        <v>0</v>
      </c>
      <c r="H65" s="1174"/>
      <c r="I65" s="1174"/>
      <c r="J65" s="1177">
        <f>IFERROR(__xludf.DUMMYFUNCTION("""COMPUTED_VALUE"""),11850.0)</f>
        <v>11850</v>
      </c>
    </row>
    <row r="66">
      <c r="A66" s="1175">
        <f>IFERROR(__xludf.DUMMYFUNCTION("""COMPUTED_VALUE"""),45888.0)</f>
        <v>45888</v>
      </c>
      <c r="B66" s="1174" t="str">
        <f>IFERROR(__xludf.DUMMYFUNCTION("""COMPUTED_VALUE"""),"S-b-BBY01-807076626359")</f>
        <v>S-b-BBY01-807076626359</v>
      </c>
      <c r="C66" s="1174" t="str">
        <f>IFERROR(__xludf.DUMMYFUNCTION("""COMPUTED_VALUE"""),"AGOSTO")</f>
        <v>AGOSTO</v>
      </c>
      <c r="D66" s="1174" t="b">
        <f>IFERROR(__xludf.DUMMYFUNCTION("""COMPUTED_VALUE"""),TRUE)</f>
        <v>1</v>
      </c>
      <c r="E66" s="1174" t="str">
        <f>IFERROR(__xludf.DUMMYFUNCTION("""COMPUTED_VALUE"""),"Laptop")</f>
        <v>Laptop</v>
      </c>
      <c r="F66" s="1176">
        <f>IFERROR(__xludf.DUMMYFUNCTION("""COMPUTED_VALUE"""),1549.99)</f>
        <v>1549.99</v>
      </c>
      <c r="G66" s="1177">
        <f>IFERROR(__xludf.DUMMYFUNCTION("""COMPUTED_VALUE"""),0.0)</f>
        <v>0</v>
      </c>
      <c r="H66" s="1174"/>
      <c r="I66" s="1174"/>
      <c r="J66" s="1177">
        <f>IFERROR(__xludf.DUMMYFUNCTION("""COMPUTED_VALUE"""),7799.0)</f>
        <v>7799</v>
      </c>
    </row>
    <row r="67">
      <c r="A67" s="1175">
        <f>IFERROR(__xludf.DUMMYFUNCTION("""COMPUTED_VALUE"""),45892.0)</f>
        <v>45892</v>
      </c>
      <c r="B67" s="1174" t="str">
        <f>IFERROR(__xludf.DUMMYFUNCTION("""COMPUTED_VALUE"""),"K-a-113-4256336-6486610")</f>
        <v>K-a-113-4256336-6486610</v>
      </c>
      <c r="C67" s="1174" t="str">
        <f>IFERROR(__xludf.DUMMYFUNCTION("""COMPUTED_VALUE"""),"AGOSTO")</f>
        <v>AGOSTO</v>
      </c>
      <c r="D67" s="1174" t="b">
        <f>IFERROR(__xludf.DUMMYFUNCTION("""COMPUTED_VALUE"""),TRUE)</f>
        <v>1</v>
      </c>
      <c r="E67" s="1174" t="str">
        <f>IFERROR(__xludf.DUMMYFUNCTION("""COMPUTED_VALUE"""),"Laptop")</f>
        <v>Laptop</v>
      </c>
      <c r="F67" s="1176">
        <f>IFERROR(__xludf.DUMMYFUNCTION("""COMPUTED_VALUE"""),1649.99)</f>
        <v>1649.99</v>
      </c>
      <c r="G67" s="1177">
        <f>IFERROR(__xludf.DUMMYFUNCTION("""COMPUTED_VALUE"""),0.0)</f>
        <v>0</v>
      </c>
      <c r="H67" s="1174"/>
      <c r="I67" s="1174"/>
      <c r="J67" s="1177">
        <f>IFERROR(__xludf.DUMMYFUNCTION("""COMPUTED_VALUE"""),7749.0)</f>
        <v>7749</v>
      </c>
    </row>
    <row r="68">
      <c r="A68" s="1175">
        <f>IFERROR(__xludf.DUMMYFUNCTION("""COMPUTED_VALUE"""),45892.0)</f>
        <v>45892</v>
      </c>
      <c r="B68" s="1174" t="str">
        <f>IFERROR(__xludf.DUMMYFUNCTION("""COMPUTED_VALUE"""),"S-BBY01-807078088206")</f>
        <v>S-BBY01-807078088206</v>
      </c>
      <c r="C68" s="1174" t="str">
        <f>IFERROR(__xludf.DUMMYFUNCTION("""COMPUTED_VALUE"""),"AGOSTO")</f>
        <v>AGOSTO</v>
      </c>
      <c r="D68" s="1174" t="b">
        <f>IFERROR(__xludf.DUMMYFUNCTION("""COMPUTED_VALUE"""),TRUE)</f>
        <v>1</v>
      </c>
      <c r="E68" s="1174" t="str">
        <f>IFERROR(__xludf.DUMMYFUNCTION("""COMPUTED_VALUE"""),"Laptop")</f>
        <v>Laptop</v>
      </c>
      <c r="F68" s="1176">
        <f>IFERROR(__xludf.DUMMYFUNCTION("""COMPUTED_VALUE"""),1259.99)</f>
        <v>1259.99</v>
      </c>
      <c r="G68" s="1177">
        <f>IFERROR(__xludf.DUMMYFUNCTION("""COMPUTED_VALUE"""),0.0)</f>
        <v>0</v>
      </c>
      <c r="H68" s="1174"/>
      <c r="I68" s="1174"/>
      <c r="J68" s="1177">
        <f>IFERROR(__xludf.DUMMYFUNCTION("""COMPUTED_VALUE"""),5859.0)</f>
        <v>5859</v>
      </c>
    </row>
    <row r="69">
      <c r="A69" s="1175">
        <f>IFERROR(__xludf.DUMMYFUNCTION("""COMPUTED_VALUE"""),45894.0)</f>
        <v>45894</v>
      </c>
      <c r="B69" s="1174" t="str">
        <f>IFERROR(__xludf.DUMMYFUNCTION("""COMPUTED_VALUE"""),"g-1215792590")</f>
        <v>g-1215792590</v>
      </c>
      <c r="C69" s="1174" t="str">
        <f>IFERROR(__xludf.DUMMYFUNCTION("""COMPUTED_VALUE"""),"AGOSTO")</f>
        <v>AGOSTO</v>
      </c>
      <c r="D69" s="1174" t="b">
        <f>IFERROR(__xludf.DUMMYFUNCTION("""COMPUTED_VALUE"""),TRUE)</f>
        <v>1</v>
      </c>
      <c r="E69" s="1174" t="str">
        <f>IFERROR(__xludf.DUMMYFUNCTION("""COMPUTED_VALUE"""),"Laptop")</f>
        <v>Laptop</v>
      </c>
      <c r="F69" s="1176">
        <f>IFERROR(__xludf.DUMMYFUNCTION("""COMPUTED_VALUE"""),1599.99)</f>
        <v>1599.99</v>
      </c>
      <c r="G69" s="1177">
        <f>IFERROR(__xludf.DUMMYFUNCTION("""COMPUTED_VALUE"""),0.0)</f>
        <v>0</v>
      </c>
      <c r="H69" s="1174"/>
      <c r="I69" s="1174"/>
      <c r="J69" s="1177">
        <f>IFERROR(__xludf.DUMMYFUNCTION("""COMPUTED_VALUE"""),8650.0)</f>
        <v>8650</v>
      </c>
    </row>
    <row r="70">
      <c r="A70" s="1175">
        <f>IFERROR(__xludf.DUMMYFUNCTION("""COMPUTED_VALUE"""),45895.0)</f>
        <v>45895</v>
      </c>
      <c r="B70" s="1174" t="str">
        <f>IFERROR(__xludf.DUMMYFUNCTION("""COMPUTED_VALUE"""),"S-e-18-13394-30721")</f>
        <v>S-e-18-13394-30721</v>
      </c>
      <c r="C70" s="1174" t="str">
        <f>IFERROR(__xludf.DUMMYFUNCTION("""COMPUTED_VALUE"""),"AGOSTO")</f>
        <v>AGOSTO</v>
      </c>
      <c r="D70" s="1174" t="b">
        <f>IFERROR(__xludf.DUMMYFUNCTION("""COMPUTED_VALUE"""),TRUE)</f>
        <v>1</v>
      </c>
      <c r="E70" s="1174" t="str">
        <f>IFERROR(__xludf.DUMMYFUNCTION("""COMPUTED_VALUE"""),"Laptop")</f>
        <v>Laptop</v>
      </c>
      <c r="F70" s="1176">
        <f>IFERROR(__xludf.DUMMYFUNCTION("""COMPUTED_VALUE"""),1349.99)</f>
        <v>1349.99</v>
      </c>
      <c r="G70" s="1177">
        <f>IFERROR(__xludf.DUMMYFUNCTION("""COMPUTED_VALUE"""),17.0)</f>
        <v>17</v>
      </c>
      <c r="H70" s="1174"/>
      <c r="I70" s="1174"/>
      <c r="J70" s="1177">
        <f>IFERROR(__xludf.DUMMYFUNCTION("""COMPUTED_VALUE"""),5990.0)</f>
        <v>5990</v>
      </c>
    </row>
    <row r="71">
      <c r="A71" s="1175">
        <f>IFERROR(__xludf.DUMMYFUNCTION("""COMPUTED_VALUE"""),45897.0)</f>
        <v>45897</v>
      </c>
      <c r="B71" s="1174" t="str">
        <f>IFERROR(__xludf.DUMMYFUNCTION("""COMPUTED_VALUE"""),"k-e-18-13501-19122")</f>
        <v>k-e-18-13501-19122</v>
      </c>
      <c r="C71" s="1174" t="str">
        <f>IFERROR(__xludf.DUMMYFUNCTION("""COMPUTED_VALUE"""),"AGOSTO")</f>
        <v>AGOSTO</v>
      </c>
      <c r="D71" s="1174" t="b">
        <f>IFERROR(__xludf.DUMMYFUNCTION("""COMPUTED_VALUE"""),TRUE)</f>
        <v>1</v>
      </c>
      <c r="E71" s="1174" t="str">
        <f>IFERROR(__xludf.DUMMYFUNCTION("""COMPUTED_VALUE"""),"Laptop")</f>
        <v>Laptop</v>
      </c>
      <c r="F71" s="1176">
        <f>IFERROR(__xludf.DUMMYFUNCTION("""COMPUTED_VALUE"""),1099.99)</f>
        <v>1099.99</v>
      </c>
      <c r="G71" s="1177">
        <f>IFERROR(__xludf.DUMMYFUNCTION("""COMPUTED_VALUE"""),0.0)</f>
        <v>0</v>
      </c>
      <c r="H71" s="1174"/>
      <c r="I71" s="1174"/>
      <c r="J71" s="1177">
        <f>IFERROR(__xludf.DUMMYFUNCTION("""COMPUTED_VALUE"""),4999.0)</f>
        <v>4999</v>
      </c>
    </row>
    <row r="72">
      <c r="A72" s="1175">
        <f>IFERROR(__xludf.DUMMYFUNCTION("""COMPUTED_VALUE"""),45898.0)</f>
        <v>45898</v>
      </c>
      <c r="B72" s="1174" t="str">
        <f>IFERROR(__xludf.DUMMYFUNCTION("""COMPUTED_VALUE"""),"k-a-113-9974029-5236227")</f>
        <v>k-a-113-9974029-5236227</v>
      </c>
      <c r="C72" s="1174" t="str">
        <f>IFERROR(__xludf.DUMMYFUNCTION("""COMPUTED_VALUE"""),"SETIEMBRE")</f>
        <v>SETIEMBRE</v>
      </c>
      <c r="D72" s="1174" t="b">
        <f>IFERROR(__xludf.DUMMYFUNCTION("""COMPUTED_VALUE"""),TRUE)</f>
        <v>1</v>
      </c>
      <c r="E72" s="1174" t="str">
        <f>IFERROR(__xludf.DUMMYFUNCTION("""COMPUTED_VALUE"""),"Laptop")</f>
        <v>Laptop</v>
      </c>
      <c r="F72" s="1176">
        <f>IFERROR(__xludf.DUMMYFUNCTION("""COMPUTED_VALUE"""),1499.99)</f>
        <v>1499.99</v>
      </c>
      <c r="G72" s="1177">
        <f>IFERROR(__xludf.DUMMYFUNCTION("""COMPUTED_VALUE"""),0.0)</f>
        <v>0</v>
      </c>
      <c r="H72" s="1174"/>
      <c r="I72" s="1174"/>
      <c r="J72" s="1177">
        <f>IFERROR(__xludf.DUMMYFUNCTION("""COMPUTED_VALUE"""),6599.0)</f>
        <v>6599</v>
      </c>
    </row>
    <row r="73">
      <c r="A73" s="1175">
        <f>IFERROR(__xludf.DUMMYFUNCTION("""COMPUTED_VALUE"""),45898.0)</f>
        <v>45898</v>
      </c>
      <c r="B73" s="1174" t="str">
        <f>IFERROR(__xludf.DUMMYFUNCTION("""COMPUTED_VALUE"""),"G-C-1220787134")</f>
        <v>G-C-1220787134</v>
      </c>
      <c r="C73" s="1174" t="str">
        <f>IFERROR(__xludf.DUMMYFUNCTION("""COMPUTED_VALUE"""),"SETIEMBRE")</f>
        <v>SETIEMBRE</v>
      </c>
      <c r="D73" s="1174" t="b">
        <f>IFERROR(__xludf.DUMMYFUNCTION("""COMPUTED_VALUE"""),TRUE)</f>
        <v>1</v>
      </c>
      <c r="E73" s="1174" t="str">
        <f>IFERROR(__xludf.DUMMYFUNCTION("""COMPUTED_VALUE"""),"Laptop")</f>
        <v>Laptop</v>
      </c>
      <c r="F73" s="1176">
        <f>IFERROR(__xludf.DUMMYFUNCTION("""COMPUTED_VALUE"""),1299.99)</f>
        <v>1299.99</v>
      </c>
      <c r="G73" s="1177">
        <f>IFERROR(__xludf.DUMMYFUNCTION("""COMPUTED_VALUE"""),0.0)</f>
        <v>0</v>
      </c>
      <c r="H73" s="1174"/>
      <c r="I73" s="1174"/>
      <c r="J73" s="1177">
        <f>IFERROR(__xludf.DUMMYFUNCTION("""COMPUTED_VALUE"""),7360.0)</f>
        <v>7360</v>
      </c>
    </row>
    <row r="74">
      <c r="A74" s="1175">
        <f>IFERROR(__xludf.DUMMYFUNCTION("""COMPUTED_VALUE"""),45902.0)</f>
        <v>45902</v>
      </c>
      <c r="B74" s="1174" t="str">
        <f>IFERROR(__xludf.DUMMYFUNCTION("""COMPUTED_VALUE"""),"k-a-113-0367359-0719456")</f>
        <v>k-a-113-0367359-0719456</v>
      </c>
      <c r="C74" s="1174" t="str">
        <f>IFERROR(__xludf.DUMMYFUNCTION("""COMPUTED_VALUE"""),"SETIEMBRE")</f>
        <v>SETIEMBRE</v>
      </c>
      <c r="D74" s="1174" t="b">
        <f>IFERROR(__xludf.DUMMYFUNCTION("""COMPUTED_VALUE"""),TRUE)</f>
        <v>1</v>
      </c>
      <c r="E74" s="1174" t="str">
        <f>IFERROR(__xludf.DUMMYFUNCTION("""COMPUTED_VALUE"""),"Laptop")</f>
        <v>Laptop</v>
      </c>
      <c r="F74" s="1176">
        <f>IFERROR(__xludf.DUMMYFUNCTION("""COMPUTED_VALUE"""),1274.99)</f>
        <v>1274.99</v>
      </c>
      <c r="G74" s="1177">
        <f>IFERROR(__xludf.DUMMYFUNCTION("""COMPUTED_VALUE"""),5.0)</f>
        <v>5</v>
      </c>
      <c r="H74" s="1174"/>
      <c r="I74" s="1174"/>
      <c r="J74" s="1177">
        <f>IFERROR(__xludf.DUMMYFUNCTION("""COMPUTED_VALUE"""),5799.0)</f>
        <v>5799</v>
      </c>
    </row>
    <row r="75">
      <c r="A75" s="1175">
        <f>IFERROR(__xludf.DUMMYFUNCTION("""COMPUTED_VALUE"""),45902.0)</f>
        <v>45902</v>
      </c>
      <c r="B75" s="1174" t="str">
        <f>IFERROR(__xludf.DUMMYFUNCTION("""COMPUTED_VALUE"""),"s-e-25-13477-06883")</f>
        <v>s-e-25-13477-06883</v>
      </c>
      <c r="C75" s="1174" t="str">
        <f>IFERROR(__xludf.DUMMYFUNCTION("""COMPUTED_VALUE"""),"SETIEMBRE")</f>
        <v>SETIEMBRE</v>
      </c>
      <c r="D75" s="1174" t="b">
        <f>IFERROR(__xludf.DUMMYFUNCTION("""COMPUTED_VALUE"""),TRUE)</f>
        <v>1</v>
      </c>
      <c r="E75" s="1174" t="str">
        <f>IFERROR(__xludf.DUMMYFUNCTION("""COMPUTED_VALUE"""),"Laptop")</f>
        <v>Laptop</v>
      </c>
      <c r="F75" s="1176">
        <f>IFERROR(__xludf.DUMMYFUNCTION("""COMPUTED_VALUE"""),1149.99)</f>
        <v>1149.99</v>
      </c>
      <c r="G75" s="1177">
        <f>IFERROR(__xludf.DUMMYFUNCTION("""COMPUTED_VALUE"""),5.0)</f>
        <v>5</v>
      </c>
      <c r="H75" s="1174"/>
      <c r="I75" s="1174"/>
      <c r="J75" s="1177">
        <f>IFERROR(__xludf.DUMMYFUNCTION("""COMPUTED_VALUE"""),5699.0)</f>
        <v>5699</v>
      </c>
    </row>
    <row r="76">
      <c r="A76" s="1175">
        <f>IFERROR(__xludf.DUMMYFUNCTION("""COMPUTED_VALUE"""),45902.0)</f>
        <v>45902</v>
      </c>
      <c r="B76" s="1174" t="str">
        <f>IFERROR(__xludf.DUMMYFUNCTION("""COMPUTED_VALUE"""),"s-BBY01-807082278935")</f>
        <v>s-BBY01-807082278935</v>
      </c>
      <c r="C76" s="1174" t="str">
        <f>IFERROR(__xludf.DUMMYFUNCTION("""COMPUTED_VALUE"""),"SETIEMBRE")</f>
        <v>SETIEMBRE</v>
      </c>
      <c r="D76" s="1174" t="b">
        <f>IFERROR(__xludf.DUMMYFUNCTION("""COMPUTED_VALUE"""),TRUE)</f>
        <v>1</v>
      </c>
      <c r="E76" s="1174" t="str">
        <f>IFERROR(__xludf.DUMMYFUNCTION("""COMPUTED_VALUE"""),"Laptop")</f>
        <v>Laptop</v>
      </c>
      <c r="F76" s="1176">
        <f>IFERROR(__xludf.DUMMYFUNCTION("""COMPUTED_VALUE"""),1599.99)</f>
        <v>1599.99</v>
      </c>
      <c r="G76" s="1177">
        <f>IFERROR(__xludf.DUMMYFUNCTION("""COMPUTED_VALUE"""),0.0)</f>
        <v>0</v>
      </c>
      <c r="H76" s="1174"/>
      <c r="I76" s="1174"/>
      <c r="J76" s="1177">
        <f>IFERROR(__xludf.DUMMYFUNCTION("""COMPUTED_VALUE"""),8199.0)</f>
        <v>8199</v>
      </c>
    </row>
    <row r="77">
      <c r="A77" s="1175">
        <f>IFERROR(__xludf.DUMMYFUNCTION("""COMPUTED_VALUE"""),45903.0)</f>
        <v>45903</v>
      </c>
      <c r="B77" s="1174" t="str">
        <f>IFERROR(__xludf.DUMMYFUNCTION("""COMPUTED_VALUE"""),"k-a-113-5806333-2752239")</f>
        <v>k-a-113-5806333-2752239</v>
      </c>
      <c r="C77" s="1174" t="str">
        <f>IFERROR(__xludf.DUMMYFUNCTION("""COMPUTED_VALUE"""),"SETIEMBRE")</f>
        <v>SETIEMBRE</v>
      </c>
      <c r="D77" s="1174" t="b">
        <f>IFERROR(__xludf.DUMMYFUNCTION("""COMPUTED_VALUE"""),TRUE)</f>
        <v>1</v>
      </c>
      <c r="E77" s="1174" t="str">
        <f>IFERROR(__xludf.DUMMYFUNCTION("""COMPUTED_VALUE"""),"Laptop")</f>
        <v>Laptop</v>
      </c>
      <c r="F77" s="1176">
        <f>IFERROR(__xludf.DUMMYFUNCTION("""COMPUTED_VALUE"""),2159.99)</f>
        <v>2159.99</v>
      </c>
      <c r="G77" s="1177">
        <f>IFERROR(__xludf.DUMMYFUNCTION("""COMPUTED_VALUE"""),0.0)</f>
        <v>0</v>
      </c>
      <c r="H77" s="1174"/>
      <c r="I77" s="1174"/>
      <c r="J77" s="1177">
        <f>IFERROR(__xludf.DUMMYFUNCTION("""COMPUTED_VALUE"""),9899.0)</f>
        <v>9899</v>
      </c>
    </row>
    <row r="78">
      <c r="A78" s="1175">
        <f>IFERROR(__xludf.DUMMYFUNCTION("""COMPUTED_VALUE"""),45906.0)</f>
        <v>45906</v>
      </c>
      <c r="B78" s="1174" t="str">
        <f>IFERROR(__xludf.DUMMYFUNCTION("""COMPUTED_VALUE"""),"s-BBY01-807082285216")</f>
        <v>s-BBY01-807082285216</v>
      </c>
      <c r="C78" s="1174" t="str">
        <f>IFERROR(__xludf.DUMMYFUNCTION("""COMPUTED_VALUE"""),"SETIEMBRE")</f>
        <v>SETIEMBRE</v>
      </c>
      <c r="D78" s="1174" t="b">
        <f>IFERROR(__xludf.DUMMYFUNCTION("""COMPUTED_VALUE"""),TRUE)</f>
        <v>1</v>
      </c>
      <c r="E78" s="1174" t="str">
        <f>IFERROR(__xludf.DUMMYFUNCTION("""COMPUTED_VALUE"""),"Laptop")</f>
        <v>Laptop</v>
      </c>
      <c r="F78" s="1176">
        <f>IFERROR(__xludf.DUMMYFUNCTION("""COMPUTED_VALUE"""),1599.99)</f>
        <v>1599.99</v>
      </c>
      <c r="G78" s="1177">
        <f>IFERROR(__xludf.DUMMYFUNCTION("""COMPUTED_VALUE"""),0.0)</f>
        <v>0</v>
      </c>
      <c r="H78" s="1174"/>
      <c r="I78" s="1174"/>
      <c r="J78" s="1177">
        <f>IFERROR(__xludf.DUMMYFUNCTION("""COMPUTED_VALUE"""),8199.0)</f>
        <v>8199</v>
      </c>
    </row>
    <row r="79">
      <c r="A79" s="1175">
        <f>IFERROR(__xludf.DUMMYFUNCTION("""COMPUTED_VALUE"""),45917.0)</f>
        <v>45917</v>
      </c>
      <c r="B79" s="1174" t="str">
        <f>IFERROR(__xludf.DUMMYFUNCTION("""COMPUTED_VALUE"""),"K-B-BBY01-807088131572")</f>
        <v>K-B-BBY01-807088131572</v>
      </c>
      <c r="C79" s="1174" t="str">
        <f>IFERROR(__xludf.DUMMYFUNCTION("""COMPUTED_VALUE"""),"SETIEMBRE")</f>
        <v>SETIEMBRE</v>
      </c>
      <c r="D79" s="1174" t="b">
        <f>IFERROR(__xludf.DUMMYFUNCTION("""COMPUTED_VALUE"""),TRUE)</f>
        <v>1</v>
      </c>
      <c r="E79" s="1174" t="str">
        <f>IFERROR(__xludf.DUMMYFUNCTION("""COMPUTED_VALUE"""),"Laptop")</f>
        <v>Laptop</v>
      </c>
      <c r="F79" s="1176">
        <f>IFERROR(__xludf.DUMMYFUNCTION("""COMPUTED_VALUE"""),1499.99)</f>
        <v>1499.99</v>
      </c>
      <c r="G79" s="1177">
        <f>IFERROR(__xludf.DUMMYFUNCTION("""COMPUTED_VALUE"""),0.0)</f>
        <v>0</v>
      </c>
      <c r="H79" s="1174"/>
      <c r="I79" s="1174"/>
      <c r="J79" s="1177">
        <f>IFERROR(__xludf.DUMMYFUNCTION("""COMPUTED_VALUE"""),6950.0)</f>
        <v>6950</v>
      </c>
    </row>
    <row r="80">
      <c r="A80" s="1175">
        <f>IFERROR(__xludf.DUMMYFUNCTION("""COMPUTED_VALUE"""),45920.0)</f>
        <v>45920</v>
      </c>
      <c r="B80" s="1174" t="str">
        <f>IFERROR(__xludf.DUMMYFUNCTION("""COMPUTED_VALUE"""),"k-e-06-13609-31531")</f>
        <v>k-e-06-13609-31531</v>
      </c>
      <c r="C80" s="1174" t="str">
        <f>IFERROR(__xludf.DUMMYFUNCTION("""COMPUTED_VALUE"""),"SETIEMBRE")</f>
        <v>SETIEMBRE</v>
      </c>
      <c r="D80" s="1174" t="b">
        <f>IFERROR(__xludf.DUMMYFUNCTION("""COMPUTED_VALUE"""),TRUE)</f>
        <v>1</v>
      </c>
      <c r="E80" s="1174" t="str">
        <f>IFERROR(__xludf.DUMMYFUNCTION("""COMPUTED_VALUE"""),"Laptop")</f>
        <v>Laptop</v>
      </c>
      <c r="F80" s="1176">
        <f>IFERROR(__xludf.DUMMYFUNCTION("""COMPUTED_VALUE"""),1349.99)</f>
        <v>1349.99</v>
      </c>
      <c r="G80" s="1177">
        <f>IFERROR(__xludf.DUMMYFUNCTION("""COMPUTED_VALUE"""),10.0)</f>
        <v>10</v>
      </c>
      <c r="H80" s="1174"/>
      <c r="I80" s="1174"/>
      <c r="J80" s="1177">
        <f>IFERROR(__xludf.DUMMYFUNCTION("""COMPUTED_VALUE"""),6299.0)</f>
        <v>6299</v>
      </c>
    </row>
    <row r="81">
      <c r="A81" s="1175">
        <f>IFERROR(__xludf.DUMMYFUNCTION("""COMPUTED_VALUE"""),45923.0)</f>
        <v>45923</v>
      </c>
      <c r="B81" s="1174" t="str">
        <f>IFERROR(__xludf.DUMMYFUNCTION("""COMPUTED_VALUE"""),"k-BBY01-807083160312")</f>
        <v>k-BBY01-807083160312</v>
      </c>
      <c r="C81" s="1174" t="str">
        <f>IFERROR(__xludf.DUMMYFUNCTION("""COMPUTED_VALUE"""),"SETIEMBRE")</f>
        <v>SETIEMBRE</v>
      </c>
      <c r="D81" s="1174" t="b">
        <f>IFERROR(__xludf.DUMMYFUNCTION("""COMPUTED_VALUE"""),TRUE)</f>
        <v>1</v>
      </c>
      <c r="E81" s="1174" t="str">
        <f>IFERROR(__xludf.DUMMYFUNCTION("""COMPUTED_VALUE"""),"Laptop")</f>
        <v>Laptop</v>
      </c>
      <c r="F81" s="1176">
        <f>IFERROR(__xludf.DUMMYFUNCTION("""COMPUTED_VALUE"""),1149.99)</f>
        <v>1149.99</v>
      </c>
      <c r="G81" s="1177">
        <f>IFERROR(__xludf.DUMMYFUNCTION("""COMPUTED_VALUE"""),0.0)</f>
        <v>0</v>
      </c>
      <c r="H81" s="1174"/>
      <c r="I81" s="1174"/>
      <c r="J81" s="1177">
        <f>IFERROR(__xludf.DUMMYFUNCTION("""COMPUTED_VALUE"""),6048.0)</f>
        <v>6048</v>
      </c>
    </row>
    <row r="82">
      <c r="A82" s="1175">
        <f>IFERROR(__xludf.DUMMYFUNCTION("""COMPUTED_VALUE"""),45924.0)</f>
        <v>45924</v>
      </c>
      <c r="B82" s="1174" t="str">
        <f>IFERROR(__xludf.DUMMYFUNCTION("""COMPUTED_VALUE"""),"L-C-180925")</f>
        <v>L-C-180925</v>
      </c>
      <c r="C82" s="1174" t="str">
        <f>IFERROR(__xludf.DUMMYFUNCTION("""COMPUTED_VALUE"""),"SETIEMBRE")</f>
        <v>SETIEMBRE</v>
      </c>
      <c r="D82" s="1174" t="b">
        <f>IFERROR(__xludf.DUMMYFUNCTION("""COMPUTED_VALUE"""),TRUE)</f>
        <v>1</v>
      </c>
      <c r="E82" s="1174" t="str">
        <f>IFERROR(__xludf.DUMMYFUNCTION("""COMPUTED_VALUE"""),"Laptop")</f>
        <v>Laptop</v>
      </c>
      <c r="F82" s="1176">
        <f>IFERROR(__xludf.DUMMYFUNCTION("""COMPUTED_VALUE"""),1299.99)</f>
        <v>1299.99</v>
      </c>
      <c r="G82" s="1177">
        <f>IFERROR(__xludf.DUMMYFUNCTION("""COMPUTED_VALUE"""),0.0)</f>
        <v>0</v>
      </c>
      <c r="H82" s="1174"/>
      <c r="I82" s="1174"/>
      <c r="J82" s="1177">
        <f>IFERROR(__xludf.DUMMYFUNCTION("""COMPUTED_VALUE"""),6699.0)</f>
        <v>6699</v>
      </c>
    </row>
    <row r="83">
      <c r="A83" s="1175">
        <f>IFERROR(__xludf.DUMMYFUNCTION("""COMPUTED_VALUE"""),45924.0)</f>
        <v>45924</v>
      </c>
      <c r="B83" s="1174" t="str">
        <f>IFERROR(__xludf.DUMMYFUNCTION("""COMPUTED_VALUE"""),"s-BBY01-807083142110")</f>
        <v>s-BBY01-807083142110</v>
      </c>
      <c r="C83" s="1174" t="str">
        <f>IFERROR(__xludf.DUMMYFUNCTION("""COMPUTED_VALUE"""),"SETIEMBRE")</f>
        <v>SETIEMBRE</v>
      </c>
      <c r="D83" s="1174" t="b">
        <f>IFERROR(__xludf.DUMMYFUNCTION("""COMPUTED_VALUE"""),TRUE)</f>
        <v>1</v>
      </c>
      <c r="E83" s="1174" t="str">
        <f>IFERROR(__xludf.DUMMYFUNCTION("""COMPUTED_VALUE"""),"Laptop")</f>
        <v>Laptop</v>
      </c>
      <c r="F83" s="1176">
        <f>IFERROR(__xludf.DUMMYFUNCTION("""COMPUTED_VALUE"""),1149.99)</f>
        <v>1149.99</v>
      </c>
      <c r="G83" s="1177">
        <f>IFERROR(__xludf.DUMMYFUNCTION("""COMPUTED_VALUE"""),0.0)</f>
        <v>0</v>
      </c>
      <c r="H83" s="1174"/>
      <c r="I83" s="1174"/>
      <c r="J83" s="1177">
        <f>IFERROR(__xludf.DUMMYFUNCTION("""COMPUTED_VALUE"""),5699.0)</f>
        <v>5699</v>
      </c>
    </row>
    <row r="84">
      <c r="A84" s="1175">
        <f>IFERROR(__xludf.DUMMYFUNCTION("""COMPUTED_VALUE"""),45927.0)</f>
        <v>45927</v>
      </c>
      <c r="B84" s="1174" t="str">
        <f>IFERROR(__xludf.DUMMYFUNCTION("""COMPUTED_VALUE"""),"s-BBY01-807082272237")</f>
        <v>s-BBY01-807082272237</v>
      </c>
      <c r="C84" s="1174" t="str">
        <f>IFERROR(__xludf.DUMMYFUNCTION("""COMPUTED_VALUE"""),"SETIEMBRE")</f>
        <v>SETIEMBRE</v>
      </c>
      <c r="D84" s="1174" t="b">
        <f>IFERROR(__xludf.DUMMYFUNCTION("""COMPUTED_VALUE"""),TRUE)</f>
        <v>1</v>
      </c>
      <c r="E84" s="1174" t="str">
        <f>IFERROR(__xludf.DUMMYFUNCTION("""COMPUTED_VALUE"""),"Laptop")</f>
        <v>Laptop</v>
      </c>
      <c r="F84" s="1176">
        <f>IFERROR(__xludf.DUMMYFUNCTION("""COMPUTED_VALUE"""),1599.99)</f>
        <v>1599.99</v>
      </c>
      <c r="G84" s="1177">
        <f>IFERROR(__xludf.DUMMYFUNCTION("""COMPUTED_VALUE"""),0.0)</f>
        <v>0</v>
      </c>
      <c r="H84" s="1174"/>
      <c r="I84" s="1174"/>
      <c r="J84" s="1177">
        <f>IFERROR(__xludf.DUMMYFUNCTION("""COMPUTED_VALUE"""),8099.0)</f>
        <v>8099</v>
      </c>
    </row>
    <row r="85">
      <c r="A85" s="1175">
        <f>IFERROR(__xludf.DUMMYFUNCTION("""COMPUTED_VALUE"""),45927.0)</f>
        <v>45927</v>
      </c>
      <c r="B85" s="1174" t="str">
        <f>IFERROR(__xludf.DUMMYFUNCTION("""COMPUTED_VALUE"""),"J-M-19879396")</f>
        <v>J-M-19879396</v>
      </c>
      <c r="C85" s="1174" t="str">
        <f>IFERROR(__xludf.DUMMYFUNCTION("""COMPUTED_VALUE"""),"SETIEMBRE")</f>
        <v>SETIEMBRE</v>
      </c>
      <c r="D85" s="1174" t="b">
        <f>IFERROR(__xludf.DUMMYFUNCTION("""COMPUTED_VALUE"""),TRUE)</f>
        <v>1</v>
      </c>
      <c r="E85" s="1174" t="str">
        <f>IFERROR(__xludf.DUMMYFUNCTION("""COMPUTED_VALUE"""),"Laptop")</f>
        <v>Laptop</v>
      </c>
      <c r="F85" s="1176">
        <f>IFERROR(__xludf.DUMMYFUNCTION("""COMPUTED_VALUE"""),1699.99)</f>
        <v>1699.99</v>
      </c>
      <c r="G85" s="1177">
        <f>IFERROR(__xludf.DUMMYFUNCTION("""COMPUTED_VALUE"""),0.0)</f>
        <v>0</v>
      </c>
      <c r="H85" s="1174"/>
      <c r="I85" s="1174"/>
      <c r="J85" s="1177">
        <f>IFERROR(__xludf.DUMMYFUNCTION("""COMPUTED_VALUE"""),8479.0)</f>
        <v>8479</v>
      </c>
    </row>
    <row r="86">
      <c r="A86" s="1175"/>
      <c r="B86" s="1174" t="str">
        <f>IFERROR(__xludf.DUMMYFUNCTION("""COMPUTED_VALUE"""),"k-a-113-4121484-6871427")</f>
        <v>k-a-113-4121484-6871427</v>
      </c>
      <c r="C86" s="1174" t="str">
        <f>IFERROR(__xludf.DUMMYFUNCTION("""COMPUTED_VALUE"""),"SETIEMBRE")</f>
        <v>SETIEMBRE</v>
      </c>
      <c r="D86" s="1174" t="b">
        <f>IFERROR(__xludf.DUMMYFUNCTION("""COMPUTED_VALUE"""),TRUE)</f>
        <v>1</v>
      </c>
      <c r="E86" s="1174" t="str">
        <f>IFERROR(__xludf.DUMMYFUNCTION("""COMPUTED_VALUE"""),"Laptop")</f>
        <v>Laptop</v>
      </c>
      <c r="F86" s="1176"/>
      <c r="G86" s="1177">
        <f>IFERROR(__xludf.DUMMYFUNCTION("""COMPUTED_VALUE"""),0.0)</f>
        <v>0</v>
      </c>
      <c r="H86" s="1174"/>
      <c r="I86" s="1174"/>
      <c r="J86" s="1177">
        <f>IFERROR(__xludf.DUMMYFUNCTION("""COMPUTED_VALUE"""),9699.0)</f>
        <v>9699</v>
      </c>
    </row>
    <row r="87">
      <c r="A87" s="1175">
        <f>IFERROR(__xludf.DUMMYFUNCTION("""COMPUTED_VALUE"""),45930.0)</f>
        <v>45930</v>
      </c>
      <c r="B87" s="1174" t="str">
        <f>IFERROR(__xludf.DUMMYFUNCTION("""COMPUTED_VALUE"""),"L-M-20030550")</f>
        <v>L-M-20030550</v>
      </c>
      <c r="C87" s="1174" t="str">
        <f>IFERROR(__xludf.DUMMYFUNCTION("""COMPUTED_VALUE"""),"SETIEMBRE")</f>
        <v>SETIEMBRE</v>
      </c>
      <c r="D87" s="1174" t="b">
        <f>IFERROR(__xludf.DUMMYFUNCTION("""COMPUTED_VALUE"""),TRUE)</f>
        <v>1</v>
      </c>
      <c r="E87" s="1174" t="str">
        <f>IFERROR(__xludf.DUMMYFUNCTION("""COMPUTED_VALUE"""),"Laptop")</f>
        <v>Laptop</v>
      </c>
      <c r="F87" s="1176">
        <f>IFERROR(__xludf.DUMMYFUNCTION("""COMPUTED_VALUE"""),3499.99)</f>
        <v>3499.99</v>
      </c>
      <c r="G87" s="1177">
        <f>IFERROR(__xludf.DUMMYFUNCTION("""COMPUTED_VALUE"""),0.0)</f>
        <v>0</v>
      </c>
      <c r="H87" s="1174"/>
      <c r="I87" s="1174"/>
      <c r="J87" s="1177">
        <f>IFERROR(__xludf.DUMMYFUNCTION("""COMPUTED_VALUE"""),15984.0)</f>
        <v>15984</v>
      </c>
    </row>
    <row r="88">
      <c r="A88" s="1175">
        <f>IFERROR(__xludf.DUMMYFUNCTION("""COMPUTED_VALUE"""),45930.0)</f>
        <v>45930</v>
      </c>
      <c r="B88" s="1174" t="str">
        <f>IFERROR(__xludf.DUMMYFUNCTION("""COMPUTED_VALUE"""),"L-M-20030555")</f>
        <v>L-M-20030555</v>
      </c>
      <c r="C88" s="1174" t="str">
        <f>IFERROR(__xludf.DUMMYFUNCTION("""COMPUTED_VALUE"""),"SETIEMBRE")</f>
        <v>SETIEMBRE</v>
      </c>
      <c r="D88" s="1174" t="b">
        <f>IFERROR(__xludf.DUMMYFUNCTION("""COMPUTED_VALUE"""),TRUE)</f>
        <v>1</v>
      </c>
      <c r="E88" s="1174" t="str">
        <f>IFERROR(__xludf.DUMMYFUNCTION("""COMPUTED_VALUE"""),"Otro")</f>
        <v>Otro</v>
      </c>
      <c r="F88" s="1176">
        <f>IFERROR(__xludf.DUMMYFUNCTION("""COMPUTED_VALUE"""),69.99)</f>
        <v>69.99</v>
      </c>
      <c r="G88" s="1177">
        <f>IFERROR(__xludf.DUMMYFUNCTION("""COMPUTED_VALUE"""),0.0)</f>
        <v>0</v>
      </c>
      <c r="H88" s="1174"/>
      <c r="I88" s="1174"/>
      <c r="J88" s="1177">
        <f>IFERROR(__xludf.DUMMYFUNCTION("""COMPUTED_VALUE"""),374.0)</f>
        <v>374</v>
      </c>
    </row>
    <row r="89">
      <c r="A89" s="1175">
        <f>IFERROR(__xludf.DUMMYFUNCTION("""COMPUTED_VALUE"""),45959.0)</f>
        <v>45959</v>
      </c>
      <c r="B89" s="1174" t="str">
        <f>IFERROR(__xludf.DUMMYFUNCTION("""COMPUTED_VALUE"""),"yo-eb-03-13790-05208")</f>
        <v>yo-eb-03-13790-05208</v>
      </c>
      <c r="C89" s="1174" t="str">
        <f>IFERROR(__xludf.DUMMYFUNCTION("""COMPUTED_VALUE"""),"NOVIEMBRE")</f>
        <v>NOVIEMBRE</v>
      </c>
      <c r="D89" s="1174" t="b">
        <f>IFERROR(__xludf.DUMMYFUNCTION("""COMPUTED_VALUE"""),TRUE)</f>
        <v>1</v>
      </c>
      <c r="E89" s="1174" t="str">
        <f>IFERROR(__xludf.DUMMYFUNCTION("""COMPUTED_VALUE"""),"Laptop")</f>
        <v>Laptop</v>
      </c>
      <c r="F89" s="1176">
        <f>IFERROR(__xludf.DUMMYFUNCTION("""COMPUTED_VALUE"""),1599.99)</f>
        <v>1599.99</v>
      </c>
      <c r="G89" s="1177">
        <f>IFERROR(__xludf.DUMMYFUNCTION("""COMPUTED_VALUE"""),50.210000000000036)</f>
        <v>50.21</v>
      </c>
      <c r="H89" s="1174" t="b">
        <f>IFERROR(__xludf.DUMMYFUNCTION("""COMPUTED_VALUE"""),FALSE)</f>
        <v>0</v>
      </c>
      <c r="I89" s="1174" t="str">
        <f>IFERROR(__xludf.DUMMYFUNCTION("""COMPUTED_VALUE"""),"NOVIEMBRE")</f>
        <v>NOVIEMBRE</v>
      </c>
      <c r="J89" s="1177">
        <f>IFERROR(__xludf.DUMMYFUNCTION("""COMPUTED_VALUE"""),7146.0)</f>
        <v>7146</v>
      </c>
    </row>
    <row r="90">
      <c r="A90" s="1175">
        <f>IFERROR(__xludf.DUMMYFUNCTION("""COMPUTED_VALUE"""),45931.0)</f>
        <v>45931</v>
      </c>
      <c r="B90" s="1174" t="str">
        <f>IFERROR(__xludf.DUMMYFUNCTION("""COMPUTED_VALUE"""),"k-e-04-13662-15209")</f>
        <v>k-e-04-13662-15209</v>
      </c>
      <c r="C90" s="1174" t="str">
        <f>IFERROR(__xludf.DUMMYFUNCTION("""COMPUTED_VALUE"""),"OCTUBRE")</f>
        <v>OCTUBRE</v>
      </c>
      <c r="D90" s="1174" t="b">
        <f>IFERROR(__xludf.DUMMYFUNCTION("""COMPUTED_VALUE"""),TRUE)</f>
        <v>1</v>
      </c>
      <c r="E90" s="1174" t="str">
        <f>IFERROR(__xludf.DUMMYFUNCTION("""COMPUTED_VALUE"""),"Laptop")</f>
        <v>Laptop</v>
      </c>
      <c r="F90" s="1176">
        <f>IFERROR(__xludf.DUMMYFUNCTION("""COMPUTED_VALUE"""),1189.99)</f>
        <v>1189.99</v>
      </c>
      <c r="G90" s="1177">
        <f>IFERROR(__xludf.DUMMYFUNCTION("""COMPUTED_VALUE"""),-1.1368683772161603E-13)</f>
        <v>0</v>
      </c>
      <c r="H90" s="1174" t="b">
        <f>IFERROR(__xludf.DUMMYFUNCTION("""COMPUTED_VALUE"""),FALSE)</f>
        <v>0</v>
      </c>
      <c r="I90" s="1174"/>
      <c r="J90" s="1177">
        <f>IFERROR(__xludf.DUMMYFUNCTION("""COMPUTED_VALUE"""),5998.0)</f>
        <v>5998</v>
      </c>
    </row>
    <row r="91">
      <c r="A91" s="1175">
        <f>IFERROR(__xludf.DUMMYFUNCTION("""COMPUTED_VALUE"""),45933.0)</f>
        <v>45933</v>
      </c>
      <c r="B91" s="1174" t="str">
        <f>IFERROR(__xludf.DUMMYFUNCTION("""COMPUTED_VALUE"""),"k-m-470679")</f>
        <v>k-m-470679</v>
      </c>
      <c r="C91" s="1174" t="str">
        <f>IFERROR(__xludf.DUMMYFUNCTION("""COMPUTED_VALUE"""),"OCTUBRE")</f>
        <v>OCTUBRE</v>
      </c>
      <c r="D91" s="1174" t="b">
        <f>IFERROR(__xludf.DUMMYFUNCTION("""COMPUTED_VALUE"""),TRUE)</f>
        <v>1</v>
      </c>
      <c r="E91" s="1174" t="str">
        <f>IFERROR(__xludf.DUMMYFUNCTION("""COMPUTED_VALUE"""),"Laptop")</f>
        <v>Laptop</v>
      </c>
      <c r="F91" s="1176">
        <f>IFERROR(__xludf.DUMMYFUNCTION("""COMPUTED_VALUE"""),6199.99)</f>
        <v>6199.99</v>
      </c>
      <c r="G91" s="1177">
        <f>IFERROR(__xludf.DUMMYFUNCTION("""COMPUTED_VALUE"""),0.0)</f>
        <v>0</v>
      </c>
      <c r="H91" s="1174" t="b">
        <f>IFERROR(__xludf.DUMMYFUNCTION("""COMPUTED_VALUE"""),FALSE)</f>
        <v>0</v>
      </c>
      <c r="I91" s="1174"/>
      <c r="J91" s="1177">
        <f>IFERROR(__xludf.DUMMYFUNCTION("""COMPUTED_VALUE"""),25807.0)</f>
        <v>25807</v>
      </c>
    </row>
    <row r="92">
      <c r="A92" s="1175">
        <f>IFERROR(__xludf.DUMMYFUNCTION("""COMPUTED_VALUE"""),45934.0)</f>
        <v>45934</v>
      </c>
      <c r="B92" s="1174" t="str">
        <f>IFERROR(__xludf.DUMMYFUNCTION("""COMPUTED_VALUE"""),"L-C-230925")</f>
        <v>L-C-230925</v>
      </c>
      <c r="C92" s="1174" t="str">
        <f>IFERROR(__xludf.DUMMYFUNCTION("""COMPUTED_VALUE"""),"OCTUBRE")</f>
        <v>OCTUBRE</v>
      </c>
      <c r="D92" s="1174" t="b">
        <f>IFERROR(__xludf.DUMMYFUNCTION("""COMPUTED_VALUE"""),TRUE)</f>
        <v>1</v>
      </c>
      <c r="E92" s="1174" t="str">
        <f>IFERROR(__xludf.DUMMYFUNCTION("""COMPUTED_VALUE"""),"Laptop")</f>
        <v>Laptop</v>
      </c>
      <c r="F92" s="1176">
        <f>IFERROR(__xludf.DUMMYFUNCTION("""COMPUTED_VALUE"""),1499.99)</f>
        <v>1499.99</v>
      </c>
      <c r="G92" s="1177">
        <f>IFERROR(__xludf.DUMMYFUNCTION("""COMPUTED_VALUE"""),0.0)</f>
        <v>0</v>
      </c>
      <c r="H92" s="1174" t="b">
        <f>IFERROR(__xludf.DUMMYFUNCTION("""COMPUTED_VALUE"""),FALSE)</f>
        <v>0</v>
      </c>
      <c r="I92" s="1174"/>
      <c r="J92" s="1177">
        <f>IFERROR(__xludf.DUMMYFUNCTION("""COMPUTED_VALUE"""),6699.0)</f>
        <v>6699</v>
      </c>
    </row>
    <row r="93">
      <c r="A93" s="1175">
        <f>IFERROR(__xludf.DUMMYFUNCTION("""COMPUTED_VALUE"""),45936.0)</f>
        <v>45936</v>
      </c>
      <c r="B93" s="1174" t="str">
        <f>IFERROR(__xludf.DUMMYFUNCTION("""COMPUTED_VALUE"""),"K-b-BBY01-807093997418")</f>
        <v>K-b-BBY01-807093997418</v>
      </c>
      <c r="C93" s="1174" t="str">
        <f>IFERROR(__xludf.DUMMYFUNCTION("""COMPUTED_VALUE"""),"OCTUBRE")</f>
        <v>OCTUBRE</v>
      </c>
      <c r="D93" s="1174" t="b">
        <f>IFERROR(__xludf.DUMMYFUNCTION("""COMPUTED_VALUE"""),TRUE)</f>
        <v>1</v>
      </c>
      <c r="E93" s="1174" t="str">
        <f>IFERROR(__xludf.DUMMYFUNCTION("""COMPUTED_VALUE"""),"Laptop")</f>
        <v>Laptop</v>
      </c>
      <c r="F93" s="1176">
        <f>IFERROR(__xludf.DUMMYFUNCTION("""COMPUTED_VALUE"""),1299.99)</f>
        <v>1299.99</v>
      </c>
      <c r="G93" s="1177">
        <f>IFERROR(__xludf.DUMMYFUNCTION("""COMPUTED_VALUE"""),0.0)</f>
        <v>0</v>
      </c>
      <c r="H93" s="1174" t="b">
        <f>IFERROR(__xludf.DUMMYFUNCTION("""COMPUTED_VALUE"""),FALSE)</f>
        <v>0</v>
      </c>
      <c r="I93" s="1174"/>
      <c r="J93" s="1177">
        <f>IFERROR(__xludf.DUMMYFUNCTION("""COMPUTED_VALUE"""),6399.0)</f>
        <v>6399</v>
      </c>
    </row>
    <row r="94">
      <c r="A94" s="1175">
        <f>IFERROR(__xludf.DUMMYFUNCTION("""COMPUTED_VALUE"""),45936.0)</f>
        <v>45936</v>
      </c>
      <c r="B94" s="1174" t="str">
        <f>IFERROR(__xludf.DUMMYFUNCTION("""COMPUTED_VALUE"""),"k-e-02-13465-04143")</f>
        <v>k-e-02-13465-04143</v>
      </c>
      <c r="C94" s="1174" t="str">
        <f>IFERROR(__xludf.DUMMYFUNCTION("""COMPUTED_VALUE"""),"OCTUBRE")</f>
        <v>OCTUBRE</v>
      </c>
      <c r="D94" s="1174" t="b">
        <f>IFERROR(__xludf.DUMMYFUNCTION("""COMPUTED_VALUE"""),TRUE)</f>
        <v>1</v>
      </c>
      <c r="E94" s="1174" t="str">
        <f>IFERROR(__xludf.DUMMYFUNCTION("""COMPUTED_VALUE"""),"Laptop")</f>
        <v>Laptop</v>
      </c>
      <c r="F94" s="1176">
        <f>IFERROR(__xludf.DUMMYFUNCTION("""COMPUTED_VALUE"""),1649.99)</f>
        <v>1649.99</v>
      </c>
      <c r="G94" s="1177">
        <f>IFERROR(__xludf.DUMMYFUNCTION("""COMPUTED_VALUE"""),-349.0)</f>
        <v>-349</v>
      </c>
      <c r="H94" s="1174" t="b">
        <f>IFERROR(__xludf.DUMMYFUNCTION("""COMPUTED_VALUE"""),FALSE)</f>
        <v>0</v>
      </c>
      <c r="I94" s="1174"/>
      <c r="J94" s="1177">
        <f>IFERROR(__xludf.DUMMYFUNCTION("""COMPUTED_VALUE"""),8479.0)</f>
        <v>8479</v>
      </c>
    </row>
    <row r="95">
      <c r="A95" s="1175">
        <f>IFERROR(__xludf.DUMMYFUNCTION("""COMPUTED_VALUE"""),45941.0)</f>
        <v>45941</v>
      </c>
      <c r="B95" s="1174" t="str">
        <f>IFERROR(__xludf.DUMMYFUNCTION("""COMPUTED_VALUE"""),"K-b-BBY01-807093993721")</f>
        <v>K-b-BBY01-807093993721</v>
      </c>
      <c r="C95" s="1174" t="str">
        <f>IFERROR(__xludf.DUMMYFUNCTION("""COMPUTED_VALUE"""),"OCTUBRE")</f>
        <v>OCTUBRE</v>
      </c>
      <c r="D95" s="1174" t="b">
        <f>IFERROR(__xludf.DUMMYFUNCTION("""COMPUTED_VALUE"""),TRUE)</f>
        <v>1</v>
      </c>
      <c r="E95" s="1174" t="str">
        <f>IFERROR(__xludf.DUMMYFUNCTION("""COMPUTED_VALUE"""),"Laptop")</f>
        <v>Laptop</v>
      </c>
      <c r="F95" s="1176">
        <f>IFERROR(__xludf.DUMMYFUNCTION("""COMPUTED_VALUE"""),1299.99)</f>
        <v>1299.99</v>
      </c>
      <c r="G95" s="1177">
        <f>IFERROR(__xludf.DUMMYFUNCTION("""COMPUTED_VALUE"""),0.0)</f>
        <v>0</v>
      </c>
      <c r="H95" s="1174" t="b">
        <f>IFERROR(__xludf.DUMMYFUNCTION("""COMPUTED_VALUE"""),FALSE)</f>
        <v>0</v>
      </c>
      <c r="I95" s="1174"/>
      <c r="J95" s="1177">
        <f>IFERROR(__xludf.DUMMYFUNCTION("""COMPUTED_VALUE"""),6399.0)</f>
        <v>6399</v>
      </c>
    </row>
    <row r="96">
      <c r="A96" s="1175">
        <f>IFERROR(__xludf.DUMMYFUNCTION("""COMPUTED_VALUE"""),45946.0)</f>
        <v>45946</v>
      </c>
      <c r="B96" s="1174" t="str">
        <f>IFERROR(__xludf.DUMMYFUNCTION("""COMPUTED_VALUE"""),"k-a-113-3943014-5393025")</f>
        <v>k-a-113-3943014-5393025</v>
      </c>
      <c r="C96" s="1174" t="str">
        <f>IFERROR(__xludf.DUMMYFUNCTION("""COMPUTED_VALUE"""),"OCTUBRE")</f>
        <v>OCTUBRE</v>
      </c>
      <c r="D96" s="1174" t="b">
        <f>IFERROR(__xludf.DUMMYFUNCTION("""COMPUTED_VALUE"""),TRUE)</f>
        <v>1</v>
      </c>
      <c r="E96" s="1174" t="str">
        <f>IFERROR(__xludf.DUMMYFUNCTION("""COMPUTED_VALUE"""),"Laptop")</f>
        <v>Laptop</v>
      </c>
      <c r="F96" s="1176">
        <f>IFERROR(__xludf.DUMMYFUNCTION("""COMPUTED_VALUE"""),1199.99)</f>
        <v>1199.99</v>
      </c>
      <c r="G96" s="1177">
        <f>IFERROR(__xludf.DUMMYFUNCTION("""COMPUTED_VALUE"""),439.77)</f>
        <v>439.77</v>
      </c>
      <c r="H96" s="1174" t="b">
        <f>IFERROR(__xludf.DUMMYFUNCTION("""COMPUTED_VALUE"""),FALSE)</f>
        <v>0</v>
      </c>
      <c r="I96" s="1174"/>
      <c r="J96" s="1177">
        <f>IFERROR(__xludf.DUMMYFUNCTION("""COMPUTED_VALUE"""),5999.0)</f>
        <v>5999</v>
      </c>
    </row>
    <row r="97">
      <c r="A97" s="1175">
        <f>IFERROR(__xludf.DUMMYFUNCTION("""COMPUTED_VALUE"""),45951.0)</f>
        <v>45951</v>
      </c>
      <c r="B97" s="1174" t="str">
        <f>IFERROR(__xludf.DUMMYFUNCTION("""COMPUTED_VALUE"""),"sr-eb-05-13739-67790")</f>
        <v>sr-eb-05-13739-67790</v>
      </c>
      <c r="C97" s="1174" t="str">
        <f>IFERROR(__xludf.DUMMYFUNCTION("""COMPUTED_VALUE"""),"OCTUBRE")</f>
        <v>OCTUBRE</v>
      </c>
      <c r="D97" s="1174" t="b">
        <f>IFERROR(__xludf.DUMMYFUNCTION("""COMPUTED_VALUE"""),TRUE)</f>
        <v>1</v>
      </c>
      <c r="E97" s="1174" t="str">
        <f>IFERROR(__xludf.DUMMYFUNCTION("""COMPUTED_VALUE"""),"Laptop")</f>
        <v>Laptop</v>
      </c>
      <c r="F97" s="1176">
        <f>IFERROR(__xludf.DUMMYFUNCTION("""COMPUTED_VALUE"""),1999.99)</f>
        <v>1999.99</v>
      </c>
      <c r="G97" s="1177">
        <f>IFERROR(__xludf.DUMMYFUNCTION("""COMPUTED_VALUE"""),250.1800000000003)</f>
        <v>250.18</v>
      </c>
      <c r="H97" s="1174" t="b">
        <f>IFERROR(__xludf.DUMMYFUNCTION("""COMPUTED_VALUE"""),FALSE)</f>
        <v>0</v>
      </c>
      <c r="I97" s="1174"/>
      <c r="J97" s="1177">
        <f>IFERROR(__xludf.DUMMYFUNCTION("""COMPUTED_VALUE"""),8999.0)</f>
        <v>8999</v>
      </c>
    </row>
    <row r="98">
      <c r="A98" s="1175">
        <f>IFERROR(__xludf.DUMMYFUNCTION("""COMPUTED_VALUE"""),45954.0)</f>
        <v>45954</v>
      </c>
      <c r="B98" s="1174" t="str">
        <f>IFERROR(__xludf.DUMMYFUNCTION("""COMPUTED_VALUE"""),"so-eb-26-13722-68537")</f>
        <v>so-eb-26-13722-68537</v>
      </c>
      <c r="C98" s="1174" t="str">
        <f>IFERROR(__xludf.DUMMYFUNCTION("""COMPUTED_VALUE"""),"OCTUBRE")</f>
        <v>OCTUBRE</v>
      </c>
      <c r="D98" s="1174" t="b">
        <f>IFERROR(__xludf.DUMMYFUNCTION("""COMPUTED_VALUE"""),TRUE)</f>
        <v>1</v>
      </c>
      <c r="E98" s="1174" t="str">
        <f>IFERROR(__xludf.DUMMYFUNCTION("""COMPUTED_VALUE"""),"Laptop")</f>
        <v>Laptop</v>
      </c>
      <c r="F98" s="1176">
        <f>IFERROR(__xludf.DUMMYFUNCTION("""COMPUTED_VALUE"""),1999.99)</f>
        <v>1999.99</v>
      </c>
      <c r="G98" s="1177">
        <f>IFERROR(__xludf.DUMMYFUNCTION("""COMPUTED_VALUE"""),520.0300000000007)</f>
        <v>520.03</v>
      </c>
      <c r="H98" s="1174" t="b">
        <f>IFERROR(__xludf.DUMMYFUNCTION("""COMPUTED_VALUE"""),FALSE)</f>
        <v>0</v>
      </c>
      <c r="I98" s="1174"/>
      <c r="J98" s="1177">
        <f>IFERROR(__xludf.DUMMYFUNCTION("""COMPUTED_VALUE"""),9149.0)</f>
        <v>9149</v>
      </c>
    </row>
    <row r="99">
      <c r="A99" s="1175">
        <f>IFERROR(__xludf.DUMMYFUNCTION("""COMPUTED_VALUE"""),45958.0)</f>
        <v>45958</v>
      </c>
      <c r="B99" s="1174" t="str">
        <f>IFERROR(__xludf.DUMMYFUNCTION("""COMPUTED_VALUE"""),"ka-m-20149932")</f>
        <v>ka-m-20149932</v>
      </c>
      <c r="C99" s="1174" t="str">
        <f>IFERROR(__xludf.DUMMYFUNCTION("""COMPUTED_VALUE"""),"OCTUBRE")</f>
        <v>OCTUBRE</v>
      </c>
      <c r="D99" s="1174" t="b">
        <f>IFERROR(__xludf.DUMMYFUNCTION("""COMPUTED_VALUE"""),TRUE)</f>
        <v>1</v>
      </c>
      <c r="E99" s="1174" t="str">
        <f>IFERROR(__xludf.DUMMYFUNCTION("""COMPUTED_VALUE"""),"Laptop")</f>
        <v>Laptop</v>
      </c>
      <c r="F99" s="1176">
        <f>IFERROR(__xludf.DUMMYFUNCTION("""COMPUTED_VALUE"""),2699.99)</f>
        <v>2699.99</v>
      </c>
      <c r="G99" s="1177">
        <f>IFERROR(__xludf.DUMMYFUNCTION("""COMPUTED_VALUE"""),11.529999999999205)</f>
        <v>11.53</v>
      </c>
      <c r="H99" s="1174" t="b">
        <f>IFERROR(__xludf.DUMMYFUNCTION("""COMPUTED_VALUE"""),FALSE)</f>
        <v>0</v>
      </c>
      <c r="I99" s="1174"/>
      <c r="J99" s="1177">
        <f>IFERROR(__xludf.DUMMYFUNCTION("""COMPUTED_VALUE"""),11699.0)</f>
        <v>11699</v>
      </c>
    </row>
    <row r="100">
      <c r="A100" s="1175">
        <f>IFERROR(__xludf.DUMMYFUNCTION("""COMPUTED_VALUE"""),45960.0)</f>
        <v>45960</v>
      </c>
      <c r="B100" s="1174" t="str">
        <f>IFERROR(__xludf.DUMMYFUNCTION("""COMPUTED_VALUE"""),"ke-am-113-3183443-2830614")</f>
        <v>ke-am-113-3183443-2830614</v>
      </c>
      <c r="C100" s="1174" t="str">
        <f>IFERROR(__xludf.DUMMYFUNCTION("""COMPUTED_VALUE"""),"OCTUBRE")</f>
        <v>OCTUBRE</v>
      </c>
      <c r="D100" s="1174" t="b">
        <f>IFERROR(__xludf.DUMMYFUNCTION("""COMPUTED_VALUE"""),TRUE)</f>
        <v>1</v>
      </c>
      <c r="E100" s="1174" t="str">
        <f>IFERROR(__xludf.DUMMYFUNCTION("""COMPUTED_VALUE"""),"Laptop")</f>
        <v>Laptop</v>
      </c>
      <c r="F100" s="1176">
        <f>IFERROR(__xludf.DUMMYFUNCTION("""COMPUTED_VALUE"""),3799.99)</f>
        <v>3799.99</v>
      </c>
      <c r="G100" s="1177">
        <f>IFERROR(__xludf.DUMMYFUNCTION("""COMPUTED_VALUE"""),283.34999999999854)</f>
        <v>283.35</v>
      </c>
      <c r="H100" s="1174" t="b">
        <f>IFERROR(__xludf.DUMMYFUNCTION("""COMPUTED_VALUE"""),FALSE)</f>
        <v>0</v>
      </c>
      <c r="I100" s="1174" t="str">
        <f>IFERROR(__xludf.DUMMYFUNCTION("""COMPUTED_VALUE"""),"DICIEMBRE")</f>
        <v>DICIEMBRE</v>
      </c>
      <c r="J100" s="1177">
        <f>IFERROR(__xludf.DUMMYFUNCTION("""COMPUTED_VALUE"""),18166.0)</f>
        <v>18166</v>
      </c>
    </row>
    <row r="101">
      <c r="A101" s="1175">
        <f>IFERROR(__xludf.DUMMYFUNCTION("""COMPUTED_VALUE"""),45961.0)</f>
        <v>45961</v>
      </c>
      <c r="B101" s="1174" t="str">
        <f>IFERROR(__xludf.DUMMYFUNCTION("""COMPUTED_VALUE"""),"k-e-06-13692-52522")</f>
        <v>k-e-06-13692-52522</v>
      </c>
      <c r="C101" s="1174" t="str">
        <f>IFERROR(__xludf.DUMMYFUNCTION("""COMPUTED_VALUE"""),"OCTUBRE")</f>
        <v>OCTUBRE</v>
      </c>
      <c r="D101" s="1174" t="b">
        <f>IFERROR(__xludf.DUMMYFUNCTION("""COMPUTED_VALUE"""),TRUE)</f>
        <v>1</v>
      </c>
      <c r="E101" s="1174" t="str">
        <f>IFERROR(__xludf.DUMMYFUNCTION("""COMPUTED_VALUE"""),"Laptop")</f>
        <v>Laptop</v>
      </c>
      <c r="F101" s="1176">
        <f>IFERROR(__xludf.DUMMYFUNCTION("""COMPUTED_VALUE"""),1399.99)</f>
        <v>1399.99</v>
      </c>
      <c r="G101" s="1177">
        <f>IFERROR(__xludf.DUMMYFUNCTION("""COMPUTED_VALUE"""),-88.96000000000038)</f>
        <v>-88.96</v>
      </c>
      <c r="H101" s="1174" t="b">
        <f>IFERROR(__xludf.DUMMYFUNCTION("""COMPUTED_VALUE"""),FALSE)</f>
        <v>0</v>
      </c>
      <c r="I101" s="1174"/>
      <c r="J101" s="1177">
        <f>IFERROR(__xludf.DUMMYFUNCTION("""COMPUTED_VALUE"""),6799.19)</f>
        <v>6799.19</v>
      </c>
    </row>
    <row r="102">
      <c r="A102" s="1175">
        <f>IFERROR(__xludf.DUMMYFUNCTION("""COMPUTED_VALUE"""),45961.0)</f>
        <v>45961</v>
      </c>
      <c r="B102" s="1174" t="str">
        <f>IFERROR(__xludf.DUMMYFUNCTION("""COMPUTED_VALUE"""),"k-a-113-3730437-1644209")</f>
        <v>k-a-113-3730437-1644209</v>
      </c>
      <c r="C102" s="1174" t="str">
        <f>IFERROR(__xludf.DUMMYFUNCTION("""COMPUTED_VALUE"""),"OCTUBRE")</f>
        <v>OCTUBRE</v>
      </c>
      <c r="D102" s="1174" t="b">
        <f>IFERROR(__xludf.DUMMYFUNCTION("""COMPUTED_VALUE"""),TRUE)</f>
        <v>1</v>
      </c>
      <c r="E102" s="1174" t="str">
        <f>IFERROR(__xludf.DUMMYFUNCTION("""COMPUTED_VALUE"""),"Laptop")</f>
        <v>Laptop</v>
      </c>
      <c r="F102" s="1176">
        <f>IFERROR(__xludf.DUMMYFUNCTION("""COMPUTED_VALUE"""),1199.0)</f>
        <v>1199</v>
      </c>
      <c r="G102" s="1177">
        <f>IFERROR(__xludf.DUMMYFUNCTION("""COMPUTED_VALUE"""),-349.0)</f>
        <v>-349</v>
      </c>
      <c r="H102" s="1174" t="b">
        <f>IFERROR(__xludf.DUMMYFUNCTION("""COMPUTED_VALUE"""),FALSE)</f>
        <v>0</v>
      </c>
      <c r="I102" s="1174"/>
      <c r="J102" s="1177">
        <f>IFERROR(__xludf.DUMMYFUNCTION("""COMPUTED_VALUE"""),5709.0)</f>
        <v>5709</v>
      </c>
    </row>
    <row r="103">
      <c r="A103" s="1175">
        <f>IFERROR(__xludf.DUMMYFUNCTION("""COMPUTED_VALUE"""),45968.0)</f>
        <v>45968</v>
      </c>
      <c r="B103" s="1174" t="str">
        <f>IFERROR(__xludf.DUMMYFUNCTION("""COMPUTED_VALUE"""),"ja-m-101125")</f>
        <v>ja-m-101125</v>
      </c>
      <c r="C103" s="1174" t="str">
        <f>IFERROR(__xludf.DUMMYFUNCTION("""COMPUTED_VALUE"""),"NOVIEMBRE")</f>
        <v>NOVIEMBRE</v>
      </c>
      <c r="D103" s="1174" t="b">
        <f>IFERROR(__xludf.DUMMYFUNCTION("""COMPUTED_VALUE"""),TRUE)</f>
        <v>1</v>
      </c>
      <c r="E103" s="1174" t="str">
        <f>IFERROR(__xludf.DUMMYFUNCTION("""COMPUTED_VALUE"""),"Laptop")</f>
        <v>Laptop</v>
      </c>
      <c r="F103" s="1176">
        <f>IFERROR(__xludf.DUMMYFUNCTION("""COMPUTED_VALUE"""),1799.99)</f>
        <v>1799.99</v>
      </c>
      <c r="G103" s="1177">
        <f>IFERROR(__xludf.DUMMYFUNCTION("""COMPUTED_VALUE"""),450.3199999999997)</f>
        <v>450.32</v>
      </c>
      <c r="H103" s="1174" t="b">
        <f>IFERROR(__xludf.DUMMYFUNCTION("""COMPUTED_VALUE"""),FALSE)</f>
        <v>0</v>
      </c>
      <c r="I103" s="1174" t="str">
        <f>IFERROR(__xludf.DUMMYFUNCTION("""COMPUTED_VALUE"""),"NOVIEMBRE")</f>
        <v>NOVIEMBRE</v>
      </c>
      <c r="J103" s="1177">
        <f>IFERROR(__xludf.DUMMYFUNCTION("""COMPUTED_VALUE"""),8699.0)</f>
        <v>8699</v>
      </c>
    </row>
    <row r="104">
      <c r="A104" s="1175">
        <f>IFERROR(__xludf.DUMMYFUNCTION("""COMPUTED_VALUE"""),45973.0)</f>
        <v>45973</v>
      </c>
      <c r="B104" s="1174" t="str">
        <f>IFERROR(__xludf.DUMMYFUNCTION("""COMPUTED_VALUE"""),"li-m-131125")</f>
        <v>li-m-131125</v>
      </c>
      <c r="C104" s="1174" t="str">
        <f>IFERROR(__xludf.DUMMYFUNCTION("""COMPUTED_VALUE"""),"NOVIEMBRE")</f>
        <v>NOVIEMBRE</v>
      </c>
      <c r="D104" s="1174" t="b">
        <f>IFERROR(__xludf.DUMMYFUNCTION("""COMPUTED_VALUE"""),TRUE)</f>
        <v>1</v>
      </c>
      <c r="E104" s="1174" t="str">
        <f>IFERROR(__xludf.DUMMYFUNCTION("""COMPUTED_VALUE"""),"Laptop")</f>
        <v>Laptop</v>
      </c>
      <c r="F104" s="1176">
        <f>IFERROR(__xludf.DUMMYFUNCTION("""COMPUTED_VALUE"""),2799.99)</f>
        <v>2799.99</v>
      </c>
      <c r="G104" s="1177">
        <f>IFERROR(__xludf.DUMMYFUNCTION("""COMPUTED_VALUE"""),5.9099999999998545)</f>
        <v>5.91</v>
      </c>
      <c r="H104" s="1174" t="b">
        <f>IFERROR(__xludf.DUMMYFUNCTION("""COMPUTED_VALUE"""),FALSE)</f>
        <v>0</v>
      </c>
      <c r="I104" s="1174" t="str">
        <f>IFERROR(__xludf.DUMMYFUNCTION("""COMPUTED_VALUE"""),"NOVIEMBRE")</f>
        <v>NOVIEMBRE</v>
      </c>
      <c r="J104" s="1177">
        <f>IFERROR(__xludf.DUMMYFUNCTION("""COMPUTED_VALUE"""),11972.0)</f>
        <v>11972</v>
      </c>
    </row>
    <row r="105">
      <c r="A105" s="1175">
        <f>IFERROR(__xludf.DUMMYFUNCTION("""COMPUTED_VALUE"""),45973.0)</f>
        <v>45973</v>
      </c>
      <c r="B105" s="1174" t="str">
        <f>IFERROR(__xludf.DUMMYFUNCTION("""COMPUTED_VALUE"""),"K-N-582529693")</f>
        <v>K-N-582529693</v>
      </c>
      <c r="C105" s="1174" t="str">
        <f>IFERROR(__xludf.DUMMYFUNCTION("""COMPUTED_VALUE"""),"NOVIEMBRE")</f>
        <v>NOVIEMBRE</v>
      </c>
      <c r="D105" s="1174" t="b">
        <f>IFERROR(__xludf.DUMMYFUNCTION("""COMPUTED_VALUE"""),TRUE)</f>
        <v>1</v>
      </c>
      <c r="E105" s="1174" t="str">
        <f>IFERROR(__xludf.DUMMYFUNCTION("""COMPUTED_VALUE"""),"Laptop")</f>
        <v>Laptop</v>
      </c>
      <c r="F105" s="1176">
        <f>IFERROR(__xludf.DUMMYFUNCTION("""COMPUTED_VALUE"""),1498.99)</f>
        <v>1498.99</v>
      </c>
      <c r="G105" s="1177">
        <f>IFERROR(__xludf.DUMMYFUNCTION("""COMPUTED_VALUE"""),19.0)</f>
        <v>19</v>
      </c>
      <c r="H105" s="1174" t="b">
        <f>IFERROR(__xludf.DUMMYFUNCTION("""COMPUTED_VALUE"""),FALSE)</f>
        <v>0</v>
      </c>
      <c r="I105" s="1174" t="str">
        <f>IFERROR(__xludf.DUMMYFUNCTION("""COMPUTED_VALUE"""),"NOVIEMBRE")</f>
        <v>NOVIEMBRE</v>
      </c>
      <c r="J105" s="1177">
        <f>IFERROR(__xludf.DUMMYFUNCTION("""COMPUTED_VALUE"""),7099.0)</f>
        <v>7099</v>
      </c>
    </row>
    <row r="106">
      <c r="A106" s="1175">
        <f>IFERROR(__xludf.DUMMYFUNCTION("""COMPUTED_VALUE"""),45974.0)</f>
        <v>45974</v>
      </c>
      <c r="B106" s="1174" t="str">
        <f>IFERROR(__xludf.DUMMYFUNCTION("""COMPUTED_VALUE"""),"k-e-17-13720-05006")</f>
        <v>k-e-17-13720-05006</v>
      </c>
      <c r="C106" s="1174" t="str">
        <f>IFERROR(__xludf.DUMMYFUNCTION("""COMPUTED_VALUE"""),"NOVIEMBRE")</f>
        <v>NOVIEMBRE</v>
      </c>
      <c r="D106" s="1174" t="b">
        <f>IFERROR(__xludf.DUMMYFUNCTION("""COMPUTED_VALUE"""),TRUE)</f>
        <v>1</v>
      </c>
      <c r="E106" s="1174" t="str">
        <f>IFERROR(__xludf.DUMMYFUNCTION("""COMPUTED_VALUE"""),"Laptop")</f>
        <v>Laptop</v>
      </c>
      <c r="F106" s="1176">
        <f>IFERROR(__xludf.DUMMYFUNCTION("""COMPUTED_VALUE"""),1249.99)</f>
        <v>1249.99</v>
      </c>
      <c r="G106" s="1177">
        <f>IFERROR(__xludf.DUMMYFUNCTION("""COMPUTED_VALUE"""),66.0)</f>
        <v>66</v>
      </c>
      <c r="H106" s="1174" t="b">
        <f>IFERROR(__xludf.DUMMYFUNCTION("""COMPUTED_VALUE"""),FALSE)</f>
        <v>0</v>
      </c>
      <c r="I106" s="1174" t="str">
        <f>IFERROR(__xludf.DUMMYFUNCTION("""COMPUTED_VALUE"""),"NOVIEMBRE")</f>
        <v>NOVIEMBRE</v>
      </c>
      <c r="J106" s="1177">
        <f>IFERROR(__xludf.DUMMYFUNCTION("""COMPUTED_VALUE"""),5499.0)</f>
        <v>5499</v>
      </c>
    </row>
    <row r="107">
      <c r="A107" s="1175">
        <f>IFERROR(__xludf.DUMMYFUNCTION("""COMPUTED_VALUE"""),45974.0)</f>
        <v>45974</v>
      </c>
      <c r="B107" s="1174" t="str">
        <f>IFERROR(__xludf.DUMMYFUNCTION("""COMPUTED_VALUE"""),"ke-eb-06-13839-60238")</f>
        <v>ke-eb-06-13839-60238</v>
      </c>
      <c r="C107" s="1174" t="str">
        <f>IFERROR(__xludf.DUMMYFUNCTION("""COMPUTED_VALUE"""),"NOVIEMBRE")</f>
        <v>NOVIEMBRE</v>
      </c>
      <c r="D107" s="1174" t="b">
        <f>IFERROR(__xludf.DUMMYFUNCTION("""COMPUTED_VALUE"""),TRUE)</f>
        <v>1</v>
      </c>
      <c r="E107" s="1174" t="str">
        <f>IFERROR(__xludf.DUMMYFUNCTION("""COMPUTED_VALUE"""),"Laptop")</f>
        <v>Laptop</v>
      </c>
      <c r="F107" s="1176">
        <f>IFERROR(__xludf.DUMMYFUNCTION("""COMPUTED_VALUE"""),999.99)</f>
        <v>999.99</v>
      </c>
      <c r="G107" s="1177">
        <f>IFERROR(__xludf.DUMMYFUNCTION("""COMPUTED_VALUE"""),166.72999999999956)</f>
        <v>166.73</v>
      </c>
      <c r="H107" s="1174" t="b">
        <f>IFERROR(__xludf.DUMMYFUNCTION("""COMPUTED_VALUE"""),TRUE)</f>
        <v>1</v>
      </c>
      <c r="I107" s="1174" t="str">
        <f>IFERROR(__xludf.DUMMYFUNCTION("""COMPUTED_VALUE"""),"NOVIEMBRE")</f>
        <v>NOVIEMBRE</v>
      </c>
      <c r="J107" s="1177">
        <f>IFERROR(__xludf.DUMMYFUNCTION("""COMPUTED_VALUE"""),4849.0)</f>
        <v>4849</v>
      </c>
    </row>
    <row r="108">
      <c r="A108" s="1175">
        <f>IFERROR(__xludf.DUMMYFUNCTION("""COMPUTED_VALUE"""),45978.0)</f>
        <v>45978</v>
      </c>
      <c r="B108" s="1174" t="str">
        <f>IFERROR(__xludf.DUMMYFUNCTION("""COMPUTED_VALUE"""),"s-BBY01-807082513472")</f>
        <v>s-BBY01-807082513472</v>
      </c>
      <c r="C108" s="1174" t="str">
        <f>IFERROR(__xludf.DUMMYFUNCTION("""COMPUTED_VALUE"""),"NOVIEMBRE")</f>
        <v>NOVIEMBRE</v>
      </c>
      <c r="D108" s="1174" t="b">
        <f>IFERROR(__xludf.DUMMYFUNCTION("""COMPUTED_VALUE"""),TRUE)</f>
        <v>1</v>
      </c>
      <c r="E108" s="1174" t="str">
        <f>IFERROR(__xludf.DUMMYFUNCTION("""COMPUTED_VALUE"""),"Laptop")</f>
        <v>Laptop</v>
      </c>
      <c r="F108" s="1176">
        <f>IFERROR(__xludf.DUMMYFUNCTION("""COMPUTED_VALUE"""),1599.99)</f>
        <v>1599.99</v>
      </c>
      <c r="G108" s="1177">
        <f>IFERROR(__xludf.DUMMYFUNCTION("""COMPUTED_VALUE"""),0.0)</f>
        <v>0</v>
      </c>
      <c r="H108" s="1174" t="b">
        <f>IFERROR(__xludf.DUMMYFUNCTION("""COMPUTED_VALUE"""),FALSE)</f>
        <v>0</v>
      </c>
      <c r="I108" s="1174" t="str">
        <f>IFERROR(__xludf.DUMMYFUNCTION("""COMPUTED_VALUE"""),"NOVIEMBRE")</f>
        <v>NOVIEMBRE</v>
      </c>
      <c r="J108" s="1177">
        <f>IFERROR(__xludf.DUMMYFUNCTION("""COMPUTED_VALUE"""),7566.0)</f>
        <v>7566</v>
      </c>
    </row>
    <row r="109">
      <c r="A109" s="1175">
        <f>IFERROR(__xludf.DUMMYFUNCTION("""COMPUTED_VALUE"""),45978.0)</f>
        <v>45978</v>
      </c>
      <c r="B109" s="1174" t="str">
        <f>IFERROR(__xludf.DUMMYFUNCTION("""COMPUTED_VALUE"""),"k-BBY03-807097174379")</f>
        <v>k-BBY03-807097174379</v>
      </c>
      <c r="C109" s="1174" t="str">
        <f>IFERROR(__xludf.DUMMYFUNCTION("""COMPUTED_VALUE"""),"NOVIEMBRE")</f>
        <v>NOVIEMBRE</v>
      </c>
      <c r="D109" s="1174" t="b">
        <f>IFERROR(__xludf.DUMMYFUNCTION("""COMPUTED_VALUE"""),TRUE)</f>
        <v>1</v>
      </c>
      <c r="E109" s="1174" t="str">
        <f>IFERROR(__xludf.DUMMYFUNCTION("""COMPUTED_VALUE"""),"Laptop")</f>
        <v>Laptop</v>
      </c>
      <c r="F109" s="1176">
        <f>IFERROR(__xludf.DUMMYFUNCTION("""COMPUTED_VALUE"""),1399.0)</f>
        <v>1399</v>
      </c>
      <c r="G109" s="1177">
        <f>IFERROR(__xludf.DUMMYFUNCTION("""COMPUTED_VALUE"""),233.0)</f>
        <v>233</v>
      </c>
      <c r="H109" s="1174" t="b">
        <f>IFERROR(__xludf.DUMMYFUNCTION("""COMPUTED_VALUE"""),FALSE)</f>
        <v>0</v>
      </c>
      <c r="I109" s="1174" t="str">
        <f>IFERROR(__xludf.DUMMYFUNCTION("""COMPUTED_VALUE"""),"NOVIEMBRE")</f>
        <v>NOVIEMBRE</v>
      </c>
      <c r="J109" s="1177">
        <f>IFERROR(__xludf.DUMMYFUNCTION("""COMPUTED_VALUE"""),6999.0)</f>
        <v>6999</v>
      </c>
    </row>
    <row r="110">
      <c r="A110" s="1175">
        <f>IFERROR(__xludf.DUMMYFUNCTION("""COMPUTED_VALUE"""),45978.0)</f>
        <v>45978</v>
      </c>
      <c r="B110" s="1174" t="str">
        <f>IFERROR(__xludf.DUMMYFUNCTION("""COMPUTED_VALUE"""),"k-e-18-13718-83789")</f>
        <v>k-e-18-13718-83789</v>
      </c>
      <c r="C110" s="1174" t="str">
        <f>IFERROR(__xludf.DUMMYFUNCTION("""COMPUTED_VALUE"""),"NOVIEMBRE")</f>
        <v>NOVIEMBRE</v>
      </c>
      <c r="D110" s="1174" t="b">
        <f>IFERROR(__xludf.DUMMYFUNCTION("""COMPUTED_VALUE"""),TRUE)</f>
        <v>1</v>
      </c>
      <c r="E110" s="1174" t="str">
        <f>IFERROR(__xludf.DUMMYFUNCTION("""COMPUTED_VALUE"""),"Laptop")</f>
        <v>Laptop</v>
      </c>
      <c r="F110" s="1176">
        <f>IFERROR(__xludf.DUMMYFUNCTION("""COMPUTED_VALUE"""),1249.99)</f>
        <v>1249.99</v>
      </c>
      <c r="G110" s="1177">
        <f>IFERROR(__xludf.DUMMYFUNCTION("""COMPUTED_VALUE"""),38.0)</f>
        <v>38</v>
      </c>
      <c r="H110" s="1174" t="b">
        <f>IFERROR(__xludf.DUMMYFUNCTION("""COMPUTED_VALUE"""),FALSE)</f>
        <v>0</v>
      </c>
      <c r="I110" s="1174" t="str">
        <f>IFERROR(__xludf.DUMMYFUNCTION("""COMPUTED_VALUE"""),"NOVIEMBRE")</f>
        <v>NOVIEMBRE</v>
      </c>
      <c r="J110" s="1177">
        <f>IFERROR(__xludf.DUMMYFUNCTION("""COMPUTED_VALUE"""),6000.0)</f>
        <v>6000</v>
      </c>
    </row>
    <row r="111">
      <c r="A111" s="1175">
        <f>IFERROR(__xludf.DUMMYFUNCTION("""COMPUTED_VALUE"""),45979.0)</f>
        <v>45979</v>
      </c>
      <c r="B111" s="1174" t="str">
        <f>IFERROR(__xludf.DUMMYFUNCTION("""COMPUTED_VALUE"""),"s-e-19-13676-81610")</f>
        <v>s-e-19-13676-81610</v>
      </c>
      <c r="C111" s="1174" t="str">
        <f>IFERROR(__xludf.DUMMYFUNCTION("""COMPUTED_VALUE"""),"NOVIEMBRE")</f>
        <v>NOVIEMBRE</v>
      </c>
      <c r="D111" s="1174" t="b">
        <f>IFERROR(__xludf.DUMMYFUNCTION("""COMPUTED_VALUE"""),TRUE)</f>
        <v>1</v>
      </c>
      <c r="E111" s="1174" t="str">
        <f>IFERROR(__xludf.DUMMYFUNCTION("""COMPUTED_VALUE"""),"Laptop")</f>
        <v>Laptop</v>
      </c>
      <c r="F111" s="1176">
        <f>IFERROR(__xludf.DUMMYFUNCTION("""COMPUTED_VALUE"""),1574.99)</f>
        <v>1574.99</v>
      </c>
      <c r="G111" s="1177">
        <f>IFERROR(__xludf.DUMMYFUNCTION("""COMPUTED_VALUE"""),22.0)</f>
        <v>22</v>
      </c>
      <c r="H111" s="1174" t="b">
        <f>IFERROR(__xludf.DUMMYFUNCTION("""COMPUTED_VALUE"""),FALSE)</f>
        <v>0</v>
      </c>
      <c r="I111" s="1174" t="str">
        <f>IFERROR(__xludf.DUMMYFUNCTION("""COMPUTED_VALUE"""),"NOVIEMBRE")</f>
        <v>NOVIEMBRE</v>
      </c>
      <c r="J111" s="1177">
        <f>IFERROR(__xludf.DUMMYFUNCTION("""COMPUTED_VALUE"""),7399.0)</f>
        <v>7399</v>
      </c>
    </row>
    <row r="112">
      <c r="A112" s="1175">
        <f>IFERROR(__xludf.DUMMYFUNCTION("""COMPUTED_VALUE"""),45979.0)</f>
        <v>45979</v>
      </c>
      <c r="B112" s="1174" t="str">
        <f>IFERROR(__xludf.DUMMYFUNCTION("""COMPUTED_VALUE"""),"ab-bh-1125420492")</f>
        <v>ab-bh-1125420492</v>
      </c>
      <c r="C112" s="1174" t="str">
        <f>IFERROR(__xludf.DUMMYFUNCTION("""COMPUTED_VALUE"""),"NOVIEMBRE")</f>
        <v>NOVIEMBRE</v>
      </c>
      <c r="D112" s="1174" t="b">
        <f>IFERROR(__xludf.DUMMYFUNCTION("""COMPUTED_VALUE"""),TRUE)</f>
        <v>1</v>
      </c>
      <c r="E112" s="1174" t="str">
        <f>IFERROR(__xludf.DUMMYFUNCTION("""COMPUTED_VALUE"""),"Laptop")</f>
        <v>Laptop</v>
      </c>
      <c r="F112" s="1176">
        <f>IFERROR(__xludf.DUMMYFUNCTION("""COMPUTED_VALUE"""),1899.99)</f>
        <v>1899.99</v>
      </c>
      <c r="G112" s="1177">
        <f>IFERROR(__xludf.DUMMYFUNCTION("""COMPUTED_VALUE"""),261.6300000000001)</f>
        <v>261.63</v>
      </c>
      <c r="H112" s="1174" t="b">
        <f>IFERROR(__xludf.DUMMYFUNCTION("""COMPUTED_VALUE"""),FALSE)</f>
        <v>0</v>
      </c>
      <c r="I112" s="1174" t="str">
        <f>IFERROR(__xludf.DUMMYFUNCTION("""COMPUTED_VALUE"""),"NOVIEMBRE")</f>
        <v>NOVIEMBRE</v>
      </c>
      <c r="J112" s="1177">
        <f>IFERROR(__xludf.DUMMYFUNCTION("""COMPUTED_VALUE"""),8549.0)</f>
        <v>8549</v>
      </c>
    </row>
    <row r="113">
      <c r="A113" s="1175">
        <f>IFERROR(__xludf.DUMMYFUNCTION("""COMPUTED_VALUE"""),45980.0)</f>
        <v>45980</v>
      </c>
      <c r="B113" s="1174" t="str">
        <f>IFERROR(__xludf.DUMMYFUNCTION("""COMPUTED_VALUE"""),"ab-bh-1124992740")</f>
        <v>ab-bh-1124992740</v>
      </c>
      <c r="C113" s="1174" t="str">
        <f>IFERROR(__xludf.DUMMYFUNCTION("""COMPUTED_VALUE"""),"NOVIEMBRE")</f>
        <v>NOVIEMBRE</v>
      </c>
      <c r="D113" s="1174" t="b">
        <f>IFERROR(__xludf.DUMMYFUNCTION("""COMPUTED_VALUE"""),TRUE)</f>
        <v>1</v>
      </c>
      <c r="E113" s="1174" t="str">
        <f>IFERROR(__xludf.DUMMYFUNCTION("""COMPUTED_VALUE"""),"Laptop")</f>
        <v>Laptop</v>
      </c>
      <c r="F113" s="1176">
        <f>IFERROR(__xludf.DUMMYFUNCTION("""COMPUTED_VALUE"""),1199.0)</f>
        <v>1199</v>
      </c>
      <c r="G113" s="1177">
        <f>IFERROR(__xludf.DUMMYFUNCTION("""COMPUTED_VALUE"""),30.0)</f>
        <v>30</v>
      </c>
      <c r="H113" s="1174" t="b">
        <f>IFERROR(__xludf.DUMMYFUNCTION("""COMPUTED_VALUE"""),FALSE)</f>
        <v>0</v>
      </c>
      <c r="I113" s="1174" t="str">
        <f>IFERROR(__xludf.DUMMYFUNCTION("""COMPUTED_VALUE"""),"NOVIEMBRE")</f>
        <v>NOVIEMBRE</v>
      </c>
      <c r="J113" s="1177">
        <f>IFERROR(__xludf.DUMMYFUNCTION("""COMPUTED_VALUE"""),5465.0)</f>
        <v>5465</v>
      </c>
    </row>
    <row r="114">
      <c r="A114" s="1175">
        <f>IFERROR(__xludf.DUMMYFUNCTION("""COMPUTED_VALUE"""),45982.0)</f>
        <v>45982</v>
      </c>
      <c r="B114" s="1174" t="str">
        <f>IFERROR(__xludf.DUMMYFUNCTION("""COMPUTED_VALUE"""),"ke-eb-05-13872-96738")</f>
        <v>ke-eb-05-13872-96738</v>
      </c>
      <c r="C114" s="1174" t="str">
        <f>IFERROR(__xludf.DUMMYFUNCTION("""COMPUTED_VALUE"""),"NOVIEMBRE")</f>
        <v>NOVIEMBRE</v>
      </c>
      <c r="D114" s="1174" t="b">
        <f>IFERROR(__xludf.DUMMYFUNCTION("""COMPUTED_VALUE"""),TRUE)</f>
        <v>1</v>
      </c>
      <c r="E114" s="1174" t="str">
        <f>IFERROR(__xludf.DUMMYFUNCTION("""COMPUTED_VALUE"""),"Laptop")</f>
        <v>Laptop</v>
      </c>
      <c r="F114" s="1176">
        <f>IFERROR(__xludf.DUMMYFUNCTION("""COMPUTED_VALUE"""),1149.99)</f>
        <v>1149.99</v>
      </c>
      <c r="G114" s="1177">
        <f>IFERROR(__xludf.DUMMYFUNCTION("""COMPUTED_VALUE"""),214.32999999999993)</f>
        <v>214.33</v>
      </c>
      <c r="H114" s="1174" t="b">
        <f>IFERROR(__xludf.DUMMYFUNCTION("""COMPUTED_VALUE"""),FALSE)</f>
        <v>0</v>
      </c>
      <c r="I114" s="1174" t="str">
        <f>IFERROR(__xludf.DUMMYFUNCTION("""COMPUTED_VALUE"""),"DICIEMBRE")</f>
        <v>DICIEMBRE</v>
      </c>
      <c r="J114" s="1177">
        <f>IFERROR(__xludf.DUMMYFUNCTION("""COMPUTED_VALUE"""),5499.0)</f>
        <v>5499</v>
      </c>
    </row>
    <row r="115">
      <c r="A115" s="1175">
        <f>IFERROR(__xludf.DUMMYFUNCTION("""COMPUTED_VALUE"""),45982.0)</f>
        <v>45982</v>
      </c>
      <c r="B115" s="1174" t="str">
        <f>IFERROR(__xludf.DUMMYFUNCTION("""COMPUTED_VALUE"""),"ke-eb-16-13858-07300")</f>
        <v>ke-eb-16-13858-07300</v>
      </c>
      <c r="C115" s="1174" t="str">
        <f>IFERROR(__xludf.DUMMYFUNCTION("""COMPUTED_VALUE"""),"NOVIEMBRE")</f>
        <v>NOVIEMBRE</v>
      </c>
      <c r="D115" s="1174" t="b">
        <f>IFERROR(__xludf.DUMMYFUNCTION("""COMPUTED_VALUE"""),TRUE)</f>
        <v>1</v>
      </c>
      <c r="E115" s="1174" t="str">
        <f>IFERROR(__xludf.DUMMYFUNCTION("""COMPUTED_VALUE"""),"Laptop")</f>
        <v>Laptop</v>
      </c>
      <c r="F115" s="1176">
        <f>IFERROR(__xludf.DUMMYFUNCTION("""COMPUTED_VALUE"""),2349.0)</f>
        <v>2349</v>
      </c>
      <c r="G115" s="1177">
        <f>IFERROR(__xludf.DUMMYFUNCTION("""COMPUTED_VALUE"""),219.96999999999935)</f>
        <v>219.97</v>
      </c>
      <c r="H115" s="1174" t="b">
        <f>IFERROR(__xludf.DUMMYFUNCTION("""COMPUTED_VALUE"""),FALSE)</f>
        <v>0</v>
      </c>
      <c r="I115" s="1174" t="str">
        <f>IFERROR(__xludf.DUMMYFUNCTION("""COMPUTED_VALUE"""),"DICIEMBRE")</f>
        <v>DICIEMBRE</v>
      </c>
      <c r="J115" s="1177">
        <f>IFERROR(__xludf.DUMMYFUNCTION("""COMPUTED_VALUE"""),10798.0)</f>
        <v>10798</v>
      </c>
    </row>
    <row r="116">
      <c r="A116" s="1175">
        <f>IFERROR(__xludf.DUMMYFUNCTION("""COMPUTED_VALUE"""),45983.0)</f>
        <v>45983</v>
      </c>
      <c r="B116" s="1174" t="str">
        <f>IFERROR(__xludf.DUMMYFUNCTION("""COMPUTED_VALUE"""),"so-eb-17-13860-66778")</f>
        <v>so-eb-17-13860-66778</v>
      </c>
      <c r="C116" s="1174" t="str">
        <f>IFERROR(__xludf.DUMMYFUNCTION("""COMPUTED_VALUE"""),"DICIEMBRE")</f>
        <v>DICIEMBRE</v>
      </c>
      <c r="D116" s="1174" t="b">
        <f>IFERROR(__xludf.DUMMYFUNCTION("""COMPUTED_VALUE"""),TRUE)</f>
        <v>1</v>
      </c>
      <c r="E116" s="1174" t="str">
        <f>IFERROR(__xludf.DUMMYFUNCTION("""COMPUTED_VALUE"""),"Laptop")</f>
        <v>Laptop</v>
      </c>
      <c r="F116" s="1176">
        <f>IFERROR(__xludf.DUMMYFUNCTION("""COMPUTED_VALUE"""),1599.99)</f>
        <v>1599.99</v>
      </c>
      <c r="G116" s="1177">
        <f>IFERROR(__xludf.DUMMYFUNCTION("""COMPUTED_VALUE"""),20.25)</f>
        <v>20.25</v>
      </c>
      <c r="H116" s="1174" t="b">
        <f>IFERROR(__xludf.DUMMYFUNCTION("""COMPUTED_VALUE"""),FALSE)</f>
        <v>0</v>
      </c>
      <c r="I116" s="1174" t="str">
        <f>IFERROR(__xludf.DUMMYFUNCTION("""COMPUTED_VALUE"""),"DICIEMBRE")</f>
        <v>DICIEMBRE</v>
      </c>
      <c r="J116" s="1177">
        <f>IFERROR(__xludf.DUMMYFUNCTION("""COMPUTED_VALUE"""),7246.25)</f>
        <v>7246.25</v>
      </c>
    </row>
    <row r="117">
      <c r="A117" s="1175">
        <f>IFERROR(__xludf.DUMMYFUNCTION("""COMPUTED_VALUE"""),45983.0)</f>
        <v>45983</v>
      </c>
      <c r="B117" s="1174" t="str">
        <f>IFERROR(__xludf.DUMMYFUNCTION("""COMPUTED_VALUE"""),"ke-eb-16-13821-78801")</f>
        <v>ke-eb-16-13821-78801</v>
      </c>
      <c r="C117" s="1174" t="str">
        <f>IFERROR(__xludf.DUMMYFUNCTION("""COMPUTED_VALUE"""),"NOVIEMBRE")</f>
        <v>NOVIEMBRE</v>
      </c>
      <c r="D117" s="1174" t="b">
        <f>IFERROR(__xludf.DUMMYFUNCTION("""COMPUTED_VALUE"""),TRUE)</f>
        <v>1</v>
      </c>
      <c r="E117" s="1174" t="str">
        <f>IFERROR(__xludf.DUMMYFUNCTION("""COMPUTED_VALUE"""),"Laptop")</f>
        <v>Laptop</v>
      </c>
      <c r="F117" s="1176">
        <f>IFERROR(__xludf.DUMMYFUNCTION("""COMPUTED_VALUE"""),1359.99)</f>
        <v>1359.99</v>
      </c>
      <c r="G117" s="1177">
        <f>IFERROR(__xludf.DUMMYFUNCTION("""COMPUTED_VALUE"""),68.0)</f>
        <v>68</v>
      </c>
      <c r="H117" s="1174" t="b">
        <f>IFERROR(__xludf.DUMMYFUNCTION("""COMPUTED_VALUE"""),FALSE)</f>
        <v>0</v>
      </c>
      <c r="I117" s="1174" t="str">
        <f>IFERROR(__xludf.DUMMYFUNCTION("""COMPUTED_VALUE"""),"NOVIEMBRE")</f>
        <v>NOVIEMBRE</v>
      </c>
      <c r="J117" s="1177">
        <f>IFERROR(__xludf.DUMMYFUNCTION("""COMPUTED_VALUE"""),5999.0)</f>
        <v>5999</v>
      </c>
    </row>
    <row r="118">
      <c r="A118" s="1175">
        <f>IFERROR(__xludf.DUMMYFUNCTION("""COMPUTED_VALUE"""),45985.0)</f>
        <v>45985</v>
      </c>
      <c r="B118" s="1174" t="str">
        <f>IFERROR(__xludf.DUMMYFUNCTION("""COMPUTED_VALUE"""),"li-mi-261125")</f>
        <v>li-mi-261125</v>
      </c>
      <c r="C118" s="1174" t="str">
        <f>IFERROR(__xludf.DUMMYFUNCTION("""COMPUTED_VALUE"""),"NOVIEMBRE")</f>
        <v>NOVIEMBRE</v>
      </c>
      <c r="D118" s="1174" t="b">
        <f>IFERROR(__xludf.DUMMYFUNCTION("""COMPUTED_VALUE"""),TRUE)</f>
        <v>1</v>
      </c>
      <c r="E118" s="1174" t="str">
        <f>IFERROR(__xludf.DUMMYFUNCTION("""COMPUTED_VALUE"""),"Laptop")</f>
        <v>Laptop</v>
      </c>
      <c r="F118" s="1176">
        <f>IFERROR(__xludf.DUMMYFUNCTION("""COMPUTED_VALUE"""),799.99)</f>
        <v>799.99</v>
      </c>
      <c r="G118" s="1177">
        <f>IFERROR(__xludf.DUMMYFUNCTION("""COMPUTED_VALUE"""),2.899999999999636)</f>
        <v>2.9</v>
      </c>
      <c r="H118" s="1174" t="b">
        <f>IFERROR(__xludf.DUMMYFUNCTION("""COMPUTED_VALUE"""),FALSE)</f>
        <v>0</v>
      </c>
      <c r="I118" s="1174" t="str">
        <f>IFERROR(__xludf.DUMMYFUNCTION("""COMPUTED_VALUE"""),"DICIEMBRE")</f>
        <v>DICIEMBRE</v>
      </c>
      <c r="J118" s="1177">
        <f>IFERROR(__xludf.DUMMYFUNCTION("""COMPUTED_VALUE"""),4199.0)</f>
        <v>4199</v>
      </c>
    </row>
    <row r="119">
      <c r="A119" s="1175">
        <f>IFERROR(__xludf.DUMMYFUNCTION("""COMPUTED_VALUE"""),45986.0)</f>
        <v>45986</v>
      </c>
      <c r="B119" s="1174" t="str">
        <f>IFERROR(__xludf.DUMMYFUNCTION("""COMPUTED_VALUE"""),"ke-am-113-7331775-9218625")</f>
        <v>ke-am-113-7331775-9218625</v>
      </c>
      <c r="C119" s="1174" t="str">
        <f>IFERROR(__xludf.DUMMYFUNCTION("""COMPUTED_VALUE"""),"NOVIEMBRE")</f>
        <v>NOVIEMBRE</v>
      </c>
      <c r="D119" s="1174" t="b">
        <f>IFERROR(__xludf.DUMMYFUNCTION("""COMPUTED_VALUE"""),TRUE)</f>
        <v>1</v>
      </c>
      <c r="E119" s="1174" t="str">
        <f>IFERROR(__xludf.DUMMYFUNCTION("""COMPUTED_VALUE"""),"Laptop")</f>
        <v>Laptop</v>
      </c>
      <c r="F119" s="1176">
        <f>IFERROR(__xludf.DUMMYFUNCTION("""COMPUTED_VALUE"""),1879.99)</f>
        <v>1879.99</v>
      </c>
      <c r="G119" s="1177">
        <f>IFERROR(__xludf.DUMMYFUNCTION("""COMPUTED_VALUE"""),178.76000000000022)</f>
        <v>178.76</v>
      </c>
      <c r="H119" s="1174" t="b">
        <f>IFERROR(__xludf.DUMMYFUNCTION("""COMPUTED_VALUE"""),FALSE)</f>
        <v>0</v>
      </c>
      <c r="I119" s="1174" t="str">
        <f>IFERROR(__xludf.DUMMYFUNCTION("""COMPUTED_VALUE"""),"DICIEMBRE")</f>
        <v>DICIEMBRE</v>
      </c>
      <c r="J119" s="1177">
        <f>IFERROR(__xludf.DUMMYFUNCTION("""COMPUTED_VALUE"""),8798.0)</f>
        <v>8798</v>
      </c>
    </row>
    <row r="120">
      <c r="A120" s="1175">
        <f>IFERROR(__xludf.DUMMYFUNCTION("""COMPUTED_VALUE"""),45986.0)</f>
        <v>45986</v>
      </c>
      <c r="B120" s="1174" t="str">
        <f>IFERROR(__xludf.DUMMYFUNCTION("""COMPUTED_VALUE"""),"ga-co-181125-2")</f>
        <v>ga-co-181125-2</v>
      </c>
      <c r="C120" s="1174" t="str">
        <f>IFERROR(__xludf.DUMMYFUNCTION("""COMPUTED_VALUE"""),"NOVIEMBRE")</f>
        <v>NOVIEMBRE</v>
      </c>
      <c r="D120" s="1174" t="b">
        <f>IFERROR(__xludf.DUMMYFUNCTION("""COMPUTED_VALUE"""),TRUE)</f>
        <v>1</v>
      </c>
      <c r="E120" s="1174" t="str">
        <f>IFERROR(__xludf.DUMMYFUNCTION("""COMPUTED_VALUE"""),"Laptop")</f>
        <v>Laptop</v>
      </c>
      <c r="F120" s="1176">
        <f>IFERROR(__xludf.DUMMYFUNCTION("""COMPUTED_VALUE"""),1199.99)</f>
        <v>1199.99</v>
      </c>
      <c r="G120" s="1177">
        <f>IFERROR(__xludf.DUMMYFUNCTION("""COMPUTED_VALUE"""),219.0)</f>
        <v>219</v>
      </c>
      <c r="H120" s="1174" t="b">
        <f>IFERROR(__xludf.DUMMYFUNCTION("""COMPUTED_VALUE"""),FALSE)</f>
        <v>0</v>
      </c>
      <c r="I120" s="1174" t="str">
        <f>IFERROR(__xludf.DUMMYFUNCTION("""COMPUTED_VALUE"""),"DICIEMBRE")</f>
        <v>DICIEMBRE</v>
      </c>
      <c r="J120" s="1177">
        <f>IFERROR(__xludf.DUMMYFUNCTION("""COMPUTED_VALUE"""),6299.0)</f>
        <v>6299</v>
      </c>
    </row>
    <row r="121">
      <c r="A121" s="1175">
        <f>IFERROR(__xludf.DUMMYFUNCTION("""COMPUTED_VALUE"""),45986.0)</f>
        <v>45986</v>
      </c>
      <c r="B121" s="1174" t="str">
        <f>IFERROR(__xludf.DUMMYFUNCTION("""COMPUTED_VALUE"""),"so-BBY01-807111547004")</f>
        <v>so-BBY01-807111547004</v>
      </c>
      <c r="C121" s="1174" t="str">
        <f>IFERROR(__xludf.DUMMYFUNCTION("""COMPUTED_VALUE"""),"NOVIEMBRE")</f>
        <v>NOVIEMBRE</v>
      </c>
      <c r="D121" s="1174" t="b">
        <f>IFERROR(__xludf.DUMMYFUNCTION("""COMPUTED_VALUE"""),TRUE)</f>
        <v>1</v>
      </c>
      <c r="E121" s="1174" t="str">
        <f>IFERROR(__xludf.DUMMYFUNCTION("""COMPUTED_VALUE"""),"Laptop")</f>
        <v>Laptop</v>
      </c>
      <c r="F121" s="1176">
        <f>IFERROR(__xludf.DUMMYFUNCTION("""COMPUTED_VALUE"""),1049.99)</f>
        <v>1049.99</v>
      </c>
      <c r="G121" s="1177">
        <f>IFERROR(__xludf.DUMMYFUNCTION("""COMPUTED_VALUE"""),8.0)</f>
        <v>8</v>
      </c>
      <c r="H121" s="1174" t="b">
        <f>IFERROR(__xludf.DUMMYFUNCTION("""COMPUTED_VALUE"""),FALSE)</f>
        <v>0</v>
      </c>
      <c r="I121" s="1174" t="str">
        <f>IFERROR(__xludf.DUMMYFUNCTION("""COMPUTED_VALUE"""),"DICIEMBRE")</f>
        <v>DICIEMBRE</v>
      </c>
      <c r="J121" s="1177">
        <f>IFERROR(__xludf.DUMMYFUNCTION("""COMPUTED_VALUE"""),5000.0)</f>
        <v>5000</v>
      </c>
    </row>
    <row r="122">
      <c r="A122" s="1175">
        <f>IFERROR(__xludf.DUMMYFUNCTION("""COMPUTED_VALUE"""),45987.0)</f>
        <v>45987</v>
      </c>
      <c r="B122" s="1174" t="str">
        <f>IFERROR(__xludf.DUMMYFUNCTION("""COMPUTED_VALUE"""),"k-a-113-1383259-4609047")</f>
        <v>k-a-113-1383259-4609047</v>
      </c>
      <c r="C122" s="1174" t="str">
        <f>IFERROR(__xludf.DUMMYFUNCTION("""COMPUTED_VALUE"""),"NOVIEMBRE")</f>
        <v>NOVIEMBRE</v>
      </c>
      <c r="D122" s="1174" t="b">
        <f>IFERROR(__xludf.DUMMYFUNCTION("""COMPUTED_VALUE"""),TRUE)</f>
        <v>1</v>
      </c>
      <c r="E122" s="1174" t="str">
        <f>IFERROR(__xludf.DUMMYFUNCTION("""COMPUTED_VALUE"""),"Laptop")</f>
        <v>Laptop</v>
      </c>
      <c r="F122" s="1176">
        <f>IFERROR(__xludf.DUMMYFUNCTION("""COMPUTED_VALUE"""),1164.99)</f>
        <v>1164.99</v>
      </c>
      <c r="G122" s="1177">
        <f>IFERROR(__xludf.DUMMYFUNCTION("""COMPUTED_VALUE"""),0.0)</f>
        <v>0</v>
      </c>
      <c r="H122" s="1174" t="b">
        <f>IFERROR(__xludf.DUMMYFUNCTION("""COMPUTED_VALUE"""),FALSE)</f>
        <v>0</v>
      </c>
      <c r="I122" s="1174" t="str">
        <f>IFERROR(__xludf.DUMMYFUNCTION("""COMPUTED_VALUE"""),"NOVIEMBRE")</f>
        <v>NOVIEMBRE</v>
      </c>
      <c r="J122" s="1177">
        <f>IFERROR(__xludf.DUMMYFUNCTION("""COMPUTED_VALUE"""),5605.0)</f>
        <v>5605</v>
      </c>
    </row>
    <row r="123">
      <c r="A123" s="1175">
        <f>IFERROR(__xludf.DUMMYFUNCTION("""COMPUTED_VALUE"""),45988.0)</f>
        <v>45988</v>
      </c>
      <c r="B123" s="1174" t="str">
        <f>IFERROR(__xludf.DUMMYFUNCTION("""COMPUTED_VALUE"""),"ga-co-281125")</f>
        <v>ga-co-281125</v>
      </c>
      <c r="C123" s="1174" t="str">
        <f>IFERROR(__xludf.DUMMYFUNCTION("""COMPUTED_VALUE"""),"DICIEMBRE")</f>
        <v>DICIEMBRE</v>
      </c>
      <c r="D123" s="1174" t="b">
        <f>IFERROR(__xludf.DUMMYFUNCTION("""COMPUTED_VALUE"""),TRUE)</f>
        <v>1</v>
      </c>
      <c r="E123" s="1174" t="str">
        <f>IFERROR(__xludf.DUMMYFUNCTION("""COMPUTED_VALUE"""),"Laptop")</f>
        <v>Laptop</v>
      </c>
      <c r="F123" s="1176">
        <f>IFERROR(__xludf.DUMMYFUNCTION("""COMPUTED_VALUE"""),1599.99)</f>
        <v>1599.99</v>
      </c>
      <c r="G123" s="1177">
        <f>IFERROR(__xludf.DUMMYFUNCTION("""COMPUTED_VALUE"""),201.97999999999956)</f>
        <v>201.98</v>
      </c>
      <c r="H123" s="1174" t="b">
        <f>IFERROR(__xludf.DUMMYFUNCTION("""COMPUTED_VALUE"""),FALSE)</f>
        <v>0</v>
      </c>
      <c r="I123" s="1174" t="str">
        <f>IFERROR(__xludf.DUMMYFUNCTION("""COMPUTED_VALUE"""),"DICIEMBRE")</f>
        <v>DICIEMBRE</v>
      </c>
      <c r="J123" s="1177">
        <f>IFERROR(__xludf.DUMMYFUNCTION("""COMPUTED_VALUE"""),7899.0)</f>
        <v>7899</v>
      </c>
    </row>
    <row r="124">
      <c r="A124" s="1175">
        <f>IFERROR(__xludf.DUMMYFUNCTION("""COMPUTED_VALUE"""),45988.0)</f>
        <v>45988</v>
      </c>
      <c r="B124" s="1174" t="str">
        <f>IFERROR(__xludf.DUMMYFUNCTION("""COMPUTED_VALUE"""),"ke-am-113-2436061-6948261")</f>
        <v>ke-am-113-2436061-6948261</v>
      </c>
      <c r="C124" s="1174" t="str">
        <f>IFERROR(__xludf.DUMMYFUNCTION("""COMPUTED_VALUE"""),"DICIEMBRE")</f>
        <v>DICIEMBRE</v>
      </c>
      <c r="D124" s="1174" t="b">
        <f>IFERROR(__xludf.DUMMYFUNCTION("""COMPUTED_VALUE"""),TRUE)</f>
        <v>1</v>
      </c>
      <c r="E124" s="1174" t="str">
        <f>IFERROR(__xludf.DUMMYFUNCTION("""COMPUTED_VALUE"""),"Laptop")</f>
        <v>Laptop</v>
      </c>
      <c r="F124" s="1176">
        <f>IFERROR(__xludf.DUMMYFUNCTION("""COMPUTED_VALUE"""),1299.99)</f>
        <v>1299.99</v>
      </c>
      <c r="G124" s="1177">
        <f>IFERROR(__xludf.DUMMYFUNCTION("""COMPUTED_VALUE"""),190.0)</f>
        <v>190</v>
      </c>
      <c r="H124" s="1174" t="b">
        <f>IFERROR(__xludf.DUMMYFUNCTION("""COMPUTED_VALUE"""),FALSE)</f>
        <v>0</v>
      </c>
      <c r="I124" s="1174" t="str">
        <f>IFERROR(__xludf.DUMMYFUNCTION("""COMPUTED_VALUE"""),"DICIEMBRE")</f>
        <v>DICIEMBRE</v>
      </c>
      <c r="J124" s="1177">
        <f>IFERROR(__xludf.DUMMYFUNCTION("""COMPUTED_VALUE"""),5722.0)</f>
        <v>5722</v>
      </c>
    </row>
    <row r="125">
      <c r="A125" s="1175">
        <f>IFERROR(__xludf.DUMMYFUNCTION("""COMPUTED_VALUE"""),45988.0)</f>
        <v>45988</v>
      </c>
      <c r="B125" s="1174"/>
      <c r="C125" s="1174"/>
      <c r="D125" s="1174" t="b">
        <f>IFERROR(__xludf.DUMMYFUNCTION("""COMPUTED_VALUE"""),FALSE)</f>
        <v>0</v>
      </c>
      <c r="E125" s="1174" t="str">
        <f>IFERROR(__xludf.DUMMYFUNCTION("""COMPUTED_VALUE"""),"Laptop")</f>
        <v>Laptop</v>
      </c>
      <c r="F125" s="1176">
        <f>IFERROR(__xludf.DUMMYFUNCTION("""COMPUTED_VALUE"""),1299.99)</f>
        <v>1299.99</v>
      </c>
      <c r="G125" s="1177">
        <f>IFERROR(__xludf.DUMMYFUNCTION("""COMPUTED_VALUE"""),277.0)</f>
        <v>277</v>
      </c>
      <c r="H125" s="1174" t="b">
        <f>IFERROR(__xludf.DUMMYFUNCTION("""COMPUTED_VALUE"""),FALSE)</f>
        <v>0</v>
      </c>
      <c r="I125" s="1174"/>
      <c r="J125" s="1177">
        <f>IFERROR(__xludf.DUMMYFUNCTION("""COMPUTED_VALUE"""),5999.0)</f>
        <v>5999</v>
      </c>
    </row>
    <row r="126">
      <c r="A126" s="1175">
        <f>IFERROR(__xludf.DUMMYFUNCTION("""COMPUTED_VALUE"""),45989.0)</f>
        <v>45989</v>
      </c>
      <c r="B126" s="1174" t="str">
        <f>IFERROR(__xludf.DUMMYFUNCTION("""COMPUTED_VALUE"""),"ja-mi-031225")</f>
        <v>ja-mi-031225</v>
      </c>
      <c r="C126" s="1174" t="str">
        <f>IFERROR(__xludf.DUMMYFUNCTION("""COMPUTED_VALUE"""),"DICIEMBRE")</f>
        <v>DICIEMBRE</v>
      </c>
      <c r="D126" s="1174" t="b">
        <f>IFERROR(__xludf.DUMMYFUNCTION("""COMPUTED_VALUE"""),TRUE)</f>
        <v>1</v>
      </c>
      <c r="E126" s="1174" t="str">
        <f>IFERROR(__xludf.DUMMYFUNCTION("""COMPUTED_VALUE"""),"Laptop")</f>
        <v>Laptop</v>
      </c>
      <c r="F126" s="1176">
        <f>IFERROR(__xludf.DUMMYFUNCTION("""COMPUTED_VALUE"""),1999.99)</f>
        <v>1999.99</v>
      </c>
      <c r="G126" s="1177">
        <f>IFERROR(__xludf.DUMMYFUNCTION("""COMPUTED_VALUE"""),565.6100000000006)</f>
        <v>565.61</v>
      </c>
      <c r="H126" s="1174" t="b">
        <f>IFERROR(__xludf.DUMMYFUNCTION("""COMPUTED_VALUE"""),FALSE)</f>
        <v>0</v>
      </c>
      <c r="I126" s="1174" t="str">
        <f>IFERROR(__xludf.DUMMYFUNCTION("""COMPUTED_VALUE"""),"DICIEMBRE")</f>
        <v>DICIEMBRE</v>
      </c>
      <c r="J126" s="1177">
        <f>IFERROR(__xludf.DUMMYFUNCTION("""COMPUTED_VALUE"""),10148.0)</f>
        <v>10148</v>
      </c>
    </row>
    <row r="127">
      <c r="A127" s="1175">
        <f>IFERROR(__xludf.DUMMYFUNCTION("""COMPUTED_VALUE"""),45989.0)</f>
        <v>45989</v>
      </c>
      <c r="B127" s="1174" t="str">
        <f>IFERROR(__xludf.DUMMYFUNCTION("""COMPUTED_VALUE"""),"ke-bh-1125650158")</f>
        <v>ke-bh-1125650158</v>
      </c>
      <c r="C127" s="1174" t="str">
        <f>IFERROR(__xludf.DUMMYFUNCTION("""COMPUTED_VALUE"""),"DICIEMBRE")</f>
        <v>DICIEMBRE</v>
      </c>
      <c r="D127" s="1174" t="b">
        <f>IFERROR(__xludf.DUMMYFUNCTION("""COMPUTED_VALUE"""),TRUE)</f>
        <v>1</v>
      </c>
      <c r="E127" s="1174" t="str">
        <f>IFERROR(__xludf.DUMMYFUNCTION("""COMPUTED_VALUE"""),"Laptop")</f>
        <v>Laptop</v>
      </c>
      <c r="F127" s="1176">
        <f>IFERROR(__xludf.DUMMYFUNCTION("""COMPUTED_VALUE"""),2249.99)</f>
        <v>2249.99</v>
      </c>
      <c r="G127" s="1177">
        <f>IFERROR(__xludf.DUMMYFUNCTION("""COMPUTED_VALUE"""),407.64999999999964)</f>
        <v>407.65</v>
      </c>
      <c r="H127" s="1174" t="b">
        <f>IFERROR(__xludf.DUMMYFUNCTION("""COMPUTED_VALUE"""),FALSE)</f>
        <v>0</v>
      </c>
      <c r="I127" s="1174" t="str">
        <f>IFERROR(__xludf.DUMMYFUNCTION("""COMPUTED_VALUE"""),"DICIEMBRE")</f>
        <v>DICIEMBRE</v>
      </c>
      <c r="J127" s="1177">
        <f>IFERROR(__xludf.DUMMYFUNCTION("""COMPUTED_VALUE"""),9999.0)</f>
        <v>9999</v>
      </c>
    </row>
    <row r="128">
      <c r="A128" s="1175">
        <f>IFERROR(__xludf.DUMMYFUNCTION("""COMPUTED_VALUE"""),45990.0)</f>
        <v>45990</v>
      </c>
      <c r="B128" s="1174" t="str">
        <f>IFERROR(__xludf.DUMMYFUNCTION("""COMPUTED_VALUE"""),"ke-eb-10-13791-23716")</f>
        <v>ke-eb-10-13791-23716</v>
      </c>
      <c r="C128" s="1174" t="str">
        <f>IFERROR(__xludf.DUMMYFUNCTION("""COMPUTED_VALUE"""),"NOVIEMBRE")</f>
        <v>NOVIEMBRE</v>
      </c>
      <c r="D128" s="1174" t="b">
        <f>IFERROR(__xludf.DUMMYFUNCTION("""COMPUTED_VALUE"""),TRUE)</f>
        <v>1</v>
      </c>
      <c r="E128" s="1174" t="str">
        <f>IFERROR(__xludf.DUMMYFUNCTION("""COMPUTED_VALUE"""),"Laptop")</f>
        <v>Laptop</v>
      </c>
      <c r="F128" s="1176">
        <f>IFERROR(__xludf.DUMMYFUNCTION("""COMPUTED_VALUE"""),1599.99)</f>
        <v>1599.99</v>
      </c>
      <c r="G128" s="1177">
        <f>IFERROR(__xludf.DUMMYFUNCTION("""COMPUTED_VALUE"""),5.0)</f>
        <v>5</v>
      </c>
      <c r="H128" s="1174" t="b">
        <f>IFERROR(__xludf.DUMMYFUNCTION("""COMPUTED_VALUE"""),FALSE)</f>
        <v>0</v>
      </c>
      <c r="I128" s="1174" t="str">
        <f>IFERROR(__xludf.DUMMYFUNCTION("""COMPUTED_VALUE"""),"NOVIEMBRE")</f>
        <v>NOVIEMBRE</v>
      </c>
      <c r="J128" s="1177">
        <f>IFERROR(__xludf.DUMMYFUNCTION("""COMPUTED_VALUE"""),6999.0)</f>
        <v>6999</v>
      </c>
    </row>
    <row r="129">
      <c r="A129" s="1175">
        <f>IFERROR(__xludf.DUMMYFUNCTION("""COMPUTED_VALUE"""),45990.0)</f>
        <v>45990</v>
      </c>
      <c r="B129" s="1174" t="str">
        <f>IFERROR(__xludf.DUMMYFUNCTION("""COMPUTED_VALUE"""),"li-co-181125")</f>
        <v>li-co-181125</v>
      </c>
      <c r="C129" s="1174" t="str">
        <f>IFERROR(__xludf.DUMMYFUNCTION("""COMPUTED_VALUE"""),"NOVIEMBRE")</f>
        <v>NOVIEMBRE</v>
      </c>
      <c r="D129" s="1174" t="b">
        <f>IFERROR(__xludf.DUMMYFUNCTION("""COMPUTED_VALUE"""),TRUE)</f>
        <v>1</v>
      </c>
      <c r="E129" s="1174" t="str">
        <f>IFERROR(__xludf.DUMMYFUNCTION("""COMPUTED_VALUE"""),"Laptop")</f>
        <v>Laptop</v>
      </c>
      <c r="F129" s="1176">
        <f>IFERROR(__xludf.DUMMYFUNCTION("""COMPUTED_VALUE"""),1199.99)</f>
        <v>1199.99</v>
      </c>
      <c r="G129" s="1177">
        <f>IFERROR(__xludf.DUMMYFUNCTION("""COMPUTED_VALUE"""),19.0)</f>
        <v>19</v>
      </c>
      <c r="H129" s="1174" t="b">
        <f>IFERROR(__xludf.DUMMYFUNCTION("""COMPUTED_VALUE"""),FALSE)</f>
        <v>0</v>
      </c>
      <c r="I129" s="1174" t="str">
        <f>IFERROR(__xludf.DUMMYFUNCTION("""COMPUTED_VALUE"""),"DICIEMBRE")</f>
        <v>DICIEMBRE</v>
      </c>
      <c r="J129" s="1177">
        <f>IFERROR(__xludf.DUMMYFUNCTION("""COMPUTED_VALUE"""),5999.0)</f>
        <v>5999</v>
      </c>
    </row>
    <row r="130">
      <c r="A130" s="1175">
        <f>IFERROR(__xludf.DUMMYFUNCTION("""COMPUTED_VALUE"""),45990.0)</f>
        <v>45990</v>
      </c>
      <c r="B130" s="1174" t="str">
        <f>IFERROR(__xludf.DUMMYFUNCTION("""COMPUTED_VALUE"""),"ke-am-113-2852372-4055420")</f>
        <v>ke-am-113-2852372-4055420</v>
      </c>
      <c r="C130" s="1174" t="str">
        <f>IFERROR(__xludf.DUMMYFUNCTION("""COMPUTED_VALUE"""),"DICIEMBRE")</f>
        <v>DICIEMBRE</v>
      </c>
      <c r="D130" s="1174" t="b">
        <f>IFERROR(__xludf.DUMMYFUNCTION("""COMPUTED_VALUE"""),TRUE)</f>
        <v>1</v>
      </c>
      <c r="E130" s="1174" t="str">
        <f>IFERROR(__xludf.DUMMYFUNCTION("""COMPUTED_VALUE"""),"Laptop")</f>
        <v>Laptop</v>
      </c>
      <c r="F130" s="1176">
        <f>IFERROR(__xludf.DUMMYFUNCTION("""COMPUTED_VALUE"""),1424.95)</f>
        <v>1424.95</v>
      </c>
      <c r="G130" s="1177">
        <f>IFERROR(__xludf.DUMMYFUNCTION("""COMPUTED_VALUE"""),0.0)</f>
        <v>0</v>
      </c>
      <c r="H130" s="1174" t="b">
        <f>IFERROR(__xludf.DUMMYFUNCTION("""COMPUTED_VALUE"""),FALSE)</f>
        <v>0</v>
      </c>
      <c r="I130" s="1174" t="str">
        <f>IFERROR(__xludf.DUMMYFUNCTION("""COMPUTED_VALUE"""),"DICIEMBRE")</f>
        <v>DICIEMBRE</v>
      </c>
      <c r="J130" s="1177">
        <f>IFERROR(__xludf.DUMMYFUNCTION("""COMPUTED_VALUE"""),6163.0)</f>
        <v>6163</v>
      </c>
    </row>
    <row r="131">
      <c r="A131" s="1175">
        <f>IFERROR(__xludf.DUMMYFUNCTION("""COMPUTED_VALUE"""),45990.0)</f>
        <v>45990</v>
      </c>
      <c r="B131" s="1174" t="str">
        <f>IFERROR(__xludf.DUMMYFUNCTION("""COMPUTED_VALUE"""),"ka-co-191125-2")</f>
        <v>ka-co-191125-2</v>
      </c>
      <c r="C131" s="1174" t="str">
        <f>IFERROR(__xludf.DUMMYFUNCTION("""COMPUTED_VALUE"""),"NOVIEMBRE")</f>
        <v>NOVIEMBRE</v>
      </c>
      <c r="D131" s="1174" t="b">
        <f>IFERROR(__xludf.DUMMYFUNCTION("""COMPUTED_VALUE"""),TRUE)</f>
        <v>1</v>
      </c>
      <c r="E131" s="1174" t="str">
        <f>IFERROR(__xludf.DUMMYFUNCTION("""COMPUTED_VALUE"""),"Laptop")</f>
        <v>Laptop</v>
      </c>
      <c r="F131" s="1176">
        <f>IFERROR(__xludf.DUMMYFUNCTION("""COMPUTED_VALUE"""),1199.0)</f>
        <v>1199</v>
      </c>
      <c r="G131" s="1177">
        <f>IFERROR(__xludf.DUMMYFUNCTION("""COMPUTED_VALUE"""),150.0)</f>
        <v>150</v>
      </c>
      <c r="H131" s="1174" t="b">
        <f>IFERROR(__xludf.DUMMYFUNCTION("""COMPUTED_VALUE"""),FALSE)</f>
        <v>0</v>
      </c>
      <c r="I131" s="1174" t="str">
        <f>IFERROR(__xludf.DUMMYFUNCTION("""COMPUTED_VALUE"""),"NOVIEMBRE")</f>
        <v>NOVIEMBRE</v>
      </c>
      <c r="J131" s="1177">
        <f>IFERROR(__xludf.DUMMYFUNCTION("""COMPUTED_VALUE"""),6200.0)</f>
        <v>6200</v>
      </c>
    </row>
    <row r="132">
      <c r="A132" s="1175">
        <f>IFERROR(__xludf.DUMMYFUNCTION("""COMPUTED_VALUE"""),45990.0)</f>
        <v>45990</v>
      </c>
      <c r="B132" s="1174" t="str">
        <f>IFERROR(__xludf.DUMMYFUNCTION("""COMPUTED_VALUE"""),"ga-co-281125-2")</f>
        <v>ga-co-281125-2</v>
      </c>
      <c r="C132" s="1174" t="str">
        <f>IFERROR(__xludf.DUMMYFUNCTION("""COMPUTED_VALUE"""),"DICIEMBRE")</f>
        <v>DICIEMBRE</v>
      </c>
      <c r="D132" s="1174" t="b">
        <f>IFERROR(__xludf.DUMMYFUNCTION("""COMPUTED_VALUE"""),TRUE)</f>
        <v>1</v>
      </c>
      <c r="E132" s="1174" t="str">
        <f>IFERROR(__xludf.DUMMYFUNCTION("""COMPUTED_VALUE"""),"Laptop")</f>
        <v>Laptop</v>
      </c>
      <c r="F132" s="1176">
        <f>IFERROR(__xludf.DUMMYFUNCTION("""COMPUTED_VALUE"""),1199.0)</f>
        <v>1199</v>
      </c>
      <c r="G132" s="1177">
        <f>IFERROR(__xludf.DUMMYFUNCTION("""COMPUTED_VALUE"""),91.0)</f>
        <v>91</v>
      </c>
      <c r="H132" s="1174" t="b">
        <f>IFERROR(__xludf.DUMMYFUNCTION("""COMPUTED_VALUE"""),FALSE)</f>
        <v>0</v>
      </c>
      <c r="I132" s="1174" t="str">
        <f>IFERROR(__xludf.DUMMYFUNCTION("""COMPUTED_VALUE"""),"DICIEMBRE")</f>
        <v>DICIEMBRE</v>
      </c>
      <c r="J132" s="1177">
        <f>IFERROR(__xludf.DUMMYFUNCTION("""COMPUTED_VALUE"""),5971.0)</f>
        <v>5971</v>
      </c>
    </row>
    <row r="133">
      <c r="A133" s="1175">
        <f>IFERROR(__xludf.DUMMYFUNCTION("""COMPUTED_VALUE"""),45990.0)</f>
        <v>45990</v>
      </c>
      <c r="B133" s="1174" t="str">
        <f>IFERROR(__xludf.DUMMYFUNCTION("""COMPUTED_VALUE"""),"li-mi-171225")</f>
        <v>li-mi-171225</v>
      </c>
      <c r="C133" s="1174" t="str">
        <f>IFERROR(__xludf.DUMMYFUNCTION("""COMPUTED_VALUE"""),"DICIEMBRE")</f>
        <v>DICIEMBRE</v>
      </c>
      <c r="D133" s="1174" t="b">
        <f>IFERROR(__xludf.DUMMYFUNCTION("""COMPUTED_VALUE"""),TRUE)</f>
        <v>1</v>
      </c>
      <c r="E133" s="1174" t="str">
        <f>IFERROR(__xludf.DUMMYFUNCTION("""COMPUTED_VALUE"""),"Laptop")</f>
        <v>Laptop</v>
      </c>
      <c r="F133" s="1176">
        <f>IFERROR(__xludf.DUMMYFUNCTION("""COMPUTED_VALUE"""),2299.99)</f>
        <v>2299.99</v>
      </c>
      <c r="G133" s="1177">
        <f>IFERROR(__xludf.DUMMYFUNCTION("""COMPUTED_VALUE"""),0.0)</f>
        <v>0</v>
      </c>
      <c r="H133" s="1174" t="b">
        <f>IFERROR(__xludf.DUMMYFUNCTION("""COMPUTED_VALUE"""),FALSE)</f>
        <v>0</v>
      </c>
      <c r="I133" s="1174"/>
      <c r="J133" s="1177">
        <f>IFERROR(__xludf.DUMMYFUNCTION("""COMPUTED_VALUE"""),9906.78)</f>
        <v>9906.78</v>
      </c>
    </row>
    <row r="134">
      <c r="A134" s="1175">
        <f>IFERROR(__xludf.DUMMYFUNCTION("""COMPUTED_VALUE"""),45990.0)</f>
        <v>45990</v>
      </c>
      <c r="B134" s="1174" t="str">
        <f>IFERROR(__xludf.DUMMYFUNCTION("""COMPUTED_VALUE"""),"ke-eb-15-13828-33548")</f>
        <v>ke-eb-15-13828-33548</v>
      </c>
      <c r="C134" s="1174" t="str">
        <f>IFERROR(__xludf.DUMMYFUNCTION("""COMPUTED_VALUE"""),"NOVIEMBRE")</f>
        <v>NOVIEMBRE</v>
      </c>
      <c r="D134" s="1174" t="b">
        <f>IFERROR(__xludf.DUMMYFUNCTION("""COMPUTED_VALUE"""),TRUE)</f>
        <v>1</v>
      </c>
      <c r="E134" s="1174" t="str">
        <f>IFERROR(__xludf.DUMMYFUNCTION("""COMPUTED_VALUE"""),"Laptop")</f>
        <v>Laptop</v>
      </c>
      <c r="F134" s="1176">
        <f>IFERROR(__xludf.DUMMYFUNCTION("""COMPUTED_VALUE"""),1449.99)</f>
        <v>1449.99</v>
      </c>
      <c r="G134" s="1177">
        <f>IFERROR(__xludf.DUMMYFUNCTION("""COMPUTED_VALUE"""),7.0)</f>
        <v>7</v>
      </c>
      <c r="H134" s="1174" t="b">
        <f>IFERROR(__xludf.DUMMYFUNCTION("""COMPUTED_VALUE"""),FALSE)</f>
        <v>0</v>
      </c>
      <c r="I134" s="1174" t="str">
        <f>IFERROR(__xludf.DUMMYFUNCTION("""COMPUTED_VALUE"""),"NOVIEMBRE")</f>
        <v>NOVIEMBRE</v>
      </c>
      <c r="J134" s="1177">
        <f>IFERROR(__xludf.DUMMYFUNCTION("""COMPUTED_VALUE"""),6399.0)</f>
        <v>6399</v>
      </c>
    </row>
    <row r="135">
      <c r="A135" s="1175">
        <f>IFERROR(__xludf.DUMMYFUNCTION("""COMPUTED_VALUE"""),45992.0)</f>
        <v>45992</v>
      </c>
      <c r="B135" s="1174" t="str">
        <f>IFERROR(__xludf.DUMMYFUNCTION("""COMPUTED_VALUE"""),"li-mi-151225")</f>
        <v>li-mi-151225</v>
      </c>
      <c r="C135" s="1174" t="str">
        <f>IFERROR(__xludf.DUMMYFUNCTION("""COMPUTED_VALUE"""),"DICIEMBRE")</f>
        <v>DICIEMBRE</v>
      </c>
      <c r="D135" s="1174" t="b">
        <f>IFERROR(__xludf.DUMMYFUNCTION("""COMPUTED_VALUE"""),TRUE)</f>
        <v>1</v>
      </c>
      <c r="E135" s="1174" t="str">
        <f>IFERROR(__xludf.DUMMYFUNCTION("""COMPUTED_VALUE"""),"Laptop")</f>
        <v>Laptop</v>
      </c>
      <c r="F135" s="1176">
        <f>IFERROR(__xludf.DUMMYFUNCTION("""COMPUTED_VALUE"""),1699.99)</f>
        <v>1699.99</v>
      </c>
      <c r="G135" s="1177">
        <f>IFERROR(__xludf.DUMMYFUNCTION("""COMPUTED_VALUE"""),580.3900000000003)</f>
        <v>580.39</v>
      </c>
      <c r="H135" s="1174" t="b">
        <f>IFERROR(__xludf.DUMMYFUNCTION("""COMPUTED_VALUE"""),FALSE)</f>
        <v>0</v>
      </c>
      <c r="I135" s="1174" t="str">
        <f>IFERROR(__xludf.DUMMYFUNCTION("""COMPUTED_VALUE"""),"DICIEMBRE")</f>
        <v>DICIEMBRE</v>
      </c>
      <c r="J135" s="1177">
        <f>IFERROR(__xludf.DUMMYFUNCTION("""COMPUTED_VALUE"""),8366.0)</f>
        <v>8366</v>
      </c>
    </row>
    <row r="136">
      <c r="A136" s="1175">
        <f>IFERROR(__xludf.DUMMYFUNCTION("""COMPUTED_VALUE"""),45994.0)</f>
        <v>45994</v>
      </c>
      <c r="B136" s="1174" t="str">
        <f>IFERROR(__xludf.DUMMYFUNCTION("""COMPUTED_VALUE"""),"ke-eb-16-13913-02614")</f>
        <v>ke-eb-16-13913-02614</v>
      </c>
      <c r="C136" s="1174" t="str">
        <f>IFERROR(__xludf.DUMMYFUNCTION("""COMPUTED_VALUE"""),"DICIEMBRE")</f>
        <v>DICIEMBRE</v>
      </c>
      <c r="D136" s="1174" t="b">
        <f>IFERROR(__xludf.DUMMYFUNCTION("""COMPUTED_VALUE"""),TRUE)</f>
        <v>1</v>
      </c>
      <c r="E136" s="1174" t="str">
        <f>IFERROR(__xludf.DUMMYFUNCTION("""COMPUTED_VALUE"""),"Laptop")</f>
        <v>Laptop</v>
      </c>
      <c r="F136" s="1176">
        <f>IFERROR(__xludf.DUMMYFUNCTION("""COMPUTED_VALUE"""),1899.99)</f>
        <v>1899.99</v>
      </c>
      <c r="G136" s="1177">
        <f>IFERROR(__xludf.DUMMYFUNCTION("""COMPUTED_VALUE"""),311.3900000000003)</f>
        <v>311.39</v>
      </c>
      <c r="H136" s="1174" t="b">
        <f>IFERROR(__xludf.DUMMYFUNCTION("""COMPUTED_VALUE"""),FALSE)</f>
        <v>0</v>
      </c>
      <c r="I136" s="1174" t="str">
        <f>IFERROR(__xludf.DUMMYFUNCTION("""COMPUTED_VALUE"""),"DICIEMBRE")</f>
        <v>DICIEMBRE</v>
      </c>
      <c r="J136" s="1177">
        <f>IFERROR(__xludf.DUMMYFUNCTION("""COMPUTED_VALUE"""),8549.0)</f>
        <v>8549</v>
      </c>
    </row>
    <row r="137">
      <c r="A137" s="1175">
        <f>IFERROR(__xludf.DUMMYFUNCTION("""COMPUTED_VALUE"""),45995.0)</f>
        <v>45995</v>
      </c>
      <c r="B137" s="1174" t="str">
        <f>IFERROR(__xludf.DUMMYFUNCTION("""COMPUTED_VALUE"""),"so-eb-23-13908-18544")</f>
        <v>so-eb-23-13908-18544</v>
      </c>
      <c r="C137" s="1174" t="str">
        <f>IFERROR(__xludf.DUMMYFUNCTION("""COMPUTED_VALUE"""),"DICIEMBRE")</f>
        <v>DICIEMBRE</v>
      </c>
      <c r="D137" s="1174" t="b">
        <f>IFERROR(__xludf.DUMMYFUNCTION("""COMPUTED_VALUE"""),TRUE)</f>
        <v>1</v>
      </c>
      <c r="E137" s="1174" t="str">
        <f>IFERROR(__xludf.DUMMYFUNCTION("""COMPUTED_VALUE"""),"Laptop")</f>
        <v>Laptop</v>
      </c>
      <c r="F137" s="1176">
        <f>IFERROR(__xludf.DUMMYFUNCTION("""COMPUTED_VALUE"""),2629.99)</f>
        <v>2629.99</v>
      </c>
      <c r="G137" s="1177">
        <f>IFERROR(__xludf.DUMMYFUNCTION("""COMPUTED_VALUE"""),-33.92000000000007)</f>
        <v>-33.92</v>
      </c>
      <c r="H137" s="1174" t="b">
        <f>IFERROR(__xludf.DUMMYFUNCTION("""COMPUTED_VALUE"""),TRUE)</f>
        <v>1</v>
      </c>
      <c r="I137" s="1174" t="str">
        <f>IFERROR(__xludf.DUMMYFUNCTION("""COMPUTED_VALUE"""),"DICIEMBRE")</f>
        <v>DICIEMBRE</v>
      </c>
      <c r="J137" s="1177">
        <f>IFERROR(__xludf.DUMMYFUNCTION("""COMPUTED_VALUE"""),10934.0)</f>
        <v>10934</v>
      </c>
    </row>
    <row r="138">
      <c r="A138" s="1175">
        <f>IFERROR(__xludf.DUMMYFUNCTION("""COMPUTED_VALUE"""),45996.0)</f>
        <v>45996</v>
      </c>
      <c r="B138" s="1174" t="str">
        <f>IFERROR(__xludf.DUMMYFUNCTION("""COMPUTED_VALUE"""),"ke-am-113-3602969-9079403")</f>
        <v>ke-am-113-3602969-9079403</v>
      </c>
      <c r="C138" s="1174" t="str">
        <f>IFERROR(__xludf.DUMMYFUNCTION("""COMPUTED_VALUE"""),"DICIEMBRE")</f>
        <v>DICIEMBRE</v>
      </c>
      <c r="D138" s="1174" t="b">
        <f>IFERROR(__xludf.DUMMYFUNCTION("""COMPUTED_VALUE"""),TRUE)</f>
        <v>1</v>
      </c>
      <c r="E138" s="1174" t="str">
        <f>IFERROR(__xludf.DUMMYFUNCTION("""COMPUTED_VALUE"""),"Laptop")</f>
        <v>Laptop</v>
      </c>
      <c r="F138" s="1176">
        <f>IFERROR(__xludf.DUMMYFUNCTION("""COMPUTED_VALUE"""),1199.99)</f>
        <v>1199.99</v>
      </c>
      <c r="G138" s="1177">
        <f>IFERROR(__xludf.DUMMYFUNCTION("""COMPUTED_VALUE"""),8.0)</f>
        <v>8</v>
      </c>
      <c r="H138" s="1174" t="b">
        <f>IFERROR(__xludf.DUMMYFUNCTION("""COMPUTED_VALUE"""),FALSE)</f>
        <v>0</v>
      </c>
      <c r="I138" s="1174" t="str">
        <f>IFERROR(__xludf.DUMMYFUNCTION("""COMPUTED_VALUE"""),"DICIEMBRE")</f>
        <v>DICIEMBRE</v>
      </c>
      <c r="J138" s="1177">
        <f>IFERROR(__xludf.DUMMYFUNCTION("""COMPUTED_VALUE"""),5225.0)</f>
        <v>5225</v>
      </c>
    </row>
    <row r="139">
      <c r="A139" s="1175">
        <f>IFERROR(__xludf.DUMMYFUNCTION("""COMPUTED_VALUE"""),45996.0)</f>
        <v>45996</v>
      </c>
      <c r="B139" s="1174" t="str">
        <f>IFERROR(__xludf.DUMMYFUNCTION("""COMPUTED_VALUE"""),"yo-le-4650540855")</f>
        <v>yo-le-4650540855</v>
      </c>
      <c r="C139" s="1174" t="str">
        <f>IFERROR(__xludf.DUMMYFUNCTION("""COMPUTED_VALUE"""),"DICIEMBRE")</f>
        <v>DICIEMBRE</v>
      </c>
      <c r="D139" s="1174" t="b">
        <f>IFERROR(__xludf.DUMMYFUNCTION("""COMPUTED_VALUE"""),TRUE)</f>
        <v>1</v>
      </c>
      <c r="E139" s="1174" t="str">
        <f>IFERROR(__xludf.DUMMYFUNCTION("""COMPUTED_VALUE"""),"Laptop")</f>
        <v>Laptop</v>
      </c>
      <c r="F139" s="1176">
        <f>IFERROR(__xludf.DUMMYFUNCTION("""COMPUTED_VALUE"""),1259.99)</f>
        <v>1259.99</v>
      </c>
      <c r="G139" s="1177">
        <f>IFERROR(__xludf.DUMMYFUNCTION("""COMPUTED_VALUE"""),149.26000000000022)</f>
        <v>149.26</v>
      </c>
      <c r="H139" s="1174" t="b">
        <f>IFERROR(__xludf.DUMMYFUNCTION("""COMPUTED_VALUE"""),FALSE)</f>
        <v>0</v>
      </c>
      <c r="I139" s="1174" t="str">
        <f>IFERROR(__xludf.DUMMYFUNCTION("""COMPUTED_VALUE"""),"ENERO")</f>
        <v>ENERO</v>
      </c>
      <c r="J139" s="1177">
        <f>IFERROR(__xludf.DUMMYFUNCTION("""COMPUTED_VALUE"""),5899.0)</f>
        <v>5899</v>
      </c>
    </row>
    <row r="140">
      <c r="A140" s="1175">
        <f>IFERROR(__xludf.DUMMYFUNCTION("""COMPUTED_VALUE"""),46001.0)</f>
        <v>46001</v>
      </c>
      <c r="B140" s="1174" t="str">
        <f>IFERROR(__xludf.DUMMYFUNCTION("""COMPUTED_VALUE"""),"ra-bh-101225")</f>
        <v>ra-bh-101225</v>
      </c>
      <c r="C140" s="1174" t="str">
        <f>IFERROR(__xludf.DUMMYFUNCTION("""COMPUTED_VALUE"""),"DICIEMBRE")</f>
        <v>DICIEMBRE</v>
      </c>
      <c r="D140" s="1174" t="b">
        <f>IFERROR(__xludf.DUMMYFUNCTION("""COMPUTED_VALUE"""),TRUE)</f>
        <v>1</v>
      </c>
      <c r="E140" s="1174" t="str">
        <f>IFERROR(__xludf.DUMMYFUNCTION("""COMPUTED_VALUE"""),"Laptop")</f>
        <v>Laptop</v>
      </c>
      <c r="F140" s="1176">
        <f>IFERROR(__xludf.DUMMYFUNCTION("""COMPUTED_VALUE"""),1399.0)</f>
        <v>1399</v>
      </c>
      <c r="G140" s="1177">
        <f>IFERROR(__xludf.DUMMYFUNCTION("""COMPUTED_VALUE"""),130.0)</f>
        <v>130</v>
      </c>
      <c r="H140" s="1174" t="b">
        <f>IFERROR(__xludf.DUMMYFUNCTION("""COMPUTED_VALUE"""),FALSE)</f>
        <v>0</v>
      </c>
      <c r="I140" s="1174" t="str">
        <f>IFERROR(__xludf.DUMMYFUNCTION("""COMPUTED_VALUE"""),"DICIEMBRE")</f>
        <v>DICIEMBRE</v>
      </c>
      <c r="J140" s="1177">
        <f>IFERROR(__xludf.DUMMYFUNCTION("""COMPUTED_VALUE"""),6247.0)</f>
        <v>6247</v>
      </c>
    </row>
    <row r="141">
      <c r="A141" s="1175">
        <f>IFERROR(__xludf.DUMMYFUNCTION("""COMPUTED_VALUE"""),46001.0)</f>
        <v>46001</v>
      </c>
      <c r="B141" s="1174" t="str">
        <f>IFERROR(__xludf.DUMMYFUNCTION("""COMPUTED_VALUE"""),"so-eb-24-13951-90706")</f>
        <v>so-eb-24-13951-90706</v>
      </c>
      <c r="C141" s="1174" t="str">
        <f>IFERROR(__xludf.DUMMYFUNCTION("""COMPUTED_VALUE"""),"DICIEMBRE")</f>
        <v>DICIEMBRE</v>
      </c>
      <c r="D141" s="1174" t="b">
        <f>IFERROR(__xludf.DUMMYFUNCTION("""COMPUTED_VALUE"""),TRUE)</f>
        <v>1</v>
      </c>
      <c r="E141" s="1174" t="str">
        <f>IFERROR(__xludf.DUMMYFUNCTION("""COMPUTED_VALUE"""),"Laptop")</f>
        <v>Laptop</v>
      </c>
      <c r="F141" s="1176">
        <f>IFERROR(__xludf.DUMMYFUNCTION("""COMPUTED_VALUE"""),1199.99)</f>
        <v>1199.99</v>
      </c>
      <c r="G141" s="1177">
        <f>IFERROR(__xludf.DUMMYFUNCTION("""COMPUTED_VALUE"""),50.409999999999854)</f>
        <v>50.41</v>
      </c>
      <c r="H141" s="1174" t="b">
        <f>IFERROR(__xludf.DUMMYFUNCTION("""COMPUTED_VALUE"""),FALSE)</f>
        <v>0</v>
      </c>
      <c r="I141" s="1174" t="str">
        <f>IFERROR(__xludf.DUMMYFUNCTION("""COMPUTED_VALUE"""),"ENERO")</f>
        <v>ENERO</v>
      </c>
      <c r="J141" s="1177">
        <f>IFERROR(__xludf.DUMMYFUNCTION("""COMPUTED_VALUE"""),5436.0)</f>
        <v>5436</v>
      </c>
    </row>
    <row r="142">
      <c r="A142" s="1175">
        <f>IFERROR(__xludf.DUMMYFUNCTION("""COMPUTED_VALUE"""),46003.0)</f>
        <v>46003</v>
      </c>
      <c r="B142" s="1174" t="str">
        <f>IFERROR(__xludf.DUMMYFUNCTION("""COMPUTED_VALUE"""),"yo-BBY01-807115700048")</f>
        <v>yo-BBY01-807115700048</v>
      </c>
      <c r="C142" s="1174" t="str">
        <f>IFERROR(__xludf.DUMMYFUNCTION("""COMPUTED_VALUE"""),"DICIEMBRE")</f>
        <v>DICIEMBRE</v>
      </c>
      <c r="D142" s="1174" t="b">
        <f>IFERROR(__xludf.DUMMYFUNCTION("""COMPUTED_VALUE"""),TRUE)</f>
        <v>1</v>
      </c>
      <c r="E142" s="1174" t="str">
        <f>IFERROR(__xludf.DUMMYFUNCTION("""COMPUTED_VALUE"""),"Laptop")</f>
        <v>Laptop</v>
      </c>
      <c r="F142" s="1176">
        <f>IFERROR(__xludf.DUMMYFUNCTION("""COMPUTED_VALUE"""),1449.99)</f>
        <v>1449.99</v>
      </c>
      <c r="G142" s="1177">
        <f>IFERROR(__xludf.DUMMYFUNCTION("""COMPUTED_VALUE"""),272.0)</f>
        <v>272</v>
      </c>
      <c r="H142" s="1174" t="b">
        <f>IFERROR(__xludf.DUMMYFUNCTION("""COMPUTED_VALUE"""),FALSE)</f>
        <v>0</v>
      </c>
      <c r="I142" s="1174" t="str">
        <f>IFERROR(__xludf.DUMMYFUNCTION("""COMPUTED_VALUE"""),"DICIEMBRE")</f>
        <v>DICIEMBRE</v>
      </c>
      <c r="J142" s="1177">
        <f>IFERROR(__xludf.DUMMYFUNCTION("""COMPUTED_VALUE"""),7199.0)</f>
        <v>7199</v>
      </c>
    </row>
    <row r="143">
      <c r="A143" s="1175">
        <f>IFERROR(__xludf.DUMMYFUNCTION("""COMPUTED_VALUE"""),46004.0)</f>
        <v>46004</v>
      </c>
      <c r="B143" s="1174" t="str">
        <f>IFERROR(__xludf.DUMMYFUNCTION("""COMPUTED_VALUE"""),"ke-am-113-2517816-1377812")</f>
        <v>ke-am-113-2517816-1377812</v>
      </c>
      <c r="C143" s="1174" t="str">
        <f>IFERROR(__xludf.DUMMYFUNCTION("""COMPUTED_VALUE"""),"DICIEMBRE")</f>
        <v>DICIEMBRE</v>
      </c>
      <c r="D143" s="1174" t="b">
        <f>IFERROR(__xludf.DUMMYFUNCTION("""COMPUTED_VALUE"""),TRUE)</f>
        <v>1</v>
      </c>
      <c r="E143" s="1174" t="str">
        <f>IFERROR(__xludf.DUMMYFUNCTION("""COMPUTED_VALUE"""),"Laptop")</f>
        <v>Laptop</v>
      </c>
      <c r="F143" s="1176">
        <f>IFERROR(__xludf.DUMMYFUNCTION("""COMPUTED_VALUE"""),1199.99)</f>
        <v>1199.99</v>
      </c>
      <c r="G143" s="1177">
        <f>IFERROR(__xludf.DUMMYFUNCTION("""COMPUTED_VALUE"""),101.0)</f>
        <v>101</v>
      </c>
      <c r="H143" s="1174" t="b">
        <f>IFERROR(__xludf.DUMMYFUNCTION("""COMPUTED_VALUE"""),TRUE)</f>
        <v>1</v>
      </c>
      <c r="I143" s="1174" t="str">
        <f>IFERROR(__xludf.DUMMYFUNCTION("""COMPUTED_VALUE"""),"DICIEMBRE")</f>
        <v>DICIEMBRE</v>
      </c>
      <c r="J143" s="1177">
        <f>IFERROR(__xludf.DUMMYFUNCTION("""COMPUTED_VALUE"""),5599.0)</f>
        <v>5599</v>
      </c>
    </row>
    <row r="144">
      <c r="A144" s="1175">
        <f>IFERROR(__xludf.DUMMYFUNCTION("""COMPUTED_VALUE"""),46004.0)</f>
        <v>46004</v>
      </c>
      <c r="B144" s="1174" t="str">
        <f>IFERROR(__xludf.DUMMYFUNCTION("""COMPUTED_VALUE"""),"ka-co-291125")</f>
        <v>ka-co-291125</v>
      </c>
      <c r="C144" s="1174" t="str">
        <f>IFERROR(__xludf.DUMMYFUNCTION("""COMPUTED_VALUE"""),"DICIEMBRE")</f>
        <v>DICIEMBRE</v>
      </c>
      <c r="D144" s="1174" t="b">
        <f>IFERROR(__xludf.DUMMYFUNCTION("""COMPUTED_VALUE"""),TRUE)</f>
        <v>1</v>
      </c>
      <c r="E144" s="1174" t="str">
        <f>IFERROR(__xludf.DUMMYFUNCTION("""COMPUTED_VALUE"""),"Laptop")</f>
        <v>Laptop</v>
      </c>
      <c r="F144" s="1176">
        <f>IFERROR(__xludf.DUMMYFUNCTION("""COMPUTED_VALUE"""),1242.99)</f>
        <v>1242.99</v>
      </c>
      <c r="G144" s="1177">
        <f>IFERROR(__xludf.DUMMYFUNCTION("""COMPUTED_VALUE"""),41.0)</f>
        <v>41</v>
      </c>
      <c r="H144" s="1174" t="b">
        <f>IFERROR(__xludf.DUMMYFUNCTION("""COMPUTED_VALUE"""),FALSE)</f>
        <v>0</v>
      </c>
      <c r="I144" s="1174" t="str">
        <f>IFERROR(__xludf.DUMMYFUNCTION("""COMPUTED_VALUE"""),"DICIEMBRE")</f>
        <v>DICIEMBRE</v>
      </c>
      <c r="J144" s="1177">
        <f>IFERROR(__xludf.DUMMYFUNCTION("""COMPUTED_VALUE"""),6400.0)</f>
        <v>6400</v>
      </c>
    </row>
    <row r="145">
      <c r="A145" s="1175">
        <f>IFERROR(__xludf.DUMMYFUNCTION("""COMPUTED_VALUE"""),46006.0)</f>
        <v>46006</v>
      </c>
      <c r="B145" s="1174" t="str">
        <f>IFERROR(__xludf.DUMMYFUNCTION("""COMPUTED_VALUE"""),"ke-am-113-2577155-2118667")</f>
        <v>ke-am-113-2577155-2118667</v>
      </c>
      <c r="C145" s="1174" t="str">
        <f>IFERROR(__xludf.DUMMYFUNCTION("""COMPUTED_VALUE"""),"DICIEMBRE")</f>
        <v>DICIEMBRE</v>
      </c>
      <c r="D145" s="1174" t="b">
        <f>IFERROR(__xludf.DUMMYFUNCTION("""COMPUTED_VALUE"""),TRUE)</f>
        <v>1</v>
      </c>
      <c r="E145" s="1174" t="str">
        <f>IFERROR(__xludf.DUMMYFUNCTION("""COMPUTED_VALUE"""),"Laptop")</f>
        <v>Laptop</v>
      </c>
      <c r="F145" s="1176">
        <f>IFERROR(__xludf.DUMMYFUNCTION("""COMPUTED_VALUE"""),1199.99)</f>
        <v>1199.99</v>
      </c>
      <c r="G145" s="1177">
        <f>IFERROR(__xludf.DUMMYFUNCTION("""COMPUTED_VALUE"""),161.0)</f>
        <v>161</v>
      </c>
      <c r="H145" s="1174" t="b">
        <f>IFERROR(__xludf.DUMMYFUNCTION("""COMPUTED_VALUE"""),FALSE)</f>
        <v>0</v>
      </c>
      <c r="I145" s="1174" t="str">
        <f>IFERROR(__xludf.DUMMYFUNCTION("""COMPUTED_VALUE"""),"DICIEMBRE")</f>
        <v>DICIEMBRE</v>
      </c>
      <c r="J145" s="1177">
        <f>IFERROR(__xludf.DUMMYFUNCTION("""COMPUTED_VALUE"""),5699.0)</f>
        <v>5699</v>
      </c>
    </row>
    <row r="146">
      <c r="A146" s="1175">
        <f>IFERROR(__xludf.DUMMYFUNCTION("""COMPUTED_VALUE"""),46008.0)</f>
        <v>46008</v>
      </c>
      <c r="B146" s="1174" t="str">
        <f>IFERROR(__xludf.DUMMYFUNCTION("""COMPUTED_VALUE"""),"ke-eb-10-13989-27633")</f>
        <v>ke-eb-10-13989-27633</v>
      </c>
      <c r="C146" s="1174" t="str">
        <f>IFERROR(__xludf.DUMMYFUNCTION("""COMPUTED_VALUE"""),"DICIEMBRE")</f>
        <v>DICIEMBRE</v>
      </c>
      <c r="D146" s="1174" t="b">
        <f>IFERROR(__xludf.DUMMYFUNCTION("""COMPUTED_VALUE"""),TRUE)</f>
        <v>1</v>
      </c>
      <c r="E146" s="1174" t="str">
        <f>IFERROR(__xludf.DUMMYFUNCTION("""COMPUTED_VALUE"""),"Laptop")</f>
        <v>Laptop</v>
      </c>
      <c r="F146" s="1176">
        <f>IFERROR(__xludf.DUMMYFUNCTION("""COMPUTED_VALUE"""),1849.99)</f>
        <v>1849.99</v>
      </c>
      <c r="G146" s="1177">
        <f>IFERROR(__xludf.DUMMYFUNCTION("""COMPUTED_VALUE"""),487.4200000000001)</f>
        <v>487.42</v>
      </c>
      <c r="H146" s="1174" t="b">
        <f>IFERROR(__xludf.DUMMYFUNCTION("""COMPUTED_VALUE"""),FALSE)</f>
        <v>0</v>
      </c>
      <c r="I146" s="1174" t="str">
        <f>IFERROR(__xludf.DUMMYFUNCTION("""COMPUTED_VALUE"""),"ENERO")</f>
        <v>ENERO</v>
      </c>
      <c r="J146" s="1177">
        <f>IFERROR(__xludf.DUMMYFUNCTION("""COMPUTED_VALUE"""),8399.0)</f>
        <v>8399</v>
      </c>
    </row>
    <row r="147">
      <c r="A147" s="1175">
        <f>IFERROR(__xludf.DUMMYFUNCTION("""COMPUTED_VALUE"""),46008.0)</f>
        <v>46008</v>
      </c>
      <c r="B147" s="1174" t="str">
        <f>IFERROR(__xludf.DUMMYFUNCTION("""COMPUTED_VALUE"""),"re-eb-18-13864-20985")</f>
        <v>re-eb-18-13864-20985</v>
      </c>
      <c r="C147" s="1174" t="str">
        <f>IFERROR(__xludf.DUMMYFUNCTION("""COMPUTED_VALUE"""),"DICIEMBRE")</f>
        <v>DICIEMBRE</v>
      </c>
      <c r="D147" s="1174" t="b">
        <f>IFERROR(__xludf.DUMMYFUNCTION("""COMPUTED_VALUE"""),TRUE)</f>
        <v>1</v>
      </c>
      <c r="E147" s="1174" t="str">
        <f>IFERROR(__xludf.DUMMYFUNCTION("""COMPUTED_VALUE"""),"Laptop")</f>
        <v>Laptop</v>
      </c>
      <c r="F147" s="1176">
        <f>IFERROR(__xludf.DUMMYFUNCTION("""COMPUTED_VALUE"""),1299.99)</f>
        <v>1299.99</v>
      </c>
      <c r="G147" s="1177">
        <f>IFERROR(__xludf.DUMMYFUNCTION("""COMPUTED_VALUE"""),105.0)</f>
        <v>105</v>
      </c>
      <c r="H147" s="1174" t="b">
        <f>IFERROR(__xludf.DUMMYFUNCTION("""COMPUTED_VALUE"""),FALSE)</f>
        <v>0</v>
      </c>
      <c r="I147" s="1174" t="str">
        <f>IFERROR(__xludf.DUMMYFUNCTION("""COMPUTED_VALUE"""),"DICIEMBRE")</f>
        <v>DICIEMBRE</v>
      </c>
      <c r="J147" s="1177">
        <f>IFERROR(__xludf.DUMMYFUNCTION("""COMPUTED_VALUE"""),5899.0)</f>
        <v>5899</v>
      </c>
    </row>
    <row r="148">
      <c r="A148" s="1175">
        <f>IFERROR(__xludf.DUMMYFUNCTION("""COMPUTED_VALUE"""),46009.0)</f>
        <v>46009</v>
      </c>
      <c r="B148" s="1174" t="str">
        <f>IFERROR(__xludf.DUMMYFUNCTION("""COMPUTED_VALUE"""),"so-BBY01-807112018485")</f>
        <v>so-BBY01-807112018485</v>
      </c>
      <c r="C148" s="1174" t="str">
        <f>IFERROR(__xludf.DUMMYFUNCTION("""COMPUTED_VALUE"""),"DICIEMBRE")</f>
        <v>DICIEMBRE</v>
      </c>
      <c r="D148" s="1174" t="b">
        <f>IFERROR(__xludf.DUMMYFUNCTION("""COMPUTED_VALUE"""),TRUE)</f>
        <v>1</v>
      </c>
      <c r="E148" s="1174" t="str">
        <f>IFERROR(__xludf.DUMMYFUNCTION("""COMPUTED_VALUE"""),"Laptop")</f>
        <v>Laptop</v>
      </c>
      <c r="F148" s="1176">
        <f>IFERROR(__xludf.DUMMYFUNCTION("""COMPUTED_VALUE"""),1049.99)</f>
        <v>1049.99</v>
      </c>
      <c r="G148" s="1177">
        <f>IFERROR(__xludf.DUMMYFUNCTION("""COMPUTED_VALUE"""),189.0)</f>
        <v>189</v>
      </c>
      <c r="H148" s="1174" t="b">
        <f>IFERROR(__xludf.DUMMYFUNCTION("""COMPUTED_VALUE"""),FALSE)</f>
        <v>0</v>
      </c>
      <c r="I148" s="1174" t="str">
        <f>IFERROR(__xludf.DUMMYFUNCTION("""COMPUTED_VALUE"""),"DICIEMBRE")</f>
        <v>DICIEMBRE</v>
      </c>
      <c r="J148" s="1177">
        <f>IFERROR(__xludf.DUMMYFUNCTION("""COMPUTED_VALUE"""),5174.0)</f>
        <v>5174</v>
      </c>
    </row>
    <row r="149">
      <c r="A149" s="1175">
        <f>IFERROR(__xludf.DUMMYFUNCTION("""COMPUTED_VALUE"""),46010.0)</f>
        <v>46010</v>
      </c>
      <c r="B149" s="1174" t="str">
        <f>IFERROR(__xludf.DUMMYFUNCTION("""COMPUTED_VALUE"""),"ga-co-191125")</f>
        <v>ga-co-191125</v>
      </c>
      <c r="C149" s="1174" t="str">
        <f>IFERROR(__xludf.DUMMYFUNCTION("""COMPUTED_VALUE"""),"DICIEMBRE")</f>
        <v>DICIEMBRE</v>
      </c>
      <c r="D149" s="1174" t="b">
        <f>IFERROR(__xludf.DUMMYFUNCTION("""COMPUTED_VALUE"""),TRUE)</f>
        <v>1</v>
      </c>
      <c r="E149" s="1174" t="str">
        <f>IFERROR(__xludf.DUMMYFUNCTION("""COMPUTED_VALUE"""),"Laptop")</f>
        <v>Laptop</v>
      </c>
      <c r="F149" s="1176">
        <f>IFERROR(__xludf.DUMMYFUNCTION("""COMPUTED_VALUE"""),1242.99)</f>
        <v>1242.99</v>
      </c>
      <c r="G149" s="1177">
        <f>IFERROR(__xludf.DUMMYFUNCTION("""COMPUTED_VALUE"""),328.0)</f>
        <v>328</v>
      </c>
      <c r="H149" s="1174" t="b">
        <f>IFERROR(__xludf.DUMMYFUNCTION("""COMPUTED_VALUE"""),FALSE)</f>
        <v>0</v>
      </c>
      <c r="I149" s="1174" t="str">
        <f>IFERROR(__xludf.DUMMYFUNCTION("""COMPUTED_VALUE"""),"DICIEMBRE")</f>
        <v>DICIEMBRE</v>
      </c>
      <c r="J149" s="1177">
        <f>IFERROR(__xludf.DUMMYFUNCTION("""COMPUTED_VALUE"""),6308.0)</f>
        <v>6308</v>
      </c>
    </row>
    <row r="150">
      <c r="A150" s="1175">
        <f>IFERROR(__xludf.DUMMYFUNCTION("""COMPUTED_VALUE"""),46013.0)</f>
        <v>46013</v>
      </c>
      <c r="B150" s="1174" t="str">
        <f>IFERROR(__xludf.DUMMYFUNCTION("""COMPUTED_VALUE"""),"li-mi-271225")</f>
        <v>li-mi-271225</v>
      </c>
      <c r="C150" s="1174" t="str">
        <f>IFERROR(__xludf.DUMMYFUNCTION("""COMPUTED_VALUE"""),"DICIEMBRE")</f>
        <v>DICIEMBRE</v>
      </c>
      <c r="D150" s="1174" t="b">
        <f>IFERROR(__xludf.DUMMYFUNCTION("""COMPUTED_VALUE"""),TRUE)</f>
        <v>1</v>
      </c>
      <c r="E150" s="1174" t="str">
        <f>IFERROR(__xludf.DUMMYFUNCTION("""COMPUTED_VALUE"""),"Laptop")</f>
        <v>Laptop</v>
      </c>
      <c r="F150" s="1176">
        <f>IFERROR(__xludf.DUMMYFUNCTION("""COMPUTED_VALUE"""),1799.99)</f>
        <v>1799.99</v>
      </c>
      <c r="G150" s="1177">
        <f>IFERROR(__xludf.DUMMYFUNCTION("""COMPUTED_VALUE"""),393.84000000000015)</f>
        <v>393.84</v>
      </c>
      <c r="H150" s="1174" t="b">
        <f>IFERROR(__xludf.DUMMYFUNCTION("""COMPUTED_VALUE"""),FALSE)</f>
        <v>0</v>
      </c>
      <c r="I150" s="1174" t="str">
        <f>IFERROR(__xludf.DUMMYFUNCTION("""COMPUTED_VALUE"""),"DICIEMBRE")</f>
        <v>DICIEMBRE</v>
      </c>
      <c r="J150" s="1177">
        <f>IFERROR(__xludf.DUMMYFUNCTION("""COMPUTED_VALUE"""),8399.0)</f>
        <v>8399</v>
      </c>
    </row>
    <row r="151">
      <c r="A151" s="1175">
        <f>IFERROR(__xludf.DUMMYFUNCTION("""COMPUTED_VALUE"""),46013.0)</f>
        <v>46013</v>
      </c>
      <c r="B151" s="1174" t="str">
        <f>IFERROR(__xludf.DUMMYFUNCTION("""COMPUTED_VALUE"""),"re-eb-01-13900-27105")</f>
        <v>re-eb-01-13900-27105</v>
      </c>
      <c r="C151" s="1174" t="str">
        <f>IFERROR(__xludf.DUMMYFUNCTION("""COMPUTED_VALUE"""),"DICIEMBRE")</f>
        <v>DICIEMBRE</v>
      </c>
      <c r="D151" s="1174" t="b">
        <f>IFERROR(__xludf.DUMMYFUNCTION("""COMPUTED_VALUE"""),TRUE)</f>
        <v>1</v>
      </c>
      <c r="E151" s="1174" t="str">
        <f>IFERROR(__xludf.DUMMYFUNCTION("""COMPUTED_VALUE"""),"Laptop")</f>
        <v>Laptop</v>
      </c>
      <c r="F151" s="1176">
        <f>IFERROR(__xludf.DUMMYFUNCTION("""COMPUTED_VALUE"""),1049.99)</f>
        <v>1049.99</v>
      </c>
      <c r="G151" s="1177">
        <f>IFERROR(__xludf.DUMMYFUNCTION("""COMPUTED_VALUE"""),79.0)</f>
        <v>79</v>
      </c>
      <c r="H151" s="1174" t="b">
        <f>IFERROR(__xludf.DUMMYFUNCTION("""COMPUTED_VALUE"""),FALSE)</f>
        <v>0</v>
      </c>
      <c r="I151" s="1174" t="str">
        <f>IFERROR(__xludf.DUMMYFUNCTION("""COMPUTED_VALUE"""),"DICIEMBRE")</f>
        <v>DICIEMBRE</v>
      </c>
      <c r="J151" s="1177">
        <f>IFERROR(__xludf.DUMMYFUNCTION("""COMPUTED_VALUE"""),5099.0)</f>
        <v>5099</v>
      </c>
    </row>
    <row r="152">
      <c r="A152" s="1175">
        <f>IFERROR(__xludf.DUMMYFUNCTION("""COMPUTED_VALUE"""),46014.0)</f>
        <v>46014</v>
      </c>
      <c r="B152" s="1174" t="str">
        <f>IFERROR(__xludf.DUMMYFUNCTION("""COMPUTED_VALUE"""),"ga-co-231225")</f>
        <v>ga-co-231225</v>
      </c>
      <c r="C152" s="1174" t="str">
        <f>IFERROR(__xludf.DUMMYFUNCTION("""COMPUTED_VALUE"""),"DICIEMBRE")</f>
        <v>DICIEMBRE</v>
      </c>
      <c r="D152" s="1174" t="b">
        <f>IFERROR(__xludf.DUMMYFUNCTION("""COMPUTED_VALUE"""),TRUE)</f>
        <v>1</v>
      </c>
      <c r="E152" s="1174" t="str">
        <f>IFERROR(__xludf.DUMMYFUNCTION("""COMPUTED_VALUE"""),"Laptop")</f>
        <v>Laptop</v>
      </c>
      <c r="F152" s="1176">
        <f>IFERROR(__xludf.DUMMYFUNCTION("""COMPUTED_VALUE"""),1799.99)</f>
        <v>1799.99</v>
      </c>
      <c r="G152" s="1177">
        <f>IFERROR(__xludf.DUMMYFUNCTION("""COMPUTED_VALUE"""),648.8400000000001)</f>
        <v>648.84</v>
      </c>
      <c r="H152" s="1174" t="b">
        <f>IFERROR(__xludf.DUMMYFUNCTION("""COMPUTED_VALUE"""),FALSE)</f>
        <v>0</v>
      </c>
      <c r="I152" s="1174" t="str">
        <f>IFERROR(__xludf.DUMMYFUNCTION("""COMPUTED_VALUE"""),"ENERO")</f>
        <v>ENERO</v>
      </c>
      <c r="J152" s="1177">
        <f>IFERROR(__xludf.DUMMYFUNCTION("""COMPUTED_VALUE"""),8799.0)</f>
        <v>8799</v>
      </c>
    </row>
    <row r="153">
      <c r="A153" s="1175">
        <f>IFERROR(__xludf.DUMMYFUNCTION("""COMPUTED_VALUE"""),46014.0)</f>
        <v>46014</v>
      </c>
      <c r="B153" s="1174" t="str">
        <f>IFERROR(__xludf.DUMMYFUNCTION("""COMPUTED_VALUE"""),"ke-ms-513942")</f>
        <v>ke-ms-513942</v>
      </c>
      <c r="C153" s="1174" t="str">
        <f>IFERROR(__xludf.DUMMYFUNCTION("""COMPUTED_VALUE"""),"DICIEMBRE")</f>
        <v>DICIEMBRE</v>
      </c>
      <c r="D153" s="1174" t="b">
        <f>IFERROR(__xludf.DUMMYFUNCTION("""COMPUTED_VALUE"""),TRUE)</f>
        <v>1</v>
      </c>
      <c r="E153" s="1174" t="str">
        <f>IFERROR(__xludf.DUMMYFUNCTION("""COMPUTED_VALUE"""),"Laptop")</f>
        <v>Laptop</v>
      </c>
      <c r="F153" s="1176">
        <f>IFERROR(__xludf.DUMMYFUNCTION("""COMPUTED_VALUE"""),1999.0)</f>
        <v>1999</v>
      </c>
      <c r="G153" s="1177">
        <f>IFERROR(__xludf.DUMMYFUNCTION("""COMPUTED_VALUE"""),154.78000000000065)</f>
        <v>154.78</v>
      </c>
      <c r="H153" s="1174" t="b">
        <f>IFERROR(__xludf.DUMMYFUNCTION("""COMPUTED_VALUE"""),FALSE)</f>
        <v>0</v>
      </c>
      <c r="I153" s="1174" t="str">
        <f>IFERROR(__xludf.DUMMYFUNCTION("""COMPUTED_VALUE"""),"ENERO")</f>
        <v>ENERO</v>
      </c>
      <c r="J153" s="1177">
        <f>IFERROR(__xludf.DUMMYFUNCTION("""COMPUTED_VALUE"""),8799.0)</f>
        <v>8799</v>
      </c>
    </row>
    <row r="154">
      <c r="A154" s="1175">
        <f>IFERROR(__xludf.DUMMYFUNCTION("""COMPUTED_VALUE"""),46017.0)</f>
        <v>46017</v>
      </c>
      <c r="B154" s="1174" t="str">
        <f>IFERROR(__xludf.DUMMYFUNCTION("""COMPUTED_VALUE"""),"so-BBY01-807115682657")</f>
        <v>so-BBY01-807115682657</v>
      </c>
      <c r="C154" s="1174" t="str">
        <f>IFERROR(__xludf.DUMMYFUNCTION("""COMPUTED_VALUE"""),"DICIEMBRE")</f>
        <v>DICIEMBRE</v>
      </c>
      <c r="D154" s="1174" t="b">
        <f>IFERROR(__xludf.DUMMYFUNCTION("""COMPUTED_VALUE"""),TRUE)</f>
        <v>1</v>
      </c>
      <c r="E154" s="1174" t="str">
        <f>IFERROR(__xludf.DUMMYFUNCTION("""COMPUTED_VALUE"""),"Laptop")</f>
        <v>Laptop</v>
      </c>
      <c r="F154" s="1176">
        <f>IFERROR(__xludf.DUMMYFUNCTION("""COMPUTED_VALUE"""),1449.99)</f>
        <v>1449.99</v>
      </c>
      <c r="G154" s="1177">
        <f>IFERROR(__xludf.DUMMYFUNCTION("""COMPUTED_VALUE"""),257.0)</f>
        <v>257</v>
      </c>
      <c r="H154" s="1174" t="b">
        <f>IFERROR(__xludf.DUMMYFUNCTION("""COMPUTED_VALUE"""),FALSE)</f>
        <v>0</v>
      </c>
      <c r="I154" s="1174" t="str">
        <f>IFERROR(__xludf.DUMMYFUNCTION("""COMPUTED_VALUE"""),"DICIEMBRE")</f>
        <v>DICIEMBRE</v>
      </c>
      <c r="J154" s="1177">
        <f>IFERROR(__xludf.DUMMYFUNCTION("""COMPUTED_VALUE"""),7094.0)</f>
        <v>7094</v>
      </c>
    </row>
    <row r="155">
      <c r="A155" s="1175">
        <f>IFERROR(__xludf.DUMMYFUNCTION("""COMPUTED_VALUE"""),46018.0)</f>
        <v>46018</v>
      </c>
      <c r="B155" s="1174" t="str">
        <f>IFERROR(__xludf.DUMMYFUNCTION("""COMPUTED_VALUE"""),"ke-eb-20-14010-15320")</f>
        <v>ke-eb-20-14010-15320</v>
      </c>
      <c r="C155" s="1174" t="str">
        <f>IFERROR(__xludf.DUMMYFUNCTION("""COMPUTED_VALUE"""),"ENERO")</f>
        <v>ENERO</v>
      </c>
      <c r="D155" s="1174" t="b">
        <f>IFERROR(__xludf.DUMMYFUNCTION("""COMPUTED_VALUE"""),TRUE)</f>
        <v>1</v>
      </c>
      <c r="E155" s="1174" t="str">
        <f>IFERROR(__xludf.DUMMYFUNCTION("""COMPUTED_VALUE"""),"Laptop")</f>
        <v>Laptop</v>
      </c>
      <c r="F155" s="1176">
        <f>IFERROR(__xludf.DUMMYFUNCTION("""COMPUTED_VALUE"""),1999.99)</f>
        <v>1999.99</v>
      </c>
      <c r="G155" s="1177">
        <f>IFERROR(__xludf.DUMMYFUNCTION("""COMPUTED_VALUE"""),164.72999999999956)</f>
        <v>164.73</v>
      </c>
      <c r="H155" s="1174" t="b">
        <f>IFERROR(__xludf.DUMMYFUNCTION("""COMPUTED_VALUE"""),TRUE)</f>
        <v>1</v>
      </c>
      <c r="I155" s="1174" t="str">
        <f>IFERROR(__xludf.DUMMYFUNCTION("""COMPUTED_VALUE"""),"ENERO")</f>
        <v>ENERO</v>
      </c>
      <c r="J155" s="1177">
        <f>IFERROR(__xludf.DUMMYFUNCTION("""COMPUTED_VALUE"""),8849.0)</f>
        <v>8849</v>
      </c>
    </row>
    <row r="156">
      <c r="A156" s="1175">
        <f>IFERROR(__xludf.DUMMYFUNCTION("""COMPUTED_VALUE"""),46018.0)</f>
        <v>46018</v>
      </c>
      <c r="B156" s="1174" t="str">
        <f>IFERROR(__xludf.DUMMYFUNCTION("""COMPUTED_VALUE"""),"ke-BBY01-807111642852")</f>
        <v>ke-BBY01-807111642852</v>
      </c>
      <c r="C156" s="1174" t="str">
        <f>IFERROR(__xludf.DUMMYFUNCTION("""COMPUTED_VALUE"""),"DICIEMBRE")</f>
        <v>DICIEMBRE</v>
      </c>
      <c r="D156" s="1174" t="b">
        <f>IFERROR(__xludf.DUMMYFUNCTION("""COMPUTED_VALUE"""),TRUE)</f>
        <v>1</v>
      </c>
      <c r="E156" s="1174" t="str">
        <f>IFERROR(__xludf.DUMMYFUNCTION("""COMPUTED_VALUE"""),"Laptop")</f>
        <v>Laptop</v>
      </c>
      <c r="F156" s="1176">
        <f>IFERROR(__xludf.DUMMYFUNCTION("""COMPUTED_VALUE"""),1049.99)</f>
        <v>1049.99</v>
      </c>
      <c r="G156" s="1177">
        <f>IFERROR(__xludf.DUMMYFUNCTION("""COMPUTED_VALUE"""),8.0)</f>
        <v>8</v>
      </c>
      <c r="H156" s="1174" t="b">
        <f>IFERROR(__xludf.DUMMYFUNCTION("""COMPUTED_VALUE"""),FALSE)</f>
        <v>0</v>
      </c>
      <c r="I156" s="1174" t="str">
        <f>IFERROR(__xludf.DUMMYFUNCTION("""COMPUTED_VALUE"""),"DICIEMBRE")</f>
        <v>DICIEMBRE</v>
      </c>
      <c r="J156" s="1177">
        <f>IFERROR(__xludf.DUMMYFUNCTION("""COMPUTED_VALUE"""),5075.0)</f>
        <v>5075</v>
      </c>
    </row>
    <row r="157">
      <c r="A157" s="1175">
        <f>IFERROR(__xludf.DUMMYFUNCTION("""COMPUTED_VALUE"""),46018.0)</f>
        <v>46018</v>
      </c>
      <c r="B157" s="1174" t="str">
        <f>IFERROR(__xludf.DUMMYFUNCTION("""COMPUTED_VALUE"""),"yo-eb-23-13869-18369")</f>
        <v>yo-eb-23-13869-18369</v>
      </c>
      <c r="C157" s="1174" t="str">
        <f>IFERROR(__xludf.DUMMYFUNCTION("""COMPUTED_VALUE"""),"ENERO")</f>
        <v>ENERO</v>
      </c>
      <c r="D157" s="1174" t="b">
        <f>IFERROR(__xludf.DUMMYFUNCTION("""COMPUTED_VALUE"""),TRUE)</f>
        <v>1</v>
      </c>
      <c r="E157" s="1174" t="str">
        <f>IFERROR(__xludf.DUMMYFUNCTION("""COMPUTED_VALUE"""),"Laptop")</f>
        <v>Laptop</v>
      </c>
      <c r="F157" s="1176">
        <f>IFERROR(__xludf.DUMMYFUNCTION("""COMPUTED_VALUE"""),1049.99)</f>
        <v>1049.99</v>
      </c>
      <c r="G157" s="1177">
        <f>IFERROR(__xludf.DUMMYFUNCTION("""COMPUTED_VALUE"""),29.0)</f>
        <v>29</v>
      </c>
      <c r="H157" s="1174" t="b">
        <f>IFERROR(__xludf.DUMMYFUNCTION("""COMPUTED_VALUE"""),FALSE)</f>
        <v>0</v>
      </c>
      <c r="I157" s="1174" t="str">
        <f>IFERROR(__xludf.DUMMYFUNCTION("""COMPUTED_VALUE"""),"ENERO")</f>
        <v>ENERO</v>
      </c>
      <c r="J157" s="1177">
        <f>IFERROR(__xludf.DUMMYFUNCTION("""COMPUTED_VALUE"""),4899.0)</f>
        <v>4899</v>
      </c>
    </row>
    <row r="158">
      <c r="A158" s="1175">
        <f>IFERROR(__xludf.DUMMYFUNCTION("""COMPUTED_VALUE"""),46018.0)</f>
        <v>46018</v>
      </c>
      <c r="B158" s="1174" t="str">
        <f>IFERROR(__xludf.DUMMYFUNCTION("""COMPUTED_VALUE"""),"ke-BBY01-807111539107")</f>
        <v>ke-BBY01-807111539107</v>
      </c>
      <c r="C158" s="1174" t="str">
        <f>IFERROR(__xludf.DUMMYFUNCTION("""COMPUTED_VALUE"""),"DICIEMBRE")</f>
        <v>DICIEMBRE</v>
      </c>
      <c r="D158" s="1174" t="b">
        <f>IFERROR(__xludf.DUMMYFUNCTION("""COMPUTED_VALUE"""),TRUE)</f>
        <v>1</v>
      </c>
      <c r="E158" s="1174" t="str">
        <f>IFERROR(__xludf.DUMMYFUNCTION("""COMPUTED_VALUE"""),"Laptop")</f>
        <v>Laptop</v>
      </c>
      <c r="F158" s="1176">
        <f>IFERROR(__xludf.DUMMYFUNCTION("""COMPUTED_VALUE"""),1049.99)</f>
        <v>1049.99</v>
      </c>
      <c r="G158" s="1177">
        <f>IFERROR(__xludf.DUMMYFUNCTION("""COMPUTED_VALUE"""),18.0)</f>
        <v>18</v>
      </c>
      <c r="H158" s="1174" t="b">
        <f>IFERROR(__xludf.DUMMYFUNCTION("""COMPUTED_VALUE"""),FALSE)</f>
        <v>0</v>
      </c>
      <c r="I158" s="1174" t="str">
        <f>IFERROR(__xludf.DUMMYFUNCTION("""COMPUTED_VALUE"""),"DICIEMBRE")</f>
        <v>DICIEMBRE</v>
      </c>
      <c r="J158" s="1177">
        <f>IFERROR(__xludf.DUMMYFUNCTION("""COMPUTED_VALUE"""),5100.0)</f>
        <v>5100</v>
      </c>
    </row>
    <row r="159">
      <c r="A159" s="1175">
        <f>IFERROR(__xludf.DUMMYFUNCTION("""COMPUTED_VALUE"""),46021.0)</f>
        <v>46021</v>
      </c>
      <c r="B159" s="1174" t="str">
        <f>IFERROR(__xludf.DUMMYFUNCTION("""COMPUTED_VALUE"""),"ke-eb-10-13941-66576")</f>
        <v>ke-eb-10-13941-66576</v>
      </c>
      <c r="C159" s="1174" t="str">
        <f>IFERROR(__xludf.DUMMYFUNCTION("""COMPUTED_VALUE"""),"DICIEMBRE")</f>
        <v>DICIEMBRE</v>
      </c>
      <c r="D159" s="1174" t="b">
        <f>IFERROR(__xludf.DUMMYFUNCTION("""COMPUTED_VALUE"""),TRUE)</f>
        <v>1</v>
      </c>
      <c r="E159" s="1174" t="str">
        <f>IFERROR(__xludf.DUMMYFUNCTION("""COMPUTED_VALUE"""),"Laptop")</f>
        <v>Laptop</v>
      </c>
      <c r="F159" s="1176">
        <f>IFERROR(__xludf.DUMMYFUNCTION("""COMPUTED_VALUE"""),1199.0)</f>
        <v>1199</v>
      </c>
      <c r="G159" s="1177">
        <f>IFERROR(__xludf.DUMMYFUNCTION("""COMPUTED_VALUE"""),83.0)</f>
        <v>83</v>
      </c>
      <c r="H159" s="1174" t="b">
        <f>IFERROR(__xludf.DUMMYFUNCTION("""COMPUTED_VALUE"""),FALSE)</f>
        <v>0</v>
      </c>
      <c r="I159" s="1174" t="str">
        <f>IFERROR(__xludf.DUMMYFUNCTION("""COMPUTED_VALUE"""),"DICIEMBRE")</f>
        <v>DICIEMBRE</v>
      </c>
      <c r="J159" s="1177">
        <f>IFERROR(__xludf.DUMMYFUNCTION("""COMPUTED_VALUE"""),5964.0)</f>
        <v>5964</v>
      </c>
    </row>
    <row r="160">
      <c r="A160" s="1175">
        <f>IFERROR(__xludf.DUMMYFUNCTION("""COMPUTED_VALUE"""),46021.0)</f>
        <v>46021</v>
      </c>
      <c r="B160" s="1174" t="str">
        <f>IFERROR(__xludf.DUMMYFUNCTION("""COMPUTED_VALUE"""),"ke-eb-07-14055-32625")</f>
        <v>ke-eb-07-14055-32625</v>
      </c>
      <c r="C160" s="1174" t="str">
        <f>IFERROR(__xludf.DUMMYFUNCTION("""COMPUTED_VALUE"""),"ENERO")</f>
        <v>ENERO</v>
      </c>
      <c r="D160" s="1174" t="b">
        <f>IFERROR(__xludf.DUMMYFUNCTION("""COMPUTED_VALUE"""),TRUE)</f>
        <v>1</v>
      </c>
      <c r="E160" s="1174" t="str">
        <f>IFERROR(__xludf.DUMMYFUNCTION("""COMPUTED_VALUE"""),"Laptop")</f>
        <v>Laptop</v>
      </c>
      <c r="F160" s="1176">
        <f>IFERROR(__xludf.DUMMYFUNCTION("""COMPUTED_VALUE"""),1169.0)</f>
        <v>1169</v>
      </c>
      <c r="G160" s="1177">
        <f>IFERROR(__xludf.DUMMYFUNCTION("""COMPUTED_VALUE"""),190.64999999999964)</f>
        <v>190.65</v>
      </c>
      <c r="H160" s="1174" t="b">
        <f>IFERROR(__xludf.DUMMYFUNCTION("""COMPUTED_VALUE"""),FALSE)</f>
        <v>0</v>
      </c>
      <c r="I160" s="1174" t="str">
        <f>IFERROR(__xludf.DUMMYFUNCTION("""COMPUTED_VALUE"""),"ENERO")</f>
        <v>ENERO</v>
      </c>
      <c r="J160" s="1177">
        <f>IFERROR(__xludf.DUMMYFUNCTION("""COMPUTED_VALUE"""),5399.0)</f>
        <v>5399</v>
      </c>
    </row>
    <row r="161">
      <c r="A161" s="1175">
        <f>IFERROR(__xludf.DUMMYFUNCTION("""COMPUTED_VALUE"""),46021.0)</f>
        <v>46021</v>
      </c>
      <c r="B161" s="1174" t="str">
        <f>IFERROR(__xludf.DUMMYFUNCTION("""COMPUTED_VALUE"""),"J-A-211025")</f>
        <v>J-A-211025</v>
      </c>
      <c r="C161" s="1174" t="str">
        <f>IFERROR(__xludf.DUMMYFUNCTION("""COMPUTED_VALUE"""),"ENERO")</f>
        <v>ENERO</v>
      </c>
      <c r="D161" s="1174" t="b">
        <f>IFERROR(__xludf.DUMMYFUNCTION("""COMPUTED_VALUE"""),TRUE)</f>
        <v>1</v>
      </c>
      <c r="E161" s="1174" t="str">
        <f>IFERROR(__xludf.DUMMYFUNCTION("""COMPUTED_VALUE"""),"Laptop")</f>
        <v>Laptop</v>
      </c>
      <c r="F161" s="1176">
        <f>IFERROR(__xludf.DUMMYFUNCTION("""COMPUTED_VALUE"""),1199.0)</f>
        <v>1199</v>
      </c>
      <c r="G161" s="1177">
        <f>IFERROR(__xludf.DUMMYFUNCTION("""COMPUTED_VALUE"""),100.0)</f>
        <v>100</v>
      </c>
      <c r="H161" s="1174" t="b">
        <f>IFERROR(__xludf.DUMMYFUNCTION("""COMPUTED_VALUE"""),FALSE)</f>
        <v>0</v>
      </c>
      <c r="I161" s="1174" t="str">
        <f>IFERROR(__xludf.DUMMYFUNCTION("""COMPUTED_VALUE"""),"ENERO")</f>
        <v>ENERO</v>
      </c>
      <c r="J161" s="1177">
        <f>IFERROR(__xludf.DUMMYFUNCTION("""COMPUTED_VALUE"""),5999.0)</f>
        <v>5999</v>
      </c>
    </row>
    <row r="162">
      <c r="A162" s="1175">
        <f>IFERROR(__xludf.DUMMYFUNCTION("""COMPUTED_VALUE"""),46021.0)</f>
        <v>46021</v>
      </c>
      <c r="B162" s="1174" t="str">
        <f>IFERROR(__xludf.DUMMYFUNCTION("""COMPUTED_VALUE"""),"ke-eb-23-13923-68933")</f>
        <v>ke-eb-23-13923-68933</v>
      </c>
      <c r="C162" s="1174" t="str">
        <f>IFERROR(__xludf.DUMMYFUNCTION("""COMPUTED_VALUE"""),"DICIEMBRE")</f>
        <v>DICIEMBRE</v>
      </c>
      <c r="D162" s="1174" t="b">
        <f>IFERROR(__xludf.DUMMYFUNCTION("""COMPUTED_VALUE"""),TRUE)</f>
        <v>1</v>
      </c>
      <c r="E162" s="1174" t="str">
        <f>IFERROR(__xludf.DUMMYFUNCTION("""COMPUTED_VALUE"""),"Laptop")</f>
        <v>Laptop</v>
      </c>
      <c r="F162" s="1176">
        <f>IFERROR(__xludf.DUMMYFUNCTION("""COMPUTED_VALUE"""),1199.0)</f>
        <v>1199</v>
      </c>
      <c r="G162" s="1177">
        <f>IFERROR(__xludf.DUMMYFUNCTION("""COMPUTED_VALUE"""),539.0)</f>
        <v>539</v>
      </c>
      <c r="H162" s="1174" t="b">
        <f>IFERROR(__xludf.DUMMYFUNCTION("""COMPUTED_VALUE"""),FALSE)</f>
        <v>0</v>
      </c>
      <c r="I162" s="1174" t="str">
        <f>IFERROR(__xludf.DUMMYFUNCTION("""COMPUTED_VALUE"""),"DICIEMBRE")</f>
        <v>DICIEMBRE</v>
      </c>
      <c r="J162" s="1177">
        <f>IFERROR(__xludf.DUMMYFUNCTION("""COMPUTED_VALUE"""),6000.0)</f>
        <v>6000</v>
      </c>
    </row>
    <row r="163">
      <c r="A163" s="1175">
        <f>IFERROR(__xludf.DUMMYFUNCTION("""COMPUTED_VALUE"""),46022.0)</f>
        <v>46022</v>
      </c>
      <c r="B163" s="1174" t="str">
        <f>IFERROR(__xludf.DUMMYFUNCTION("""COMPUTED_VALUE"""),"ga-eb-301125")</f>
        <v>ga-eb-301125</v>
      </c>
      <c r="C163" s="1174" t="str">
        <f>IFERROR(__xludf.DUMMYFUNCTION("""COMPUTED_VALUE"""),"DICIEMBRE")</f>
        <v>DICIEMBRE</v>
      </c>
      <c r="D163" s="1174" t="b">
        <f>IFERROR(__xludf.DUMMYFUNCTION("""COMPUTED_VALUE"""),TRUE)</f>
        <v>1</v>
      </c>
      <c r="E163" s="1174" t="str">
        <f>IFERROR(__xludf.DUMMYFUNCTION("""COMPUTED_VALUE"""),"Laptop")</f>
        <v>Laptop</v>
      </c>
      <c r="F163" s="1176">
        <f>IFERROR(__xludf.DUMMYFUNCTION("""COMPUTED_VALUE"""),1449.99)</f>
        <v>1449.99</v>
      </c>
      <c r="G163" s="1177">
        <f>IFERROR(__xludf.DUMMYFUNCTION("""COMPUTED_VALUE"""),536.0)</f>
        <v>536</v>
      </c>
      <c r="H163" s="1174" t="b">
        <f>IFERROR(__xludf.DUMMYFUNCTION("""COMPUTED_VALUE"""),FALSE)</f>
        <v>0</v>
      </c>
      <c r="I163" s="1174" t="str">
        <f>IFERROR(__xludf.DUMMYFUNCTION("""COMPUTED_VALUE"""),"ENERO")</f>
        <v>ENERO</v>
      </c>
      <c r="J163" s="1177">
        <f>IFERROR(__xludf.DUMMYFUNCTION("""COMPUTED_VALUE"""),6999.0)</f>
        <v>6999</v>
      </c>
    </row>
    <row r="164">
      <c r="A164" s="1175">
        <f>IFERROR(__xludf.DUMMYFUNCTION("""COMPUTED_VALUE"""),46029.0)</f>
        <v>46029</v>
      </c>
      <c r="B164" s="1174" t="str">
        <f>IFERROR(__xludf.DUMMYFUNCTION("""COMPUTED_VALUE"""),"ke-eb-06-14079-71967")</f>
        <v>ke-eb-06-14079-71967</v>
      </c>
      <c r="C164" s="1174" t="str">
        <f>IFERROR(__xludf.DUMMYFUNCTION("""COMPUTED_VALUE"""),"ENERO")</f>
        <v>ENERO</v>
      </c>
      <c r="D164" s="1174" t="b">
        <f>IFERROR(__xludf.DUMMYFUNCTION("""COMPUTED_VALUE"""),TRUE)</f>
        <v>1</v>
      </c>
      <c r="E164" s="1174" t="str">
        <f>IFERROR(__xludf.DUMMYFUNCTION("""COMPUTED_VALUE"""),"Laptop")</f>
        <v>Laptop</v>
      </c>
      <c r="F164" s="1176">
        <f>IFERROR(__xludf.DUMMYFUNCTION("""COMPUTED_VALUE"""),999.99)</f>
        <v>999.99</v>
      </c>
      <c r="G164" s="1177">
        <f>IFERROR(__xludf.DUMMYFUNCTION("""COMPUTED_VALUE"""),76.72999999999956)</f>
        <v>76.73</v>
      </c>
      <c r="H164" s="1174" t="b">
        <f>IFERROR(__xludf.DUMMYFUNCTION("""COMPUTED_VALUE"""),FALSE)</f>
        <v>0</v>
      </c>
      <c r="I164" s="1174" t="str">
        <f>IFERROR(__xludf.DUMMYFUNCTION("""COMPUTED_VALUE"""),"ENERO")</f>
        <v>ENERO</v>
      </c>
      <c r="J164" s="1177">
        <f>IFERROR(__xludf.DUMMYFUNCTION("""COMPUTED_VALUE"""),4799.0)</f>
        <v>4799</v>
      </c>
    </row>
    <row r="165">
      <c r="A165" s="1175">
        <f>IFERROR(__xludf.DUMMYFUNCTION("""COMPUTED_VALUE"""),46030.0)</f>
        <v>46030</v>
      </c>
      <c r="B165" s="1174" t="str">
        <f>IFERROR(__xludf.DUMMYFUNCTION("""COMPUTED_VALUE"""),"ke-BH-1126589273")</f>
        <v>ke-BH-1126589273</v>
      </c>
      <c r="C165" s="1174" t="str">
        <f>IFERROR(__xludf.DUMMYFUNCTION("""COMPUTED_VALUE"""),"ENERO")</f>
        <v>ENERO</v>
      </c>
      <c r="D165" s="1174" t="b">
        <f>IFERROR(__xludf.DUMMYFUNCTION("""COMPUTED_VALUE"""),TRUE)</f>
        <v>1</v>
      </c>
      <c r="E165" s="1174" t="str">
        <f>IFERROR(__xludf.DUMMYFUNCTION("""COMPUTED_VALUE"""),"Laptop")</f>
        <v>Laptop</v>
      </c>
      <c r="F165" s="1176">
        <f>IFERROR(__xludf.DUMMYFUNCTION("""COMPUTED_VALUE"""),2999.99)</f>
        <v>2999.99</v>
      </c>
      <c r="G165" s="1177">
        <f>IFERROR(__xludf.DUMMYFUNCTION("""COMPUTED_VALUE"""),321.1900000000005)</f>
        <v>321.19</v>
      </c>
      <c r="H165" s="1174" t="b">
        <f>IFERROR(__xludf.DUMMYFUNCTION("""COMPUTED_VALUE"""),FALSE)</f>
        <v>0</v>
      </c>
      <c r="I165" s="1174" t="str">
        <f>IFERROR(__xludf.DUMMYFUNCTION("""COMPUTED_VALUE"""),"ENERO")</f>
        <v>ENERO</v>
      </c>
      <c r="J165" s="1177">
        <f>IFERROR(__xludf.DUMMYFUNCTION("""COMPUTED_VALUE"""),13948.0)</f>
        <v>13948</v>
      </c>
    </row>
    <row r="166">
      <c r="A166" s="1175">
        <f>IFERROR(__xludf.DUMMYFUNCTION("""COMPUTED_VALUE"""),46034.0)</f>
        <v>46034</v>
      </c>
      <c r="B166" s="1174" t="str">
        <f>IFERROR(__xludf.DUMMYFUNCTION("""COMPUTED_VALUE"""),"so-eb-05-14101-38672")</f>
        <v>so-eb-05-14101-38672</v>
      </c>
      <c r="C166" s="1174" t="str">
        <f>IFERROR(__xludf.DUMMYFUNCTION("""COMPUTED_VALUE"""),"ENERO")</f>
        <v>ENERO</v>
      </c>
      <c r="D166" s="1174" t="b">
        <f>IFERROR(__xludf.DUMMYFUNCTION("""COMPUTED_VALUE"""),TRUE)</f>
        <v>1</v>
      </c>
      <c r="E166" s="1174" t="str">
        <f>IFERROR(__xludf.DUMMYFUNCTION("""COMPUTED_VALUE"""),"Laptop")</f>
        <v>Laptop</v>
      </c>
      <c r="F166" s="1176">
        <f>IFERROR(__xludf.DUMMYFUNCTION("""COMPUTED_VALUE"""),2179.99)</f>
        <v>2179.99</v>
      </c>
      <c r="G166" s="1177">
        <f>IFERROR(__xludf.DUMMYFUNCTION("""COMPUTED_VALUE"""),38.75)</f>
        <v>38.75</v>
      </c>
      <c r="H166" s="1174" t="b">
        <f>IFERROR(__xludf.DUMMYFUNCTION("""COMPUTED_VALUE"""),FALSE)</f>
        <v>0</v>
      </c>
      <c r="I166" s="1174" t="str">
        <f>IFERROR(__xludf.DUMMYFUNCTION("""COMPUTED_VALUE"""),"ENERO")</f>
        <v>ENERO</v>
      </c>
      <c r="J166" s="1177">
        <f>IFERROR(__xludf.DUMMYFUNCTION("""COMPUTED_VALUE"""),9299.0)</f>
        <v>9299</v>
      </c>
    </row>
    <row r="167">
      <c r="A167" s="1175">
        <f>IFERROR(__xludf.DUMMYFUNCTION("""COMPUTED_VALUE"""),46035.0)</f>
        <v>46035</v>
      </c>
      <c r="B167" s="1174" t="str">
        <f>IFERROR(__xludf.DUMMYFUNCTION("""COMPUTED_VALUE"""),"re-eb-05-14105-63129")</f>
        <v>re-eb-05-14105-63129</v>
      </c>
      <c r="C167" s="1174" t="str">
        <f>IFERROR(__xludf.DUMMYFUNCTION("""COMPUTED_VALUE"""),"ENERO")</f>
        <v>ENERO</v>
      </c>
      <c r="D167" s="1174" t="b">
        <f>IFERROR(__xludf.DUMMYFUNCTION("""COMPUTED_VALUE"""),TRUE)</f>
        <v>1</v>
      </c>
      <c r="E167" s="1174" t="str">
        <f>IFERROR(__xludf.DUMMYFUNCTION("""COMPUTED_VALUE"""),"Laptop")</f>
        <v>Laptop</v>
      </c>
      <c r="F167" s="1176">
        <f>IFERROR(__xludf.DUMMYFUNCTION("""COMPUTED_VALUE"""),1999.99)</f>
        <v>1999.99</v>
      </c>
      <c r="G167" s="1177">
        <f>IFERROR(__xludf.DUMMYFUNCTION("""COMPUTED_VALUE"""),29.729999999999563)</f>
        <v>29.73</v>
      </c>
      <c r="H167" s="1174" t="b">
        <f>IFERROR(__xludf.DUMMYFUNCTION("""COMPUTED_VALUE"""),FALSE)</f>
        <v>0</v>
      </c>
      <c r="I167" s="1174" t="str">
        <f>IFERROR(__xludf.DUMMYFUNCTION("""COMPUTED_VALUE"""),"ENERO")</f>
        <v>ENERO</v>
      </c>
      <c r="J167" s="1177">
        <f>IFERROR(__xludf.DUMMYFUNCTION("""COMPUTED_VALUE"""),8599.0)</f>
        <v>8599</v>
      </c>
    </row>
    <row r="168">
      <c r="A168" s="1175">
        <f>IFERROR(__xludf.DUMMYFUNCTION("""COMPUTED_VALUE"""),46035.0)</f>
        <v>46035</v>
      </c>
      <c r="B168" s="1174" t="str">
        <f>IFERROR(__xludf.DUMMYFUNCTION("""COMPUTED_VALUE"""),"k-n-553497934")</f>
        <v>k-n-553497934</v>
      </c>
      <c r="C168" s="1174" t="str">
        <f>IFERROR(__xludf.DUMMYFUNCTION("""COMPUTED_VALUE"""),"ENERO")</f>
        <v>ENERO</v>
      </c>
      <c r="D168" s="1174" t="b">
        <f>IFERROR(__xludf.DUMMYFUNCTION("""COMPUTED_VALUE"""),TRUE)</f>
        <v>1</v>
      </c>
      <c r="E168" s="1174" t="str">
        <f>IFERROR(__xludf.DUMMYFUNCTION("""COMPUTED_VALUE"""),"Laptop")</f>
        <v>Laptop</v>
      </c>
      <c r="F168" s="1176">
        <f>IFERROR(__xludf.DUMMYFUNCTION("""COMPUTED_VALUE"""),2099.99)</f>
        <v>2099.99</v>
      </c>
      <c r="G168" s="1177">
        <f>IFERROR(__xludf.DUMMYFUNCTION("""COMPUTED_VALUE"""),94.0)</f>
        <v>94</v>
      </c>
      <c r="H168" s="1174" t="b">
        <f>IFERROR(__xludf.DUMMYFUNCTION("""COMPUTED_VALUE"""),FALSE)</f>
        <v>0</v>
      </c>
      <c r="I168" s="1174" t="str">
        <f>IFERROR(__xludf.DUMMYFUNCTION("""COMPUTED_VALUE"""),"ENERO")</f>
        <v>ENERO</v>
      </c>
      <c r="J168" s="1177">
        <f>IFERROR(__xludf.DUMMYFUNCTION("""COMPUTED_VALUE"""),9300.0)</f>
        <v>9300</v>
      </c>
    </row>
    <row r="169">
      <c r="A169" s="1175">
        <f>IFERROR(__xludf.DUMMYFUNCTION("""COMPUTED_VALUE"""),46037.0)</f>
        <v>46037</v>
      </c>
      <c r="B169" s="1174" t="str">
        <f>IFERROR(__xludf.DUMMYFUNCTION("""COMPUTED_VALUE"""),"ke-ms-522124")</f>
        <v>ke-ms-522124</v>
      </c>
      <c r="C169" s="1174" t="str">
        <f>IFERROR(__xludf.DUMMYFUNCTION("""COMPUTED_VALUE"""),"ENERO")</f>
        <v>ENERO</v>
      </c>
      <c r="D169" s="1174" t="b">
        <f>IFERROR(__xludf.DUMMYFUNCTION("""COMPUTED_VALUE"""),TRUE)</f>
        <v>1</v>
      </c>
      <c r="E169" s="1174" t="str">
        <f>IFERROR(__xludf.DUMMYFUNCTION("""COMPUTED_VALUE"""),"Laptop")</f>
        <v>Laptop</v>
      </c>
      <c r="F169" s="1176">
        <f>IFERROR(__xludf.DUMMYFUNCTION("""COMPUTED_VALUE"""),1999.0)</f>
        <v>1999</v>
      </c>
      <c r="G169" s="1177">
        <f>IFERROR(__xludf.DUMMYFUNCTION("""COMPUTED_VALUE"""),209.9400000000005)</f>
        <v>209.94</v>
      </c>
      <c r="H169" s="1174" t="b">
        <f>IFERROR(__xludf.DUMMYFUNCTION("""COMPUTED_VALUE"""),FALSE)</f>
        <v>0</v>
      </c>
      <c r="I169" s="1174" t="str">
        <f>IFERROR(__xludf.DUMMYFUNCTION("""COMPUTED_VALUE"""),"FEBRERO")</f>
        <v>FEBRERO</v>
      </c>
      <c r="J169" s="1177">
        <f>IFERROR(__xludf.DUMMYFUNCTION("""COMPUTED_VALUE"""),8899.0)</f>
        <v>8899</v>
      </c>
    </row>
    <row r="170">
      <c r="A170" s="1175">
        <f>IFERROR(__xludf.DUMMYFUNCTION("""COMPUTED_VALUE"""),46038.0)</f>
        <v>46038</v>
      </c>
      <c r="B170" s="1174" t="str">
        <f>IFERROR(__xludf.DUMMYFUNCTION("""COMPUTED_VALUE"""),"ke-eb-13-13908-30661")</f>
        <v>ke-eb-13-13908-30661</v>
      </c>
      <c r="C170" s="1174" t="str">
        <f>IFERROR(__xludf.DUMMYFUNCTION("""COMPUTED_VALUE"""),"ENERO")</f>
        <v>ENERO</v>
      </c>
      <c r="D170" s="1174" t="b">
        <f>IFERROR(__xludf.DUMMYFUNCTION("""COMPUTED_VALUE"""),TRUE)</f>
        <v>1</v>
      </c>
      <c r="E170" s="1174" t="str">
        <f>IFERROR(__xludf.DUMMYFUNCTION("""COMPUTED_VALUE"""),"Laptop")</f>
        <v>Laptop</v>
      </c>
      <c r="F170" s="1176">
        <f>IFERROR(__xludf.DUMMYFUNCTION("""COMPUTED_VALUE"""),2449.99)</f>
        <v>2449.99</v>
      </c>
      <c r="G170" s="1177">
        <f>IFERROR(__xludf.DUMMYFUNCTION("""COMPUTED_VALUE"""),10.0)</f>
        <v>10</v>
      </c>
      <c r="H170" s="1174" t="b">
        <f>IFERROR(__xludf.DUMMYFUNCTION("""COMPUTED_VALUE"""),FALSE)</f>
        <v>0</v>
      </c>
      <c r="I170" s="1174" t="str">
        <f>IFERROR(__xludf.DUMMYFUNCTION("""COMPUTED_VALUE"""),"ENERO")</f>
        <v>ENERO</v>
      </c>
      <c r="J170" s="1177">
        <f>IFERROR(__xludf.DUMMYFUNCTION("""COMPUTED_VALUE"""),10526.0)</f>
        <v>10526</v>
      </c>
    </row>
    <row r="171">
      <c r="A171" s="1175">
        <f>IFERROR(__xludf.DUMMYFUNCTION("""COMPUTED_VALUE"""),46038.0)</f>
        <v>46038</v>
      </c>
      <c r="B171" s="1174" t="str">
        <f>IFERROR(__xludf.DUMMYFUNCTION("""COMPUTED_VALUE"""),"ka-mi-261225")</f>
        <v>ka-mi-261225</v>
      </c>
      <c r="C171" s="1174" t="str">
        <f>IFERROR(__xludf.DUMMYFUNCTION("""COMPUTED_VALUE"""),"ENERO")</f>
        <v>ENERO</v>
      </c>
      <c r="D171" s="1174" t="b">
        <f>IFERROR(__xludf.DUMMYFUNCTION("""COMPUTED_VALUE"""),TRUE)</f>
        <v>1</v>
      </c>
      <c r="E171" s="1174" t="str">
        <f>IFERROR(__xludf.DUMMYFUNCTION("""COMPUTED_VALUE"""),"Laptop")</f>
        <v>Laptop</v>
      </c>
      <c r="F171" s="1176">
        <f>IFERROR(__xludf.DUMMYFUNCTION("""COMPUTED_VALUE"""),1799.99)</f>
        <v>1799.99</v>
      </c>
      <c r="G171" s="1177">
        <f>IFERROR(__xludf.DUMMYFUNCTION("""COMPUTED_VALUE"""),196.0)</f>
        <v>196</v>
      </c>
      <c r="H171" s="1174" t="b">
        <f>IFERROR(__xludf.DUMMYFUNCTION("""COMPUTED_VALUE"""),FALSE)</f>
        <v>0</v>
      </c>
      <c r="I171" s="1174" t="str">
        <f>IFERROR(__xludf.DUMMYFUNCTION("""COMPUTED_VALUE"""),"ENERO")</f>
        <v>ENERO</v>
      </c>
      <c r="J171" s="1177">
        <f>IFERROR(__xludf.DUMMYFUNCTION("""COMPUTED_VALUE"""),8299.0)</f>
        <v>8299</v>
      </c>
    </row>
    <row r="172">
      <c r="A172" s="1175">
        <f>IFERROR(__xludf.DUMMYFUNCTION("""COMPUTED_VALUE"""),46039.0)</f>
        <v>46039</v>
      </c>
      <c r="B172" s="1174" t="str">
        <f>IFERROR(__xludf.DUMMYFUNCTION("""COMPUTED_VALUE"""),"li-mi-170126")</f>
        <v>li-mi-170126</v>
      </c>
      <c r="C172" s="1174" t="str">
        <f>IFERROR(__xludf.DUMMYFUNCTION("""COMPUTED_VALUE"""),"ENERO")</f>
        <v>ENERO</v>
      </c>
      <c r="D172" s="1174" t="b">
        <f>IFERROR(__xludf.DUMMYFUNCTION("""COMPUTED_VALUE"""),TRUE)</f>
        <v>1</v>
      </c>
      <c r="E172" s="1174" t="str">
        <f>IFERROR(__xludf.DUMMYFUNCTION("""COMPUTED_VALUE"""),"Laptop")</f>
        <v>Laptop</v>
      </c>
      <c r="F172" s="1176">
        <f>IFERROR(__xludf.DUMMYFUNCTION("""COMPUTED_VALUE"""),1499.99)</f>
        <v>1499.99</v>
      </c>
      <c r="G172" s="1177">
        <f>IFERROR(__xludf.DUMMYFUNCTION("""COMPUTED_VALUE"""),132.5)</f>
        <v>132.5</v>
      </c>
      <c r="H172" s="1174" t="b">
        <f>IFERROR(__xludf.DUMMYFUNCTION("""COMPUTED_VALUE"""),FALSE)</f>
        <v>0</v>
      </c>
      <c r="I172" s="1174" t="str">
        <f>IFERROR(__xludf.DUMMYFUNCTION("""COMPUTED_VALUE"""),"ENERO")</f>
        <v>ENERO</v>
      </c>
      <c r="J172" s="1177">
        <f>IFERROR(__xludf.DUMMYFUNCTION("""COMPUTED_VALUE"""),7199.0)</f>
        <v>7199</v>
      </c>
    </row>
    <row r="173">
      <c r="A173" s="1175">
        <f>IFERROR(__xludf.DUMMYFUNCTION("""COMPUTED_VALUE"""),46041.0)</f>
        <v>46041</v>
      </c>
      <c r="B173" s="1174" t="str">
        <f>IFERROR(__xludf.DUMMYFUNCTION("""COMPUTED_VALUE"""),"li-mi-050126")</f>
        <v>li-mi-050126</v>
      </c>
      <c r="C173" s="1174" t="str">
        <f>IFERROR(__xludf.DUMMYFUNCTION("""COMPUTED_VALUE"""),"ENERO")</f>
        <v>ENERO</v>
      </c>
      <c r="D173" s="1174" t="b">
        <f>IFERROR(__xludf.DUMMYFUNCTION("""COMPUTED_VALUE"""),TRUE)</f>
        <v>1</v>
      </c>
      <c r="E173" s="1174" t="str">
        <f>IFERROR(__xludf.DUMMYFUNCTION("""COMPUTED_VALUE"""),"Laptop")</f>
        <v>Laptop</v>
      </c>
      <c r="F173" s="1176">
        <f>IFERROR(__xludf.DUMMYFUNCTION("""COMPUTED_VALUE"""),1799.99)</f>
        <v>1799.99</v>
      </c>
      <c r="G173" s="1177">
        <f>IFERROR(__xludf.DUMMYFUNCTION("""COMPUTED_VALUE"""),224.72999999999956)</f>
        <v>224.73</v>
      </c>
      <c r="H173" s="1174" t="b">
        <f>IFERROR(__xludf.DUMMYFUNCTION("""COMPUTED_VALUE"""),FALSE)</f>
        <v>0</v>
      </c>
      <c r="I173" s="1174" t="str">
        <f>IFERROR(__xludf.DUMMYFUNCTION("""COMPUTED_VALUE"""),"ENERO")</f>
        <v>ENERO</v>
      </c>
      <c r="J173" s="1177">
        <f>IFERROR(__xludf.DUMMYFUNCTION("""COMPUTED_VALUE"""),8351.73)</f>
        <v>8351.73</v>
      </c>
    </row>
    <row r="174">
      <c r="A174" s="1175">
        <f>IFERROR(__xludf.DUMMYFUNCTION("""COMPUTED_VALUE"""),46044.0)</f>
        <v>46044</v>
      </c>
      <c r="B174" s="1174" t="str">
        <f>IFERROR(__xludf.DUMMYFUNCTION("""COMPUTED_VALUE"""),"ke-am-113-7390181-3063400")</f>
        <v>ke-am-113-7390181-3063400</v>
      </c>
      <c r="C174" s="1174" t="str">
        <f>IFERROR(__xludf.DUMMYFUNCTION("""COMPUTED_VALUE"""),"ENERO")</f>
        <v>ENERO</v>
      </c>
      <c r="D174" s="1174" t="b">
        <f>IFERROR(__xludf.DUMMYFUNCTION("""COMPUTED_VALUE"""),TRUE)</f>
        <v>1</v>
      </c>
      <c r="E174" s="1174" t="str">
        <f>IFERROR(__xludf.DUMMYFUNCTION("""COMPUTED_VALUE"""),"Laptop")</f>
        <v>Laptop</v>
      </c>
      <c r="F174" s="1176">
        <f>IFERROR(__xludf.DUMMYFUNCTION("""COMPUTED_VALUE"""),1424.05)</f>
        <v>1424.05</v>
      </c>
      <c r="G174" s="1177">
        <f>IFERROR(__xludf.DUMMYFUNCTION("""COMPUTED_VALUE"""),546.0)</f>
        <v>546</v>
      </c>
      <c r="H174" s="1174" t="b">
        <f>IFERROR(__xludf.DUMMYFUNCTION("""COMPUTED_VALUE"""),FALSE)</f>
        <v>0</v>
      </c>
      <c r="I174" s="1174" t="str">
        <f>IFERROR(__xludf.DUMMYFUNCTION("""COMPUTED_VALUE"""),"FEBRERO")</f>
        <v>FEBRERO</v>
      </c>
      <c r="J174" s="1177">
        <f>IFERROR(__xludf.DUMMYFUNCTION("""COMPUTED_VALUE"""),6999.0)</f>
        <v>6999</v>
      </c>
    </row>
    <row r="175">
      <c r="A175" s="1175">
        <f>IFERROR(__xludf.DUMMYFUNCTION("""COMPUTED_VALUE"""),46044.0)</f>
        <v>46044</v>
      </c>
      <c r="B175" s="1174" t="str">
        <f>IFERROR(__xludf.DUMMYFUNCTION("""COMPUTED_VALUE"""),"li-mi-050126-2")</f>
        <v>li-mi-050126-2</v>
      </c>
      <c r="C175" s="1174" t="str">
        <f>IFERROR(__xludf.DUMMYFUNCTION("""COMPUTED_VALUE"""),"ENERO")</f>
        <v>ENERO</v>
      </c>
      <c r="D175" s="1174" t="b">
        <f>IFERROR(__xludf.DUMMYFUNCTION("""COMPUTED_VALUE"""),TRUE)</f>
        <v>1</v>
      </c>
      <c r="E175" s="1174" t="str">
        <f>IFERROR(__xludf.DUMMYFUNCTION("""COMPUTED_VALUE"""),"Laptop")</f>
        <v>Laptop</v>
      </c>
      <c r="F175" s="1176">
        <f>IFERROR(__xludf.DUMMYFUNCTION("""COMPUTED_VALUE"""),1799.99)</f>
        <v>1799.99</v>
      </c>
      <c r="G175" s="1177">
        <f>IFERROR(__xludf.DUMMYFUNCTION("""COMPUTED_VALUE"""),696.0)</f>
        <v>696</v>
      </c>
      <c r="H175" s="1174" t="b">
        <f>IFERROR(__xludf.DUMMYFUNCTION("""COMPUTED_VALUE"""),FALSE)</f>
        <v>0</v>
      </c>
      <c r="I175" s="1174" t="str">
        <f>IFERROR(__xludf.DUMMYFUNCTION("""COMPUTED_VALUE"""),"ENERO")</f>
        <v>ENERO</v>
      </c>
      <c r="J175" s="1177">
        <f>IFERROR(__xludf.DUMMYFUNCTION("""COMPUTED_VALUE"""),8799.0)</f>
        <v>8799</v>
      </c>
    </row>
    <row r="176">
      <c r="A176" s="1175">
        <f>IFERROR(__xludf.DUMMYFUNCTION("""COMPUTED_VALUE"""),46046.0)</f>
        <v>46046</v>
      </c>
      <c r="B176" s="1174" t="str">
        <f>IFERROR(__xludf.DUMMYFUNCTION("""COMPUTED_VALUE"""),"ke-eb-12-14030-02480")</f>
        <v>ke-eb-12-14030-02480</v>
      </c>
      <c r="C176" s="1174" t="str">
        <f>IFERROR(__xludf.DUMMYFUNCTION("""COMPUTED_VALUE"""),"ENERO")</f>
        <v>ENERO</v>
      </c>
      <c r="D176" s="1174" t="b">
        <f>IFERROR(__xludf.DUMMYFUNCTION("""COMPUTED_VALUE"""),TRUE)</f>
        <v>1</v>
      </c>
      <c r="E176" s="1174" t="str">
        <f>IFERROR(__xludf.DUMMYFUNCTION("""COMPUTED_VALUE"""),"Laptop")</f>
        <v>Laptop</v>
      </c>
      <c r="F176" s="1176">
        <f>IFERROR(__xludf.DUMMYFUNCTION("""COMPUTED_VALUE"""),1199.0)</f>
        <v>1199</v>
      </c>
      <c r="G176" s="1177">
        <f>IFERROR(__xludf.DUMMYFUNCTION("""COMPUTED_VALUE"""),73.0)</f>
        <v>73</v>
      </c>
      <c r="H176" s="1174" t="b">
        <f>IFERROR(__xludf.DUMMYFUNCTION("""COMPUTED_VALUE"""),FALSE)</f>
        <v>0</v>
      </c>
      <c r="I176" s="1174" t="str">
        <f>IFERROR(__xludf.DUMMYFUNCTION("""COMPUTED_VALUE"""),"FEBRERO")</f>
        <v>FEBRERO</v>
      </c>
      <c r="J176" s="1177">
        <f>IFERROR(__xludf.DUMMYFUNCTION("""COMPUTED_VALUE"""),5499.0)</f>
        <v>5499</v>
      </c>
    </row>
    <row r="177">
      <c r="A177" s="1175">
        <f>IFERROR(__xludf.DUMMYFUNCTION("""COMPUTED_VALUE"""),46050.0)</f>
        <v>46050</v>
      </c>
      <c r="B177" s="1174" t="str">
        <f>IFERROR(__xludf.DUMMYFUNCTION("""COMPUTED_VALUE"""),"re-eb-11-14106-82311")</f>
        <v>re-eb-11-14106-82311</v>
      </c>
      <c r="C177" s="1174" t="str">
        <f>IFERROR(__xludf.DUMMYFUNCTION("""COMPUTED_VALUE"""),"ENERO")</f>
        <v>ENERO</v>
      </c>
      <c r="D177" s="1174" t="b">
        <f>IFERROR(__xludf.DUMMYFUNCTION("""COMPUTED_VALUE"""),TRUE)</f>
        <v>1</v>
      </c>
      <c r="E177" s="1174" t="str">
        <f>IFERROR(__xludf.DUMMYFUNCTION("""COMPUTED_VALUE"""),"Laptop")</f>
        <v>Laptop</v>
      </c>
      <c r="F177" s="1176">
        <f>IFERROR(__xludf.DUMMYFUNCTION("""COMPUTED_VALUE"""),1549.99)</f>
        <v>1549.99</v>
      </c>
      <c r="G177" s="1177">
        <f>IFERROR(__xludf.DUMMYFUNCTION("""COMPUTED_VALUE"""),93.0)</f>
        <v>93</v>
      </c>
      <c r="H177" s="1174" t="b">
        <f>IFERROR(__xludf.DUMMYFUNCTION("""COMPUTED_VALUE"""),FALSE)</f>
        <v>0</v>
      </c>
      <c r="I177" s="1174" t="str">
        <f>IFERROR(__xludf.DUMMYFUNCTION("""COMPUTED_VALUE"""),"FEBRERO")</f>
        <v>FEBRERO</v>
      </c>
      <c r="J177" s="1177">
        <f>IFERROR(__xludf.DUMMYFUNCTION("""COMPUTED_VALUE"""),6899.0)</f>
        <v>6899</v>
      </c>
    </row>
    <row r="178">
      <c r="A178" s="1175">
        <f>IFERROR(__xludf.DUMMYFUNCTION("""COMPUTED_VALUE"""),46050.0)</f>
        <v>46050</v>
      </c>
      <c r="B178" s="1174" t="str">
        <f>IFERROR(__xludf.DUMMYFUNCTION("""COMPUTED_VALUE"""),"yo-eb-24-14103-23121")</f>
        <v>yo-eb-24-14103-23121</v>
      </c>
      <c r="C178" s="1174" t="str">
        <f>IFERROR(__xludf.DUMMYFUNCTION("""COMPUTED_VALUE"""),"ENERO")</f>
        <v>ENERO</v>
      </c>
      <c r="D178" s="1174" t="b">
        <f>IFERROR(__xludf.DUMMYFUNCTION("""COMPUTED_VALUE"""),TRUE)</f>
        <v>1</v>
      </c>
      <c r="E178" s="1174" t="str">
        <f>IFERROR(__xludf.DUMMYFUNCTION("""COMPUTED_VALUE"""),"Laptop")</f>
        <v>Laptop</v>
      </c>
      <c r="F178" s="1176">
        <f>IFERROR(__xludf.DUMMYFUNCTION("""COMPUTED_VALUE"""),1549.99)</f>
        <v>1549.99</v>
      </c>
      <c r="G178" s="1177">
        <f>IFERROR(__xludf.DUMMYFUNCTION("""COMPUTED_VALUE"""),33.0)</f>
        <v>33</v>
      </c>
      <c r="H178" s="1174" t="b">
        <f>IFERROR(__xludf.DUMMYFUNCTION("""COMPUTED_VALUE"""),FALSE)</f>
        <v>0</v>
      </c>
      <c r="I178" s="1174" t="str">
        <f>IFERROR(__xludf.DUMMYFUNCTION("""COMPUTED_VALUE"""),"FEBRERO")</f>
        <v>FEBRERO</v>
      </c>
      <c r="J178" s="1177">
        <f>IFERROR(__xludf.DUMMYFUNCTION("""COMPUTED_VALUE"""),6899.0)</f>
        <v>6899</v>
      </c>
    </row>
    <row r="179">
      <c r="A179" s="1175">
        <f>IFERROR(__xludf.DUMMYFUNCTION("""COMPUTED_VALUE"""),46051.0)</f>
        <v>46051</v>
      </c>
      <c r="B179" s="1174" t="str">
        <f>IFERROR(__xludf.DUMMYFUNCTION("""COMPUTED_VALUE"""),"ke-eb-09-14172-89628")</f>
        <v>ke-eb-09-14172-89628</v>
      </c>
      <c r="C179" s="1174" t="str">
        <f>IFERROR(__xludf.DUMMYFUNCTION("""COMPUTED_VALUE"""),"FEBRERO")</f>
        <v>FEBRERO</v>
      </c>
      <c r="D179" s="1174" t="b">
        <f>IFERROR(__xludf.DUMMYFUNCTION("""COMPUTED_VALUE"""),TRUE)</f>
        <v>1</v>
      </c>
      <c r="E179" s="1174" t="str">
        <f>IFERROR(__xludf.DUMMYFUNCTION("""COMPUTED_VALUE"""),"Laptop")</f>
        <v>Laptop</v>
      </c>
      <c r="F179" s="1176">
        <f>IFERROR(__xludf.DUMMYFUNCTION("""COMPUTED_VALUE"""),1849.99)</f>
        <v>1849.99</v>
      </c>
      <c r="G179" s="1177">
        <f>IFERROR(__xludf.DUMMYFUNCTION("""COMPUTED_VALUE"""),183.10999999999967)</f>
        <v>183.11</v>
      </c>
      <c r="H179" s="1174" t="b">
        <f>IFERROR(__xludf.DUMMYFUNCTION("""COMPUTED_VALUE"""),FALSE)</f>
        <v>0</v>
      </c>
      <c r="I179" s="1174" t="str">
        <f>IFERROR(__xludf.DUMMYFUNCTION("""COMPUTED_VALUE"""),"FEBRERO")</f>
        <v>FEBRERO</v>
      </c>
      <c r="J179" s="1177">
        <f>IFERROR(__xludf.DUMMYFUNCTION("""COMPUTED_VALUE"""),7999.0)</f>
        <v>7999</v>
      </c>
    </row>
    <row r="180">
      <c r="A180" s="1175">
        <f>IFERROR(__xludf.DUMMYFUNCTION("""COMPUTED_VALUE"""),46052.0)</f>
        <v>46052</v>
      </c>
      <c r="B180" s="1174" t="str">
        <f>IFERROR(__xludf.DUMMYFUNCTION("""COMPUTED_VALUE"""),"so-eb-17-14098-28640")</f>
        <v>so-eb-17-14098-28640</v>
      </c>
      <c r="C180" s="1174" t="str">
        <f>IFERROR(__xludf.DUMMYFUNCTION("""COMPUTED_VALUE"""),"ENERO")</f>
        <v>ENERO</v>
      </c>
      <c r="D180" s="1174" t="b">
        <f>IFERROR(__xludf.DUMMYFUNCTION("""COMPUTED_VALUE"""),TRUE)</f>
        <v>1</v>
      </c>
      <c r="E180" s="1174" t="str">
        <f>IFERROR(__xludf.DUMMYFUNCTION("""COMPUTED_VALUE"""),"Laptop")</f>
        <v>Laptop</v>
      </c>
      <c r="F180" s="1176">
        <f>IFERROR(__xludf.DUMMYFUNCTION("""COMPUTED_VALUE"""),1549.99)</f>
        <v>1549.99</v>
      </c>
      <c r="G180" s="1177">
        <f>IFERROR(__xludf.DUMMYFUNCTION("""COMPUTED_VALUE"""),93.0)</f>
        <v>93</v>
      </c>
      <c r="H180" s="1174" t="b">
        <f>IFERROR(__xludf.DUMMYFUNCTION("""COMPUTED_VALUE"""),FALSE)</f>
        <v>0</v>
      </c>
      <c r="I180" s="1174" t="str">
        <f>IFERROR(__xludf.DUMMYFUNCTION("""COMPUTED_VALUE"""),"FEBRERO")</f>
        <v>FEBRERO</v>
      </c>
      <c r="J180" s="1177">
        <f>IFERROR(__xludf.DUMMYFUNCTION("""COMPUTED_VALUE"""),6899.0)</f>
        <v>6899</v>
      </c>
    </row>
    <row r="181">
      <c r="A181" s="1175">
        <f>IFERROR(__xludf.DUMMYFUNCTION("""COMPUTED_VALUE"""),46058.0)</f>
        <v>46058</v>
      </c>
      <c r="B181" s="1174" t="str">
        <f>IFERROR(__xludf.DUMMYFUNCTION("""COMPUTED_VALUE"""),"ga-co-1262493833")</f>
        <v>ga-co-1262493833</v>
      </c>
      <c r="C181" s="1174" t="str">
        <f>IFERROR(__xludf.DUMMYFUNCTION("""COMPUTED_VALUE"""),"FEBRERO")</f>
        <v>FEBRERO</v>
      </c>
      <c r="D181" s="1174" t="b">
        <f>IFERROR(__xludf.DUMMYFUNCTION("""COMPUTED_VALUE"""),TRUE)</f>
        <v>1</v>
      </c>
      <c r="E181" s="1174" t="str">
        <f>IFERROR(__xludf.DUMMYFUNCTION("""COMPUTED_VALUE"""),"Laptop")</f>
        <v>Laptop</v>
      </c>
      <c r="F181" s="1176">
        <f>IFERROR(__xludf.DUMMYFUNCTION("""COMPUTED_VALUE"""),1599.99)</f>
        <v>1599.99</v>
      </c>
      <c r="G181" s="1177">
        <f>IFERROR(__xludf.DUMMYFUNCTION("""COMPUTED_VALUE"""),591.9799999999996)</f>
        <v>591.98</v>
      </c>
      <c r="H181" s="1174" t="b">
        <f>IFERROR(__xludf.DUMMYFUNCTION("""COMPUTED_VALUE"""),FALSE)</f>
        <v>0</v>
      </c>
      <c r="I181" s="1174" t="str">
        <f>IFERROR(__xludf.DUMMYFUNCTION("""COMPUTED_VALUE"""),"MARZO")</f>
        <v>MARZO</v>
      </c>
      <c r="J181" s="1177">
        <f>IFERROR(__xludf.DUMMYFUNCTION("""COMPUTED_VALUE"""),8299.0)</f>
        <v>8299</v>
      </c>
    </row>
    <row r="182">
      <c r="A182" s="1175">
        <f>IFERROR(__xludf.DUMMYFUNCTION("""COMPUTED_VALUE"""),46058.0)</f>
        <v>46058</v>
      </c>
      <c r="B182" s="1174" t="str">
        <f>IFERROR(__xludf.DUMMYFUNCTION("""COMPUTED_VALUE"""),"ke-eb-20-14100-39988")</f>
        <v>ke-eb-20-14100-39988</v>
      </c>
      <c r="C182" s="1174" t="str">
        <f>IFERROR(__xludf.DUMMYFUNCTION("""COMPUTED_VALUE"""),"FEBRERO")</f>
        <v>FEBRERO</v>
      </c>
      <c r="D182" s="1174" t="b">
        <f>IFERROR(__xludf.DUMMYFUNCTION("""COMPUTED_VALUE"""),TRUE)</f>
        <v>1</v>
      </c>
      <c r="E182" s="1174" t="str">
        <f>IFERROR(__xludf.DUMMYFUNCTION("""COMPUTED_VALUE"""),"Laptop")</f>
        <v>Laptop</v>
      </c>
      <c r="F182" s="1176">
        <f>IFERROR(__xludf.DUMMYFUNCTION("""COMPUTED_VALUE"""),1549.99)</f>
        <v>1549.99</v>
      </c>
      <c r="G182" s="1177">
        <f>IFERROR(__xludf.DUMMYFUNCTION("""COMPUTED_VALUE"""),293.0)</f>
        <v>293</v>
      </c>
      <c r="H182" s="1174" t="b">
        <f>IFERROR(__xludf.DUMMYFUNCTION("""COMPUTED_VALUE"""),FALSE)</f>
        <v>0</v>
      </c>
      <c r="I182" s="1174" t="str">
        <f>IFERROR(__xludf.DUMMYFUNCTION("""COMPUTED_VALUE"""),"FEBRERO")</f>
        <v>FEBRERO</v>
      </c>
      <c r="J182" s="1177">
        <f>IFERROR(__xludf.DUMMYFUNCTION("""COMPUTED_VALUE"""),7099.0)</f>
        <v>7099</v>
      </c>
    </row>
    <row r="183">
      <c r="A183" s="1175">
        <f>IFERROR(__xludf.DUMMYFUNCTION("""COMPUTED_VALUE"""),46058.0)</f>
        <v>46058</v>
      </c>
      <c r="B183" s="1174" t="str">
        <f>IFERROR(__xludf.DUMMYFUNCTION("""COMPUTED_VALUE"""),"ke-eb-14-14108-94200")</f>
        <v>ke-eb-14-14108-94200</v>
      </c>
      <c r="C183" s="1174" t="str">
        <f>IFERROR(__xludf.DUMMYFUNCTION("""COMPUTED_VALUE"""),"FEBRERO")</f>
        <v>FEBRERO</v>
      </c>
      <c r="D183" s="1174" t="b">
        <f>IFERROR(__xludf.DUMMYFUNCTION("""COMPUTED_VALUE"""),TRUE)</f>
        <v>1</v>
      </c>
      <c r="E183" s="1174" t="str">
        <f>IFERROR(__xludf.DUMMYFUNCTION("""COMPUTED_VALUE"""),"Laptop")</f>
        <v>Laptop</v>
      </c>
      <c r="F183" s="1176">
        <f>IFERROR(__xludf.DUMMYFUNCTION("""COMPUTED_VALUE"""),1549.99)</f>
        <v>1549.99</v>
      </c>
      <c r="G183" s="1177">
        <f>IFERROR(__xludf.DUMMYFUNCTION("""COMPUTED_VALUE"""),393.0)</f>
        <v>393</v>
      </c>
      <c r="H183" s="1174" t="b">
        <f>IFERROR(__xludf.DUMMYFUNCTION("""COMPUTED_VALUE"""),FALSE)</f>
        <v>0</v>
      </c>
      <c r="I183" s="1174" t="str">
        <f>IFERROR(__xludf.DUMMYFUNCTION("""COMPUTED_VALUE"""),"FEBRERO")</f>
        <v>FEBRERO</v>
      </c>
      <c r="J183" s="1177">
        <f>IFERROR(__xludf.DUMMYFUNCTION("""COMPUTED_VALUE"""),7199.0)</f>
        <v>7199</v>
      </c>
    </row>
    <row r="184">
      <c r="A184" s="1175">
        <f>IFERROR(__xludf.DUMMYFUNCTION("""COMPUTED_VALUE"""),46060.0)</f>
        <v>46060</v>
      </c>
      <c r="B184" s="1174" t="str">
        <f>IFERROR(__xludf.DUMMYFUNCTION("""COMPUTED_VALUE"""),"li-mi-090226")</f>
        <v>li-mi-090226</v>
      </c>
      <c r="C184" s="1174" t="str">
        <f>IFERROR(__xludf.DUMMYFUNCTION("""COMPUTED_VALUE"""),"FEBRERO")</f>
        <v>FEBRERO</v>
      </c>
      <c r="D184" s="1174" t="b">
        <f>IFERROR(__xludf.DUMMYFUNCTION("""COMPUTED_VALUE"""),TRUE)</f>
        <v>1</v>
      </c>
      <c r="E184" s="1174" t="str">
        <f>IFERROR(__xludf.DUMMYFUNCTION("""COMPUTED_VALUE"""),"Laptop")</f>
        <v>Laptop</v>
      </c>
      <c r="F184" s="1176">
        <f>IFERROR(__xludf.DUMMYFUNCTION("""COMPUTED_VALUE"""),3299.99)</f>
        <v>3299.99</v>
      </c>
      <c r="G184" s="1177">
        <f>IFERROR(__xludf.DUMMYFUNCTION("""COMPUTED_VALUE"""),201.04000000000087)</f>
        <v>201.04</v>
      </c>
      <c r="H184" s="1174" t="b">
        <f>IFERROR(__xludf.DUMMYFUNCTION("""COMPUTED_VALUE"""),FALSE)</f>
        <v>0</v>
      </c>
      <c r="I184" s="1174" t="str">
        <f>IFERROR(__xludf.DUMMYFUNCTION("""COMPUTED_VALUE"""),"MARZO")</f>
        <v>MARZO</v>
      </c>
      <c r="J184" s="1177">
        <f>IFERROR(__xludf.DUMMYFUNCTION("""COMPUTED_VALUE"""),14599.0)</f>
        <v>14599</v>
      </c>
    </row>
    <row r="185">
      <c r="A185" s="1175">
        <f>IFERROR(__xludf.DUMMYFUNCTION("""COMPUTED_VALUE"""),46060.0)</f>
        <v>46060</v>
      </c>
      <c r="B185" s="1174" t="str">
        <f>IFERROR(__xludf.DUMMYFUNCTION("""COMPUTED_VALUE"""),"ke-ms-524302")</f>
        <v>ke-ms-524302</v>
      </c>
      <c r="C185" s="1174" t="str">
        <f>IFERROR(__xludf.DUMMYFUNCTION("""COMPUTED_VALUE"""),"FEBRERO")</f>
        <v>FEBRERO</v>
      </c>
      <c r="D185" s="1174" t="b">
        <f>IFERROR(__xludf.DUMMYFUNCTION("""COMPUTED_VALUE"""),TRUE)</f>
        <v>1</v>
      </c>
      <c r="E185" s="1174" t="str">
        <f>IFERROR(__xludf.DUMMYFUNCTION("""COMPUTED_VALUE"""),"Laptop")</f>
        <v>Laptop</v>
      </c>
      <c r="F185" s="1176">
        <f>IFERROR(__xludf.DUMMYFUNCTION("""COMPUTED_VALUE"""),1999.0)</f>
        <v>1999</v>
      </c>
      <c r="G185" s="1177">
        <f>IFERROR(__xludf.DUMMYFUNCTION("""COMPUTED_VALUE"""),123.0)</f>
        <v>123</v>
      </c>
      <c r="H185" s="1174" t="b">
        <f>IFERROR(__xludf.DUMMYFUNCTION("""COMPUTED_VALUE"""),FALSE)</f>
        <v>0</v>
      </c>
      <c r="I185" s="1174" t="str">
        <f>IFERROR(__xludf.DUMMYFUNCTION("""COMPUTED_VALUE"""),"MARZO")</f>
        <v>MARZO</v>
      </c>
      <c r="J185" s="1177">
        <f>IFERROR(__xludf.DUMMYFUNCTION("""COMPUTED_VALUE"""),8599.0)</f>
        <v>8599</v>
      </c>
    </row>
    <row r="186">
      <c r="A186" s="1175">
        <f>IFERROR(__xludf.DUMMYFUNCTION("""COMPUTED_VALUE"""),46063.0)</f>
        <v>46063</v>
      </c>
      <c r="B186" s="1174" t="str">
        <f>IFERROR(__xludf.DUMMYFUNCTION("""COMPUTED_VALUE"""),"ja-mi-110226")</f>
        <v>ja-mi-110226</v>
      </c>
      <c r="C186" s="1174" t="str">
        <f>IFERROR(__xludf.DUMMYFUNCTION("""COMPUTED_VALUE"""),"FEBRERO")</f>
        <v>FEBRERO</v>
      </c>
      <c r="D186" s="1174" t="b">
        <f>IFERROR(__xludf.DUMMYFUNCTION("""COMPUTED_VALUE"""),TRUE)</f>
        <v>1</v>
      </c>
      <c r="E186" s="1174" t="str">
        <f>IFERROR(__xludf.DUMMYFUNCTION("""COMPUTED_VALUE"""),"Laptop")</f>
        <v>Laptop</v>
      </c>
      <c r="F186" s="1176">
        <f>IFERROR(__xludf.DUMMYFUNCTION("""COMPUTED_VALUE"""),3299.99)</f>
        <v>3299.99</v>
      </c>
      <c r="G186" s="1177">
        <f>IFERROR(__xludf.DUMMYFUNCTION("""COMPUTED_VALUE"""),345.4300000000003)</f>
        <v>345.43</v>
      </c>
      <c r="H186" s="1174" t="b">
        <f>IFERROR(__xludf.DUMMYFUNCTION("""COMPUTED_VALUE"""),FALSE)</f>
        <v>0</v>
      </c>
      <c r="I186" s="1174" t="str">
        <f>IFERROR(__xludf.DUMMYFUNCTION("""COMPUTED_VALUE"""),"MARZO")</f>
        <v>MARZO</v>
      </c>
      <c r="J186" s="1177">
        <f>IFERROR(__xludf.DUMMYFUNCTION("""COMPUTED_VALUE"""),14399.0)</f>
        <v>14399</v>
      </c>
    </row>
    <row r="187">
      <c r="A187" s="1175">
        <f>IFERROR(__xludf.DUMMYFUNCTION("""COMPUTED_VALUE"""),46064.0)</f>
        <v>46064</v>
      </c>
      <c r="B187" s="1174" t="str">
        <f>IFERROR(__xludf.DUMMYFUNCTION("""COMPUTED_VALUE"""),"ke-eb-13-14214-17250")</f>
        <v>ke-eb-13-14214-17250</v>
      </c>
      <c r="C187" s="1174" t="str">
        <f>IFERROR(__xludf.DUMMYFUNCTION("""COMPUTED_VALUE"""),"FEBRERO")</f>
        <v>FEBRERO</v>
      </c>
      <c r="D187" s="1174" t="b">
        <f>IFERROR(__xludf.DUMMYFUNCTION("""COMPUTED_VALUE"""),TRUE)</f>
        <v>1</v>
      </c>
      <c r="E187" s="1174" t="str">
        <f>IFERROR(__xludf.DUMMYFUNCTION("""COMPUTED_VALUE"""),"Laptop")</f>
        <v>Laptop</v>
      </c>
      <c r="F187" s="1176">
        <f>IFERROR(__xludf.DUMMYFUNCTION("""COMPUTED_VALUE"""),1549.99)</f>
        <v>1549.99</v>
      </c>
      <c r="G187" s="1177">
        <f>IFERROR(__xludf.DUMMYFUNCTION("""COMPUTED_VALUE"""),38.340000000000146)</f>
        <v>38.34</v>
      </c>
      <c r="H187" s="1174" t="b">
        <f>IFERROR(__xludf.DUMMYFUNCTION("""COMPUTED_VALUE"""),TRUE)</f>
        <v>1</v>
      </c>
      <c r="I187" s="1174" t="str">
        <f>IFERROR(__xludf.DUMMYFUNCTION("""COMPUTED_VALUE"""),"FEBRERO")</f>
        <v>FEBRERO</v>
      </c>
      <c r="J187" s="1177">
        <f>IFERROR(__xludf.DUMMYFUNCTION("""COMPUTED_VALUE"""),7009.0)</f>
        <v>7009</v>
      </c>
    </row>
    <row r="188">
      <c r="A188" s="1175">
        <f>IFERROR(__xludf.DUMMYFUNCTION("""COMPUTED_VALUE"""),46064.0)</f>
        <v>46064</v>
      </c>
      <c r="B188" s="1174" t="str">
        <f>IFERROR(__xludf.DUMMYFUNCTION("""COMPUTED_VALUE"""),"li-mi-120226")</f>
        <v>li-mi-120226</v>
      </c>
      <c r="C188" s="1174" t="str">
        <f>IFERROR(__xludf.DUMMYFUNCTION("""COMPUTED_VALUE"""),"FEBRERO")</f>
        <v>FEBRERO</v>
      </c>
      <c r="D188" s="1174" t="b">
        <f>IFERROR(__xludf.DUMMYFUNCTION("""COMPUTED_VALUE"""),TRUE)</f>
        <v>1</v>
      </c>
      <c r="E188" s="1174" t="str">
        <f>IFERROR(__xludf.DUMMYFUNCTION("""COMPUTED_VALUE"""),"Laptop")</f>
        <v>Laptop</v>
      </c>
      <c r="F188" s="1176">
        <f>IFERROR(__xludf.DUMMYFUNCTION("""COMPUTED_VALUE"""),1799.99)</f>
        <v>1799.99</v>
      </c>
      <c r="G188" s="1177">
        <f>IFERROR(__xludf.DUMMYFUNCTION("""COMPUTED_VALUE"""),333.65999999999985)</f>
        <v>333.66</v>
      </c>
      <c r="H188" s="1174" t="b">
        <f>IFERROR(__xludf.DUMMYFUNCTION("""COMPUTED_VALUE"""),FALSE)</f>
        <v>0</v>
      </c>
      <c r="I188" s="1174" t="str">
        <f>IFERROR(__xludf.DUMMYFUNCTION("""COMPUTED_VALUE"""),"FEBRERO")</f>
        <v>FEBRERO</v>
      </c>
      <c r="J188" s="1177">
        <f>IFERROR(__xludf.DUMMYFUNCTION("""COMPUTED_VALUE"""),8599.0)</f>
        <v>8599</v>
      </c>
    </row>
    <row r="189">
      <c r="A189" s="1175">
        <f>IFERROR(__xludf.DUMMYFUNCTION("""COMPUTED_VALUE"""),46065.0)</f>
        <v>46065</v>
      </c>
      <c r="B189" s="1174" t="str">
        <f>IFERROR(__xludf.DUMMYFUNCTION("""COMPUTED_VALUE"""),"ab-eb-09-14219-52632")</f>
        <v>ab-eb-09-14219-52632</v>
      </c>
      <c r="C189" s="1174" t="str">
        <f>IFERROR(__xludf.DUMMYFUNCTION("""COMPUTED_VALUE"""),"FEBRERO")</f>
        <v>FEBRERO</v>
      </c>
      <c r="D189" s="1174" t="b">
        <f>IFERROR(__xludf.DUMMYFUNCTION("""COMPUTED_VALUE"""),TRUE)</f>
        <v>1</v>
      </c>
      <c r="E189" s="1174" t="str">
        <f>IFERROR(__xludf.DUMMYFUNCTION("""COMPUTED_VALUE"""),"Laptop")</f>
        <v>Laptop</v>
      </c>
      <c r="F189" s="1176">
        <f>IFERROR(__xludf.DUMMYFUNCTION("""COMPUTED_VALUE"""),1469.99)</f>
        <v>1469.99</v>
      </c>
      <c r="G189" s="1177">
        <f>IFERROR(__xludf.DUMMYFUNCTION("""COMPUTED_VALUE"""),265.5100000000002)</f>
        <v>265.51</v>
      </c>
      <c r="H189" s="1174" t="b">
        <f>IFERROR(__xludf.DUMMYFUNCTION("""COMPUTED_VALUE"""),FALSE)</f>
        <v>0</v>
      </c>
      <c r="I189" s="1174" t="str">
        <f>IFERROR(__xludf.DUMMYFUNCTION("""COMPUTED_VALUE"""),"FEBRERO")</f>
        <v>FEBRERO</v>
      </c>
      <c r="J189" s="1177">
        <f>IFERROR(__xludf.DUMMYFUNCTION("""COMPUTED_VALUE"""),6899.0)</f>
        <v>6899</v>
      </c>
    </row>
    <row r="190">
      <c r="A190" s="1175">
        <f>IFERROR(__xludf.DUMMYFUNCTION("""COMPUTED_VALUE"""),46067.0)</f>
        <v>46067</v>
      </c>
      <c r="B190" s="1174" t="str">
        <f>IFERROR(__xludf.DUMMYFUNCTION("""COMPUTED_VALUE"""),"so-eb-27-14176-96638")</f>
        <v>so-eb-27-14176-96638</v>
      </c>
      <c r="C190" s="1174" t="str">
        <f>IFERROR(__xludf.DUMMYFUNCTION("""COMPUTED_VALUE"""),"FEBRERO")</f>
        <v>FEBRERO</v>
      </c>
      <c r="D190" s="1174" t="b">
        <f>IFERROR(__xludf.DUMMYFUNCTION("""COMPUTED_VALUE"""),TRUE)</f>
        <v>1</v>
      </c>
      <c r="E190" s="1174" t="str">
        <f>IFERROR(__xludf.DUMMYFUNCTION("""COMPUTED_VALUE"""),"Laptop")</f>
        <v>Laptop</v>
      </c>
      <c r="F190" s="1176">
        <f>IFERROR(__xludf.DUMMYFUNCTION("""COMPUTED_VALUE"""),1599.99)</f>
        <v>1599.99</v>
      </c>
      <c r="G190" s="1177">
        <f>IFERROR(__xludf.DUMMYFUNCTION("""COMPUTED_VALUE"""),261.0)</f>
        <v>261</v>
      </c>
      <c r="H190" s="1174" t="b">
        <f>IFERROR(__xludf.DUMMYFUNCTION("""COMPUTED_VALUE"""),FALSE)</f>
        <v>0</v>
      </c>
      <c r="I190" s="1174" t="str">
        <f>IFERROR(__xludf.DUMMYFUNCTION("""COMPUTED_VALUE"""),"FEBRERO")</f>
        <v>FEBRERO</v>
      </c>
      <c r="J190" s="1177">
        <f>IFERROR(__xludf.DUMMYFUNCTION("""COMPUTED_VALUE"""),7299.0)</f>
        <v>7299</v>
      </c>
    </row>
    <row r="191">
      <c r="A191" s="1175">
        <f>IFERROR(__xludf.DUMMYFUNCTION("""COMPUTED_VALUE"""),46069.0)</f>
        <v>46069</v>
      </c>
      <c r="B191" s="1174" t="str">
        <f>IFERROR(__xludf.DUMMYFUNCTION("""COMPUTED_VALUE"""),"ke-be-BBY01-807146643623")</f>
        <v>ke-be-BBY01-807146643623</v>
      </c>
      <c r="C191" s="1174" t="str">
        <f>IFERROR(__xludf.DUMMYFUNCTION("""COMPUTED_VALUE"""),"FEBRERO")</f>
        <v>FEBRERO</v>
      </c>
      <c r="D191" s="1174" t="b">
        <f>IFERROR(__xludf.DUMMYFUNCTION("""COMPUTED_VALUE"""),TRUE)</f>
        <v>1</v>
      </c>
      <c r="E191" s="1174" t="str">
        <f>IFERROR(__xludf.DUMMYFUNCTION("""COMPUTED_VALUE"""),"Laptop")</f>
        <v>Laptop</v>
      </c>
      <c r="F191" s="1176">
        <f>IFERROR(__xludf.DUMMYFUNCTION("""COMPUTED_VALUE"""),1549.99)</f>
        <v>1549.99</v>
      </c>
      <c r="G191" s="1177">
        <f>IFERROR(__xludf.DUMMYFUNCTION("""COMPUTED_VALUE"""),28.079999999999927)</f>
        <v>28.08</v>
      </c>
      <c r="H191" s="1174" t="b">
        <f>IFERROR(__xludf.DUMMYFUNCTION("""COMPUTED_VALUE"""),FALSE)</f>
        <v>0</v>
      </c>
      <c r="I191" s="1174" t="str">
        <f>IFERROR(__xludf.DUMMYFUNCTION("""COMPUTED_VALUE"""),"MARZO")</f>
        <v>MARZO</v>
      </c>
      <c r="J191" s="1177">
        <f>IFERROR(__xludf.DUMMYFUNCTION("""COMPUTED_VALUE"""),6999.0)</f>
        <v>6999</v>
      </c>
    </row>
    <row r="192">
      <c r="A192" s="1175">
        <f>IFERROR(__xludf.DUMMYFUNCTION("""COMPUTED_VALUE"""),46070.0)</f>
        <v>46070</v>
      </c>
      <c r="B192" s="1174" t="str">
        <f>IFERROR(__xludf.DUMMYFUNCTION("""COMPUTED_VALUE"""),"ke-be-BBY01-807146653521")</f>
        <v>ke-be-BBY01-807146653521</v>
      </c>
      <c r="C192" s="1174" t="str">
        <f>IFERROR(__xludf.DUMMYFUNCTION("""COMPUTED_VALUE"""),"FEBRERO")</f>
        <v>FEBRERO</v>
      </c>
      <c r="D192" s="1174" t="b">
        <f>IFERROR(__xludf.DUMMYFUNCTION("""COMPUTED_VALUE"""),TRUE)</f>
        <v>1</v>
      </c>
      <c r="E192" s="1174" t="str">
        <f>IFERROR(__xludf.DUMMYFUNCTION("""COMPUTED_VALUE"""),"Laptop")</f>
        <v>Laptop</v>
      </c>
      <c r="F192" s="1176">
        <f>IFERROR(__xludf.DUMMYFUNCTION("""COMPUTED_VALUE"""),1549.99)</f>
        <v>1549.99</v>
      </c>
      <c r="G192" s="1177">
        <f>IFERROR(__xludf.DUMMYFUNCTION("""COMPUTED_VALUE"""),43.07999999999993)</f>
        <v>43.08</v>
      </c>
      <c r="H192" s="1174" t="b">
        <f>IFERROR(__xludf.DUMMYFUNCTION("""COMPUTED_VALUE"""),FALSE)</f>
        <v>0</v>
      </c>
      <c r="I192" s="1174" t="str">
        <f>IFERROR(__xludf.DUMMYFUNCTION("""COMPUTED_VALUE"""),"FEBRERO")</f>
        <v>FEBRERO</v>
      </c>
      <c r="J192" s="1177">
        <f>IFERROR(__xludf.DUMMYFUNCTION("""COMPUTED_VALUE"""),7059.0)</f>
        <v>7059</v>
      </c>
    </row>
    <row r="193">
      <c r="A193" s="1175">
        <f>IFERROR(__xludf.DUMMYFUNCTION("""COMPUTED_VALUE"""),46070.0)</f>
        <v>46070</v>
      </c>
      <c r="B193" s="1174" t="str">
        <f>IFERROR(__xludf.DUMMYFUNCTION("""COMPUTED_VALUE"""),"ab-eb-15-14248-25513")</f>
        <v>ab-eb-15-14248-25513</v>
      </c>
      <c r="C193" s="1174" t="str">
        <f>IFERROR(__xludf.DUMMYFUNCTION("""COMPUTED_VALUE"""),"FEBRERO")</f>
        <v>FEBRERO</v>
      </c>
      <c r="D193" s="1174" t="b">
        <f>IFERROR(__xludf.DUMMYFUNCTION("""COMPUTED_VALUE"""),TRUE)</f>
        <v>1</v>
      </c>
      <c r="E193" s="1174" t="str">
        <f>IFERROR(__xludf.DUMMYFUNCTION("""COMPUTED_VALUE"""),"Laptop")</f>
        <v>Laptop</v>
      </c>
      <c r="F193" s="1176">
        <f>IFERROR(__xludf.DUMMYFUNCTION("""COMPUTED_VALUE"""),1149.99)</f>
        <v>1149.99</v>
      </c>
      <c r="G193" s="1177">
        <f>IFERROR(__xludf.DUMMYFUNCTION("""COMPUTED_VALUE"""),149.14999999999964)</f>
        <v>149.15</v>
      </c>
      <c r="H193" s="1174" t="b">
        <f>IFERROR(__xludf.DUMMYFUNCTION("""COMPUTED_VALUE"""),FALSE)</f>
        <v>0</v>
      </c>
      <c r="I193" s="1174" t="str">
        <f>IFERROR(__xludf.DUMMYFUNCTION("""COMPUTED_VALUE"""),"MARZO")</f>
        <v>MARZO</v>
      </c>
      <c r="J193" s="1177">
        <f>IFERROR(__xludf.DUMMYFUNCTION("""COMPUTED_VALUE"""),5399.0)</f>
        <v>5399</v>
      </c>
    </row>
    <row r="194">
      <c r="A194" s="1175">
        <f>IFERROR(__xludf.DUMMYFUNCTION("""COMPUTED_VALUE"""),46072.0)</f>
        <v>46072</v>
      </c>
      <c r="B194" s="1174" t="str">
        <f>IFERROR(__xludf.DUMMYFUNCTION("""COMPUTED_VALUE"""),"li-mi-130226-2")</f>
        <v>li-mi-130226-2</v>
      </c>
      <c r="C194" s="1174" t="str">
        <f>IFERROR(__xludf.DUMMYFUNCTION("""COMPUTED_VALUE"""),"FEBRERO")</f>
        <v>FEBRERO</v>
      </c>
      <c r="D194" s="1174" t="b">
        <f>IFERROR(__xludf.DUMMYFUNCTION("""COMPUTED_VALUE"""),TRUE)</f>
        <v>1</v>
      </c>
      <c r="E194" s="1174" t="str">
        <f>IFERROR(__xludf.DUMMYFUNCTION("""COMPUTED_VALUE"""),"Laptop")</f>
        <v>Laptop</v>
      </c>
      <c r="F194" s="1176">
        <f>IFERROR(__xludf.DUMMYFUNCTION("""COMPUTED_VALUE"""),1799.99)</f>
        <v>1799.99</v>
      </c>
      <c r="G194" s="1177">
        <f>IFERROR(__xludf.DUMMYFUNCTION("""COMPUTED_VALUE"""),490.03999999999996)</f>
        <v>490.04</v>
      </c>
      <c r="H194" s="1174" t="b">
        <f>IFERROR(__xludf.DUMMYFUNCTION("""COMPUTED_VALUE"""),FALSE)</f>
        <v>0</v>
      </c>
      <c r="I194" s="1174" t="str">
        <f>IFERROR(__xludf.DUMMYFUNCTION("""COMPUTED_VALUE"""),"MARZO")</f>
        <v>MARZO</v>
      </c>
      <c r="J194" s="1177">
        <f>IFERROR(__xludf.DUMMYFUNCTION("""COMPUTED_VALUE"""),8699.0)</f>
        <v>8699</v>
      </c>
    </row>
    <row r="195">
      <c r="A195" s="1175">
        <f>IFERROR(__xludf.DUMMYFUNCTION("""COMPUTED_VALUE"""),46072.0)</f>
        <v>46072</v>
      </c>
      <c r="B195" s="1174" t="str">
        <f>IFERROR(__xludf.DUMMYFUNCTION("""COMPUTED_VALUE"""),"so-eb-08-14203-58251")</f>
        <v>so-eb-08-14203-58251</v>
      </c>
      <c r="C195" s="1174" t="str">
        <f>IFERROR(__xludf.DUMMYFUNCTION("""COMPUTED_VALUE"""),"FEBRERO")</f>
        <v>FEBRERO</v>
      </c>
      <c r="D195" s="1174" t="b">
        <f>IFERROR(__xludf.DUMMYFUNCTION("""COMPUTED_VALUE"""),TRUE)</f>
        <v>1</v>
      </c>
      <c r="E195" s="1174" t="str">
        <f>IFERROR(__xludf.DUMMYFUNCTION("""COMPUTED_VALUE"""),"Laptop")</f>
        <v>Laptop</v>
      </c>
      <c r="F195" s="1176">
        <f>IFERROR(__xludf.DUMMYFUNCTION("""COMPUTED_VALUE"""),1599.99)</f>
        <v>1599.99</v>
      </c>
      <c r="G195" s="1177">
        <f>IFERROR(__xludf.DUMMYFUNCTION("""COMPUTED_VALUE"""),323.0)</f>
        <v>323</v>
      </c>
      <c r="H195" s="1174" t="b">
        <f>IFERROR(__xludf.DUMMYFUNCTION("""COMPUTED_VALUE"""),FALSE)</f>
        <v>0</v>
      </c>
      <c r="I195" s="1174" t="str">
        <f>IFERROR(__xludf.DUMMYFUNCTION("""COMPUTED_VALUE"""),"FEBRERO")</f>
        <v>FEBRERO</v>
      </c>
      <c r="J195" s="1177">
        <f>IFERROR(__xludf.DUMMYFUNCTION("""COMPUTED_VALUE"""),7399.0)</f>
        <v>7399</v>
      </c>
    </row>
    <row r="196">
      <c r="A196" s="1175">
        <f>IFERROR(__xludf.DUMMYFUNCTION("""COMPUTED_VALUE"""),46072.0)</f>
        <v>46072</v>
      </c>
      <c r="B196" s="1174" t="str">
        <f>IFERROR(__xludf.DUMMYFUNCTION("""COMPUTED_VALUE"""),"yo-eb-16-14113-24110")</f>
        <v>yo-eb-16-14113-24110</v>
      </c>
      <c r="C196" s="1174" t="str">
        <f>IFERROR(__xludf.DUMMYFUNCTION("""COMPUTED_VALUE"""),"FEBRERO")</f>
        <v>FEBRERO</v>
      </c>
      <c r="D196" s="1174" t="b">
        <f>IFERROR(__xludf.DUMMYFUNCTION("""COMPUTED_VALUE"""),TRUE)</f>
        <v>1</v>
      </c>
      <c r="E196" s="1174" t="str">
        <f>IFERROR(__xludf.DUMMYFUNCTION("""COMPUTED_VALUE"""),"Laptop")</f>
        <v>Laptop</v>
      </c>
      <c r="F196" s="1176">
        <f>IFERROR(__xludf.DUMMYFUNCTION("""COMPUTED_VALUE"""),1299.99)</f>
        <v>1299.99</v>
      </c>
      <c r="G196" s="1177">
        <f>IFERROR(__xludf.DUMMYFUNCTION("""COMPUTED_VALUE"""),9.0)</f>
        <v>9</v>
      </c>
      <c r="H196" s="1174" t="b">
        <f>IFERROR(__xludf.DUMMYFUNCTION("""COMPUTED_VALUE"""),FALSE)</f>
        <v>0</v>
      </c>
      <c r="I196" s="1174" t="str">
        <f>IFERROR(__xludf.DUMMYFUNCTION("""COMPUTED_VALUE"""),"FEBRERO")</f>
        <v>FEBRERO</v>
      </c>
      <c r="J196" s="1177">
        <f>IFERROR(__xludf.DUMMYFUNCTION("""COMPUTED_VALUE"""),5699.0)</f>
        <v>5699</v>
      </c>
    </row>
    <row r="197">
      <c r="A197" s="1175">
        <f>IFERROR(__xludf.DUMMYFUNCTION("""COMPUTED_VALUE"""),46073.0)</f>
        <v>46073</v>
      </c>
      <c r="B197" s="1174" t="str">
        <f>IFERROR(__xludf.DUMMYFUNCTION("""COMPUTED_VALUE"""),"ke-ms-533853")</f>
        <v>ke-ms-533853</v>
      </c>
      <c r="C197" s="1174" t="str">
        <f>IFERROR(__xludf.DUMMYFUNCTION("""COMPUTED_VALUE"""),"FEBRERO")</f>
        <v>FEBRERO</v>
      </c>
      <c r="D197" s="1174" t="b">
        <f>IFERROR(__xludf.DUMMYFUNCTION("""COMPUTED_VALUE"""),TRUE)</f>
        <v>1</v>
      </c>
      <c r="E197" s="1174" t="str">
        <f>IFERROR(__xludf.DUMMYFUNCTION("""COMPUTED_VALUE"""),"Laptop")</f>
        <v>Laptop</v>
      </c>
      <c r="F197" s="1176">
        <f>IFERROR(__xludf.DUMMYFUNCTION("""COMPUTED_VALUE"""),2099.0)</f>
        <v>2099</v>
      </c>
      <c r="G197" s="1177">
        <f>IFERROR(__xludf.DUMMYFUNCTION("""COMPUTED_VALUE"""),28.329999999999927)</f>
        <v>28.33</v>
      </c>
      <c r="H197" s="1174" t="b">
        <f>IFERROR(__xludf.DUMMYFUNCTION("""COMPUTED_VALUE"""),FALSE)</f>
        <v>0</v>
      </c>
      <c r="I197" s="1174" t="str">
        <f>IFERROR(__xludf.DUMMYFUNCTION("""COMPUTED_VALUE"""),"MARZO")</f>
        <v>MARZO</v>
      </c>
      <c r="J197" s="1177">
        <f>IFERROR(__xludf.DUMMYFUNCTION("""COMPUTED_VALUE"""),9099.0)</f>
        <v>9099</v>
      </c>
    </row>
    <row r="198">
      <c r="A198" s="1175">
        <f>IFERROR(__xludf.DUMMYFUNCTION("""COMPUTED_VALUE"""),46078.0)</f>
        <v>46078</v>
      </c>
      <c r="B198" s="1174" t="str">
        <f>IFERROR(__xludf.DUMMYFUNCTION("""COMPUTED_VALUE"""),"ga-co-1266722315")</f>
        <v>ga-co-1266722315</v>
      </c>
      <c r="C198" s="1174" t="str">
        <f>IFERROR(__xludf.DUMMYFUNCTION("""COMPUTED_VALUE"""),"MARZO")</f>
        <v>MARZO</v>
      </c>
      <c r="D198" s="1174" t="b">
        <f>IFERROR(__xludf.DUMMYFUNCTION("""COMPUTED_VALUE"""),TRUE)</f>
        <v>1</v>
      </c>
      <c r="E198" s="1174" t="str">
        <f>IFERROR(__xludf.DUMMYFUNCTION("""COMPUTED_VALUE"""),"Laptop")</f>
        <v>Laptop</v>
      </c>
      <c r="F198" s="1176">
        <f>IFERROR(__xludf.DUMMYFUNCTION("""COMPUTED_VALUE"""),1599.99)</f>
        <v>1599.99</v>
      </c>
      <c r="G198" s="1177">
        <f>IFERROR(__xludf.DUMMYFUNCTION("""COMPUTED_VALUE"""),265.46000000000004)</f>
        <v>265.46</v>
      </c>
      <c r="H198" s="1174" t="b">
        <f>IFERROR(__xludf.DUMMYFUNCTION("""COMPUTED_VALUE"""),FALSE)</f>
        <v>0</v>
      </c>
      <c r="I198" s="1174" t="str">
        <f>IFERROR(__xludf.DUMMYFUNCTION("""COMPUTED_VALUE"""),"MARZO")</f>
        <v>MARZO</v>
      </c>
      <c r="J198" s="1177">
        <f>IFERROR(__xludf.DUMMYFUNCTION("""COMPUTED_VALUE"""),7999.0)</f>
        <v>7999</v>
      </c>
    </row>
    <row r="199">
      <c r="A199" s="1175">
        <f>IFERROR(__xludf.DUMMYFUNCTION("""COMPUTED_VALUE"""),46079.0)</f>
        <v>46079</v>
      </c>
      <c r="B199" s="1174" t="str">
        <f>IFERROR(__xludf.DUMMYFUNCTION("""COMPUTED_VALUE"""),"ga-eb-150226-2")</f>
        <v>ga-eb-150226-2</v>
      </c>
      <c r="C199" s="1174" t="str">
        <f>IFERROR(__xludf.DUMMYFUNCTION("""COMPUTED_VALUE"""),"FEBRERO")</f>
        <v>FEBRERO</v>
      </c>
      <c r="D199" s="1174" t="b">
        <f>IFERROR(__xludf.DUMMYFUNCTION("""COMPUTED_VALUE"""),TRUE)</f>
        <v>1</v>
      </c>
      <c r="E199" s="1174" t="str">
        <f>IFERROR(__xludf.DUMMYFUNCTION("""COMPUTED_VALUE"""),"Laptop")</f>
        <v>Laptop</v>
      </c>
      <c r="F199" s="1176">
        <f>IFERROR(__xludf.DUMMYFUNCTION("""COMPUTED_VALUE"""),1549.99)</f>
        <v>1549.99</v>
      </c>
      <c r="G199" s="1177">
        <f>IFERROR(__xludf.DUMMYFUNCTION("""COMPUTED_VALUE"""),61.0)</f>
        <v>61</v>
      </c>
      <c r="H199" s="1174" t="b">
        <f>IFERROR(__xludf.DUMMYFUNCTION("""COMPUTED_VALUE"""),FALSE)</f>
        <v>0</v>
      </c>
      <c r="I199" s="1174" t="str">
        <f>IFERROR(__xludf.DUMMYFUNCTION("""COMPUTED_VALUE"""),"MARZO")</f>
        <v>MARZO</v>
      </c>
      <c r="J199" s="1177">
        <f>IFERROR(__xludf.DUMMYFUNCTION("""COMPUTED_VALUE"""),6899.0)</f>
        <v>6899</v>
      </c>
    </row>
    <row r="200">
      <c r="A200" s="1175">
        <f>IFERROR(__xludf.DUMMYFUNCTION("""COMPUTED_VALUE"""),46081.0)</f>
        <v>46081</v>
      </c>
      <c r="B200" s="1174" t="str">
        <f>IFERROR(__xludf.DUMMYFUNCTION("""COMPUTED_VALUE"""),"ga-co-1267583302")</f>
        <v>ga-co-1267583302</v>
      </c>
      <c r="C200" s="1174" t="str">
        <f>IFERROR(__xludf.DUMMYFUNCTION("""COMPUTED_VALUE"""),"MARZO")</f>
        <v>MARZO</v>
      </c>
      <c r="D200" s="1174" t="b">
        <f>IFERROR(__xludf.DUMMYFUNCTION("""COMPUTED_VALUE"""),TRUE)</f>
        <v>1</v>
      </c>
      <c r="E200" s="1174" t="str">
        <f>IFERROR(__xludf.DUMMYFUNCTION("""COMPUTED_VALUE"""),"Laptop")</f>
        <v>Laptop</v>
      </c>
      <c r="F200" s="1176">
        <f>IFERROR(__xludf.DUMMYFUNCTION("""COMPUTED_VALUE"""),1699.99)</f>
        <v>1699.99</v>
      </c>
      <c r="G200" s="1177">
        <f>IFERROR(__xludf.DUMMYFUNCTION("""COMPUTED_VALUE"""),0.569999999999709)</f>
        <v>0.57</v>
      </c>
      <c r="H200" s="1174" t="b">
        <f>IFERROR(__xludf.DUMMYFUNCTION("""COMPUTED_VALUE"""),FALSE)</f>
        <v>0</v>
      </c>
      <c r="I200" s="1174" t="str">
        <f>IFERROR(__xludf.DUMMYFUNCTION("""COMPUTED_VALUE"""),"MARZO")</f>
        <v>MARZO</v>
      </c>
      <c r="J200" s="1177">
        <f>IFERROR(__xludf.DUMMYFUNCTION("""COMPUTED_VALUE"""),8406.0)</f>
        <v>8406</v>
      </c>
    </row>
    <row r="201">
      <c r="A201" s="1175">
        <f>IFERROR(__xludf.DUMMYFUNCTION("""COMPUTED_VALUE"""),46081.0)</f>
        <v>46081</v>
      </c>
      <c r="B201" s="1174" t="str">
        <f>IFERROR(__xludf.DUMMYFUNCTION("""COMPUTED_VALUE"""),"ra-mi-020326")</f>
        <v>ra-mi-020326</v>
      </c>
      <c r="C201" s="1174" t="str">
        <f>IFERROR(__xludf.DUMMYFUNCTION("""COMPUTED_VALUE"""),"MARZO")</f>
        <v>MARZO</v>
      </c>
      <c r="D201" s="1174" t="b">
        <f>IFERROR(__xludf.DUMMYFUNCTION("""COMPUTED_VALUE"""),TRUE)</f>
        <v>1</v>
      </c>
      <c r="E201" s="1174" t="str">
        <f>IFERROR(__xludf.DUMMYFUNCTION("""COMPUTED_VALUE"""),"Laptop")</f>
        <v>Laptop</v>
      </c>
      <c r="F201" s="1176">
        <f>IFERROR(__xludf.DUMMYFUNCTION("""COMPUTED_VALUE"""),1899.99)</f>
        <v>1899.99</v>
      </c>
      <c r="G201" s="1177">
        <f>IFERROR(__xludf.DUMMYFUNCTION("""COMPUTED_VALUE"""),124.79000000000087)</f>
        <v>124.79</v>
      </c>
      <c r="H201" s="1174" t="b">
        <f>IFERROR(__xludf.DUMMYFUNCTION("""COMPUTED_VALUE"""),FALSE)</f>
        <v>0</v>
      </c>
      <c r="I201" s="1174" t="str">
        <f>IFERROR(__xludf.DUMMYFUNCTION("""COMPUTED_VALUE"""),"MARZO")</f>
        <v>MARZO</v>
      </c>
      <c r="J201" s="1177">
        <f>IFERROR(__xludf.DUMMYFUNCTION("""COMPUTED_VALUE"""),8899.0)</f>
        <v>8899</v>
      </c>
    </row>
    <row r="202">
      <c r="A202" s="1175">
        <f>IFERROR(__xludf.DUMMYFUNCTION("""COMPUTED_VALUE"""),46083.0)</f>
        <v>46083</v>
      </c>
      <c r="B202" s="1174" t="str">
        <f>IFERROR(__xludf.DUMMYFUNCTION("""COMPUTED_VALUE"""),"ke-eb-09-14201-46361")</f>
        <v>ke-eb-09-14201-46361</v>
      </c>
      <c r="C202" s="1174" t="str">
        <f>IFERROR(__xludf.DUMMYFUNCTION("""COMPUTED_VALUE"""),"MARZO")</f>
        <v>MARZO</v>
      </c>
      <c r="D202" s="1174" t="b">
        <f>IFERROR(__xludf.DUMMYFUNCTION("""COMPUTED_VALUE"""),TRUE)</f>
        <v>1</v>
      </c>
      <c r="E202" s="1174" t="str">
        <f>IFERROR(__xludf.DUMMYFUNCTION("""COMPUTED_VALUE"""),"Laptop")</f>
        <v>Laptop</v>
      </c>
      <c r="F202" s="1176">
        <f>IFERROR(__xludf.DUMMYFUNCTION("""COMPUTED_VALUE"""),1599.99)</f>
        <v>1599.99</v>
      </c>
      <c r="G202" s="1177">
        <f>IFERROR(__xludf.DUMMYFUNCTION("""COMPUTED_VALUE"""),26.0)</f>
        <v>26</v>
      </c>
      <c r="H202" s="1174" t="b">
        <f>IFERROR(__xludf.DUMMYFUNCTION("""COMPUTED_VALUE"""),FALSE)</f>
        <v>0</v>
      </c>
      <c r="I202" s="1174" t="str">
        <f>IFERROR(__xludf.DUMMYFUNCTION("""COMPUTED_VALUE"""),"MARZO")</f>
        <v>MARZO</v>
      </c>
      <c r="J202" s="1177">
        <f>IFERROR(__xludf.DUMMYFUNCTION("""COMPUTED_VALUE"""),6994.0)</f>
        <v>6994</v>
      </c>
    </row>
    <row r="203">
      <c r="A203" s="1175">
        <f>IFERROR(__xludf.DUMMYFUNCTION("""COMPUTED_VALUE"""),46084.0)</f>
        <v>46084</v>
      </c>
      <c r="B203" s="1174" t="str">
        <f>IFERROR(__xludf.DUMMYFUNCTION("""COMPUTED_VALUE"""),"re-eb-23-14229-61127")</f>
        <v>re-eb-23-14229-61127</v>
      </c>
      <c r="C203" s="1174" t="str">
        <f>IFERROR(__xludf.DUMMYFUNCTION("""COMPUTED_VALUE"""),"MARZO")</f>
        <v>MARZO</v>
      </c>
      <c r="D203" s="1174" t="b">
        <f>IFERROR(__xludf.DUMMYFUNCTION("""COMPUTED_VALUE"""),TRUE)</f>
        <v>1</v>
      </c>
      <c r="E203" s="1174" t="str">
        <f>IFERROR(__xludf.DUMMYFUNCTION("""COMPUTED_VALUE"""),"Laptop")</f>
        <v>Laptop</v>
      </c>
      <c r="F203" s="1176">
        <f>IFERROR(__xludf.DUMMYFUNCTION("""COMPUTED_VALUE"""),1549.99)</f>
        <v>1549.99</v>
      </c>
      <c r="G203" s="1177">
        <f>IFERROR(__xludf.DUMMYFUNCTION("""COMPUTED_VALUE"""),477.0)</f>
        <v>477</v>
      </c>
      <c r="H203" s="1174" t="b">
        <f>IFERROR(__xludf.DUMMYFUNCTION("""COMPUTED_VALUE"""),FALSE)</f>
        <v>0</v>
      </c>
      <c r="I203" s="1174" t="str">
        <f>IFERROR(__xludf.DUMMYFUNCTION("""COMPUTED_VALUE"""),"MARZO")</f>
        <v>MARZO</v>
      </c>
      <c r="J203" s="1177">
        <f>IFERROR(__xludf.DUMMYFUNCTION("""COMPUTED_VALUE"""),7300.0)</f>
        <v>7300</v>
      </c>
    </row>
    <row r="204">
      <c r="A204" s="1175">
        <f>IFERROR(__xludf.DUMMYFUNCTION("""COMPUTED_VALUE"""),46084.0)</f>
        <v>46084</v>
      </c>
      <c r="B204" s="1174" t="str">
        <f>IFERROR(__xludf.DUMMYFUNCTION("""COMPUTED_VALUE"""),"so-eb-24-14242-80899")</f>
        <v>so-eb-24-14242-80899</v>
      </c>
      <c r="C204" s="1174" t="str">
        <f>IFERROR(__xludf.DUMMYFUNCTION("""COMPUTED_VALUE"""),"MARZO")</f>
        <v>MARZO</v>
      </c>
      <c r="D204" s="1174" t="b">
        <f>IFERROR(__xludf.DUMMYFUNCTION("""COMPUTED_VALUE"""),TRUE)</f>
        <v>1</v>
      </c>
      <c r="E204" s="1174" t="str">
        <f>IFERROR(__xludf.DUMMYFUNCTION("""COMPUTED_VALUE"""),"Laptop")</f>
        <v>Laptop</v>
      </c>
      <c r="F204" s="1176">
        <f>IFERROR(__xludf.DUMMYFUNCTION("""COMPUTED_VALUE"""),1549.99)</f>
        <v>1549.99</v>
      </c>
      <c r="G204" s="1177">
        <f>IFERROR(__xludf.DUMMYFUNCTION("""COMPUTED_VALUE"""),176.0)</f>
        <v>176</v>
      </c>
      <c r="H204" s="1174" t="b">
        <f>IFERROR(__xludf.DUMMYFUNCTION("""COMPUTED_VALUE"""),FALSE)</f>
        <v>0</v>
      </c>
      <c r="I204" s="1174" t="str">
        <f>IFERROR(__xludf.DUMMYFUNCTION("""COMPUTED_VALUE"""),"MARZO")</f>
        <v>MARZO</v>
      </c>
      <c r="J204" s="1177">
        <f>IFERROR(__xludf.DUMMYFUNCTION("""COMPUTED_VALUE"""),6999.0)</f>
        <v>6999</v>
      </c>
    </row>
    <row r="205">
      <c r="A205" s="1175">
        <f>IFERROR(__xludf.DUMMYFUNCTION("""COMPUTED_VALUE"""),46085.0)</f>
        <v>46085</v>
      </c>
      <c r="B205" s="1174" t="str">
        <f>IFERROR(__xludf.DUMMYFUNCTION("""COMPUTED_VALUE"""),"k-a-113-6215191-2840255")</f>
        <v>k-a-113-6215191-2840255</v>
      </c>
      <c r="C205" s="1174" t="str">
        <f>IFERROR(__xludf.DUMMYFUNCTION("""COMPUTED_VALUE"""),"MARZO")</f>
        <v>MARZO</v>
      </c>
      <c r="D205" s="1174" t="b">
        <f>IFERROR(__xludf.DUMMYFUNCTION("""COMPUTED_VALUE"""),TRUE)</f>
        <v>1</v>
      </c>
      <c r="E205" s="1174" t="str">
        <f>IFERROR(__xludf.DUMMYFUNCTION("""COMPUTED_VALUE"""),"Laptop")</f>
        <v>Laptop</v>
      </c>
      <c r="F205" s="1176">
        <f>IFERROR(__xludf.DUMMYFUNCTION("""COMPUTED_VALUE"""),1699.99)</f>
        <v>1699.99</v>
      </c>
      <c r="G205" s="1177">
        <f>IFERROR(__xludf.DUMMYFUNCTION("""COMPUTED_VALUE"""),107.0)</f>
        <v>107</v>
      </c>
      <c r="H205" s="1174" t="b">
        <f>IFERROR(__xludf.DUMMYFUNCTION("""COMPUTED_VALUE"""),FALSE)</f>
        <v>0</v>
      </c>
      <c r="I205" s="1174" t="str">
        <f>IFERROR(__xludf.DUMMYFUNCTION("""COMPUTED_VALUE"""),"MARZO")</f>
        <v>MARZO</v>
      </c>
      <c r="J205" s="1177">
        <f>IFERROR(__xludf.DUMMYFUNCTION("""COMPUTED_VALUE"""),7600.0)</f>
        <v>7600</v>
      </c>
    </row>
    <row r="206">
      <c r="A206" s="1175">
        <f>IFERROR(__xludf.DUMMYFUNCTION("""COMPUTED_VALUE"""),46085.0)</f>
        <v>46085</v>
      </c>
      <c r="B206" s="1174" t="str">
        <f>IFERROR(__xludf.DUMMYFUNCTION("""COMPUTED_VALUE"""),"ke-ms-538042")</f>
        <v>ke-ms-538042</v>
      </c>
      <c r="C206" s="1174" t="str">
        <f>IFERROR(__xludf.DUMMYFUNCTION("""COMPUTED_VALUE"""),"MARZO")</f>
        <v>MARZO</v>
      </c>
      <c r="D206" s="1174" t="b">
        <f>IFERROR(__xludf.DUMMYFUNCTION("""COMPUTED_VALUE"""),TRUE)</f>
        <v>1</v>
      </c>
      <c r="E206" s="1174" t="str">
        <f>IFERROR(__xludf.DUMMYFUNCTION("""COMPUTED_VALUE"""),"Laptop")</f>
        <v>Laptop</v>
      </c>
      <c r="F206" s="1176">
        <f>IFERROR(__xludf.DUMMYFUNCTION("""COMPUTED_VALUE"""),6199.99)</f>
        <v>6199.99</v>
      </c>
      <c r="G206" s="1177">
        <f>IFERROR(__xludf.DUMMYFUNCTION("""COMPUTED_VALUE"""),11.450000000000728)</f>
        <v>11.45</v>
      </c>
      <c r="H206" s="1174" t="b">
        <f>IFERROR(__xludf.DUMMYFUNCTION("""COMPUTED_VALUE"""),FALSE)</f>
        <v>0</v>
      </c>
      <c r="I206" s="1174" t="str">
        <f>IFERROR(__xludf.DUMMYFUNCTION("""COMPUTED_VALUE"""),"MARZO")</f>
        <v>MARZO</v>
      </c>
      <c r="J206" s="1177">
        <f>IFERROR(__xludf.DUMMYFUNCTION("""COMPUTED_VALUE"""),25448.0)</f>
        <v>25448</v>
      </c>
    </row>
    <row r="207">
      <c r="A207" s="1175">
        <f>IFERROR(__xludf.DUMMYFUNCTION("""COMPUTED_VALUE"""),46086.0)</f>
        <v>46086</v>
      </c>
      <c r="B207" s="1174" t="str">
        <f>IFERROR(__xludf.DUMMYFUNCTION("""COMPUTED_VALUE"""),"ke-eb-02-14306-47072")</f>
        <v>ke-eb-02-14306-47072</v>
      </c>
      <c r="C207" s="1174" t="str">
        <f>IFERROR(__xludf.DUMMYFUNCTION("""COMPUTED_VALUE"""),"MARZO")</f>
        <v>MARZO</v>
      </c>
      <c r="D207" s="1174" t="b">
        <f>IFERROR(__xludf.DUMMYFUNCTION("""COMPUTED_VALUE"""),TRUE)</f>
        <v>1</v>
      </c>
      <c r="E207" s="1174" t="str">
        <f>IFERROR(__xludf.DUMMYFUNCTION("""COMPUTED_VALUE"""),"Laptop")</f>
        <v>Laptop</v>
      </c>
      <c r="F207" s="1176">
        <f>IFERROR(__xludf.DUMMYFUNCTION("""COMPUTED_VALUE"""),1549.99)</f>
        <v>1549.99</v>
      </c>
      <c r="G207" s="1177">
        <f>IFERROR(__xludf.DUMMYFUNCTION("""COMPUTED_VALUE"""),62.0)</f>
        <v>62</v>
      </c>
      <c r="H207" s="1174" t="b">
        <f>IFERROR(__xludf.DUMMYFUNCTION("""COMPUTED_VALUE"""),FALSE)</f>
        <v>0</v>
      </c>
      <c r="I207" s="1174" t="str">
        <f>IFERROR(__xludf.DUMMYFUNCTION("""COMPUTED_VALUE"""),"MARZO")</f>
        <v>MARZO</v>
      </c>
      <c r="J207" s="1177">
        <f>IFERROR(__xludf.DUMMYFUNCTION("""COMPUTED_VALUE"""),6900.0)</f>
        <v>6900</v>
      </c>
    </row>
    <row r="208">
      <c r="A208" s="1175">
        <f>IFERROR(__xludf.DUMMYFUNCTION("""COMPUTED_VALUE"""),46091.0)</f>
        <v>46091</v>
      </c>
      <c r="B208" s="1174" t="str">
        <f>IFERROR(__xludf.DUMMYFUNCTION("""COMPUTED_VALUE"""),"ca-be-260226")</f>
        <v>ca-be-260226</v>
      </c>
      <c r="C208" s="1174" t="str">
        <f>IFERROR(__xludf.DUMMYFUNCTION("""COMPUTED_VALUE"""),"MARZO")</f>
        <v>MARZO</v>
      </c>
      <c r="D208" s="1174" t="b">
        <f>IFERROR(__xludf.DUMMYFUNCTION("""COMPUTED_VALUE"""),TRUE)</f>
        <v>1</v>
      </c>
      <c r="E208" s="1174" t="str">
        <f>IFERROR(__xludf.DUMMYFUNCTION("""COMPUTED_VALUE"""),"Laptop")</f>
        <v>Laptop</v>
      </c>
      <c r="F208" s="1176">
        <f>IFERROR(__xludf.DUMMYFUNCTION("""COMPUTED_VALUE"""),1299.99)</f>
        <v>1299.99</v>
      </c>
      <c r="G208" s="1177">
        <f>IFERROR(__xludf.DUMMYFUNCTION("""COMPUTED_VALUE"""),30.0)</f>
        <v>30</v>
      </c>
      <c r="H208" s="1174" t="b">
        <f>IFERROR(__xludf.DUMMYFUNCTION("""COMPUTED_VALUE"""),FALSE)</f>
        <v>0</v>
      </c>
      <c r="I208" s="1174" t="str">
        <f>IFERROR(__xludf.DUMMYFUNCTION("""COMPUTED_VALUE"""),"MARZO")</f>
        <v>MARZO</v>
      </c>
      <c r="J208" s="1177">
        <f>IFERROR(__xludf.DUMMYFUNCTION("""COMPUTED_VALUE"""),5899.0)</f>
        <v>5899</v>
      </c>
    </row>
    <row r="209">
      <c r="A209" s="1175">
        <f>IFERROR(__xludf.DUMMYFUNCTION("""COMPUTED_VALUE"""),46092.0)</f>
        <v>46092</v>
      </c>
      <c r="B209" s="1174" t="str">
        <f>IFERROR(__xludf.DUMMYFUNCTION("""COMPUTED_VALUE"""),"so-eb-01-14075-70118")</f>
        <v>so-eb-01-14075-70118</v>
      </c>
      <c r="C209" s="1174" t="str">
        <f>IFERROR(__xludf.DUMMYFUNCTION("""COMPUTED_VALUE"""),"MARZO")</f>
        <v>MARZO</v>
      </c>
      <c r="D209" s="1174" t="b">
        <f>IFERROR(__xludf.DUMMYFUNCTION("""COMPUTED_VALUE"""),TRUE)</f>
        <v>1</v>
      </c>
      <c r="E209" s="1174" t="str">
        <f>IFERROR(__xludf.DUMMYFUNCTION("""COMPUTED_VALUE"""),"Laptop")</f>
        <v>Laptop</v>
      </c>
      <c r="F209" s="1176">
        <f>IFERROR(__xludf.DUMMYFUNCTION("""COMPUTED_VALUE"""),1349.99)</f>
        <v>1349.99</v>
      </c>
      <c r="G209" s="1177">
        <f>IFERROR(__xludf.DUMMYFUNCTION("""COMPUTED_VALUE"""),100.0)</f>
        <v>100</v>
      </c>
      <c r="H209" s="1174" t="b">
        <f>IFERROR(__xludf.DUMMYFUNCTION("""COMPUTED_VALUE"""),FALSE)</f>
        <v>0</v>
      </c>
      <c r="I209" s="1174" t="str">
        <f>IFERROR(__xludf.DUMMYFUNCTION("""COMPUTED_VALUE"""),"MARZO")</f>
        <v>MARZO</v>
      </c>
      <c r="J209" s="1177">
        <f>IFERROR(__xludf.DUMMYFUNCTION("""COMPUTED_VALUE"""),6100.0)</f>
        <v>6100</v>
      </c>
    </row>
    <row r="210">
      <c r="A210" s="1175">
        <f>IFERROR(__xludf.DUMMYFUNCTION("""COMPUTED_VALUE"""),46093.0)</f>
        <v>46093</v>
      </c>
      <c r="B210" s="1174" t="str">
        <f>IFERROR(__xludf.DUMMYFUNCTION("""COMPUTED_VALUE"""),"li-mi-100226")</f>
        <v>li-mi-100226</v>
      </c>
      <c r="C210" s="1174" t="str">
        <f>IFERROR(__xludf.DUMMYFUNCTION("""COMPUTED_VALUE"""),"MARZO")</f>
        <v>MARZO</v>
      </c>
      <c r="D210" s="1174" t="b">
        <f>IFERROR(__xludf.DUMMYFUNCTION("""COMPUTED_VALUE"""),TRUE)</f>
        <v>1</v>
      </c>
      <c r="E210" s="1174" t="str">
        <f>IFERROR(__xludf.DUMMYFUNCTION("""COMPUTED_VALUE"""),"Laptop")</f>
        <v>Laptop</v>
      </c>
      <c r="F210" s="1176">
        <f>IFERROR(__xludf.DUMMYFUNCTION("""COMPUTED_VALUE"""),1899.99)</f>
        <v>1899.99</v>
      </c>
      <c r="G210" s="1177">
        <f>IFERROR(__xludf.DUMMYFUNCTION("""COMPUTED_VALUE"""),260.0)</f>
        <v>260</v>
      </c>
      <c r="H210" s="1174" t="b">
        <f>IFERROR(__xludf.DUMMYFUNCTION("""COMPUTED_VALUE"""),FALSE)</f>
        <v>0</v>
      </c>
      <c r="I210" s="1174" t="str">
        <f>IFERROR(__xludf.DUMMYFUNCTION("""COMPUTED_VALUE"""),"MARZO")</f>
        <v>MARZO</v>
      </c>
      <c r="J210" s="1177">
        <f>IFERROR(__xludf.DUMMYFUNCTION("""COMPUTED_VALUE"""),9149.0)</f>
        <v>9149</v>
      </c>
    </row>
    <row r="211">
      <c r="A211" s="1175">
        <f>IFERROR(__xludf.DUMMYFUNCTION("""COMPUTED_VALUE"""),46094.0)</f>
        <v>46094</v>
      </c>
      <c r="B211" s="1174" t="str">
        <f>IFERROR(__xludf.DUMMYFUNCTION("""COMPUTED_VALUE"""),"ga-co-1269943421")</f>
        <v>ga-co-1269943421</v>
      </c>
      <c r="C211" s="1174" t="str">
        <f>IFERROR(__xludf.DUMMYFUNCTION("""COMPUTED_VALUE"""),"MARZO")</f>
        <v>MARZO</v>
      </c>
      <c r="D211" s="1174" t="b">
        <f>IFERROR(__xludf.DUMMYFUNCTION("""COMPUTED_VALUE"""),TRUE)</f>
        <v>1</v>
      </c>
      <c r="E211" s="1174" t="str">
        <f>IFERROR(__xludf.DUMMYFUNCTION("""COMPUTED_VALUE"""),"Laptop")</f>
        <v>Laptop</v>
      </c>
      <c r="F211" s="1176">
        <f>IFERROR(__xludf.DUMMYFUNCTION("""COMPUTED_VALUE"""),1499.99)</f>
        <v>1499.99</v>
      </c>
      <c r="G211" s="1177">
        <f>IFERROR(__xludf.DUMMYFUNCTION("""COMPUTED_VALUE"""),305.0)</f>
        <v>305</v>
      </c>
      <c r="H211" s="1174" t="b">
        <f>IFERROR(__xludf.DUMMYFUNCTION("""COMPUTED_VALUE"""),FALSE)</f>
        <v>0</v>
      </c>
      <c r="I211" s="1174"/>
      <c r="J211" s="1177">
        <f>IFERROR(__xludf.DUMMYFUNCTION("""COMPUTED_VALUE"""),7599.0)</f>
        <v>7599</v>
      </c>
    </row>
    <row r="212">
      <c r="A212" s="1175">
        <f>IFERROR(__xludf.DUMMYFUNCTION("""COMPUTED_VALUE"""),46094.0)</f>
        <v>46094</v>
      </c>
      <c r="B212" s="1174" t="str">
        <f>IFERROR(__xludf.DUMMYFUNCTION("""COMPUTED_VALUE"""),"li-mi-140326")</f>
        <v>li-mi-140326</v>
      </c>
      <c r="C212" s="1174" t="str">
        <f>IFERROR(__xludf.DUMMYFUNCTION("""COMPUTED_VALUE"""),"MARZO")</f>
        <v>MARZO</v>
      </c>
      <c r="D212" s="1174" t="b">
        <f>IFERROR(__xludf.DUMMYFUNCTION("""COMPUTED_VALUE"""),TRUE)</f>
        <v>1</v>
      </c>
      <c r="E212" s="1174" t="str">
        <f>IFERROR(__xludf.DUMMYFUNCTION("""COMPUTED_VALUE"""),"Laptop")</f>
        <v>Laptop</v>
      </c>
      <c r="F212" s="1176">
        <f>IFERROR(__xludf.DUMMYFUNCTION("""COMPUTED_VALUE"""),1999.99)</f>
        <v>1999.99</v>
      </c>
      <c r="G212" s="1177">
        <f>IFERROR(__xludf.DUMMYFUNCTION("""COMPUTED_VALUE"""),138.61000000000058)</f>
        <v>138.61</v>
      </c>
      <c r="H212" s="1174" t="b">
        <f>IFERROR(__xludf.DUMMYFUNCTION("""COMPUTED_VALUE"""),FALSE)</f>
        <v>0</v>
      </c>
      <c r="I212" s="1174" t="str">
        <f>IFERROR(__xludf.DUMMYFUNCTION("""COMPUTED_VALUE"""),"ABRIL")</f>
        <v>ABRIL</v>
      </c>
      <c r="J212" s="1177">
        <f>IFERROR(__xludf.DUMMYFUNCTION("""COMPUTED_VALUE"""),9399.0)</f>
        <v>9399</v>
      </c>
    </row>
    <row r="213">
      <c r="A213" s="1175">
        <f>IFERROR(__xludf.DUMMYFUNCTION("""COMPUTED_VALUE"""),46095.0)</f>
        <v>46095</v>
      </c>
      <c r="B213" s="1174" t="str">
        <f>IFERROR(__xludf.DUMMYFUNCTION("""COMPUTED_VALUE"""),"ke-eb-19-14352-93697")</f>
        <v>ke-eb-19-14352-93697</v>
      </c>
      <c r="C213" s="1174" t="str">
        <f>IFERROR(__xludf.DUMMYFUNCTION("""COMPUTED_VALUE"""),"MARZO")</f>
        <v>MARZO</v>
      </c>
      <c r="D213" s="1174" t="b">
        <f>IFERROR(__xludf.DUMMYFUNCTION("""COMPUTED_VALUE"""),TRUE)</f>
        <v>1</v>
      </c>
      <c r="E213" s="1174" t="str">
        <f>IFERROR(__xludf.DUMMYFUNCTION("""COMPUTED_VALUE"""),"Laptop")</f>
        <v>Laptop</v>
      </c>
      <c r="F213" s="1176">
        <f>IFERROR(__xludf.DUMMYFUNCTION("""COMPUTED_VALUE"""),1949.99)</f>
        <v>1949.99</v>
      </c>
      <c r="G213" s="1177">
        <f>IFERROR(__xludf.DUMMYFUNCTION("""COMPUTED_VALUE"""),28.73999999999978)</f>
        <v>28.74</v>
      </c>
      <c r="H213" s="1174" t="b">
        <f>IFERROR(__xludf.DUMMYFUNCTION("""COMPUTED_VALUE"""),FALSE)</f>
        <v>0</v>
      </c>
      <c r="I213" s="1174" t="str">
        <f>IFERROR(__xludf.DUMMYFUNCTION("""COMPUTED_VALUE"""),"MARZO")</f>
        <v>MARZO</v>
      </c>
      <c r="J213" s="1177">
        <f>IFERROR(__xludf.DUMMYFUNCTION("""COMPUTED_VALUE"""),8704.0)</f>
        <v>8704</v>
      </c>
    </row>
    <row r="214">
      <c r="A214" s="1175">
        <f>IFERROR(__xludf.DUMMYFUNCTION("""COMPUTED_VALUE"""),46095.0)</f>
        <v>46095</v>
      </c>
      <c r="B214" s="1174" t="str">
        <f>IFERROR(__xludf.DUMMYFUNCTION("""COMPUTED_VALUE"""),"re-eb-23-14188-03647")</f>
        <v>re-eb-23-14188-03647</v>
      </c>
      <c r="C214" s="1174" t="str">
        <f>IFERROR(__xludf.DUMMYFUNCTION("""COMPUTED_VALUE"""),"MARZO")</f>
        <v>MARZO</v>
      </c>
      <c r="D214" s="1174" t="b">
        <f>IFERROR(__xludf.DUMMYFUNCTION("""COMPUTED_VALUE"""),TRUE)</f>
        <v>1</v>
      </c>
      <c r="E214" s="1174" t="str">
        <f>IFERROR(__xludf.DUMMYFUNCTION("""COMPUTED_VALUE"""),"Laptop")</f>
        <v>Laptop</v>
      </c>
      <c r="F214" s="1176">
        <f>IFERROR(__xludf.DUMMYFUNCTION("""COMPUTED_VALUE"""),1249.99)</f>
        <v>1249.99</v>
      </c>
      <c r="G214" s="1177">
        <f>IFERROR(__xludf.DUMMYFUNCTION("""COMPUTED_VALUE"""),9.0)</f>
        <v>9</v>
      </c>
      <c r="H214" s="1174" t="b">
        <f>IFERROR(__xludf.DUMMYFUNCTION("""COMPUTED_VALUE"""),FALSE)</f>
        <v>0</v>
      </c>
      <c r="I214" s="1174" t="str">
        <f>IFERROR(__xludf.DUMMYFUNCTION("""COMPUTED_VALUE"""),"MARZO")</f>
        <v>MARZO</v>
      </c>
      <c r="J214" s="1177">
        <f>IFERROR(__xludf.DUMMYFUNCTION("""COMPUTED_VALUE"""),5630.0)</f>
        <v>5630</v>
      </c>
    </row>
    <row r="215">
      <c r="A215" s="1175">
        <f>IFERROR(__xludf.DUMMYFUNCTION("""COMPUTED_VALUE"""),46097.0)</f>
        <v>46097</v>
      </c>
      <c r="B215" s="1174" t="str">
        <f>IFERROR(__xludf.DUMMYFUNCTION("""COMPUTED_VALUE"""),"li-co-030326")</f>
        <v>li-co-030326</v>
      </c>
      <c r="C215" s="1174" t="str">
        <f>IFERROR(__xludf.DUMMYFUNCTION("""COMPUTED_VALUE"""),"MARZO")</f>
        <v>MARZO</v>
      </c>
      <c r="D215" s="1174" t="b">
        <f>IFERROR(__xludf.DUMMYFUNCTION("""COMPUTED_VALUE"""),TRUE)</f>
        <v>1</v>
      </c>
      <c r="E215" s="1174" t="str">
        <f>IFERROR(__xludf.DUMMYFUNCTION("""COMPUTED_VALUE"""),"Laptop")</f>
        <v>Laptop</v>
      </c>
      <c r="F215" s="1176">
        <f>IFERROR(__xludf.DUMMYFUNCTION("""COMPUTED_VALUE"""),1329.97)</f>
        <v>1329.97</v>
      </c>
      <c r="G215" s="1177">
        <f>IFERROR(__xludf.DUMMYFUNCTION("""COMPUTED_VALUE"""),-315.0)</f>
        <v>-315</v>
      </c>
      <c r="H215" s="1174" t="b">
        <f>IFERROR(__xludf.DUMMYFUNCTION("""COMPUTED_VALUE"""),FALSE)</f>
        <v>0</v>
      </c>
      <c r="I215" s="1174" t="str">
        <f>IFERROR(__xludf.DUMMYFUNCTION("""COMPUTED_VALUE"""),"ABRIL")</f>
        <v>ABRIL</v>
      </c>
      <c r="J215" s="1177">
        <f>IFERROR(__xludf.DUMMYFUNCTION("""COMPUTED_VALUE"""),6698.0)</f>
        <v>6698</v>
      </c>
    </row>
    <row r="216">
      <c r="A216" s="1175">
        <f>IFERROR(__xludf.DUMMYFUNCTION("""COMPUTED_VALUE"""),46098.0)</f>
        <v>46098</v>
      </c>
      <c r="B216" s="1174" t="str">
        <f>IFERROR(__xludf.DUMMYFUNCTION("""COMPUTED_VALUE"""),"ke-be-807155623637")</f>
        <v>ke-be-807155623637</v>
      </c>
      <c r="C216" s="1174" t="str">
        <f>IFERROR(__xludf.DUMMYFUNCTION("""COMPUTED_VALUE"""),"MARZO")</f>
        <v>MARZO</v>
      </c>
      <c r="D216" s="1174" t="b">
        <f>IFERROR(__xludf.DUMMYFUNCTION("""COMPUTED_VALUE"""),TRUE)</f>
        <v>1</v>
      </c>
      <c r="E216" s="1174" t="str">
        <f>IFERROR(__xludf.DUMMYFUNCTION("""COMPUTED_VALUE"""),"Laptop")</f>
        <v>Laptop</v>
      </c>
      <c r="F216" s="1176">
        <f>IFERROR(__xludf.DUMMYFUNCTION("""COMPUTED_VALUE"""),949.99)</f>
        <v>949.99</v>
      </c>
      <c r="G216" s="1177">
        <f>IFERROR(__xludf.DUMMYFUNCTION("""COMPUTED_VALUE"""),71.39000000000033)</f>
        <v>71.39</v>
      </c>
      <c r="H216" s="1174" t="b">
        <f>IFERROR(__xludf.DUMMYFUNCTION("""COMPUTED_VALUE"""),FALSE)</f>
        <v>0</v>
      </c>
      <c r="I216" s="1174" t="str">
        <f>IFERROR(__xludf.DUMMYFUNCTION("""COMPUTED_VALUE"""),"MARZO")</f>
        <v>MARZO</v>
      </c>
      <c r="J216" s="1177">
        <f>IFERROR(__xludf.DUMMYFUNCTION("""COMPUTED_VALUE"""),4599.0)</f>
        <v>4599</v>
      </c>
    </row>
    <row r="217">
      <c r="A217" s="1175">
        <f>IFERROR(__xludf.DUMMYFUNCTION("""COMPUTED_VALUE"""),46098.0)</f>
        <v>46098</v>
      </c>
      <c r="B217" s="1174" t="str">
        <f>IFERROR(__xludf.DUMMYFUNCTION("""COMPUTED_VALUE"""),"ke-eb-11-14350-17308")</f>
        <v>ke-eb-11-14350-17308</v>
      </c>
      <c r="C217" s="1174" t="str">
        <f>IFERROR(__xludf.DUMMYFUNCTION("""COMPUTED_VALUE"""),"MARZO")</f>
        <v>MARZO</v>
      </c>
      <c r="D217" s="1174" t="b">
        <f>IFERROR(__xludf.DUMMYFUNCTION("""COMPUTED_VALUE"""),TRUE)</f>
        <v>1</v>
      </c>
      <c r="E217" s="1174" t="str">
        <f>IFERROR(__xludf.DUMMYFUNCTION("""COMPUTED_VALUE"""),"Laptop")</f>
        <v>Laptop</v>
      </c>
      <c r="F217" s="1176">
        <f>IFERROR(__xludf.DUMMYFUNCTION("""COMPUTED_VALUE"""),1749.99)</f>
        <v>1749.99</v>
      </c>
      <c r="G217" s="1177">
        <f>IFERROR(__xludf.DUMMYFUNCTION("""COMPUTED_VALUE"""),300.0)</f>
        <v>300</v>
      </c>
      <c r="H217" s="1174" t="b">
        <f>IFERROR(__xludf.DUMMYFUNCTION("""COMPUTED_VALUE"""),FALSE)</f>
        <v>0</v>
      </c>
      <c r="I217" s="1174" t="str">
        <f>IFERROR(__xludf.DUMMYFUNCTION("""COMPUTED_VALUE"""),"MARZO")</f>
        <v>MARZO</v>
      </c>
      <c r="J217" s="1177">
        <f>IFERROR(__xludf.DUMMYFUNCTION("""COMPUTED_VALUE"""),7799.0)</f>
        <v>7799</v>
      </c>
    </row>
    <row r="218">
      <c r="A218" s="1175">
        <f>IFERROR(__xludf.DUMMYFUNCTION("""COMPUTED_VALUE"""),46099.0)</f>
        <v>46099</v>
      </c>
      <c r="B218" s="1174" t="str">
        <f>IFERROR(__xludf.DUMMYFUNCTION("""COMPUTED_VALUE"""),"ga-co-1266723697")</f>
        <v>ga-co-1266723697</v>
      </c>
      <c r="C218" s="1174" t="str">
        <f>IFERROR(__xludf.DUMMYFUNCTION("""COMPUTED_VALUE"""),"MARZO")</f>
        <v>MARZO</v>
      </c>
      <c r="D218" s="1174" t="b">
        <f>IFERROR(__xludf.DUMMYFUNCTION("""COMPUTED_VALUE"""),TRUE)</f>
        <v>1</v>
      </c>
      <c r="E218" s="1174" t="str">
        <f>IFERROR(__xludf.DUMMYFUNCTION("""COMPUTED_VALUE"""),"Laptop")</f>
        <v>Laptop</v>
      </c>
      <c r="F218" s="1176"/>
      <c r="G218" s="1177">
        <f>IFERROR(__xludf.DUMMYFUNCTION("""COMPUTED_VALUE"""),709.0)</f>
        <v>709</v>
      </c>
      <c r="H218" s="1174" t="b">
        <f>IFERROR(__xludf.DUMMYFUNCTION("""COMPUTED_VALUE"""),FALSE)</f>
        <v>0</v>
      </c>
      <c r="I218" s="1174" t="str">
        <f>IFERROR(__xludf.DUMMYFUNCTION("""COMPUTED_VALUE"""),"MARZO")</f>
        <v>MARZO</v>
      </c>
      <c r="J218" s="1177">
        <f>IFERROR(__xludf.DUMMYFUNCTION("""COMPUTED_VALUE"""),8399.0)</f>
        <v>8399</v>
      </c>
    </row>
    <row r="219">
      <c r="A219" s="1175">
        <f>IFERROR(__xludf.DUMMYFUNCTION("""COMPUTED_VALUE"""),46099.0)</f>
        <v>46099</v>
      </c>
      <c r="B219" s="1174" t="str">
        <f>IFERROR(__xludf.DUMMYFUNCTION("""COMPUTED_VALUE"""),"ga-co-1271543875")</f>
        <v>ga-co-1271543875</v>
      </c>
      <c r="C219" s="1174" t="str">
        <f>IFERROR(__xludf.DUMMYFUNCTION("""COMPUTED_VALUE"""),"MARZO")</f>
        <v>MARZO</v>
      </c>
      <c r="D219" s="1174" t="b">
        <f>IFERROR(__xludf.DUMMYFUNCTION("""COMPUTED_VALUE"""),TRUE)</f>
        <v>1</v>
      </c>
      <c r="E219" s="1174" t="str">
        <f>IFERROR(__xludf.DUMMYFUNCTION("""COMPUTED_VALUE"""),"Laptop")</f>
        <v>Laptop</v>
      </c>
      <c r="F219" s="1176"/>
      <c r="G219" s="1177">
        <f>IFERROR(__xludf.DUMMYFUNCTION("""COMPUTED_VALUE"""),38.780000000000655)</f>
        <v>38.78</v>
      </c>
      <c r="H219" s="1174" t="b">
        <f>IFERROR(__xludf.DUMMYFUNCTION("""COMPUTED_VALUE"""),FALSE)</f>
        <v>0</v>
      </c>
      <c r="I219" s="1174" t="str">
        <f>IFERROR(__xludf.DUMMYFUNCTION("""COMPUTED_VALUE"""),"MARZO")</f>
        <v>MARZO</v>
      </c>
      <c r="J219" s="1177">
        <f>IFERROR(__xludf.DUMMYFUNCTION("""COMPUTED_VALUE"""),10599.0)</f>
        <v>10599</v>
      </c>
    </row>
    <row r="220">
      <c r="A220" s="1175">
        <f>IFERROR(__xludf.DUMMYFUNCTION("""COMPUTED_VALUE"""),46099.0)</f>
        <v>46099</v>
      </c>
      <c r="B220" s="1174" t="str">
        <f>IFERROR(__xludf.DUMMYFUNCTION("""COMPUTED_VALUE"""),"li-co-030326-2")</f>
        <v>li-co-030326-2</v>
      </c>
      <c r="C220" s="1174" t="str">
        <f>IFERROR(__xludf.DUMMYFUNCTION("""COMPUTED_VALUE"""),"MARZO")</f>
        <v>MARZO</v>
      </c>
      <c r="D220" s="1174" t="b">
        <f>IFERROR(__xludf.DUMMYFUNCTION("""COMPUTED_VALUE"""),TRUE)</f>
        <v>1</v>
      </c>
      <c r="E220" s="1174" t="str">
        <f>IFERROR(__xludf.DUMMYFUNCTION("""COMPUTED_VALUE"""),"Laptop")</f>
        <v>Laptop</v>
      </c>
      <c r="F220" s="1176">
        <f>IFERROR(__xludf.DUMMYFUNCTION("""COMPUTED_VALUE"""),1329.97)</f>
        <v>1329.97</v>
      </c>
      <c r="G220" s="1177">
        <f>IFERROR(__xludf.DUMMYFUNCTION("""COMPUTED_VALUE"""),-165.0)</f>
        <v>-165</v>
      </c>
      <c r="H220" s="1174" t="b">
        <f>IFERROR(__xludf.DUMMYFUNCTION("""COMPUTED_VALUE"""),FALSE)</f>
        <v>0</v>
      </c>
      <c r="I220" s="1174" t="str">
        <f>IFERROR(__xludf.DUMMYFUNCTION("""COMPUTED_VALUE"""),"ABRIL")</f>
        <v>ABRIL</v>
      </c>
      <c r="J220" s="1177">
        <f>IFERROR(__xludf.DUMMYFUNCTION("""COMPUTED_VALUE"""),6399.0)</f>
        <v>6399</v>
      </c>
    </row>
    <row r="221">
      <c r="A221" s="1175">
        <f>IFERROR(__xludf.DUMMYFUNCTION("""COMPUTED_VALUE"""),46100.0)</f>
        <v>46100</v>
      </c>
      <c r="B221" s="1174" t="str">
        <f>IFERROR(__xludf.DUMMYFUNCTION("""COMPUTED_VALUE"""),"li-mi-100226-2")</f>
        <v>li-mi-100226-2</v>
      </c>
      <c r="C221" s="1174" t="str">
        <f>IFERROR(__xludf.DUMMYFUNCTION("""COMPUTED_VALUE"""),"MARZO")</f>
        <v>MARZO</v>
      </c>
      <c r="D221" s="1174" t="b">
        <f>IFERROR(__xludf.DUMMYFUNCTION("""COMPUTED_VALUE"""),TRUE)</f>
        <v>1</v>
      </c>
      <c r="E221" s="1174" t="str">
        <f>IFERROR(__xludf.DUMMYFUNCTION("""COMPUTED_VALUE"""),"Laptop")</f>
        <v>Laptop</v>
      </c>
      <c r="F221" s="1176">
        <f>IFERROR(__xludf.DUMMYFUNCTION("""COMPUTED_VALUE"""),1900.0)</f>
        <v>1900</v>
      </c>
      <c r="G221" s="1177">
        <f>IFERROR(__xludf.DUMMYFUNCTION("""COMPUTED_VALUE"""),15.0)</f>
        <v>15</v>
      </c>
      <c r="H221" s="1174" t="b">
        <f>IFERROR(__xludf.DUMMYFUNCTION("""COMPUTED_VALUE"""),FALSE)</f>
        <v>0</v>
      </c>
      <c r="I221" s="1174" t="str">
        <f>IFERROR(__xludf.DUMMYFUNCTION("""COMPUTED_VALUE"""),"ABRIL")</f>
        <v>ABRIL</v>
      </c>
      <c r="J221" s="1177">
        <f>IFERROR(__xludf.DUMMYFUNCTION("""COMPUTED_VALUE"""),8839.0)</f>
        <v>8839</v>
      </c>
    </row>
    <row r="222">
      <c r="A222" s="1175">
        <f>IFERROR(__xludf.DUMMYFUNCTION("""COMPUTED_VALUE"""),46101.0)</f>
        <v>46101</v>
      </c>
      <c r="B222" s="1174" t="str">
        <f>IFERROR(__xludf.DUMMYFUNCTION("""COMPUTED_VALUE"""),"yo-eb-21-14359-96970")</f>
        <v>yo-eb-21-14359-96970</v>
      </c>
      <c r="C222" s="1174" t="str">
        <f>IFERROR(__xludf.DUMMYFUNCTION("""COMPUTED_VALUE"""),"MARZO")</f>
        <v>MARZO</v>
      </c>
      <c r="D222" s="1174" t="b">
        <f>IFERROR(__xludf.DUMMYFUNCTION("""COMPUTED_VALUE"""),TRUE)</f>
        <v>1</v>
      </c>
      <c r="E222" s="1174" t="str">
        <f>IFERROR(__xludf.DUMMYFUNCTION("""COMPUTED_VALUE"""),"Laptop")</f>
        <v>Laptop</v>
      </c>
      <c r="F222" s="1176">
        <f>IFERROR(__xludf.DUMMYFUNCTION("""COMPUTED_VALUE"""),1549.99)</f>
        <v>1549.99</v>
      </c>
      <c r="G222" s="1177">
        <f>IFERROR(__xludf.DUMMYFUNCTION("""COMPUTED_VALUE"""),324.0)</f>
        <v>324</v>
      </c>
      <c r="H222" s="1174" t="b">
        <f>IFERROR(__xludf.DUMMYFUNCTION("""COMPUTED_VALUE"""),FALSE)</f>
        <v>0</v>
      </c>
      <c r="I222" s="1174" t="str">
        <f>IFERROR(__xludf.DUMMYFUNCTION("""COMPUTED_VALUE"""),"MARZO")</f>
        <v>MARZO</v>
      </c>
      <c r="J222" s="1177">
        <f>IFERROR(__xludf.DUMMYFUNCTION("""COMPUTED_VALUE"""),7299.0)</f>
        <v>7299</v>
      </c>
    </row>
    <row r="223">
      <c r="A223" s="1175">
        <f>IFERROR(__xludf.DUMMYFUNCTION("""COMPUTED_VALUE"""),46104.0)</f>
        <v>46104</v>
      </c>
      <c r="B223" s="1174" t="str">
        <f>IFERROR(__xludf.DUMMYFUNCTION("""COMPUTED_VALUE"""),"jl-mi-260326")</f>
        <v>jl-mi-260326</v>
      </c>
      <c r="C223" s="1174" t="str">
        <f>IFERROR(__xludf.DUMMYFUNCTION("""COMPUTED_VALUE"""),"MARZO")</f>
        <v>MARZO</v>
      </c>
      <c r="D223" s="1174" t="b">
        <f>IFERROR(__xludf.DUMMYFUNCTION("""COMPUTED_VALUE"""),TRUE)</f>
        <v>1</v>
      </c>
      <c r="E223" s="1174" t="str">
        <f>IFERROR(__xludf.DUMMYFUNCTION("""COMPUTED_VALUE"""),"Laptop")</f>
        <v>Laptop</v>
      </c>
      <c r="F223" s="1176">
        <f>IFERROR(__xludf.DUMMYFUNCTION("""COMPUTED_VALUE"""),2294.96)</f>
        <v>2294.96</v>
      </c>
      <c r="G223" s="1177">
        <f>IFERROR(__xludf.DUMMYFUNCTION("""COMPUTED_VALUE"""),1583.5200000000004)</f>
        <v>1583.52</v>
      </c>
      <c r="H223" s="1174" t="b">
        <f>IFERROR(__xludf.DUMMYFUNCTION("""COMPUTED_VALUE"""),FALSE)</f>
        <v>0</v>
      </c>
      <c r="I223" s="1174" t="str">
        <f>IFERROR(__xludf.DUMMYFUNCTION("""COMPUTED_VALUE"""),"ABRIL")</f>
        <v>ABRIL</v>
      </c>
      <c r="J223" s="1177">
        <f>IFERROR(__xludf.DUMMYFUNCTION("""COMPUTED_VALUE"""),12099.0)</f>
        <v>12099</v>
      </c>
    </row>
    <row r="224">
      <c r="A224" s="1175">
        <f>IFERROR(__xludf.DUMMYFUNCTION("""COMPUTED_VALUE"""),46104.0)</f>
        <v>46104</v>
      </c>
      <c r="B224" s="1174" t="str">
        <f>IFERROR(__xludf.DUMMYFUNCTION("""COMPUTED_VALUE"""),"jl-mi-250326")</f>
        <v>jl-mi-250326</v>
      </c>
      <c r="C224" s="1174" t="str">
        <f>IFERROR(__xludf.DUMMYFUNCTION("""COMPUTED_VALUE"""),"MARZO")</f>
        <v>MARZO</v>
      </c>
      <c r="D224" s="1174" t="b">
        <f>IFERROR(__xludf.DUMMYFUNCTION("""COMPUTED_VALUE"""),TRUE)</f>
        <v>1</v>
      </c>
      <c r="E224" s="1174" t="str">
        <f>IFERROR(__xludf.DUMMYFUNCTION("""COMPUTED_VALUE"""),"Laptop")</f>
        <v>Laptop</v>
      </c>
      <c r="F224" s="1176">
        <f>IFERROR(__xludf.DUMMYFUNCTION("""COMPUTED_VALUE"""),3499.99)</f>
        <v>3499.99</v>
      </c>
      <c r="G224" s="1177">
        <f>IFERROR(__xludf.DUMMYFUNCTION("""COMPUTED_VALUE"""),57.70999999999913)</f>
        <v>57.71</v>
      </c>
      <c r="H224" s="1174" t="b">
        <f>IFERROR(__xludf.DUMMYFUNCTION("""COMPUTED_VALUE"""),FALSE)</f>
        <v>0</v>
      </c>
      <c r="I224" s="1174" t="str">
        <f>IFERROR(__xludf.DUMMYFUNCTION("""COMPUTED_VALUE"""),"MAYO")</f>
        <v>MAYO</v>
      </c>
      <c r="J224" s="1177">
        <f>IFERROR(__xludf.DUMMYFUNCTION("""COMPUTED_VALUE"""),15499.0)</f>
        <v>15499</v>
      </c>
    </row>
    <row r="225">
      <c r="A225" s="1175">
        <f>IFERROR(__xludf.DUMMYFUNCTION("""COMPUTED_VALUE"""),46106.0)</f>
        <v>46106</v>
      </c>
      <c r="B225" s="1174" t="str">
        <f>IFERROR(__xludf.DUMMYFUNCTION("""COMPUTED_VALUE"""),"ke-am-111-3423561-6413014")</f>
        <v>ke-am-111-3423561-6413014</v>
      </c>
      <c r="C225" s="1174" t="str">
        <f>IFERROR(__xludf.DUMMYFUNCTION("""COMPUTED_VALUE"""),"MARZO")</f>
        <v>MARZO</v>
      </c>
      <c r="D225" s="1174" t="b">
        <f>IFERROR(__xludf.DUMMYFUNCTION("""COMPUTED_VALUE"""),TRUE)</f>
        <v>1</v>
      </c>
      <c r="E225" s="1174" t="str">
        <f>IFERROR(__xludf.DUMMYFUNCTION("""COMPUTED_VALUE"""),"Laptop")</f>
        <v>Laptop</v>
      </c>
      <c r="F225" s="1176">
        <f>IFERROR(__xludf.DUMMYFUNCTION("""COMPUTED_VALUE"""),1259.99)</f>
        <v>1259.99</v>
      </c>
      <c r="G225" s="1177">
        <f>IFERROR(__xludf.DUMMYFUNCTION("""COMPUTED_VALUE"""),82.0)</f>
        <v>82</v>
      </c>
      <c r="H225" s="1174" t="b">
        <f>IFERROR(__xludf.DUMMYFUNCTION("""COMPUTED_VALUE"""),FALSE)</f>
        <v>0</v>
      </c>
      <c r="I225" s="1174" t="str">
        <f>IFERROR(__xludf.DUMMYFUNCTION("""COMPUTED_VALUE"""),"ABRIL")</f>
        <v>ABRIL</v>
      </c>
      <c r="J225" s="1177">
        <f>IFERROR(__xludf.DUMMYFUNCTION("""COMPUTED_VALUE"""),5799.0)</f>
        <v>5799</v>
      </c>
    </row>
    <row r="226">
      <c r="A226" s="1175">
        <f>IFERROR(__xludf.DUMMYFUNCTION("""COMPUTED_VALUE"""),46107.0)</f>
        <v>46107</v>
      </c>
      <c r="B226" s="1174" t="str">
        <f>IFERROR(__xludf.DUMMYFUNCTION("""COMPUTED_VALUE"""),"ke-as-13000375973")</f>
        <v>ke-as-13000375973</v>
      </c>
      <c r="C226" s="1174" t="str">
        <f>IFERROR(__xludf.DUMMYFUNCTION("""COMPUTED_VALUE"""),"ABRIL")</f>
        <v>ABRIL</v>
      </c>
      <c r="D226" s="1174" t="b">
        <f>IFERROR(__xludf.DUMMYFUNCTION("""COMPUTED_VALUE"""),TRUE)</f>
        <v>1</v>
      </c>
      <c r="E226" s="1174" t="str">
        <f>IFERROR(__xludf.DUMMYFUNCTION("""COMPUTED_VALUE"""),"Laptop")</f>
        <v>Laptop</v>
      </c>
      <c r="F226" s="1176">
        <f>IFERROR(__xludf.DUMMYFUNCTION("""COMPUTED_VALUE"""),1799.99)</f>
        <v>1799.99</v>
      </c>
      <c r="G226" s="1177">
        <f>IFERROR(__xludf.DUMMYFUNCTION("""COMPUTED_VALUE"""),182.76000000000022)</f>
        <v>182.76</v>
      </c>
      <c r="H226" s="1174" t="b">
        <f>IFERROR(__xludf.DUMMYFUNCTION("""COMPUTED_VALUE"""),FALSE)</f>
        <v>0</v>
      </c>
      <c r="I226" s="1174" t="str">
        <f>IFERROR(__xludf.DUMMYFUNCTION("""COMPUTED_VALUE"""),"MAYO")</f>
        <v>MAYO</v>
      </c>
      <c r="J226" s="1177">
        <f>IFERROR(__xludf.DUMMYFUNCTION("""COMPUTED_VALUE"""),8199.0)</f>
        <v>8199</v>
      </c>
    </row>
    <row r="227">
      <c r="A227" s="1175">
        <f>IFERROR(__xludf.DUMMYFUNCTION("""COMPUTED_VALUE"""),46107.0)</f>
        <v>46107</v>
      </c>
      <c r="B227" s="1174" t="str">
        <f>IFERROR(__xludf.DUMMYFUNCTION("""COMPUTED_VALUE"""),"ke-am-111-5022851-1183423")</f>
        <v>ke-am-111-5022851-1183423</v>
      </c>
      <c r="C227" s="1174" t="str">
        <f>IFERROR(__xludf.DUMMYFUNCTION("""COMPUTED_VALUE"""),"MARZO")</f>
        <v>MARZO</v>
      </c>
      <c r="D227" s="1174" t="b">
        <f>IFERROR(__xludf.DUMMYFUNCTION("""COMPUTED_VALUE"""),TRUE)</f>
        <v>1</v>
      </c>
      <c r="E227" s="1174" t="str">
        <f>IFERROR(__xludf.DUMMYFUNCTION("""COMPUTED_VALUE"""),"Laptop")</f>
        <v>Laptop</v>
      </c>
      <c r="F227" s="1176">
        <f>IFERROR(__xludf.DUMMYFUNCTION("""COMPUTED_VALUE"""),1259.99)</f>
        <v>1259.99</v>
      </c>
      <c r="G227" s="1177">
        <f>IFERROR(__xludf.DUMMYFUNCTION("""COMPUTED_VALUE"""),17.0)</f>
        <v>17</v>
      </c>
      <c r="H227" s="1174" t="b">
        <f>IFERROR(__xludf.DUMMYFUNCTION("""COMPUTED_VALUE"""),FALSE)</f>
        <v>0</v>
      </c>
      <c r="I227" s="1174" t="str">
        <f>IFERROR(__xludf.DUMMYFUNCTION("""COMPUTED_VALUE"""),"ABRIL")</f>
        <v>ABRIL</v>
      </c>
      <c r="J227" s="1177">
        <f>IFERROR(__xludf.DUMMYFUNCTION("""COMPUTED_VALUE"""),5649.0)</f>
        <v>5649</v>
      </c>
    </row>
    <row r="228">
      <c r="A228" s="1175">
        <f>IFERROR(__xludf.DUMMYFUNCTION("""COMPUTED_VALUE"""),46109.0)</f>
        <v>46109</v>
      </c>
      <c r="B228" s="1174" t="str">
        <f>IFERROR(__xludf.DUMMYFUNCTION("""COMPUTED_VALUE"""),"ke-eb-25-14273-33925")</f>
        <v>ke-eb-25-14273-33925</v>
      </c>
      <c r="C228" s="1174" t="str">
        <f>IFERROR(__xludf.DUMMYFUNCTION("""COMPUTED_VALUE"""),"MARZO")</f>
        <v>MARZO</v>
      </c>
      <c r="D228" s="1174" t="b">
        <f>IFERROR(__xludf.DUMMYFUNCTION("""COMPUTED_VALUE"""),TRUE)</f>
        <v>1</v>
      </c>
      <c r="E228" s="1174" t="str">
        <f>IFERROR(__xludf.DUMMYFUNCTION("""COMPUTED_VALUE"""),"Laptop")</f>
        <v>Laptop</v>
      </c>
      <c r="F228" s="1176">
        <f>IFERROR(__xludf.DUMMYFUNCTION("""COMPUTED_VALUE"""),1299.99)</f>
        <v>1299.99</v>
      </c>
      <c r="G228" s="1177">
        <f>IFERROR(__xludf.DUMMYFUNCTION("""COMPUTED_VALUE"""),21.0)</f>
        <v>21</v>
      </c>
      <c r="H228" s="1174" t="b">
        <f>IFERROR(__xludf.DUMMYFUNCTION("""COMPUTED_VALUE"""),FALSE)</f>
        <v>0</v>
      </c>
      <c r="I228" s="1174" t="str">
        <f>IFERROR(__xludf.DUMMYFUNCTION("""COMPUTED_VALUE"""),"MARZO")</f>
        <v>MARZO</v>
      </c>
      <c r="J228" s="1177">
        <f>IFERROR(__xludf.DUMMYFUNCTION("""COMPUTED_VALUE"""),5899.0)</f>
        <v>5899</v>
      </c>
    </row>
    <row r="229">
      <c r="A229" s="1175">
        <f>IFERROR(__xludf.DUMMYFUNCTION("""COMPUTED_VALUE"""),46111.0)</f>
        <v>46111</v>
      </c>
      <c r="B229" s="1174" t="str">
        <f>IFERROR(__xludf.DUMMYFUNCTION("""COMPUTED_VALUE"""),"ke-eb-02-14448-06743")</f>
        <v>ke-eb-02-14448-06743</v>
      </c>
      <c r="C229" s="1174" t="str">
        <f>IFERROR(__xludf.DUMMYFUNCTION("""COMPUTED_VALUE"""),"ABRIL")</f>
        <v>ABRIL</v>
      </c>
      <c r="D229" s="1174" t="b">
        <f>IFERROR(__xludf.DUMMYFUNCTION("""COMPUTED_VALUE"""),TRUE)</f>
        <v>1</v>
      </c>
      <c r="E229" s="1174" t="str">
        <f>IFERROR(__xludf.DUMMYFUNCTION("""COMPUTED_VALUE"""),"Laptop")</f>
        <v>Laptop</v>
      </c>
      <c r="F229" s="1176">
        <f>IFERROR(__xludf.DUMMYFUNCTION("""COMPUTED_VALUE"""),1199.99)</f>
        <v>1199.99</v>
      </c>
      <c r="G229" s="1177">
        <f>IFERROR(__xludf.DUMMYFUNCTION("""COMPUTED_VALUE"""),22.050000000000182)</f>
        <v>22.05</v>
      </c>
      <c r="H229" s="1174" t="b">
        <f>IFERROR(__xludf.DUMMYFUNCTION("""COMPUTED_VALUE"""),FALSE)</f>
        <v>0</v>
      </c>
      <c r="I229" s="1174" t="str">
        <f>IFERROR(__xludf.DUMMYFUNCTION("""COMPUTED_VALUE"""),"MAYO")</f>
        <v>MAYO</v>
      </c>
      <c r="J229" s="1177">
        <f>IFERROR(__xludf.DUMMYFUNCTION("""COMPUTED_VALUE"""),5599.0)</f>
        <v>5599</v>
      </c>
    </row>
    <row r="230">
      <c r="A230" s="1175">
        <f>IFERROR(__xludf.DUMMYFUNCTION("""COMPUTED_VALUE"""),46113.0)</f>
        <v>46113</v>
      </c>
      <c r="B230" s="1174" t="str">
        <f>IFERROR(__xludf.DUMMYFUNCTION("""COMPUTED_VALUE"""),"ab-eb-13-14376-76781")</f>
        <v>ab-eb-13-14376-76781</v>
      </c>
      <c r="C230" s="1174" t="str">
        <f>IFERROR(__xludf.DUMMYFUNCTION("""COMPUTED_VALUE"""),"ABRIL")</f>
        <v>ABRIL</v>
      </c>
      <c r="D230" s="1174" t="b">
        <f>IFERROR(__xludf.DUMMYFUNCTION("""COMPUTED_VALUE"""),TRUE)</f>
        <v>1</v>
      </c>
      <c r="E230" s="1174" t="str">
        <f>IFERROR(__xludf.DUMMYFUNCTION("""COMPUTED_VALUE"""),"Laptop")</f>
        <v>Laptop</v>
      </c>
      <c r="F230" s="1176">
        <f>IFERROR(__xludf.DUMMYFUNCTION("""COMPUTED_VALUE"""),1549.99)</f>
        <v>1549.99</v>
      </c>
      <c r="G230" s="1177">
        <f>IFERROR(__xludf.DUMMYFUNCTION("""COMPUTED_VALUE"""),124.0)</f>
        <v>124</v>
      </c>
      <c r="H230" s="1174" t="b">
        <f>IFERROR(__xludf.DUMMYFUNCTION("""COMPUTED_VALUE"""),FALSE)</f>
        <v>0</v>
      </c>
      <c r="I230" s="1174" t="str">
        <f>IFERROR(__xludf.DUMMYFUNCTION("""COMPUTED_VALUE"""),"ABRIL")</f>
        <v>ABRIL</v>
      </c>
      <c r="J230" s="1177">
        <f>IFERROR(__xludf.DUMMYFUNCTION("""COMPUTED_VALUE"""),7099.0)</f>
        <v>7099</v>
      </c>
    </row>
    <row r="231">
      <c r="A231" s="1175">
        <f>IFERROR(__xludf.DUMMYFUNCTION("""COMPUTED_VALUE"""),46113.0)</f>
        <v>46113</v>
      </c>
      <c r="B231" s="1174" t="str">
        <f>IFERROR(__xludf.DUMMYFUNCTION("""COMPUTED_VALUE"""),"li-mi-020426")</f>
        <v>li-mi-020426</v>
      </c>
      <c r="C231" s="1174" t="str">
        <f>IFERROR(__xludf.DUMMYFUNCTION("""COMPUTED_VALUE"""),"ABRIL")</f>
        <v>ABRIL</v>
      </c>
      <c r="D231" s="1174" t="b">
        <f>IFERROR(__xludf.DUMMYFUNCTION("""COMPUTED_VALUE"""),TRUE)</f>
        <v>1</v>
      </c>
      <c r="E231" s="1174" t="str">
        <f>IFERROR(__xludf.DUMMYFUNCTION("""COMPUTED_VALUE"""),"Laptop")</f>
        <v>Laptop</v>
      </c>
      <c r="F231" s="1176"/>
      <c r="G231" s="1177">
        <f>IFERROR(__xludf.DUMMYFUNCTION("""COMPUTED_VALUE"""),84.8700000000008)</f>
        <v>84.87</v>
      </c>
      <c r="H231" s="1174" t="b">
        <f>IFERROR(__xludf.DUMMYFUNCTION("""COMPUTED_VALUE"""),FALSE)</f>
        <v>0</v>
      </c>
      <c r="I231" s="1174" t="str">
        <f>IFERROR(__xludf.DUMMYFUNCTION("""COMPUTED_VALUE"""),"ABRIL")</f>
        <v>ABRIL</v>
      </c>
      <c r="J231" s="1177">
        <f>IFERROR(__xludf.DUMMYFUNCTION("""COMPUTED_VALUE"""),9499.0)</f>
        <v>9499</v>
      </c>
    </row>
    <row r="232">
      <c r="A232" s="1175">
        <f>IFERROR(__xludf.DUMMYFUNCTION("""COMPUTED_VALUE"""),46116.0)</f>
        <v>46116</v>
      </c>
      <c r="B232" s="1174" t="str">
        <f>IFERROR(__xludf.DUMMYFUNCTION("""COMPUTED_VALUE"""),"ke-am-112-8755087-6044259")</f>
        <v>ke-am-112-8755087-6044259</v>
      </c>
      <c r="C232" s="1174" t="str">
        <f>IFERROR(__xludf.DUMMYFUNCTION("""COMPUTED_VALUE"""),"ABRIL")</f>
        <v>ABRIL</v>
      </c>
      <c r="D232" s="1174" t="b">
        <f>IFERROR(__xludf.DUMMYFUNCTION("""COMPUTED_VALUE"""),TRUE)</f>
        <v>1</v>
      </c>
      <c r="E232" s="1174" t="str">
        <f>IFERROR(__xludf.DUMMYFUNCTION("""COMPUTED_VALUE"""),"Laptop")</f>
        <v>Laptop</v>
      </c>
      <c r="F232" s="1176">
        <f>IFERROR(__xludf.DUMMYFUNCTION("""COMPUTED_VALUE"""),1259.99)</f>
        <v>1259.99</v>
      </c>
      <c r="G232" s="1177">
        <f>IFERROR(__xludf.DUMMYFUNCTION("""COMPUTED_VALUE"""),18.0)</f>
        <v>18</v>
      </c>
      <c r="H232" s="1174" t="b">
        <f>IFERROR(__xludf.DUMMYFUNCTION("""COMPUTED_VALUE"""),FALSE)</f>
        <v>0</v>
      </c>
      <c r="I232" s="1174" t="str">
        <f>IFERROR(__xludf.DUMMYFUNCTION("""COMPUTED_VALUE"""),"MAYO")</f>
        <v>MAYO</v>
      </c>
      <c r="J232" s="1177">
        <f>IFERROR(__xludf.DUMMYFUNCTION("""COMPUTED_VALUE"""),5799.0)</f>
        <v>5799</v>
      </c>
    </row>
    <row r="233">
      <c r="A233" s="1175">
        <f>IFERROR(__xludf.DUMMYFUNCTION("""COMPUTED_VALUE"""),46116.0)</f>
        <v>46116</v>
      </c>
      <c r="B233" s="1174" t="str">
        <f>IFERROR(__xludf.DUMMYFUNCTION("""COMPUTED_VALUE"""),"ab-eb-08-14379-18935")</f>
        <v>ab-eb-08-14379-18935</v>
      </c>
      <c r="C233" s="1174" t="str">
        <f>IFERROR(__xludf.DUMMYFUNCTION("""COMPUTED_VALUE"""),"ABRIL")</f>
        <v>ABRIL</v>
      </c>
      <c r="D233" s="1174" t="b">
        <f>IFERROR(__xludf.DUMMYFUNCTION("""COMPUTED_VALUE"""),TRUE)</f>
        <v>1</v>
      </c>
      <c r="E233" s="1174" t="str">
        <f>IFERROR(__xludf.DUMMYFUNCTION("""COMPUTED_VALUE"""),"Laptop")</f>
        <v>Laptop</v>
      </c>
      <c r="F233" s="1176">
        <f>IFERROR(__xludf.DUMMYFUNCTION("""COMPUTED_VALUE"""),1549.99)</f>
        <v>1549.99</v>
      </c>
      <c r="G233" s="1177">
        <f>IFERROR(__xludf.DUMMYFUNCTION("""COMPUTED_VALUE"""),124.0)</f>
        <v>124</v>
      </c>
      <c r="H233" s="1174" t="b">
        <f>IFERROR(__xludf.DUMMYFUNCTION("""COMPUTED_VALUE"""),FALSE)</f>
        <v>0</v>
      </c>
      <c r="I233" s="1174" t="str">
        <f>IFERROR(__xludf.DUMMYFUNCTION("""COMPUTED_VALUE"""),"ABRIL")</f>
        <v>ABRIL</v>
      </c>
      <c r="J233" s="1177">
        <f>IFERROR(__xludf.DUMMYFUNCTION("""COMPUTED_VALUE"""),7099.0)</f>
        <v>7099</v>
      </c>
    </row>
    <row r="234">
      <c r="A234" s="1175">
        <f>IFERROR(__xludf.DUMMYFUNCTION("""COMPUTED_VALUE"""),46119.0)</f>
        <v>46119</v>
      </c>
      <c r="B234" s="1174" t="str">
        <f>IFERROR(__xludf.DUMMYFUNCTION("""COMPUTED_VALUE"""),"re-eb-21-14360-35025")</f>
        <v>re-eb-21-14360-35025</v>
      </c>
      <c r="C234" s="1174" t="str">
        <f>IFERROR(__xludf.DUMMYFUNCTION("""COMPUTED_VALUE"""),"ABRIL")</f>
        <v>ABRIL</v>
      </c>
      <c r="D234" s="1174" t="b">
        <f>IFERROR(__xludf.DUMMYFUNCTION("""COMPUTED_VALUE"""),TRUE)</f>
        <v>1</v>
      </c>
      <c r="E234" s="1174" t="str">
        <f>IFERROR(__xludf.DUMMYFUNCTION("""COMPUTED_VALUE"""),"Laptop")</f>
        <v>Laptop</v>
      </c>
      <c r="F234" s="1176">
        <f>IFERROR(__xludf.DUMMYFUNCTION("""COMPUTED_VALUE"""),1549.99)</f>
        <v>1549.99</v>
      </c>
      <c r="G234" s="1177">
        <f>IFERROR(__xludf.DUMMYFUNCTION("""COMPUTED_VALUE"""),224.0)</f>
        <v>224</v>
      </c>
      <c r="H234" s="1174" t="b">
        <f>IFERROR(__xludf.DUMMYFUNCTION("""COMPUTED_VALUE"""),FALSE)</f>
        <v>0</v>
      </c>
      <c r="I234" s="1174" t="str">
        <f>IFERROR(__xludf.DUMMYFUNCTION("""COMPUTED_VALUE"""),"ABRIL")</f>
        <v>ABRIL</v>
      </c>
      <c r="J234" s="1177">
        <f>IFERROR(__xludf.DUMMYFUNCTION("""COMPUTED_VALUE"""),7099.0)</f>
        <v>7099</v>
      </c>
    </row>
    <row r="235">
      <c r="A235" s="1175">
        <f>IFERROR(__xludf.DUMMYFUNCTION("""COMPUTED_VALUE"""),46119.0)</f>
        <v>46119</v>
      </c>
      <c r="B235" s="1174" t="str">
        <f>IFERROR(__xludf.DUMMYFUNCTION("""COMPUTED_VALUE"""),"yo-eb-01-14449-91105")</f>
        <v>yo-eb-01-14449-91105</v>
      </c>
      <c r="C235" s="1174" t="str">
        <f>IFERROR(__xludf.DUMMYFUNCTION("""COMPUTED_VALUE"""),"ABRIL")</f>
        <v>ABRIL</v>
      </c>
      <c r="D235" s="1174" t="b">
        <f>IFERROR(__xludf.DUMMYFUNCTION("""COMPUTED_VALUE"""),TRUE)</f>
        <v>1</v>
      </c>
      <c r="E235" s="1174" t="str">
        <f>IFERROR(__xludf.DUMMYFUNCTION("""COMPUTED_VALUE"""),"Laptop")</f>
        <v>Laptop</v>
      </c>
      <c r="F235" s="1176"/>
      <c r="G235" s="1177">
        <f>IFERROR(__xludf.DUMMYFUNCTION("""COMPUTED_VALUE"""),0.0)</f>
        <v>0</v>
      </c>
      <c r="H235" s="1174" t="b">
        <f>IFERROR(__xludf.DUMMYFUNCTION("""COMPUTED_VALUE"""),FALSE)</f>
        <v>0</v>
      </c>
      <c r="I235" s="1174" t="str">
        <f>IFERROR(__xludf.DUMMYFUNCTION("""COMPUTED_VALUE"""),"MAYO")</f>
        <v>MAYO</v>
      </c>
      <c r="J235" s="1177">
        <f>IFERROR(__xludf.DUMMYFUNCTION("""COMPUTED_VALUE"""),5533.0)</f>
        <v>5533</v>
      </c>
    </row>
    <row r="236">
      <c r="A236" s="1175">
        <f>IFERROR(__xludf.DUMMYFUNCTION("""COMPUTED_VALUE"""),46119.0)</f>
        <v>46119</v>
      </c>
      <c r="B236" s="1174" t="str">
        <f>IFERROR(__xludf.DUMMYFUNCTION("""COMPUTED_VALUE"""),"jl-mi-070426")</f>
        <v>jl-mi-070426</v>
      </c>
      <c r="C236" s="1174" t="str">
        <f>IFERROR(__xludf.DUMMYFUNCTION("""COMPUTED_VALUE"""),"ABRIL")</f>
        <v>ABRIL</v>
      </c>
      <c r="D236" s="1174" t="b">
        <f>IFERROR(__xludf.DUMMYFUNCTION("""COMPUTED_VALUE"""),TRUE)</f>
        <v>1</v>
      </c>
      <c r="E236" s="1174" t="str">
        <f>IFERROR(__xludf.DUMMYFUNCTION("""COMPUTED_VALUE"""),"Laptop")</f>
        <v>Laptop</v>
      </c>
      <c r="F236" s="1176">
        <f>IFERROR(__xludf.DUMMYFUNCTION("""COMPUTED_VALUE"""),1899.99)</f>
        <v>1899.99</v>
      </c>
      <c r="G236" s="1177">
        <f>IFERROR(__xludf.DUMMYFUNCTION("""COMPUTED_VALUE"""),187.54000000000087)</f>
        <v>187.54</v>
      </c>
      <c r="H236" s="1174" t="b">
        <f>IFERROR(__xludf.DUMMYFUNCTION("""COMPUTED_VALUE"""),FALSE)</f>
        <v>0</v>
      </c>
      <c r="I236" s="1174" t="str">
        <f>IFERROR(__xludf.DUMMYFUNCTION("""COMPUTED_VALUE"""),"MAYO")</f>
        <v>MAYO</v>
      </c>
      <c r="J236" s="1177">
        <f>IFERROR(__xludf.DUMMYFUNCTION("""COMPUTED_VALUE"""),9099.0)</f>
        <v>9099</v>
      </c>
    </row>
    <row r="237">
      <c r="A237" s="1175">
        <f>IFERROR(__xludf.DUMMYFUNCTION("""COMPUTED_VALUE"""),46121.0)</f>
        <v>46121</v>
      </c>
      <c r="B237" s="1174" t="str">
        <f>IFERROR(__xludf.DUMMYFUNCTION("""COMPUTED_VALUE"""),"li-mi-100426")</f>
        <v>li-mi-100426</v>
      </c>
      <c r="C237" s="1174" t="str">
        <f>IFERROR(__xludf.DUMMYFUNCTION("""COMPUTED_VALUE"""),"ABRIL")</f>
        <v>ABRIL</v>
      </c>
      <c r="D237" s="1174" t="b">
        <f>IFERROR(__xludf.DUMMYFUNCTION("""COMPUTED_VALUE"""),TRUE)</f>
        <v>1</v>
      </c>
      <c r="E237" s="1174" t="str">
        <f>IFERROR(__xludf.DUMMYFUNCTION("""COMPUTED_VALUE"""),"Laptop")</f>
        <v>Laptop</v>
      </c>
      <c r="F237" s="1176">
        <f>IFERROR(__xludf.DUMMYFUNCTION("""COMPUTED_VALUE"""),1899.99)</f>
        <v>1899.99</v>
      </c>
      <c r="G237" s="1177">
        <f>IFERROR(__xludf.DUMMYFUNCTION("""COMPUTED_VALUE"""),23.75)</f>
        <v>23.75</v>
      </c>
      <c r="H237" s="1174" t="b">
        <f>IFERROR(__xludf.DUMMYFUNCTION("""COMPUTED_VALUE"""),TRUE)</f>
        <v>1</v>
      </c>
      <c r="I237" s="1174" t="str">
        <f>IFERROR(__xludf.DUMMYFUNCTION("""COMPUTED_VALUE"""),"MAYO")</f>
        <v>MAYO</v>
      </c>
      <c r="J237" s="1177">
        <f>IFERROR(__xludf.DUMMYFUNCTION("""COMPUTED_VALUE"""),8849.0)</f>
        <v>8849</v>
      </c>
    </row>
    <row r="238">
      <c r="A238" s="1175">
        <f>IFERROR(__xludf.DUMMYFUNCTION("""COMPUTED_VALUE"""),46121.0)</f>
        <v>46121</v>
      </c>
      <c r="B238" s="1174" t="str">
        <f>IFERROR(__xludf.DUMMYFUNCTION("""COMPUTED_VALUE"""),"li-mi-100426-2")</f>
        <v>li-mi-100426-2</v>
      </c>
      <c r="C238" s="1174" t="str">
        <f>IFERROR(__xludf.DUMMYFUNCTION("""COMPUTED_VALUE"""),"ABRIL")</f>
        <v>ABRIL</v>
      </c>
      <c r="D238" s="1174" t="b">
        <f>IFERROR(__xludf.DUMMYFUNCTION("""COMPUTED_VALUE"""),TRUE)</f>
        <v>1</v>
      </c>
      <c r="E238" s="1174" t="str">
        <f>IFERROR(__xludf.DUMMYFUNCTION("""COMPUTED_VALUE"""),"Laptop")</f>
        <v>Laptop</v>
      </c>
      <c r="F238" s="1176">
        <f>IFERROR(__xludf.DUMMYFUNCTION("""COMPUTED_VALUE"""),1999.99)</f>
        <v>1999.99</v>
      </c>
      <c r="G238" s="1177">
        <f>IFERROR(__xludf.DUMMYFUNCTION("""COMPUTED_VALUE"""),0.7200000000011642)</f>
        <v>0.72</v>
      </c>
      <c r="H238" s="1174" t="b">
        <f>IFERROR(__xludf.DUMMYFUNCTION("""COMPUTED_VALUE"""),FALSE)</f>
        <v>0</v>
      </c>
      <c r="I238" s="1174" t="str">
        <f>IFERROR(__xludf.DUMMYFUNCTION("""COMPUTED_VALUE"""),"MAYO")</f>
        <v>MAYO</v>
      </c>
      <c r="J238" s="1177">
        <f>IFERROR(__xludf.DUMMYFUNCTION("""COMPUTED_VALUE"""),9465.68)</f>
        <v>9465.68</v>
      </c>
    </row>
    <row r="239">
      <c r="A239" s="1175">
        <f>IFERROR(__xludf.DUMMYFUNCTION("""COMPUTED_VALUE"""),46121.0)</f>
        <v>46121</v>
      </c>
      <c r="B239" s="1174" t="str">
        <f>IFERROR(__xludf.DUMMYFUNCTION("""COMPUTED_VALUE"""),"li-mi-100426-3")</f>
        <v>li-mi-100426-3</v>
      </c>
      <c r="C239" s="1174" t="str">
        <f>IFERROR(__xludf.DUMMYFUNCTION("""COMPUTED_VALUE"""),"ABRIL")</f>
        <v>ABRIL</v>
      </c>
      <c r="D239" s="1174" t="b">
        <f>IFERROR(__xludf.DUMMYFUNCTION("""COMPUTED_VALUE"""),TRUE)</f>
        <v>1</v>
      </c>
      <c r="E239" s="1174" t="str">
        <f>IFERROR(__xludf.DUMMYFUNCTION("""COMPUTED_VALUE"""),"Laptop")</f>
        <v>Laptop</v>
      </c>
      <c r="F239" s="1176">
        <f>IFERROR(__xludf.DUMMYFUNCTION("""COMPUTED_VALUE"""),1899.99)</f>
        <v>1899.99</v>
      </c>
      <c r="G239" s="1177">
        <f>IFERROR(__xludf.DUMMYFUNCTION("""COMPUTED_VALUE"""),41.75)</f>
        <v>41.75</v>
      </c>
      <c r="H239" s="1174" t="b">
        <f>IFERROR(__xludf.DUMMYFUNCTION("""COMPUTED_VALUE"""),FALSE)</f>
        <v>0</v>
      </c>
      <c r="I239" s="1174" t="str">
        <f>IFERROR(__xludf.DUMMYFUNCTION("""COMPUTED_VALUE"""),"MAYO")</f>
        <v>MAYO</v>
      </c>
      <c r="J239" s="1177">
        <f>IFERROR(__xludf.DUMMYFUNCTION("""COMPUTED_VALUE"""),8899.0)</f>
        <v>8899</v>
      </c>
    </row>
    <row r="240">
      <c r="A240" s="1175">
        <f>IFERROR(__xludf.DUMMYFUNCTION("""COMPUTED_VALUE"""),46122.0)</f>
        <v>46122</v>
      </c>
      <c r="B240" s="1174" t="str">
        <f>IFERROR(__xludf.DUMMYFUNCTION("""COMPUTED_VALUE"""),"so-eb-14-14346-71561")</f>
        <v>so-eb-14-14346-71561</v>
      </c>
      <c r="C240" s="1174" t="str">
        <f>IFERROR(__xludf.DUMMYFUNCTION("""COMPUTED_VALUE"""),"ABRIL")</f>
        <v>ABRIL</v>
      </c>
      <c r="D240" s="1174" t="b">
        <f>IFERROR(__xludf.DUMMYFUNCTION("""COMPUTED_VALUE"""),TRUE)</f>
        <v>1</v>
      </c>
      <c r="E240" s="1174" t="str">
        <f>IFERROR(__xludf.DUMMYFUNCTION("""COMPUTED_VALUE"""),"Laptop")</f>
        <v>Laptop</v>
      </c>
      <c r="F240" s="1176">
        <f>IFERROR(__xludf.DUMMYFUNCTION("""COMPUTED_VALUE"""),1749.99)</f>
        <v>1749.99</v>
      </c>
      <c r="G240" s="1177">
        <f>IFERROR(__xludf.DUMMYFUNCTION("""COMPUTED_VALUE"""),75.0)</f>
        <v>75</v>
      </c>
      <c r="H240" s="1174" t="b">
        <f>IFERROR(__xludf.DUMMYFUNCTION("""COMPUTED_VALUE"""),FALSE)</f>
        <v>0</v>
      </c>
      <c r="I240" s="1174" t="str">
        <f>IFERROR(__xludf.DUMMYFUNCTION("""COMPUTED_VALUE"""),"ABRIL")</f>
        <v>ABRIL</v>
      </c>
      <c r="J240" s="1177">
        <f>IFERROR(__xludf.DUMMYFUNCTION("""COMPUTED_VALUE"""),7799.0)</f>
        <v>7799</v>
      </c>
    </row>
    <row r="241">
      <c r="A241" s="1175">
        <f>IFERROR(__xludf.DUMMYFUNCTION("""COMPUTED_VALUE"""),46123.0)</f>
        <v>46123</v>
      </c>
      <c r="B241" s="1174" t="str">
        <f>IFERROR(__xludf.DUMMYFUNCTION("""COMPUTED_VALUE"""),"ga-bh-1128527441")</f>
        <v>ga-bh-1128527441</v>
      </c>
      <c r="C241" s="1174" t="str">
        <f>IFERROR(__xludf.DUMMYFUNCTION("""COMPUTED_VALUE"""),"ABRIL")</f>
        <v>ABRIL</v>
      </c>
      <c r="D241" s="1174" t="b">
        <f>IFERROR(__xludf.DUMMYFUNCTION("""COMPUTED_VALUE"""),TRUE)</f>
        <v>1</v>
      </c>
      <c r="E241" s="1174" t="str">
        <f>IFERROR(__xludf.DUMMYFUNCTION("""COMPUTED_VALUE"""),"Laptop")</f>
        <v>Laptop</v>
      </c>
      <c r="F241" s="1176">
        <f>IFERROR(__xludf.DUMMYFUNCTION("""COMPUTED_VALUE"""),1599.0)</f>
        <v>1599</v>
      </c>
      <c r="G241" s="1177">
        <f>IFERROR(__xludf.DUMMYFUNCTION("""COMPUTED_VALUE"""),134.39000000000033)</f>
        <v>134.39</v>
      </c>
      <c r="H241" s="1174" t="b">
        <f>IFERROR(__xludf.DUMMYFUNCTION("""COMPUTED_VALUE"""),FALSE)</f>
        <v>0</v>
      </c>
      <c r="I241" s="1174" t="str">
        <f>IFERROR(__xludf.DUMMYFUNCTION("""COMPUTED_VALUE"""),"JUNIO")</f>
        <v>JUNIO</v>
      </c>
      <c r="J241" s="1177">
        <f>IFERROR(__xludf.DUMMYFUNCTION("""COMPUTED_VALUE"""),7299.0)</f>
        <v>7299</v>
      </c>
    </row>
    <row r="242">
      <c r="A242" s="1175">
        <f>IFERROR(__xludf.DUMMYFUNCTION("""COMPUTED_VALUE"""),46124.0)</f>
        <v>46124</v>
      </c>
      <c r="B242" s="1174" t="str">
        <f>IFERROR(__xludf.DUMMYFUNCTION("""COMPUTED_VALUE"""),"so-bh-1128363788")</f>
        <v>so-bh-1128363788</v>
      </c>
      <c r="C242" s="1174" t="str">
        <f>IFERROR(__xludf.DUMMYFUNCTION("""COMPUTED_VALUE"""),"ABRIL")</f>
        <v>ABRIL</v>
      </c>
      <c r="D242" s="1174" t="b">
        <f>IFERROR(__xludf.DUMMYFUNCTION("""COMPUTED_VALUE"""),TRUE)</f>
        <v>1</v>
      </c>
      <c r="E242" s="1174" t="str">
        <f>IFERROR(__xludf.DUMMYFUNCTION("""COMPUTED_VALUE"""),"Laptop")</f>
        <v>Laptop</v>
      </c>
      <c r="F242" s="1176">
        <f>IFERROR(__xludf.DUMMYFUNCTION("""COMPUTED_VALUE"""),1399.0)</f>
        <v>1399</v>
      </c>
      <c r="G242" s="1177">
        <f>IFERROR(__xludf.DUMMYFUNCTION("""COMPUTED_VALUE"""),57.149999999999636)</f>
        <v>57.15</v>
      </c>
      <c r="H242" s="1174" t="b">
        <f>IFERROR(__xludf.DUMMYFUNCTION("""COMPUTED_VALUE"""),FALSE)</f>
        <v>0</v>
      </c>
      <c r="I242" s="1174" t="str">
        <f>IFERROR(__xludf.DUMMYFUNCTION("""COMPUTED_VALUE"""),"JUNIO")</f>
        <v>JUNIO</v>
      </c>
      <c r="J242" s="1177">
        <f>IFERROR(__xludf.DUMMYFUNCTION("""COMPUTED_VALUE"""),6499.0)</f>
        <v>6499</v>
      </c>
    </row>
    <row r="243">
      <c r="A243" s="1175">
        <f>IFERROR(__xludf.DUMMYFUNCTION("""COMPUTED_VALUE"""),46125.0)</f>
        <v>46125</v>
      </c>
      <c r="B243" s="1174" t="str">
        <f>IFERROR(__xludf.DUMMYFUNCTION("""COMPUTED_VALUE"""),"ga-co-1277729662")</f>
        <v>ga-co-1277729662</v>
      </c>
      <c r="C243" s="1174" t="str">
        <f>IFERROR(__xludf.DUMMYFUNCTION("""COMPUTED_VALUE"""),"ABRIL")</f>
        <v>ABRIL</v>
      </c>
      <c r="D243" s="1174" t="b">
        <f>IFERROR(__xludf.DUMMYFUNCTION("""COMPUTED_VALUE"""),TRUE)</f>
        <v>1</v>
      </c>
      <c r="E243" s="1174" t="str">
        <f>IFERROR(__xludf.DUMMYFUNCTION("""COMPUTED_VALUE"""),"Laptop")</f>
        <v>Laptop</v>
      </c>
      <c r="F243" s="1176">
        <f>IFERROR(__xludf.DUMMYFUNCTION("""COMPUTED_VALUE"""),1299.99)</f>
        <v>1299.99</v>
      </c>
      <c r="G243" s="1177">
        <f>IFERROR(__xludf.DUMMYFUNCTION("""COMPUTED_VALUE"""),10.88000000000011)</f>
        <v>10.88</v>
      </c>
      <c r="H243" s="1174" t="b">
        <f>IFERROR(__xludf.DUMMYFUNCTION("""COMPUTED_VALUE"""),FALSE)</f>
        <v>0</v>
      </c>
      <c r="I243" s="1174" t="str">
        <f>IFERROR(__xludf.DUMMYFUNCTION("""COMPUTED_VALUE"""),"JUNIO")</f>
        <v>JUNIO</v>
      </c>
      <c r="J243" s="1177">
        <f>IFERROR(__xludf.DUMMYFUNCTION("""COMPUTED_VALUE"""),6399.0)</f>
        <v>6399</v>
      </c>
    </row>
    <row r="244">
      <c r="A244" s="1175">
        <f>IFERROR(__xludf.DUMMYFUNCTION("""COMPUTED_VALUE"""),46128.0)</f>
        <v>46128</v>
      </c>
      <c r="B244" s="1174" t="str">
        <f>IFERROR(__xludf.DUMMYFUNCTION("""COMPUTED_VALUE"""),"yo-eb-10-14438-66281")</f>
        <v>yo-eb-10-14438-66281</v>
      </c>
      <c r="C244" s="1174" t="str">
        <f>IFERROR(__xludf.DUMMYFUNCTION("""COMPUTED_VALUE"""),"ABRIL")</f>
        <v>ABRIL</v>
      </c>
      <c r="D244" s="1174" t="b">
        <f>IFERROR(__xludf.DUMMYFUNCTION("""COMPUTED_VALUE"""),TRUE)</f>
        <v>1</v>
      </c>
      <c r="E244" s="1174" t="str">
        <f>IFERROR(__xludf.DUMMYFUNCTION("""COMPUTED_VALUE"""),"Laptop")</f>
        <v>Laptop</v>
      </c>
      <c r="F244" s="1176"/>
      <c r="G244" s="1177">
        <f>IFERROR(__xludf.DUMMYFUNCTION("""COMPUTED_VALUE"""),0.0)</f>
        <v>0</v>
      </c>
      <c r="H244" s="1174" t="b">
        <f>IFERROR(__xludf.DUMMYFUNCTION("""COMPUTED_VALUE"""),FALSE)</f>
        <v>0</v>
      </c>
      <c r="I244" s="1174" t="str">
        <f>IFERROR(__xludf.DUMMYFUNCTION("""COMPUTED_VALUE"""),"MAYO")</f>
        <v>MAYO</v>
      </c>
      <c r="J244" s="1177">
        <f>IFERROR(__xludf.DUMMYFUNCTION("""COMPUTED_VALUE"""),5998.0)</f>
        <v>5998</v>
      </c>
    </row>
    <row r="245">
      <c r="A245" s="1175">
        <f>IFERROR(__xludf.DUMMYFUNCTION("""COMPUTED_VALUE"""),46129.0)</f>
        <v>46129</v>
      </c>
      <c r="B245" s="1174" t="str">
        <f>IFERROR(__xludf.DUMMYFUNCTION("""COMPUTED_VALUE"""),"jl-mi-21063787")</f>
        <v>jl-mi-21063787</v>
      </c>
      <c r="C245" s="1174" t="str">
        <f>IFERROR(__xludf.DUMMYFUNCTION("""COMPUTED_VALUE"""),"ABRIL")</f>
        <v>ABRIL</v>
      </c>
      <c r="D245" s="1174" t="b">
        <f>IFERROR(__xludf.DUMMYFUNCTION("""COMPUTED_VALUE"""),TRUE)</f>
        <v>1</v>
      </c>
      <c r="E245" s="1174" t="str">
        <f>IFERROR(__xludf.DUMMYFUNCTION("""COMPUTED_VALUE"""),"Laptop")</f>
        <v>Laptop</v>
      </c>
      <c r="F245" s="1176">
        <f>IFERROR(__xludf.DUMMYFUNCTION("""COMPUTED_VALUE"""),1999.99)</f>
        <v>1999.99</v>
      </c>
      <c r="G245" s="1177">
        <f>IFERROR(__xludf.DUMMYFUNCTION("""COMPUTED_VALUE"""),185.3199999999997)</f>
        <v>185.32</v>
      </c>
      <c r="H245" s="1174" t="b">
        <f>IFERROR(__xludf.DUMMYFUNCTION("""COMPUTED_VALUE"""),FALSE)</f>
        <v>0</v>
      </c>
      <c r="I245" s="1174" t="str">
        <f>IFERROR(__xludf.DUMMYFUNCTION("""COMPUTED_VALUE"""),"MAYO")</f>
        <v>MAYO</v>
      </c>
      <c r="J245" s="1177">
        <f>IFERROR(__xludf.DUMMYFUNCTION("""COMPUTED_VALUE"""),9499.0)</f>
        <v>9499</v>
      </c>
    </row>
    <row r="246">
      <c r="A246" s="1175">
        <f>IFERROR(__xludf.DUMMYFUNCTION("""COMPUTED_VALUE"""),46129.0)</f>
        <v>46129</v>
      </c>
      <c r="B246" s="1174" t="str">
        <f>IFERROR(__xludf.DUMMYFUNCTION("""COMPUTED_VALUE"""),"es-mi-230426-2")</f>
        <v>es-mi-230426-2</v>
      </c>
      <c r="C246" s="1174" t="str">
        <f>IFERROR(__xludf.DUMMYFUNCTION("""COMPUTED_VALUE"""),"ABRIL")</f>
        <v>ABRIL</v>
      </c>
      <c r="D246" s="1174" t="b">
        <f>IFERROR(__xludf.DUMMYFUNCTION("""COMPUTED_VALUE"""),TRUE)</f>
        <v>1</v>
      </c>
      <c r="E246" s="1174" t="str">
        <f>IFERROR(__xludf.DUMMYFUNCTION("""COMPUTED_VALUE"""),"Laptop")</f>
        <v>Laptop</v>
      </c>
      <c r="F246" s="1176">
        <f>IFERROR(__xludf.DUMMYFUNCTION("""COMPUTED_VALUE"""),1899.99)</f>
        <v>1899.99</v>
      </c>
      <c r="G246" s="1177">
        <f>IFERROR(__xludf.DUMMYFUNCTION("""COMPUTED_VALUE"""),3.290000000000873)</f>
        <v>3.29</v>
      </c>
      <c r="H246" s="1174" t="b">
        <f>IFERROR(__xludf.DUMMYFUNCTION("""COMPUTED_VALUE"""),FALSE)</f>
        <v>0</v>
      </c>
      <c r="I246" s="1174" t="str">
        <f>IFERROR(__xludf.DUMMYFUNCTION("""COMPUTED_VALUE"""),"JUNIO")</f>
        <v>JUNIO</v>
      </c>
      <c r="J246" s="1177">
        <f>IFERROR(__xludf.DUMMYFUNCTION("""COMPUTED_VALUE"""),8765.0)</f>
        <v>8765</v>
      </c>
    </row>
    <row r="247">
      <c r="A247" s="1175">
        <f>IFERROR(__xludf.DUMMYFUNCTION("""COMPUTED_VALUE"""),46130.0)</f>
        <v>46130</v>
      </c>
      <c r="B247" s="1174" t="str">
        <f>IFERROR(__xludf.DUMMYFUNCTION("""COMPUTED_VALUE"""),"li-mi-200426")</f>
        <v>li-mi-200426</v>
      </c>
      <c r="C247" s="1174" t="str">
        <f>IFERROR(__xludf.DUMMYFUNCTION("""COMPUTED_VALUE"""),"ABRIL")</f>
        <v>ABRIL</v>
      </c>
      <c r="D247" s="1174" t="b">
        <f>IFERROR(__xludf.DUMMYFUNCTION("""COMPUTED_VALUE"""),TRUE)</f>
        <v>1</v>
      </c>
      <c r="E247" s="1174" t="str">
        <f>IFERROR(__xludf.DUMMYFUNCTION("""COMPUTED_VALUE"""),"Laptop")</f>
        <v>Laptop</v>
      </c>
      <c r="F247" s="1176">
        <f>IFERROR(__xludf.DUMMYFUNCTION("""COMPUTED_VALUE"""),1999.99)</f>
        <v>1999.99</v>
      </c>
      <c r="G247" s="1177">
        <f>IFERROR(__xludf.DUMMYFUNCTION("""COMPUTED_VALUE"""),109.3700000000008)</f>
        <v>109.37</v>
      </c>
      <c r="H247" s="1174" t="b">
        <f>IFERROR(__xludf.DUMMYFUNCTION("""COMPUTED_VALUE"""),TRUE)</f>
        <v>1</v>
      </c>
      <c r="I247" s="1174" t="str">
        <f>IFERROR(__xludf.DUMMYFUNCTION("""COMPUTED_VALUE"""),"MAYO")</f>
        <v>MAYO</v>
      </c>
      <c r="J247" s="1177">
        <f>IFERROR(__xludf.DUMMYFUNCTION("""COMPUTED_VALUE"""),9549.0)</f>
        <v>9549</v>
      </c>
    </row>
    <row r="248">
      <c r="A248" s="1175">
        <f>IFERROR(__xludf.DUMMYFUNCTION("""COMPUTED_VALUE"""),46133.0)</f>
        <v>46133</v>
      </c>
      <c r="B248" s="1174" t="str">
        <f>IFERROR(__xludf.DUMMYFUNCTION("""COMPUTED_VALUE"""),"yo-eb-02-14450-80543")</f>
        <v>yo-eb-02-14450-80543</v>
      </c>
      <c r="C248" s="1174" t="str">
        <f>IFERROR(__xludf.DUMMYFUNCTION("""COMPUTED_VALUE"""),"ABRIL")</f>
        <v>ABRIL</v>
      </c>
      <c r="D248" s="1174" t="b">
        <f>IFERROR(__xludf.DUMMYFUNCTION("""COMPUTED_VALUE"""),TRUE)</f>
        <v>1</v>
      </c>
      <c r="E248" s="1174" t="str">
        <f>IFERROR(__xludf.DUMMYFUNCTION("""COMPUTED_VALUE"""),"Laptop")</f>
        <v>Laptop</v>
      </c>
      <c r="F248" s="1176">
        <f>IFERROR(__xludf.DUMMYFUNCTION("""COMPUTED_VALUE"""),1199.99)</f>
        <v>1199.99</v>
      </c>
      <c r="G248" s="1177">
        <f>IFERROR(__xludf.DUMMYFUNCTION("""COMPUTED_VALUE"""),26.0)</f>
        <v>26</v>
      </c>
      <c r="H248" s="1174" t="b">
        <f>IFERROR(__xludf.DUMMYFUNCTION("""COMPUTED_VALUE"""),FALSE)</f>
        <v>0</v>
      </c>
      <c r="I248" s="1174" t="str">
        <f>IFERROR(__xludf.DUMMYFUNCTION("""COMPUTED_VALUE"""),"MAYO")</f>
        <v>MAYO</v>
      </c>
      <c r="J248" s="1177">
        <f>IFERROR(__xludf.DUMMYFUNCTION("""COMPUTED_VALUE"""),5699.0)</f>
        <v>5699</v>
      </c>
    </row>
    <row r="249">
      <c r="A249" s="1175">
        <f>IFERROR(__xludf.DUMMYFUNCTION("""COMPUTED_VALUE"""),46133.0)</f>
        <v>46133</v>
      </c>
      <c r="B249" s="1174" t="str">
        <f>IFERROR(__xludf.DUMMYFUNCTION("""COMPUTED_VALUE"""),"so-eb-22-14421-47245")</f>
        <v>so-eb-22-14421-47245</v>
      </c>
      <c r="C249" s="1174" t="str">
        <f>IFERROR(__xludf.DUMMYFUNCTION("""COMPUTED_VALUE"""),"ABRIL")</f>
        <v>ABRIL</v>
      </c>
      <c r="D249" s="1174" t="b">
        <f>IFERROR(__xludf.DUMMYFUNCTION("""COMPUTED_VALUE"""),TRUE)</f>
        <v>1</v>
      </c>
      <c r="E249" s="1174" t="str">
        <f>IFERROR(__xludf.DUMMYFUNCTION("""COMPUTED_VALUE"""),"Laptop")</f>
        <v>Laptop</v>
      </c>
      <c r="F249" s="1176">
        <f>IFERROR(__xludf.DUMMYFUNCTION("""COMPUTED_VALUE"""),1199.99)</f>
        <v>1199.99</v>
      </c>
      <c r="G249" s="1177">
        <f>IFERROR(__xludf.DUMMYFUNCTION("""COMPUTED_VALUE"""),11.0)</f>
        <v>11</v>
      </c>
      <c r="H249" s="1174" t="b">
        <f>IFERROR(__xludf.DUMMYFUNCTION("""COMPUTED_VALUE"""),FALSE)</f>
        <v>0</v>
      </c>
      <c r="I249" s="1174" t="str">
        <f>IFERROR(__xludf.DUMMYFUNCTION("""COMPUTED_VALUE"""),"MAYO")</f>
        <v>MAYO</v>
      </c>
      <c r="J249" s="1177">
        <f>IFERROR(__xludf.DUMMYFUNCTION("""COMPUTED_VALUE"""),5799.0)</f>
        <v>5799</v>
      </c>
    </row>
    <row r="250">
      <c r="A250" s="1175">
        <f>IFERROR(__xludf.DUMMYFUNCTION("""COMPUTED_VALUE"""),46134.0)</f>
        <v>46134</v>
      </c>
      <c r="B250" s="1174" t="str">
        <f>IFERROR(__xludf.DUMMYFUNCTION("""COMPUTED_VALUE"""),"ga-co-1272703753")</f>
        <v>ga-co-1272703753</v>
      </c>
      <c r="C250" s="1174" t="str">
        <f>IFERROR(__xludf.DUMMYFUNCTION("""COMPUTED_VALUE"""),"ABRIL")</f>
        <v>ABRIL</v>
      </c>
      <c r="D250" s="1174" t="b">
        <f>IFERROR(__xludf.DUMMYFUNCTION("""COMPUTED_VALUE"""),TRUE)</f>
        <v>1</v>
      </c>
      <c r="E250" s="1174" t="str">
        <f>IFERROR(__xludf.DUMMYFUNCTION("""COMPUTED_VALUE"""),"Laptop")</f>
        <v>Laptop</v>
      </c>
      <c r="F250" s="1176">
        <f>IFERROR(__xludf.DUMMYFUNCTION("""COMPUTED_VALUE"""),1299.99)</f>
        <v>1299.99</v>
      </c>
      <c r="G250" s="1177">
        <f>IFERROR(__xludf.DUMMYFUNCTION("""COMPUTED_VALUE"""),46.0)</f>
        <v>46</v>
      </c>
      <c r="H250" s="1174" t="b">
        <f>IFERROR(__xludf.DUMMYFUNCTION("""COMPUTED_VALUE"""),FALSE)</f>
        <v>0</v>
      </c>
      <c r="I250" s="1174" t="str">
        <f>IFERROR(__xludf.DUMMYFUNCTION("""COMPUTED_VALUE"""),"MAYO")</f>
        <v>MAYO</v>
      </c>
      <c r="J250" s="1177">
        <f>IFERROR(__xludf.DUMMYFUNCTION("""COMPUTED_VALUE"""),6699.0)</f>
        <v>6699</v>
      </c>
    </row>
    <row r="251">
      <c r="A251" s="1175">
        <f>IFERROR(__xludf.DUMMYFUNCTION("""COMPUTED_VALUE"""),46134.0)</f>
        <v>46134</v>
      </c>
      <c r="B251" s="1174" t="str">
        <f>IFERROR(__xludf.DUMMYFUNCTION("""COMPUTED_VALUE"""),"re-eb-24-14433-30127")</f>
        <v>re-eb-24-14433-30127</v>
      </c>
      <c r="C251" s="1174" t="str">
        <f>IFERROR(__xludf.DUMMYFUNCTION("""COMPUTED_VALUE"""),"ABRIL")</f>
        <v>ABRIL</v>
      </c>
      <c r="D251" s="1174" t="b">
        <f>IFERROR(__xludf.DUMMYFUNCTION("""COMPUTED_VALUE"""),TRUE)</f>
        <v>1</v>
      </c>
      <c r="E251" s="1174" t="str">
        <f>IFERROR(__xludf.DUMMYFUNCTION("""COMPUTED_VALUE"""),"Laptop")</f>
        <v>Laptop</v>
      </c>
      <c r="F251" s="1176">
        <f>IFERROR(__xludf.DUMMYFUNCTION("""COMPUTED_VALUE"""),1199.99)</f>
        <v>1199.99</v>
      </c>
      <c r="G251" s="1177">
        <f>IFERROR(__xludf.DUMMYFUNCTION("""COMPUTED_VALUE"""),41.0)</f>
        <v>41</v>
      </c>
      <c r="H251" s="1174" t="b">
        <f>IFERROR(__xludf.DUMMYFUNCTION("""COMPUTED_VALUE"""),FALSE)</f>
        <v>0</v>
      </c>
      <c r="I251" s="1174" t="str">
        <f>IFERROR(__xludf.DUMMYFUNCTION("""COMPUTED_VALUE"""),"MAYO")</f>
        <v>MAYO</v>
      </c>
      <c r="J251" s="1177">
        <f>IFERROR(__xludf.DUMMYFUNCTION("""COMPUTED_VALUE"""),5699.0)</f>
        <v>5699</v>
      </c>
    </row>
    <row r="252">
      <c r="A252" s="1175">
        <f>IFERROR(__xludf.DUMMYFUNCTION("""COMPUTED_VALUE"""),46135.0)</f>
        <v>46135</v>
      </c>
      <c r="B252" s="1174" t="str">
        <f>IFERROR(__xludf.DUMMYFUNCTION("""COMPUTED_VALUE"""),"ke-as-10001320210")</f>
        <v>ke-as-10001320210</v>
      </c>
      <c r="C252" s="1174" t="str">
        <f>IFERROR(__xludf.DUMMYFUNCTION("""COMPUTED_VALUE"""),"ABRIL")</f>
        <v>ABRIL</v>
      </c>
      <c r="D252" s="1174" t="b">
        <f>IFERROR(__xludf.DUMMYFUNCTION("""COMPUTED_VALUE"""),TRUE)</f>
        <v>1</v>
      </c>
      <c r="E252" s="1174" t="str">
        <f>IFERROR(__xludf.DUMMYFUNCTION("""COMPUTED_VALUE"""),"Laptop")</f>
        <v>Laptop</v>
      </c>
      <c r="F252" s="1176"/>
      <c r="G252" s="1177">
        <f>IFERROR(__xludf.DUMMYFUNCTION("""COMPUTED_VALUE"""),46.0)</f>
        <v>46</v>
      </c>
      <c r="H252" s="1174" t="b">
        <f>IFERROR(__xludf.DUMMYFUNCTION("""COMPUTED_VALUE"""),FALSE)</f>
        <v>0</v>
      </c>
      <c r="I252" s="1174" t="str">
        <f>IFERROR(__xludf.DUMMYFUNCTION("""COMPUTED_VALUE"""),"MAYO")</f>
        <v>MAYO</v>
      </c>
      <c r="J252" s="1177">
        <f>IFERROR(__xludf.DUMMYFUNCTION("""COMPUTED_VALUE"""),6499.0)</f>
        <v>6499</v>
      </c>
    </row>
    <row r="253">
      <c r="A253" s="1175">
        <f>IFERROR(__xludf.DUMMYFUNCTION("""COMPUTED_VALUE"""),46136.0)</f>
        <v>46136</v>
      </c>
      <c r="B253" s="1174" t="str">
        <f>IFERROR(__xludf.DUMMYFUNCTION("""COMPUTED_VALUE"""),"ke-eb-16-14544-94606")</f>
        <v>ke-eb-16-14544-94606</v>
      </c>
      <c r="C253" s="1174" t="str">
        <f>IFERROR(__xludf.DUMMYFUNCTION("""COMPUTED_VALUE"""),"MAYO")</f>
        <v>MAYO</v>
      </c>
      <c r="D253" s="1174" t="b">
        <f>IFERROR(__xludf.DUMMYFUNCTION("""COMPUTED_VALUE"""),TRUE)</f>
        <v>1</v>
      </c>
      <c r="E253" s="1174" t="str">
        <f>IFERROR(__xludf.DUMMYFUNCTION("""COMPUTED_VALUE"""),"Laptop")</f>
        <v>Laptop</v>
      </c>
      <c r="F253" s="1176">
        <f>IFERROR(__xludf.DUMMYFUNCTION("""COMPUTED_VALUE"""),1399.99)</f>
        <v>1399.99</v>
      </c>
      <c r="G253" s="1177">
        <f>IFERROR(__xludf.DUMMYFUNCTION("""COMPUTED_VALUE"""),61.0)</f>
        <v>61</v>
      </c>
      <c r="H253" s="1174" t="b">
        <f>IFERROR(__xludf.DUMMYFUNCTION("""COMPUTED_VALUE"""),FALSE)</f>
        <v>0</v>
      </c>
      <c r="I253" s="1174" t="str">
        <f>IFERROR(__xludf.DUMMYFUNCTION("""COMPUTED_VALUE"""),"MAYO")</f>
        <v>MAYO</v>
      </c>
      <c r="J253" s="1177">
        <f>IFERROR(__xludf.DUMMYFUNCTION("""COMPUTED_VALUE"""),6499.0)</f>
        <v>6499</v>
      </c>
    </row>
    <row r="254">
      <c r="A254" s="1175">
        <f>IFERROR(__xludf.DUMMYFUNCTION("""COMPUTED_VALUE"""),46136.0)</f>
        <v>46136</v>
      </c>
      <c r="B254" s="1174" t="str">
        <f>IFERROR(__xludf.DUMMYFUNCTION("""COMPUTED_VALUE"""),"ke-as-10001320213")</f>
        <v>ke-as-10001320213</v>
      </c>
      <c r="C254" s="1174" t="str">
        <f>IFERROR(__xludf.DUMMYFUNCTION("""COMPUTED_VALUE"""),"ABRIL")</f>
        <v>ABRIL</v>
      </c>
      <c r="D254" s="1174" t="b">
        <f>IFERROR(__xludf.DUMMYFUNCTION("""COMPUTED_VALUE"""),TRUE)</f>
        <v>1</v>
      </c>
      <c r="E254" s="1174" t="str">
        <f>IFERROR(__xludf.DUMMYFUNCTION("""COMPUTED_VALUE"""),"Laptop")</f>
        <v>Laptop</v>
      </c>
      <c r="F254" s="1176">
        <f>IFERROR(__xludf.DUMMYFUNCTION("""COMPUTED_VALUE"""),1399.99)</f>
        <v>1399.99</v>
      </c>
      <c r="G254" s="1177">
        <f>IFERROR(__xludf.DUMMYFUNCTION("""COMPUTED_VALUE"""),17.0)</f>
        <v>17</v>
      </c>
      <c r="H254" s="1174" t="b">
        <f>IFERROR(__xludf.DUMMYFUNCTION("""COMPUTED_VALUE"""),FALSE)</f>
        <v>0</v>
      </c>
      <c r="I254" s="1174" t="str">
        <f>IFERROR(__xludf.DUMMYFUNCTION("""COMPUTED_VALUE"""),"MAYO")</f>
        <v>MAYO</v>
      </c>
      <c r="J254" s="1177">
        <f>IFERROR(__xludf.DUMMYFUNCTION("""COMPUTED_VALUE"""),6260.0)</f>
        <v>6260</v>
      </c>
    </row>
    <row r="255">
      <c r="A255" s="1175">
        <f>IFERROR(__xludf.DUMMYFUNCTION("""COMPUTED_VALUE"""),46137.0)</f>
        <v>46137</v>
      </c>
      <c r="B255" s="1174" t="str">
        <f>IFERROR(__xludf.DUMMYFUNCTION("""COMPUTED_VALUE"""),"li-mi-260426")</f>
        <v>li-mi-260426</v>
      </c>
      <c r="C255" s="1174" t="str">
        <f>IFERROR(__xludf.DUMMYFUNCTION("""COMPUTED_VALUE"""),"MAYO")</f>
        <v>MAYO</v>
      </c>
      <c r="D255" s="1174" t="b">
        <f>IFERROR(__xludf.DUMMYFUNCTION("""COMPUTED_VALUE"""),TRUE)</f>
        <v>1</v>
      </c>
      <c r="E255" s="1174" t="str">
        <f>IFERROR(__xludf.DUMMYFUNCTION("""COMPUTED_VALUE"""),"Laptop")</f>
        <v>Laptop</v>
      </c>
      <c r="F255" s="1176">
        <f>IFERROR(__xludf.DUMMYFUNCTION("""COMPUTED_VALUE"""),1999.99)</f>
        <v>1999.99</v>
      </c>
      <c r="G255" s="1177">
        <f>IFERROR(__xludf.DUMMYFUNCTION("""COMPUTED_VALUE"""),-3.410605131648481E-13)</f>
        <v>0</v>
      </c>
      <c r="H255" s="1174" t="b">
        <f>IFERROR(__xludf.DUMMYFUNCTION("""COMPUTED_VALUE"""),FALSE)</f>
        <v>0</v>
      </c>
      <c r="I255" s="1174" t="str">
        <f>IFERROR(__xludf.DUMMYFUNCTION("""COMPUTED_VALUE"""),"JUNIO")</f>
        <v>JUNIO</v>
      </c>
      <c r="J255" s="1177">
        <f>IFERROR(__xludf.DUMMYFUNCTION("""COMPUTED_VALUE"""),9499.0)</f>
        <v>9499</v>
      </c>
    </row>
    <row r="256">
      <c r="A256" s="1175">
        <f>IFERROR(__xludf.DUMMYFUNCTION("""COMPUTED_VALUE"""),46140.0)</f>
        <v>46140</v>
      </c>
      <c r="B256" s="1174" t="str">
        <f>IFERROR(__xludf.DUMMYFUNCTION("""COMPUTED_VALUE"""),"ke-as-10001323273")</f>
        <v>ke-as-10001323273</v>
      </c>
      <c r="C256" s="1174" t="str">
        <f>IFERROR(__xludf.DUMMYFUNCTION("""COMPUTED_VALUE"""),"MAYO")</f>
        <v>MAYO</v>
      </c>
      <c r="D256" s="1174" t="b">
        <f>IFERROR(__xludf.DUMMYFUNCTION("""COMPUTED_VALUE"""),TRUE)</f>
        <v>1</v>
      </c>
      <c r="E256" s="1174" t="str">
        <f>IFERROR(__xludf.DUMMYFUNCTION("""COMPUTED_VALUE"""),"Laptop")</f>
        <v>Laptop</v>
      </c>
      <c r="F256" s="1176">
        <f>IFERROR(__xludf.DUMMYFUNCTION("""COMPUTED_VALUE"""),1399.99)</f>
        <v>1399.99</v>
      </c>
      <c r="G256" s="1177">
        <f>IFERROR(__xludf.DUMMYFUNCTION("""COMPUTED_VALUE"""),161.0)</f>
        <v>161</v>
      </c>
      <c r="H256" s="1174" t="b">
        <f>IFERROR(__xludf.DUMMYFUNCTION("""COMPUTED_VALUE"""),FALSE)</f>
        <v>0</v>
      </c>
      <c r="I256" s="1174" t="str">
        <f>IFERROR(__xludf.DUMMYFUNCTION("""COMPUTED_VALUE"""),"JUNIO")</f>
        <v>JUNIO</v>
      </c>
      <c r="J256" s="1177">
        <f>IFERROR(__xludf.DUMMYFUNCTION("""COMPUTED_VALUE"""),6499.0)</f>
        <v>6499</v>
      </c>
    </row>
    <row r="257">
      <c r="A257" s="1175">
        <f>IFERROR(__xludf.DUMMYFUNCTION("""COMPUTED_VALUE"""),46140.0)</f>
        <v>46140</v>
      </c>
      <c r="B257" s="1174" t="str">
        <f>IFERROR(__xludf.DUMMYFUNCTION("""COMPUTED_VALUE"""),"li-mi-290426")</f>
        <v>li-mi-290426</v>
      </c>
      <c r="C257" s="1174" t="str">
        <f>IFERROR(__xludf.DUMMYFUNCTION("""COMPUTED_VALUE"""),"MAYO")</f>
        <v>MAYO</v>
      </c>
      <c r="D257" s="1174" t="b">
        <f>IFERROR(__xludf.DUMMYFUNCTION("""COMPUTED_VALUE"""),TRUE)</f>
        <v>1</v>
      </c>
      <c r="E257" s="1174" t="str">
        <f>IFERROR(__xludf.DUMMYFUNCTION("""COMPUTED_VALUE"""),"Laptop")</f>
        <v>Laptop</v>
      </c>
      <c r="F257" s="1176">
        <f>IFERROR(__xludf.DUMMYFUNCTION("""COMPUTED_VALUE"""),2199.99)</f>
        <v>2199.99</v>
      </c>
      <c r="G257" s="1177">
        <f>IFERROR(__xludf.DUMMYFUNCTION("""COMPUTED_VALUE"""),100.78000000000065)</f>
        <v>100.78</v>
      </c>
      <c r="H257" s="1174" t="b">
        <f>IFERROR(__xludf.DUMMYFUNCTION("""COMPUTED_VALUE"""),FALSE)</f>
        <v>0</v>
      </c>
      <c r="I257" s="1174"/>
      <c r="J257" s="1177">
        <f>IFERROR(__xludf.DUMMYFUNCTION("""COMPUTED_VALUE"""),10192.0)</f>
        <v>10192</v>
      </c>
    </row>
    <row r="258">
      <c r="A258" s="1175">
        <f>IFERROR(__xludf.DUMMYFUNCTION("""COMPUTED_VALUE"""),46141.0)</f>
        <v>46141</v>
      </c>
      <c r="B258" s="1174" t="str">
        <f>IFERROR(__xludf.DUMMYFUNCTION("""COMPUTED_VALUE"""),"li-mi-2-300426")</f>
        <v>li-mi-2-300426</v>
      </c>
      <c r="C258" s="1174" t="str">
        <f>IFERROR(__xludf.DUMMYFUNCTION("""COMPUTED_VALUE"""),"MAYO")</f>
        <v>MAYO</v>
      </c>
      <c r="D258" s="1174" t="b">
        <f>IFERROR(__xludf.DUMMYFUNCTION("""COMPUTED_VALUE"""),TRUE)</f>
        <v>1</v>
      </c>
      <c r="E258" s="1174" t="str">
        <f>IFERROR(__xludf.DUMMYFUNCTION("""COMPUTED_VALUE"""),"Laptop")</f>
        <v>Laptop</v>
      </c>
      <c r="F258" s="1176">
        <f>IFERROR(__xludf.DUMMYFUNCTION("""COMPUTED_VALUE"""),1899.99)</f>
        <v>1899.99</v>
      </c>
      <c r="G258" s="1177">
        <f>IFERROR(__xludf.DUMMYFUNCTION("""COMPUTED_VALUE"""),9.979999999999563)</f>
        <v>9.98</v>
      </c>
      <c r="H258" s="1174" t="b">
        <f>IFERROR(__xludf.DUMMYFUNCTION("""COMPUTED_VALUE"""),FALSE)</f>
        <v>0</v>
      </c>
      <c r="I258" s="1174" t="str">
        <f>IFERROR(__xludf.DUMMYFUNCTION("""COMPUTED_VALUE"""),"JUNIO")</f>
        <v>JUNIO</v>
      </c>
      <c r="J258" s="1177">
        <f>IFERROR(__xludf.DUMMYFUNCTION("""COMPUTED_VALUE"""),9059.0)</f>
        <v>9059</v>
      </c>
    </row>
    <row r="259">
      <c r="A259" s="1175">
        <f>IFERROR(__xludf.DUMMYFUNCTION("""COMPUTED_VALUE"""),46144.0)</f>
        <v>46144</v>
      </c>
      <c r="B259" s="1174" t="str">
        <f>IFERROR(__xludf.DUMMYFUNCTION("""COMPUTED_VALUE"""),"ke-as-10001325298")</f>
        <v>ke-as-10001325298</v>
      </c>
      <c r="C259" s="1174" t="str">
        <f>IFERROR(__xludf.DUMMYFUNCTION("""COMPUTED_VALUE"""),"MAYO")</f>
        <v>MAYO</v>
      </c>
      <c r="D259" s="1174" t="b">
        <f>IFERROR(__xludf.DUMMYFUNCTION("""COMPUTED_VALUE"""),TRUE)</f>
        <v>1</v>
      </c>
      <c r="E259" s="1174" t="str">
        <f>IFERROR(__xludf.DUMMYFUNCTION("""COMPUTED_VALUE"""),"Laptop")</f>
        <v>Laptop</v>
      </c>
      <c r="F259" s="1176">
        <f>IFERROR(__xludf.DUMMYFUNCTION("""COMPUTED_VALUE"""),1399.99)</f>
        <v>1399.99</v>
      </c>
      <c r="G259" s="1177">
        <f>IFERROR(__xludf.DUMMYFUNCTION("""COMPUTED_VALUE"""),24.0)</f>
        <v>24</v>
      </c>
      <c r="H259" s="1174" t="b">
        <f>IFERROR(__xludf.DUMMYFUNCTION("""COMPUTED_VALUE"""),FALSE)</f>
        <v>0</v>
      </c>
      <c r="I259" s="1174" t="str">
        <f>IFERROR(__xludf.DUMMYFUNCTION("""COMPUTED_VALUE"""),"JUNIO")</f>
        <v>JUNIO</v>
      </c>
      <c r="J259" s="1177">
        <f>IFERROR(__xludf.DUMMYFUNCTION("""COMPUTED_VALUE"""),6345.0)</f>
        <v>6345</v>
      </c>
    </row>
    <row r="260">
      <c r="A260" s="1175">
        <f>IFERROR(__xludf.DUMMYFUNCTION("""COMPUTED_VALUE"""),46156.0)</f>
        <v>46156</v>
      </c>
      <c r="B260" s="1174" t="str">
        <f>IFERROR(__xludf.DUMMYFUNCTION("""COMPUTED_VALUE"""),"ke-eb-16-14630-33012")</f>
        <v>ke-eb-16-14630-33012</v>
      </c>
      <c r="C260" s="1174" t="str">
        <f>IFERROR(__xludf.DUMMYFUNCTION("""COMPUTED_VALUE"""),"MAYO")</f>
        <v>MAYO</v>
      </c>
      <c r="D260" s="1174" t="b">
        <f>IFERROR(__xludf.DUMMYFUNCTION("""COMPUTED_VALUE"""),TRUE)</f>
        <v>1</v>
      </c>
      <c r="E260" s="1174" t="str">
        <f>IFERROR(__xludf.DUMMYFUNCTION("""COMPUTED_VALUE"""),"Laptop")</f>
        <v>Laptop</v>
      </c>
      <c r="F260" s="1176">
        <f>IFERROR(__xludf.DUMMYFUNCTION("""COMPUTED_VALUE"""),1774.99)</f>
        <v>1774.99</v>
      </c>
      <c r="G260" s="1177">
        <f>IFERROR(__xludf.DUMMYFUNCTION("""COMPUTED_VALUE"""),63.01000000000022)</f>
        <v>63.01</v>
      </c>
      <c r="H260" s="1174" t="b">
        <f>IFERROR(__xludf.DUMMYFUNCTION("""COMPUTED_VALUE"""),FALSE)</f>
        <v>0</v>
      </c>
      <c r="I260" s="1174" t="str">
        <f>IFERROR(__xludf.DUMMYFUNCTION("""COMPUTED_VALUE"""),"JUNIO")</f>
        <v>JUNIO</v>
      </c>
      <c r="J260" s="1177">
        <f>IFERROR(__xludf.DUMMYFUNCTION("""COMPUTED_VALUE"""),7900.0)</f>
        <v>7900</v>
      </c>
    </row>
    <row r="261">
      <c r="A261" s="1175">
        <f>IFERROR(__xludf.DUMMYFUNCTION("""COMPUTED_VALUE"""),46157.0)</f>
        <v>46157</v>
      </c>
      <c r="B261" s="1174" t="str">
        <f>IFERROR(__xludf.DUMMYFUNCTION("""COMPUTED_VALUE"""),"ga-co-1269943421")</f>
        <v>ga-co-1269943421</v>
      </c>
      <c r="C261" s="1174" t="str">
        <f>IFERROR(__xludf.DUMMYFUNCTION("""COMPUTED_VALUE"""),"MAYO")</f>
        <v>MAYO</v>
      </c>
      <c r="D261" s="1174" t="b">
        <f>IFERROR(__xludf.DUMMYFUNCTION("""COMPUTED_VALUE"""),TRUE)</f>
        <v>1</v>
      </c>
      <c r="E261" s="1174" t="str">
        <f>IFERROR(__xludf.DUMMYFUNCTION("""COMPUTED_VALUE"""),"Laptop")</f>
        <v>Laptop</v>
      </c>
      <c r="F261" s="1176"/>
      <c r="G261" s="1177">
        <f>IFERROR(__xludf.DUMMYFUNCTION("""COMPUTED_VALUE"""),0.0)</f>
        <v>0</v>
      </c>
      <c r="H261" s="1174" t="b">
        <f>IFERROR(__xludf.DUMMYFUNCTION("""COMPUTED_VALUE"""),TRUE)</f>
        <v>1</v>
      </c>
      <c r="I261" s="1174" t="str">
        <f>IFERROR(__xludf.DUMMYFUNCTION("""COMPUTED_VALUE"""),"MAYO")</f>
        <v>MAYO</v>
      </c>
      <c r="J261" s="1177">
        <f>IFERROR(__xludf.DUMMYFUNCTION("""COMPUTED_VALUE"""),7199.0)</f>
        <v>7199</v>
      </c>
    </row>
    <row r="262">
      <c r="A262" s="1175">
        <f>IFERROR(__xludf.DUMMYFUNCTION("""COMPUTED_VALUE"""),46157.0)</f>
        <v>46157</v>
      </c>
      <c r="B262" s="1174" t="str">
        <f>IFERROR(__xludf.DUMMYFUNCTION("""COMPUTED_VALUE"""),"re-eb-07-14651-19868")</f>
        <v>re-eb-07-14651-19868</v>
      </c>
      <c r="C262" s="1174" t="str">
        <f>IFERROR(__xludf.DUMMYFUNCTION("""COMPUTED_VALUE"""),"MAYO")</f>
        <v>MAYO</v>
      </c>
      <c r="D262" s="1174" t="b">
        <f>IFERROR(__xludf.DUMMYFUNCTION("""COMPUTED_VALUE"""),TRUE)</f>
        <v>1</v>
      </c>
      <c r="E262" s="1174" t="str">
        <f>IFERROR(__xludf.DUMMYFUNCTION("""COMPUTED_VALUE"""),"Laptop")</f>
        <v>Laptop</v>
      </c>
      <c r="F262" s="1176">
        <f>IFERROR(__xludf.DUMMYFUNCTION("""COMPUTED_VALUE"""),1499.99)</f>
        <v>1499.99</v>
      </c>
      <c r="G262" s="1177">
        <f>IFERROR(__xludf.DUMMYFUNCTION("""COMPUTED_VALUE"""),132.27999999999975)</f>
        <v>132.28</v>
      </c>
      <c r="H262" s="1174" t="b">
        <f>IFERROR(__xludf.DUMMYFUNCTION("""COMPUTED_VALUE"""),FALSE)</f>
        <v>0</v>
      </c>
      <c r="I262" s="1174" t="str">
        <f>IFERROR(__xludf.DUMMYFUNCTION("""COMPUTED_VALUE"""),"JUNIO")</f>
        <v>JUNIO</v>
      </c>
      <c r="J262" s="1177">
        <f>IFERROR(__xludf.DUMMYFUNCTION("""COMPUTED_VALUE"""),7199.0)</f>
        <v>7199</v>
      </c>
    </row>
    <row r="263">
      <c r="A263" s="1175">
        <f>IFERROR(__xludf.DUMMYFUNCTION("""COMPUTED_VALUE"""),46158.0)</f>
        <v>46158</v>
      </c>
      <c r="B263" s="1174" t="str">
        <f>IFERROR(__xludf.DUMMYFUNCTION("""COMPUTED_VALUE"""),"ke-eb-02-14513-26182")</f>
        <v>ke-eb-02-14513-26182</v>
      </c>
      <c r="C263" s="1174" t="str">
        <f>IFERROR(__xludf.DUMMYFUNCTION("""COMPUTED_VALUE"""),"MAYO")</f>
        <v>MAYO</v>
      </c>
      <c r="D263" s="1174" t="b">
        <f>IFERROR(__xludf.DUMMYFUNCTION("""COMPUTED_VALUE"""),TRUE)</f>
        <v>1</v>
      </c>
      <c r="E263" s="1174" t="str">
        <f>IFERROR(__xludf.DUMMYFUNCTION("""COMPUTED_VALUE"""),"Laptop")</f>
        <v>Laptop</v>
      </c>
      <c r="F263" s="1176">
        <f>IFERROR(__xludf.DUMMYFUNCTION("""COMPUTED_VALUE"""),1649.99)</f>
        <v>1649.99</v>
      </c>
      <c r="G263" s="1177">
        <f>IFERROR(__xludf.DUMMYFUNCTION("""COMPUTED_VALUE"""),9.0)</f>
        <v>9</v>
      </c>
      <c r="H263" s="1174" t="b">
        <f>IFERROR(__xludf.DUMMYFUNCTION("""COMPUTED_VALUE"""),FALSE)</f>
        <v>0</v>
      </c>
      <c r="I263" s="1174" t="str">
        <f>IFERROR(__xludf.DUMMYFUNCTION("""COMPUTED_VALUE"""),"MAYO")</f>
        <v>MAYO</v>
      </c>
      <c r="J263" s="1177">
        <f>IFERROR(__xludf.DUMMYFUNCTION("""COMPUTED_VALUE"""),7299.0)</f>
        <v>7299</v>
      </c>
    </row>
    <row r="264">
      <c r="A264" s="1175">
        <f>IFERROR(__xludf.DUMMYFUNCTION("""COMPUTED_VALUE"""),46162.0)</f>
        <v>46162</v>
      </c>
      <c r="B264" s="1174" t="str">
        <f>IFERROR(__xludf.DUMMYFUNCTION("""COMPUTED_VALUE"""),"yo-am-114-9756642-4981065")</f>
        <v>yo-am-114-9756642-4981065</v>
      </c>
      <c r="C264" s="1174" t="str">
        <f>IFERROR(__xludf.DUMMYFUNCTION("""COMPUTED_VALUE"""),"JUNIO")</f>
        <v>JUNIO</v>
      </c>
      <c r="D264" s="1174" t="b">
        <f>IFERROR(__xludf.DUMMYFUNCTION("""COMPUTED_VALUE"""),TRUE)</f>
        <v>1</v>
      </c>
      <c r="E264" s="1174" t="str">
        <f>IFERROR(__xludf.DUMMYFUNCTION("""COMPUTED_VALUE"""),"Laptop")</f>
        <v>Laptop</v>
      </c>
      <c r="F264" s="1176">
        <f>IFERROR(__xludf.DUMMYFUNCTION("""COMPUTED_VALUE"""),2649.0)</f>
        <v>2649</v>
      </c>
      <c r="G264" s="1177">
        <f>IFERROR(__xludf.DUMMYFUNCTION("""COMPUTED_VALUE"""),188.0)</f>
        <v>188</v>
      </c>
      <c r="H264" s="1174" t="b">
        <f>IFERROR(__xludf.DUMMYFUNCTION("""COMPUTED_VALUE"""),FALSE)</f>
        <v>0</v>
      </c>
      <c r="I264" s="1174"/>
      <c r="J264" s="1177">
        <f>IFERROR(__xludf.DUMMYFUNCTION("""COMPUTED_VALUE"""),11299.0)</f>
        <v>11299</v>
      </c>
    </row>
    <row r="265">
      <c r="A265" s="1175">
        <f>IFERROR(__xludf.DUMMYFUNCTION("""COMPUTED_VALUE"""),46162.0)</f>
        <v>46162</v>
      </c>
      <c r="B265" s="1174" t="str">
        <f>IFERROR(__xludf.DUMMYFUNCTION("""COMPUTED_VALUE"""),"ke-as-10001336581")</f>
        <v>ke-as-10001336581</v>
      </c>
      <c r="C265" s="1174" t="str">
        <f>IFERROR(__xludf.DUMMYFUNCTION("""COMPUTED_VALUE"""),"MAYO")</f>
        <v>MAYO</v>
      </c>
      <c r="D265" s="1174" t="b">
        <f>IFERROR(__xludf.DUMMYFUNCTION("""COMPUTED_VALUE"""),TRUE)</f>
        <v>1</v>
      </c>
      <c r="E265" s="1174" t="str">
        <f>IFERROR(__xludf.DUMMYFUNCTION("""COMPUTED_VALUE"""),"Laptop")</f>
        <v>Laptop</v>
      </c>
      <c r="F265" s="1176">
        <f>IFERROR(__xludf.DUMMYFUNCTION("""COMPUTED_VALUE"""),999.99)</f>
        <v>999.99</v>
      </c>
      <c r="G265" s="1177">
        <f>IFERROR(__xludf.DUMMYFUNCTION("""COMPUTED_VALUE"""),3.0)</f>
        <v>3</v>
      </c>
      <c r="H265" s="1174" t="b">
        <f>IFERROR(__xludf.DUMMYFUNCTION("""COMPUTED_VALUE"""),FALSE)</f>
        <v>0</v>
      </c>
      <c r="I265" s="1174" t="str">
        <f>IFERROR(__xludf.DUMMYFUNCTION("""COMPUTED_VALUE"""),"JUNIO")</f>
        <v>JUNIO</v>
      </c>
      <c r="J265" s="1177">
        <f>IFERROR(__xludf.DUMMYFUNCTION("""COMPUTED_VALUE"""),4899.0)</f>
        <v>4899</v>
      </c>
    </row>
    <row r="266">
      <c r="A266" s="1175">
        <f>IFERROR(__xludf.DUMMYFUNCTION("""COMPUTED_VALUE"""),46163.0)</f>
        <v>46163</v>
      </c>
      <c r="B266" s="1174" t="str">
        <f>IFERROR(__xludf.DUMMYFUNCTION("""COMPUTED_VALUE"""),"ga-co-1291552524")</f>
        <v>ga-co-1291552524</v>
      </c>
      <c r="C266" s="1174" t="str">
        <f>IFERROR(__xludf.DUMMYFUNCTION("""COMPUTED_VALUE"""),"JUNIO")</f>
        <v>JUNIO</v>
      </c>
      <c r="D266" s="1174" t="b">
        <f>IFERROR(__xludf.DUMMYFUNCTION("""COMPUTED_VALUE"""),TRUE)</f>
        <v>1</v>
      </c>
      <c r="E266" s="1174" t="str">
        <f>IFERROR(__xludf.DUMMYFUNCTION("""COMPUTED_VALUE"""),"Laptop")</f>
        <v>Laptop</v>
      </c>
      <c r="F266" s="1176">
        <f>IFERROR(__xludf.DUMMYFUNCTION("""COMPUTED_VALUE"""),1699.99)</f>
        <v>1699.99</v>
      </c>
      <c r="G266" s="1177">
        <f>IFERROR(__xludf.DUMMYFUNCTION("""COMPUTED_VALUE"""),268.96000000000004)</f>
        <v>268.96</v>
      </c>
      <c r="H266" s="1174" t="b">
        <f>IFERROR(__xludf.DUMMYFUNCTION("""COMPUTED_VALUE"""),FALSE)</f>
        <v>0</v>
      </c>
      <c r="I266" s="1174"/>
      <c r="J266" s="1177">
        <f>IFERROR(__xludf.DUMMYFUNCTION("""COMPUTED_VALUE"""),8299.0)</f>
        <v>8299</v>
      </c>
    </row>
    <row r="267">
      <c r="A267" s="1175">
        <f>IFERROR(__xludf.DUMMYFUNCTION("""COMPUTED_VALUE"""),46163.0)</f>
        <v>46163</v>
      </c>
      <c r="B267" s="1174" t="str">
        <f>IFERROR(__xludf.DUMMYFUNCTION("""COMPUTED_VALUE"""),"li-mi-160626")</f>
        <v>li-mi-160626</v>
      </c>
      <c r="C267" s="1174" t="str">
        <f>IFERROR(__xludf.DUMMYFUNCTION("""COMPUTED_VALUE"""),"JUNIO")</f>
        <v>JUNIO</v>
      </c>
      <c r="D267" s="1174" t="b">
        <f>IFERROR(__xludf.DUMMYFUNCTION("""COMPUTED_VALUE"""),TRUE)</f>
        <v>1</v>
      </c>
      <c r="E267" s="1174" t="str">
        <f>IFERROR(__xludf.DUMMYFUNCTION("""COMPUTED_VALUE"""),"Laptop")</f>
        <v>Laptop</v>
      </c>
      <c r="F267" s="1176">
        <f>IFERROR(__xludf.DUMMYFUNCTION("""COMPUTED_VALUE"""),1899.99)</f>
        <v>1899.99</v>
      </c>
      <c r="G267" s="1177">
        <f>IFERROR(__xludf.DUMMYFUNCTION("""COMPUTED_VALUE"""),-353.9200000000001)</f>
        <v>-353.92</v>
      </c>
      <c r="H267" s="1174" t="b">
        <f>IFERROR(__xludf.DUMMYFUNCTION("""COMPUTED_VALUE"""),FALSE)</f>
        <v>0</v>
      </c>
      <c r="I267" s="1174"/>
      <c r="J267" s="1177">
        <f>IFERROR(__xludf.DUMMYFUNCTION("""COMPUTED_VALUE"""),8299.0)</f>
        <v>8299</v>
      </c>
    </row>
    <row r="268">
      <c r="A268" s="1175">
        <f>IFERROR(__xludf.DUMMYFUNCTION("""COMPUTED_VALUE"""),46168.0)</f>
        <v>46168</v>
      </c>
      <c r="B268" s="1174" t="str">
        <f>IFERROR(__xludf.DUMMYFUNCTION("""COMPUTED_VALUE"""),"yo-eb-11-14562-03691")</f>
        <v>yo-eb-11-14562-03691</v>
      </c>
      <c r="C268" s="1174" t="str">
        <f>IFERROR(__xludf.DUMMYFUNCTION("""COMPUTED_VALUE"""),"JUNIO")</f>
        <v>JUNIO</v>
      </c>
      <c r="D268" s="1174" t="b">
        <f>IFERROR(__xludf.DUMMYFUNCTION("""COMPUTED_VALUE"""),TRUE)</f>
        <v>1</v>
      </c>
      <c r="E268" s="1174" t="str">
        <f>IFERROR(__xludf.DUMMYFUNCTION("""COMPUTED_VALUE"""),"Laptop")</f>
        <v>Laptop</v>
      </c>
      <c r="F268" s="1176">
        <f>IFERROR(__xludf.DUMMYFUNCTION("""COMPUTED_VALUE"""),1299.99)</f>
        <v>1299.99</v>
      </c>
      <c r="G268" s="1177">
        <f>IFERROR(__xludf.DUMMYFUNCTION("""COMPUTED_VALUE"""),48.0)</f>
        <v>48</v>
      </c>
      <c r="H268" s="1174" t="b">
        <f>IFERROR(__xludf.DUMMYFUNCTION("""COMPUTED_VALUE"""),FALSE)</f>
        <v>0</v>
      </c>
      <c r="I268" s="1174" t="str">
        <f>IFERROR(__xludf.DUMMYFUNCTION("""COMPUTED_VALUE"""),"JUNIO")</f>
        <v>JUNIO</v>
      </c>
      <c r="J268" s="1177">
        <f>IFERROR(__xludf.DUMMYFUNCTION("""COMPUTED_VALUE"""),6099.0)</f>
        <v>6099</v>
      </c>
    </row>
    <row r="269">
      <c r="A269" s="1175">
        <f>IFERROR(__xludf.DUMMYFUNCTION("""COMPUTED_VALUE"""),46169.0)</f>
        <v>46169</v>
      </c>
      <c r="B269" s="1174" t="str">
        <f>IFERROR(__xludf.DUMMYFUNCTION("""COMPUTED_VALUE"""),"ke-ms-554166")</f>
        <v>ke-ms-554166</v>
      </c>
      <c r="C269" s="1174" t="str">
        <f>IFERROR(__xludf.DUMMYFUNCTION("""COMPUTED_VALUE"""),"JUNIO")</f>
        <v>JUNIO</v>
      </c>
      <c r="D269" s="1174" t="b">
        <f>IFERROR(__xludf.DUMMYFUNCTION("""COMPUTED_VALUE"""),TRUE)</f>
        <v>1</v>
      </c>
      <c r="E269" s="1174" t="str">
        <f>IFERROR(__xludf.DUMMYFUNCTION("""COMPUTED_VALUE"""),"Laptop")</f>
        <v>Laptop</v>
      </c>
      <c r="F269" s="1176">
        <f>IFERROR(__xludf.DUMMYFUNCTION("""COMPUTED_VALUE"""),2399.0)</f>
        <v>2399</v>
      </c>
      <c r="G269" s="1177">
        <f>IFERROR(__xludf.DUMMYFUNCTION("""COMPUTED_VALUE"""),114.0)</f>
        <v>114</v>
      </c>
      <c r="H269" s="1174" t="b">
        <f>IFERROR(__xludf.DUMMYFUNCTION("""COMPUTED_VALUE"""),FALSE)</f>
        <v>0</v>
      </c>
      <c r="I269" s="1174"/>
      <c r="J269" s="1177">
        <f>IFERROR(__xludf.DUMMYFUNCTION("""COMPUTED_VALUE"""),10399.0)</f>
        <v>10399</v>
      </c>
    </row>
    <row r="270">
      <c r="A270" s="1175">
        <f>IFERROR(__xludf.DUMMYFUNCTION("""COMPUTED_VALUE"""),46169.0)</f>
        <v>46169</v>
      </c>
      <c r="B270" s="1174" t="str">
        <f>IFERROR(__xludf.DUMMYFUNCTION("""COMPUTED_VALUE"""),"ke-eb-01-14710-09109")</f>
        <v>ke-eb-01-14710-09109</v>
      </c>
      <c r="C270" s="1174" t="str">
        <f>IFERROR(__xludf.DUMMYFUNCTION("""COMPUTED_VALUE"""),"JUNIO")</f>
        <v>JUNIO</v>
      </c>
      <c r="D270" s="1174" t="b">
        <f>IFERROR(__xludf.DUMMYFUNCTION("""COMPUTED_VALUE"""),TRUE)</f>
        <v>1</v>
      </c>
      <c r="E270" s="1174" t="str">
        <f>IFERROR(__xludf.DUMMYFUNCTION("""COMPUTED_VALUE"""),"Laptop")</f>
        <v>Laptop</v>
      </c>
      <c r="F270" s="1176">
        <f>IFERROR(__xludf.DUMMYFUNCTION("""COMPUTED_VALUE"""),2629.99)</f>
        <v>2629.99</v>
      </c>
      <c r="G270" s="1177">
        <f>IFERROR(__xludf.DUMMYFUNCTION("""COMPUTED_VALUE"""),22.0)</f>
        <v>22</v>
      </c>
      <c r="H270" s="1174" t="b">
        <f>IFERROR(__xludf.DUMMYFUNCTION("""COMPUTED_VALUE"""),FALSE)</f>
        <v>0</v>
      </c>
      <c r="I270" s="1174" t="str">
        <f>IFERROR(__xludf.DUMMYFUNCTION("""COMPUTED_VALUE"""),"JUNIO")</f>
        <v>JUNIO</v>
      </c>
      <c r="J270" s="1177">
        <f>IFERROR(__xludf.DUMMYFUNCTION("""COMPUTED_VALUE"""),11299.0)</f>
        <v>11299</v>
      </c>
    </row>
    <row r="271">
      <c r="A271" s="1175">
        <f>IFERROR(__xludf.DUMMYFUNCTION("""COMPUTED_VALUE"""),46170.0)</f>
        <v>46170</v>
      </c>
      <c r="B271" s="1174" t="str">
        <f>IFERROR(__xludf.DUMMYFUNCTION("""COMPUTED_VALUE"""),"yo-eb-16-14597-68582")</f>
        <v>yo-eb-16-14597-68582</v>
      </c>
      <c r="C271" s="1174" t="str">
        <f>IFERROR(__xludf.DUMMYFUNCTION("""COMPUTED_VALUE"""),"JUNIO")</f>
        <v>JUNIO</v>
      </c>
      <c r="D271" s="1174" t="b">
        <f>IFERROR(__xludf.DUMMYFUNCTION("""COMPUTED_VALUE"""),TRUE)</f>
        <v>1</v>
      </c>
      <c r="E271" s="1174" t="str">
        <f>IFERROR(__xludf.DUMMYFUNCTION("""COMPUTED_VALUE"""),"Laptop")</f>
        <v>Laptop</v>
      </c>
      <c r="F271" s="1176">
        <f>IFERROR(__xludf.DUMMYFUNCTION("""COMPUTED_VALUE"""),1299.99)</f>
        <v>1299.99</v>
      </c>
      <c r="G271" s="1177">
        <f>IFERROR(__xludf.DUMMYFUNCTION("""COMPUTED_VALUE"""),86.0)</f>
        <v>86</v>
      </c>
      <c r="H271" s="1174" t="b">
        <f>IFERROR(__xludf.DUMMYFUNCTION("""COMPUTED_VALUE"""),FALSE)</f>
        <v>0</v>
      </c>
      <c r="I271" s="1174" t="str">
        <f>IFERROR(__xludf.DUMMYFUNCTION("""COMPUTED_VALUE"""),"JUNIO")</f>
        <v>JUNIO</v>
      </c>
      <c r="J271" s="1177">
        <f>IFERROR(__xludf.DUMMYFUNCTION("""COMPUTED_VALUE"""),6099.0)</f>
        <v>6099</v>
      </c>
    </row>
    <row r="272">
      <c r="A272" s="1175">
        <f>IFERROR(__xludf.DUMMYFUNCTION("""COMPUTED_VALUE"""),46171.0)</f>
        <v>46171</v>
      </c>
      <c r="B272" s="1174" t="str">
        <f>IFERROR(__xludf.DUMMYFUNCTION("""COMPUTED_VALUE"""),"yo-eb-16-13756-26357")</f>
        <v>yo-eb-16-13756-26357</v>
      </c>
      <c r="C272" s="1174" t="str">
        <f>IFERROR(__xludf.DUMMYFUNCTION("""COMPUTED_VALUE"""),"JUNIO")</f>
        <v>JUNIO</v>
      </c>
      <c r="D272" s="1174" t="b">
        <f>IFERROR(__xludf.DUMMYFUNCTION("""COMPUTED_VALUE"""),TRUE)</f>
        <v>1</v>
      </c>
      <c r="E272" s="1174" t="str">
        <f>IFERROR(__xludf.DUMMYFUNCTION("""COMPUTED_VALUE"""),"Laptop")</f>
        <v>Laptop</v>
      </c>
      <c r="F272" s="1176">
        <f>IFERROR(__xludf.DUMMYFUNCTION("""COMPUTED_VALUE"""),1299.99)</f>
        <v>1299.99</v>
      </c>
      <c r="G272" s="1177">
        <f>IFERROR(__xludf.DUMMYFUNCTION("""COMPUTED_VALUE"""),2.0)</f>
        <v>2</v>
      </c>
      <c r="H272" s="1174" t="b">
        <f>IFERROR(__xludf.DUMMYFUNCTION("""COMPUTED_VALUE"""),FALSE)</f>
        <v>0</v>
      </c>
      <c r="I272" s="1174" t="str">
        <f>IFERROR(__xludf.DUMMYFUNCTION("""COMPUTED_VALUE"""),"JUNIO")</f>
        <v>JUNIO</v>
      </c>
      <c r="J272" s="1177">
        <f>IFERROR(__xludf.DUMMYFUNCTION("""COMPUTED_VALUE"""),5854.0)</f>
        <v>5854</v>
      </c>
    </row>
    <row r="273">
      <c r="A273" s="1175">
        <f>IFERROR(__xludf.DUMMYFUNCTION("""COMPUTED_VALUE"""),46172.0)</f>
        <v>46172</v>
      </c>
      <c r="B273" s="1174" t="str">
        <f>IFERROR(__xludf.DUMMYFUNCTION("""COMPUTED_VALUE"""),"ga-bh-1129454107")</f>
        <v>ga-bh-1129454107</v>
      </c>
      <c r="C273" s="1174" t="str">
        <f>IFERROR(__xludf.DUMMYFUNCTION("""COMPUTED_VALUE"""),"JUNIO")</f>
        <v>JUNIO</v>
      </c>
      <c r="D273" s="1174" t="b">
        <f>IFERROR(__xludf.DUMMYFUNCTION("""COMPUTED_VALUE"""),TRUE)</f>
        <v>1</v>
      </c>
      <c r="E273" s="1174" t="str">
        <f>IFERROR(__xludf.DUMMYFUNCTION("""COMPUTED_VALUE"""),"Laptop")</f>
        <v>Laptop</v>
      </c>
      <c r="F273" s="1176">
        <f>IFERROR(__xludf.DUMMYFUNCTION("""COMPUTED_VALUE"""),2499.0)</f>
        <v>2499</v>
      </c>
      <c r="G273" s="1177">
        <f>IFERROR(__xludf.DUMMYFUNCTION("""COMPUTED_VALUE"""),26.399999999999636)</f>
        <v>26.4</v>
      </c>
      <c r="H273" s="1174" t="b">
        <f>IFERROR(__xludf.DUMMYFUNCTION("""COMPUTED_VALUE"""),FALSE)</f>
        <v>0</v>
      </c>
      <c r="I273" s="1174" t="str">
        <f>IFERROR(__xludf.DUMMYFUNCTION("""COMPUTED_VALUE"""),"JUNIO")</f>
        <v>JUNIO</v>
      </c>
      <c r="J273" s="1177">
        <f>IFERROR(__xludf.DUMMYFUNCTION("""COMPUTED_VALUE"""),11099.0)</f>
        <v>11099</v>
      </c>
    </row>
    <row r="274">
      <c r="A274" s="1175">
        <f>IFERROR(__xludf.DUMMYFUNCTION("""COMPUTED_VALUE"""),46174.0)</f>
        <v>46174</v>
      </c>
      <c r="B274" s="1174" t="str">
        <f>IFERROR(__xludf.DUMMYFUNCTION("""COMPUTED_VALUE"""),"ke-am-113-7745981-5725020")</f>
        <v>ke-am-113-7745981-5725020</v>
      </c>
      <c r="C274" s="1174" t="str">
        <f>IFERROR(__xludf.DUMMYFUNCTION("""COMPUTED_VALUE"""),"JUNIO")</f>
        <v>JUNIO</v>
      </c>
      <c r="D274" s="1174" t="b">
        <f>IFERROR(__xludf.DUMMYFUNCTION("""COMPUTED_VALUE"""),TRUE)</f>
        <v>1</v>
      </c>
      <c r="E274" s="1174" t="str">
        <f>IFERROR(__xludf.DUMMYFUNCTION("""COMPUTED_VALUE"""),"Laptop")</f>
        <v>Laptop</v>
      </c>
      <c r="F274" s="1176">
        <f>IFERROR(__xludf.DUMMYFUNCTION("""COMPUTED_VALUE"""),1339.99)</f>
        <v>1339.99</v>
      </c>
      <c r="G274" s="1177">
        <f>IFERROR(__xludf.DUMMYFUNCTION("""COMPUTED_VALUE"""),147.0)</f>
        <v>147</v>
      </c>
      <c r="H274" s="1174" t="b">
        <f>IFERROR(__xludf.DUMMYFUNCTION("""COMPUTED_VALUE"""),FALSE)</f>
        <v>0</v>
      </c>
      <c r="I274" s="1174"/>
      <c r="J274" s="1177">
        <f>IFERROR(__xludf.DUMMYFUNCTION("""COMPUTED_VALUE"""),6199.0)</f>
        <v>6199</v>
      </c>
    </row>
    <row r="275">
      <c r="A275" s="1175">
        <f>IFERROR(__xludf.DUMMYFUNCTION("""COMPUTED_VALUE"""),46176.0)</f>
        <v>46176</v>
      </c>
      <c r="B275" s="1174" t="str">
        <f>IFERROR(__xludf.DUMMYFUNCTION("""COMPUTED_VALUE"""),"ke-eb-05-14615-44446")</f>
        <v>ke-eb-05-14615-44446</v>
      </c>
      <c r="C275" s="1174" t="str">
        <f>IFERROR(__xludf.DUMMYFUNCTION("""COMPUTED_VALUE"""),"JUNIO")</f>
        <v>JUNIO</v>
      </c>
      <c r="D275" s="1174" t="b">
        <f>IFERROR(__xludf.DUMMYFUNCTION("""COMPUTED_VALUE"""),TRUE)</f>
        <v>1</v>
      </c>
      <c r="E275" s="1174" t="str">
        <f>IFERROR(__xludf.DUMMYFUNCTION("""COMPUTED_VALUE"""),"Laptop")</f>
        <v>Laptop</v>
      </c>
      <c r="F275" s="1176">
        <f>IFERROR(__xludf.DUMMYFUNCTION("""COMPUTED_VALUE"""),1299.99)</f>
        <v>1299.99</v>
      </c>
      <c r="G275" s="1177">
        <f>IFERROR(__xludf.DUMMYFUNCTION("""COMPUTED_VALUE"""),11.0)</f>
        <v>11</v>
      </c>
      <c r="H275" s="1174" t="b">
        <f>IFERROR(__xludf.DUMMYFUNCTION("""COMPUTED_VALUE"""),FALSE)</f>
        <v>0</v>
      </c>
      <c r="I275" s="1174" t="str">
        <f>IFERROR(__xludf.DUMMYFUNCTION("""COMPUTED_VALUE"""),"JUNIO")</f>
        <v>JUNIO</v>
      </c>
      <c r="J275" s="1177">
        <f>IFERROR(__xludf.DUMMYFUNCTION("""COMPUTED_VALUE"""),6184.0)</f>
        <v>6184</v>
      </c>
    </row>
    <row r="276">
      <c r="A276" s="1175">
        <f>IFERROR(__xludf.DUMMYFUNCTION("""COMPUTED_VALUE"""),46176.0)</f>
        <v>46176</v>
      </c>
      <c r="B276" s="1174" t="str">
        <f>IFERROR(__xludf.DUMMYFUNCTION("""COMPUTED_VALUE"""),"ab-eb-19-14593-52541")</f>
        <v>ab-eb-19-14593-52541</v>
      </c>
      <c r="C276" s="1174" t="str">
        <f>IFERROR(__xludf.DUMMYFUNCTION("""COMPUTED_VALUE"""),"JUNIO")</f>
        <v>JUNIO</v>
      </c>
      <c r="D276" s="1174" t="b">
        <f>IFERROR(__xludf.DUMMYFUNCTION("""COMPUTED_VALUE"""),TRUE)</f>
        <v>1</v>
      </c>
      <c r="E276" s="1174" t="str">
        <f>IFERROR(__xludf.DUMMYFUNCTION("""COMPUTED_VALUE"""),"Laptop")</f>
        <v>Laptop</v>
      </c>
      <c r="F276" s="1176">
        <f>IFERROR(__xludf.DUMMYFUNCTION("""COMPUTED_VALUE"""),1299.99)</f>
        <v>1299.99</v>
      </c>
      <c r="G276" s="1177">
        <f>IFERROR(__xludf.DUMMYFUNCTION("""COMPUTED_VALUE"""),0.0)</f>
        <v>0</v>
      </c>
      <c r="H276" s="1174" t="b">
        <f>IFERROR(__xludf.DUMMYFUNCTION("""COMPUTED_VALUE"""),FALSE)</f>
        <v>0</v>
      </c>
      <c r="I276" s="1174"/>
      <c r="J276" s="1177">
        <f>IFERROR(__xludf.DUMMYFUNCTION("""COMPUTED_VALUE"""),6275.0)</f>
        <v>6275</v>
      </c>
    </row>
    <row r="277">
      <c r="A277" s="1175">
        <f>IFERROR(__xludf.DUMMYFUNCTION("""COMPUTED_VALUE"""),46179.0)</f>
        <v>46179</v>
      </c>
      <c r="B277" s="1174" t="str">
        <f>IFERROR(__xludf.DUMMYFUNCTION("""COMPUTED_VALUE"""),"jo-eb-11-14654-83487")</f>
        <v>jo-eb-11-14654-83487</v>
      </c>
      <c r="C277" s="1174" t="str">
        <f>IFERROR(__xludf.DUMMYFUNCTION("""COMPUTED_VALUE"""),"JUNIO")</f>
        <v>JUNIO</v>
      </c>
      <c r="D277" s="1174" t="b">
        <f>IFERROR(__xludf.DUMMYFUNCTION("""COMPUTED_VALUE"""),TRUE)</f>
        <v>1</v>
      </c>
      <c r="E277" s="1174" t="str">
        <f>IFERROR(__xludf.DUMMYFUNCTION("""COMPUTED_VALUE"""),"Laptop")</f>
        <v>Laptop</v>
      </c>
      <c r="F277" s="1176">
        <f>IFERROR(__xludf.DUMMYFUNCTION("""COMPUTED_VALUE"""),1649.99)</f>
        <v>1649.99</v>
      </c>
      <c r="G277" s="1177">
        <f>IFERROR(__xludf.DUMMYFUNCTION("""COMPUTED_VALUE"""),33.0)</f>
        <v>33</v>
      </c>
      <c r="H277" s="1174" t="b">
        <f>IFERROR(__xludf.DUMMYFUNCTION("""COMPUTED_VALUE"""),FALSE)</f>
        <v>0</v>
      </c>
      <c r="I277" s="1174" t="str">
        <f>IFERROR(__xludf.DUMMYFUNCTION("""COMPUTED_VALUE"""),"JUNIO")</f>
        <v>JUNIO</v>
      </c>
      <c r="J277" s="1177">
        <f>IFERROR(__xludf.DUMMYFUNCTION("""COMPUTED_VALUE"""),7500.0)</f>
        <v>7500</v>
      </c>
    </row>
    <row r="278">
      <c r="A278" s="1175">
        <f>IFERROR(__xludf.DUMMYFUNCTION("""COMPUTED_VALUE"""),46179.0)</f>
        <v>46179</v>
      </c>
      <c r="B278" s="1174" t="str">
        <f>IFERROR(__xludf.DUMMYFUNCTION("""COMPUTED_VALUE"""),"so-eb-26-14631-30012")</f>
        <v>so-eb-26-14631-30012</v>
      </c>
      <c r="C278" s="1174" t="str">
        <f>IFERROR(__xludf.DUMMYFUNCTION("""COMPUTED_VALUE"""),"JUNIO")</f>
        <v>JUNIO</v>
      </c>
      <c r="D278" s="1174" t="b">
        <f>IFERROR(__xludf.DUMMYFUNCTION("""COMPUTED_VALUE"""),TRUE)</f>
        <v>1</v>
      </c>
      <c r="E278" s="1174" t="str">
        <f>IFERROR(__xludf.DUMMYFUNCTION("""COMPUTED_VALUE"""),"Laptop")</f>
        <v>Laptop</v>
      </c>
      <c r="F278" s="1176">
        <f>IFERROR(__xludf.DUMMYFUNCTION("""COMPUTED_VALUE"""),1649.99)</f>
        <v>1649.99</v>
      </c>
      <c r="G278" s="1177">
        <f>IFERROR(__xludf.DUMMYFUNCTION("""COMPUTED_VALUE"""),39.0)</f>
        <v>39</v>
      </c>
      <c r="H278" s="1174" t="b">
        <f>IFERROR(__xludf.DUMMYFUNCTION("""COMPUTED_VALUE"""),FALSE)</f>
        <v>0</v>
      </c>
      <c r="I278" s="1174" t="str">
        <f>IFERROR(__xludf.DUMMYFUNCTION("""COMPUTED_VALUE"""),"JUNIO")</f>
        <v>JUNIO</v>
      </c>
      <c r="J278" s="1177">
        <f>IFERROR(__xludf.DUMMYFUNCTION("""COMPUTED_VALUE"""),7499.0)</f>
        <v>7499</v>
      </c>
    </row>
    <row r="279">
      <c r="A279" s="1175">
        <f>IFERROR(__xludf.DUMMYFUNCTION("""COMPUTED_VALUE"""),46163.0)</f>
        <v>46163</v>
      </c>
      <c r="B279" s="1174" t="str">
        <f>IFERROR(__xludf.DUMMYFUNCTION("""COMPUTED_VALUE"""),"ke-am-112-0090663-9477863")</f>
        <v>ke-am-112-0090663-9477863</v>
      </c>
      <c r="C279" s="1174" t="str">
        <f>IFERROR(__xludf.DUMMYFUNCTION("""COMPUTED_VALUE"""),"JUNIO")</f>
        <v>JUNIO</v>
      </c>
      <c r="D279" s="1174" t="b">
        <f>IFERROR(__xludf.DUMMYFUNCTION("""COMPUTED_VALUE"""),TRUE)</f>
        <v>1</v>
      </c>
      <c r="E279" s="1174" t="str">
        <f>IFERROR(__xludf.DUMMYFUNCTION("""COMPUTED_VALUE"""),"Laptop")</f>
        <v>Laptop</v>
      </c>
      <c r="F279" s="1176">
        <f>IFERROR(__xludf.DUMMYFUNCTION("""COMPUTED_VALUE"""),3254.99)</f>
        <v>3254.99</v>
      </c>
      <c r="G279" s="1177">
        <f>IFERROR(__xludf.DUMMYFUNCTION("""COMPUTED_VALUE"""),-569.0)</f>
        <v>-569</v>
      </c>
      <c r="H279" s="1174" t="b">
        <f>IFERROR(__xludf.DUMMYFUNCTION("""COMPUTED_VALUE"""),FALSE)</f>
        <v>0</v>
      </c>
      <c r="I279" s="1174" t="str">
        <f>IFERROR(__xludf.DUMMYFUNCTION("""COMPUTED_VALUE"""),"JUNIO")</f>
        <v>JUNIO</v>
      </c>
      <c r="J279" s="1177">
        <f>IFERROR(__xludf.DUMMYFUNCTION("""COMPUTED_VALUE"""),13400.0)</f>
        <v>13400</v>
      </c>
    </row>
    <row r="280">
      <c r="A280" s="1175">
        <f>IFERROR(__xludf.DUMMYFUNCTION("""COMPUTED_VALUE"""),46182.0)</f>
        <v>46182</v>
      </c>
      <c r="B280" s="1174" t="str">
        <f>IFERROR(__xludf.DUMMYFUNCTION("""COMPUTED_VALUE"""),"re-eb-17-14645-47271")</f>
        <v>re-eb-17-14645-47271</v>
      </c>
      <c r="C280" s="1174" t="str">
        <f>IFERROR(__xludf.DUMMYFUNCTION("""COMPUTED_VALUE"""),"JUNIO")</f>
        <v>JUNIO</v>
      </c>
      <c r="D280" s="1174" t="b">
        <f>IFERROR(__xludf.DUMMYFUNCTION("""COMPUTED_VALUE"""),TRUE)</f>
        <v>1</v>
      </c>
      <c r="E280" s="1174" t="str">
        <f>IFERROR(__xludf.DUMMYFUNCTION("""COMPUTED_VALUE"""),"Laptop")</f>
        <v>Laptop</v>
      </c>
      <c r="F280" s="1176">
        <f>IFERROR(__xludf.DUMMYFUNCTION("""COMPUTED_VALUE"""),1649.99)</f>
        <v>1649.99</v>
      </c>
      <c r="G280" s="1177">
        <f>IFERROR(__xludf.DUMMYFUNCTION("""COMPUTED_VALUE"""),1.0)</f>
        <v>1</v>
      </c>
      <c r="H280" s="1174" t="b">
        <f>IFERROR(__xludf.DUMMYFUNCTION("""COMPUTED_VALUE"""),FALSE)</f>
        <v>0</v>
      </c>
      <c r="I280" s="1174" t="str">
        <f>IFERROR(__xludf.DUMMYFUNCTION("""COMPUTED_VALUE"""),"JUNIO")</f>
        <v>JUNIO</v>
      </c>
      <c r="J280" s="1177">
        <f>IFERROR(__xludf.DUMMYFUNCTION("""COMPUTED_VALUE"""),9629.0)</f>
        <v>9629</v>
      </c>
    </row>
    <row r="281">
      <c r="A281" s="1175">
        <f>IFERROR(__xludf.DUMMYFUNCTION("""COMPUTED_VALUE"""),46182.0)</f>
        <v>46182</v>
      </c>
      <c r="B281" s="1174" t="str">
        <f>IFERROR(__xludf.DUMMYFUNCTION("""COMPUTED_VALUE"""),"yo-eb-15-14688-96890")</f>
        <v>yo-eb-15-14688-96890</v>
      </c>
      <c r="C281" s="1174" t="str">
        <f>IFERROR(__xludf.DUMMYFUNCTION("""COMPUTED_VALUE"""),"JUNIO")</f>
        <v>JUNIO</v>
      </c>
      <c r="D281" s="1174" t="b">
        <f>IFERROR(__xludf.DUMMYFUNCTION("""COMPUTED_VALUE"""),TRUE)</f>
        <v>1</v>
      </c>
      <c r="E281" s="1174" t="str">
        <f>IFERROR(__xludf.DUMMYFUNCTION("""COMPUTED_VALUE"""),"Laptop")</f>
        <v>Laptop</v>
      </c>
      <c r="F281" s="1176">
        <f>IFERROR(__xludf.DUMMYFUNCTION("""COMPUTED_VALUE"""),1649.99)</f>
        <v>1649.99</v>
      </c>
      <c r="G281" s="1177">
        <f>IFERROR(__xludf.DUMMYFUNCTION("""COMPUTED_VALUE"""),41.0)</f>
        <v>41</v>
      </c>
      <c r="H281" s="1174" t="b">
        <f>IFERROR(__xludf.DUMMYFUNCTION("""COMPUTED_VALUE"""),FALSE)</f>
        <v>0</v>
      </c>
      <c r="I281" s="1174"/>
      <c r="J281" s="1177">
        <f>IFERROR(__xludf.DUMMYFUNCTION("""COMPUTED_VALUE"""),7400.0)</f>
        <v>7400</v>
      </c>
    </row>
    <row r="282">
      <c r="A282" s="1175">
        <f>IFERROR(__xludf.DUMMYFUNCTION("""COMPUTED_VALUE"""),46184.0)</f>
        <v>46184</v>
      </c>
      <c r="B282" s="1174" t="str">
        <f>IFERROR(__xludf.DUMMYFUNCTION("""COMPUTED_VALUE"""),"yo-eb-15-14751-42444")</f>
        <v>yo-eb-15-14751-42444</v>
      </c>
      <c r="C282" s="1174" t="str">
        <f>IFERROR(__xludf.DUMMYFUNCTION("""COMPUTED_VALUE"""),"JUNIO")</f>
        <v>JUNIO</v>
      </c>
      <c r="D282" s="1174" t="b">
        <f>IFERROR(__xludf.DUMMYFUNCTION("""COMPUTED_VALUE"""),TRUE)</f>
        <v>1</v>
      </c>
      <c r="E282" s="1174" t="str">
        <f>IFERROR(__xludf.DUMMYFUNCTION("""COMPUTED_VALUE"""),"Laptop")</f>
        <v>Laptop</v>
      </c>
      <c r="F282" s="1176">
        <f>IFERROR(__xludf.DUMMYFUNCTION("""COMPUTED_VALUE"""),1999.99)</f>
        <v>1999.99</v>
      </c>
      <c r="G282" s="1177">
        <f>IFERROR(__xludf.DUMMYFUNCTION("""COMPUTED_VALUE"""),24.030000000000655)</f>
        <v>24.03</v>
      </c>
      <c r="H282" s="1174" t="b">
        <f>IFERROR(__xludf.DUMMYFUNCTION("""COMPUTED_VALUE"""),FALSE)</f>
        <v>0</v>
      </c>
      <c r="I282" s="1174"/>
      <c r="J282" s="1177">
        <f>IFERROR(__xludf.DUMMYFUNCTION("""COMPUTED_VALUE"""),8799.0)</f>
        <v>8799</v>
      </c>
    </row>
    <row r="283">
      <c r="A283" s="1175">
        <f>IFERROR(__xludf.DUMMYFUNCTION("""COMPUTED_VALUE"""),46185.0)</f>
        <v>46185</v>
      </c>
      <c r="B283" s="1174" t="str">
        <f>IFERROR(__xludf.DUMMYFUNCTION("""COMPUTED_VALUE"""),"ke-ne-588609413")</f>
        <v>ke-ne-588609413</v>
      </c>
      <c r="C283" s="1174" t="str">
        <f>IFERROR(__xludf.DUMMYFUNCTION("""COMPUTED_VALUE"""),"JUNIO")</f>
        <v>JUNIO</v>
      </c>
      <c r="D283" s="1174" t="b">
        <f>IFERROR(__xludf.DUMMYFUNCTION("""COMPUTED_VALUE"""),TRUE)</f>
        <v>1</v>
      </c>
      <c r="E283" s="1174" t="str">
        <f>IFERROR(__xludf.DUMMYFUNCTION("""COMPUTED_VALUE"""),"Laptop")</f>
        <v>Laptop</v>
      </c>
      <c r="F283" s="1176">
        <f>IFERROR(__xludf.DUMMYFUNCTION("""COMPUTED_VALUE"""),1529.0)</f>
        <v>1529</v>
      </c>
      <c r="G283" s="1177">
        <f>IFERROR(__xludf.DUMMYFUNCTION("""COMPUTED_VALUE"""),62.0)</f>
        <v>62</v>
      </c>
      <c r="H283" s="1174" t="b">
        <f>IFERROR(__xludf.DUMMYFUNCTION("""COMPUTED_VALUE"""),FALSE)</f>
        <v>0</v>
      </c>
      <c r="I283" s="1174" t="str">
        <f>IFERROR(__xludf.DUMMYFUNCTION("""COMPUTED_VALUE"""),"JUNIO")</f>
        <v>JUNIO</v>
      </c>
      <c r="J283" s="1177">
        <f>IFERROR(__xludf.DUMMYFUNCTION("""COMPUTED_VALUE"""),7899.0)</f>
        <v>7899</v>
      </c>
    </row>
    <row r="284">
      <c r="A284" s="1175">
        <f>IFERROR(__xludf.DUMMYFUNCTION("""COMPUTED_VALUE"""),46186.0)</f>
        <v>46186</v>
      </c>
      <c r="B284" s="1174" t="str">
        <f>IFERROR(__xludf.DUMMYFUNCTION("""COMPUTED_VALUE"""),"li-mi-190626")</f>
        <v>li-mi-190626</v>
      </c>
      <c r="C284" s="1174" t="str">
        <f>IFERROR(__xludf.DUMMYFUNCTION("""COMPUTED_VALUE"""),"JULIO")</f>
        <v>JULIO</v>
      </c>
      <c r="D284" s="1174" t="b">
        <f>IFERROR(__xludf.DUMMYFUNCTION("""COMPUTED_VALUE"""),FALSE)</f>
        <v>0</v>
      </c>
      <c r="E284" s="1174" t="str">
        <f>IFERROR(__xludf.DUMMYFUNCTION("""COMPUTED_VALUE"""),"Laptop")</f>
        <v>Laptop</v>
      </c>
      <c r="F284" s="1176">
        <f>IFERROR(__xludf.DUMMYFUNCTION("""COMPUTED_VALUE"""),2499.99)</f>
        <v>2499.99</v>
      </c>
      <c r="G284" s="1177">
        <f>IFERROR(__xludf.DUMMYFUNCTION("""COMPUTED_VALUE"""),145.0)</f>
        <v>145</v>
      </c>
      <c r="H284" s="1174" t="b">
        <f>IFERROR(__xludf.DUMMYFUNCTION("""COMPUTED_VALUE"""),FALSE)</f>
        <v>0</v>
      </c>
      <c r="I284" s="1174"/>
      <c r="J284" s="1177">
        <f>IFERROR(__xludf.DUMMYFUNCTION("""COMPUTED_VALUE"""),11149.0)</f>
        <v>11149</v>
      </c>
    </row>
    <row r="285">
      <c r="A285" s="1175">
        <f>IFERROR(__xludf.DUMMYFUNCTION("""COMPUTED_VALUE"""),46192.0)</f>
        <v>46192</v>
      </c>
      <c r="B285" s="1174" t="str">
        <f>IFERROR(__xludf.DUMMYFUNCTION("""COMPUTED_VALUE"""),"ga-as-10001363146")</f>
        <v>ga-as-10001363146</v>
      </c>
      <c r="C285" s="1174" t="str">
        <f>IFERROR(__xludf.DUMMYFUNCTION("""COMPUTED_VALUE"""),"JULIO")</f>
        <v>JULIO</v>
      </c>
      <c r="D285" s="1174" t="b">
        <f>IFERROR(__xludf.DUMMYFUNCTION("""COMPUTED_VALUE"""),FALSE)</f>
        <v>0</v>
      </c>
      <c r="E285" s="1174" t="str">
        <f>IFERROR(__xludf.DUMMYFUNCTION("""COMPUTED_VALUE"""),"Laptop")</f>
        <v>Laptop</v>
      </c>
      <c r="F285" s="1176">
        <f>IFERROR(__xludf.DUMMYFUNCTION("""COMPUTED_VALUE"""),1399.99)</f>
        <v>1399.99</v>
      </c>
      <c r="G285" s="1177">
        <f>IFERROR(__xludf.DUMMYFUNCTION("""COMPUTED_VALUE"""),434.78999999999996)</f>
        <v>434.79</v>
      </c>
      <c r="H285" s="1174" t="b">
        <f>IFERROR(__xludf.DUMMYFUNCTION("""COMPUTED_VALUE"""),FALSE)</f>
        <v>0</v>
      </c>
      <c r="I285" s="1174"/>
      <c r="J285" s="1177">
        <f>IFERROR(__xludf.DUMMYFUNCTION("""COMPUTED_VALUE"""),6499.0)</f>
        <v>6499</v>
      </c>
    </row>
    <row r="286">
      <c r="A286" s="1175">
        <f>IFERROR(__xludf.DUMMYFUNCTION("""COMPUTED_VALUE"""),46193.0)</f>
        <v>46193</v>
      </c>
      <c r="B286" s="1174" t="str">
        <f>IFERROR(__xludf.DUMMYFUNCTION("""COMPUTED_VALUE"""),"yo-eb-22-14744-81745")</f>
        <v>yo-eb-22-14744-81745</v>
      </c>
      <c r="C286" s="1174" t="str">
        <f>IFERROR(__xludf.DUMMYFUNCTION("""COMPUTED_VALUE"""),"JUNIO")</f>
        <v>JUNIO</v>
      </c>
      <c r="D286" s="1174" t="b">
        <f>IFERROR(__xludf.DUMMYFUNCTION("""COMPUTED_VALUE"""),TRUE)</f>
        <v>1</v>
      </c>
      <c r="E286" s="1174" t="str">
        <f>IFERROR(__xludf.DUMMYFUNCTION("""COMPUTED_VALUE"""),"Laptop")</f>
        <v>Laptop</v>
      </c>
      <c r="F286" s="1176">
        <f>IFERROR(__xludf.DUMMYFUNCTION("""COMPUTED_VALUE"""),1649.99)</f>
        <v>1649.99</v>
      </c>
      <c r="G286" s="1177">
        <f>IFERROR(__xludf.DUMMYFUNCTION("""COMPUTED_VALUE"""),465.0)</f>
        <v>465</v>
      </c>
      <c r="H286" s="1174" t="b">
        <f>IFERROR(__xludf.DUMMYFUNCTION("""COMPUTED_VALUE"""),FALSE)</f>
        <v>0</v>
      </c>
      <c r="I286" s="1174"/>
      <c r="J286" s="1177">
        <f>IFERROR(__xludf.DUMMYFUNCTION("""COMPUTED_VALUE"""),7599.0)</f>
        <v>7599</v>
      </c>
    </row>
    <row r="287">
      <c r="A287" s="1175">
        <f>IFERROR(__xludf.DUMMYFUNCTION("""COMPUTED_VALUE"""),46196.0)</f>
        <v>46196</v>
      </c>
      <c r="B287" s="1174" t="str">
        <f>IFERROR(__xludf.DUMMYFUNCTION("""COMPUTED_VALUE"""),"ke-am-113-5275057-8955437")</f>
        <v>ke-am-113-5275057-8955437</v>
      </c>
      <c r="C287" s="1174" t="str">
        <f>IFERROR(__xludf.DUMMYFUNCTION("""COMPUTED_VALUE"""),"JULIO")</f>
        <v>JULIO</v>
      </c>
      <c r="D287" s="1174" t="b">
        <f>IFERROR(__xludf.DUMMYFUNCTION("""COMPUTED_VALUE"""),FALSE)</f>
        <v>0</v>
      </c>
      <c r="E287" s="1174" t="str">
        <f>IFERROR(__xludf.DUMMYFUNCTION("""COMPUTED_VALUE"""),"Laptop")</f>
        <v>Laptop</v>
      </c>
      <c r="F287" s="1176">
        <f>IFERROR(__xludf.DUMMYFUNCTION("""COMPUTED_VALUE"""),1539.99)</f>
        <v>1539.99</v>
      </c>
      <c r="G287" s="1177">
        <f>IFERROR(__xludf.DUMMYFUNCTION("""COMPUTED_VALUE"""),523.0)</f>
        <v>523</v>
      </c>
      <c r="H287" s="1174" t="b">
        <f>IFERROR(__xludf.DUMMYFUNCTION("""COMPUTED_VALUE"""),FALSE)</f>
        <v>0</v>
      </c>
      <c r="I287" s="1174"/>
      <c r="J287" s="1177">
        <f>IFERROR(__xludf.DUMMYFUNCTION("""COMPUTED_VALUE"""),7199.0)</f>
        <v>7199</v>
      </c>
    </row>
    <row r="288">
      <c r="A288" s="1175">
        <f>IFERROR(__xludf.DUMMYFUNCTION("""COMPUTED_VALUE"""),46197.0)</f>
        <v>46197</v>
      </c>
      <c r="B288" s="1174" t="str">
        <f>IFERROR(__xludf.DUMMYFUNCTION("""COMPUTED_VALUE"""),"yo-eb-18-14805-63929")</f>
        <v>yo-eb-18-14805-63929</v>
      </c>
      <c r="C288" s="1174"/>
      <c r="D288" s="1174" t="b">
        <f>IFERROR(__xludf.DUMMYFUNCTION("""COMPUTED_VALUE"""),FALSE)</f>
        <v>0</v>
      </c>
      <c r="E288" s="1174" t="str">
        <f>IFERROR(__xludf.DUMMYFUNCTION("""COMPUTED_VALUE"""),"Laptop")</f>
        <v>Laptop</v>
      </c>
      <c r="F288" s="1176">
        <f>IFERROR(__xludf.DUMMYFUNCTION("""COMPUTED_VALUE"""),2399.99)</f>
        <v>2399.99</v>
      </c>
      <c r="G288" s="1177">
        <f>IFERROR(__xludf.DUMMYFUNCTION("""COMPUTED_VALUE"""),271.90999999999985)</f>
        <v>271.91</v>
      </c>
      <c r="H288" s="1174" t="b">
        <f>IFERROR(__xludf.DUMMYFUNCTION("""COMPUTED_VALUE"""),FALSE)</f>
        <v>0</v>
      </c>
      <c r="I288" s="1174"/>
      <c r="J288" s="1177">
        <f>IFERROR(__xludf.DUMMYFUNCTION("""COMPUTED_VALUE"""),10499.0)</f>
        <v>10499</v>
      </c>
    </row>
    <row r="289">
      <c r="A289" s="1175">
        <f>IFERROR(__xludf.DUMMYFUNCTION("""COMPUTED_VALUE"""),46198.0)</f>
        <v>46198</v>
      </c>
      <c r="B289" s="1174" t="str">
        <f>IFERROR(__xludf.DUMMYFUNCTION("""COMPUTED_VALUE"""),"re-eb-25-14545-44663")</f>
        <v>re-eb-25-14545-44663</v>
      </c>
      <c r="C289" s="1174"/>
      <c r="D289" s="1174" t="b">
        <f>IFERROR(__xludf.DUMMYFUNCTION("""COMPUTED_VALUE"""),FALSE)</f>
        <v>0</v>
      </c>
      <c r="E289" s="1174" t="str">
        <f>IFERROR(__xludf.DUMMYFUNCTION("""COMPUTED_VALUE"""),"Laptop")</f>
        <v>Laptop</v>
      </c>
      <c r="F289" s="1176">
        <f>IFERROR(__xludf.DUMMYFUNCTION("""COMPUTED_VALUE"""),1299.99)</f>
        <v>1299.99</v>
      </c>
      <c r="G289" s="1177">
        <f>IFERROR(__xludf.DUMMYFUNCTION("""COMPUTED_VALUE"""),48.0)</f>
        <v>48</v>
      </c>
      <c r="H289" s="1174" t="b">
        <f>IFERROR(__xludf.DUMMYFUNCTION("""COMPUTED_VALUE"""),FALSE)</f>
        <v>0</v>
      </c>
      <c r="I289" s="1174"/>
      <c r="J289" s="1177">
        <f>IFERROR(__xludf.DUMMYFUNCTION("""COMPUTED_VALUE"""),6099.0)</f>
        <v>6099</v>
      </c>
    </row>
    <row r="290">
      <c r="A290" s="1175">
        <f>IFERROR(__xludf.DUMMYFUNCTION("""COMPUTED_VALUE"""),46199.0)</f>
        <v>46199</v>
      </c>
      <c r="B290" s="1174" t="str">
        <f>IFERROR(__xludf.DUMMYFUNCTION("""COMPUTED_VALUE"""),"re-eb-24-14561-64587")</f>
        <v>re-eb-24-14561-64587</v>
      </c>
      <c r="C290" s="1174"/>
      <c r="D290" s="1174"/>
      <c r="E290" s="1174" t="str">
        <f>IFERROR(__xludf.DUMMYFUNCTION("""COMPUTED_VALUE"""),"Laptop")</f>
        <v>Laptop</v>
      </c>
      <c r="F290" s="1176">
        <f>IFERROR(__xludf.DUMMYFUNCTION("""COMPUTED_VALUE"""),1299.99)</f>
        <v>1299.99</v>
      </c>
      <c r="G290" s="1177">
        <f>IFERROR(__xludf.DUMMYFUNCTION("""COMPUTED_VALUE"""),48.0)</f>
        <v>48</v>
      </c>
      <c r="H290" s="1174"/>
      <c r="I290" s="1174"/>
      <c r="J290" s="1177">
        <f>IFERROR(__xludf.DUMMYFUNCTION("""COMPUTED_VALUE"""),6099.0)</f>
        <v>6099</v>
      </c>
    </row>
    <row r="291">
      <c r="A291" s="1175">
        <f>IFERROR(__xludf.DUMMYFUNCTION("""COMPUTED_VALUE"""),46199.0)</f>
        <v>46199</v>
      </c>
      <c r="B291" s="1174" t="str">
        <f>IFERROR(__xludf.DUMMYFUNCTION("""COMPUTED_VALUE"""),"ke-am-113-5014302-1596204")</f>
        <v>ke-am-113-5014302-1596204</v>
      </c>
      <c r="C291" s="1174"/>
      <c r="D291" s="1174" t="b">
        <f>IFERROR(__xludf.DUMMYFUNCTION("""COMPUTED_VALUE"""),FALSE)</f>
        <v>0</v>
      </c>
      <c r="E291" s="1174" t="str">
        <f>IFERROR(__xludf.DUMMYFUNCTION("""COMPUTED_VALUE"""),"Laptop")</f>
        <v>Laptop</v>
      </c>
      <c r="F291" s="1176">
        <f>IFERROR(__xludf.DUMMYFUNCTION("""COMPUTED_VALUE"""),1269.99)</f>
        <v>1269.99</v>
      </c>
      <c r="G291" s="1177">
        <f>IFERROR(__xludf.DUMMYFUNCTION("""COMPUTED_VALUE"""),460.77000000000044)</f>
        <v>460.77</v>
      </c>
      <c r="H291" s="1174" t="b">
        <f>IFERROR(__xludf.DUMMYFUNCTION("""COMPUTED_VALUE"""),FALSE)</f>
        <v>0</v>
      </c>
      <c r="I291" s="1174"/>
      <c r="J291" s="1177">
        <f>IFERROR(__xludf.DUMMYFUNCTION("""COMPUTED_VALUE"""),5999.0)</f>
        <v>5999</v>
      </c>
    </row>
    <row r="292">
      <c r="A292" s="1175">
        <f>IFERROR(__xludf.DUMMYFUNCTION("""COMPUTED_VALUE"""),46200.0)</f>
        <v>46200</v>
      </c>
      <c r="B292" s="1174" t="str">
        <f>IFERROR(__xludf.DUMMYFUNCTION("""COMPUTED_VALUE"""),"so-eb-04-14775-82977")</f>
        <v>so-eb-04-14775-82977</v>
      </c>
      <c r="C292" s="1174"/>
      <c r="D292" s="1174" t="b">
        <f>IFERROR(__xludf.DUMMYFUNCTION("""COMPUTED_VALUE"""),FALSE)</f>
        <v>0</v>
      </c>
      <c r="E292" s="1174" t="str">
        <f>IFERROR(__xludf.DUMMYFUNCTION("""COMPUTED_VALUE"""),"Laptop")</f>
        <v>Laptop</v>
      </c>
      <c r="F292" s="1176">
        <f>IFERROR(__xludf.DUMMYFUNCTION("""COMPUTED_VALUE"""),1649.99)</f>
        <v>1649.99</v>
      </c>
      <c r="G292" s="1177">
        <f>IFERROR(__xludf.DUMMYFUNCTION("""COMPUTED_VALUE"""),40.0)</f>
        <v>40</v>
      </c>
      <c r="H292" s="1174" t="b">
        <f>IFERROR(__xludf.DUMMYFUNCTION("""COMPUTED_VALUE"""),TRUE)</f>
        <v>1</v>
      </c>
      <c r="I292" s="1174"/>
      <c r="J292" s="1177">
        <f>IFERROR(__xludf.DUMMYFUNCTION("""COMPUTED_VALUE"""),7449.0)</f>
        <v>7449</v>
      </c>
    </row>
    <row r="293">
      <c r="A293" s="1175">
        <f>IFERROR(__xludf.DUMMYFUNCTION("""COMPUTED_VALUE"""),46200.0)</f>
        <v>46200</v>
      </c>
      <c r="B293" s="1174" t="str">
        <f>IFERROR(__xludf.DUMMYFUNCTION("""COMPUTED_VALUE"""),"ke-am-113-0528701-0218656")</f>
        <v>ke-am-113-0528701-0218656</v>
      </c>
      <c r="C293" s="1174"/>
      <c r="D293" s="1174" t="b">
        <f>IFERROR(__xludf.DUMMYFUNCTION("""COMPUTED_VALUE"""),FALSE)</f>
        <v>0</v>
      </c>
      <c r="E293" s="1174" t="str">
        <f>IFERROR(__xludf.DUMMYFUNCTION("""COMPUTED_VALUE"""),"Laptop")</f>
        <v>Laptop</v>
      </c>
      <c r="F293" s="1176">
        <f>IFERROR(__xludf.DUMMYFUNCTION("""COMPUTED_VALUE"""),1539.99)</f>
        <v>1539.99</v>
      </c>
      <c r="G293" s="1177">
        <f>IFERROR(__xludf.DUMMYFUNCTION("""COMPUTED_VALUE"""),542.5100000000002)</f>
        <v>542.51</v>
      </c>
      <c r="H293" s="1174" t="b">
        <f>IFERROR(__xludf.DUMMYFUNCTION("""COMPUTED_VALUE"""),FALSE)</f>
        <v>0</v>
      </c>
      <c r="I293" s="1174"/>
      <c r="J293" s="1177">
        <f>IFERROR(__xludf.DUMMYFUNCTION("""COMPUTED_VALUE"""),7199.0)</f>
        <v>7199</v>
      </c>
    </row>
    <row r="294">
      <c r="A294" s="1175">
        <f>IFERROR(__xludf.DUMMYFUNCTION("""COMPUTED_VALUE"""),46203.0)</f>
        <v>46203</v>
      </c>
      <c r="B294" s="1174"/>
      <c r="C294" s="1174"/>
      <c r="D294" s="1174" t="b">
        <f>IFERROR(__xludf.DUMMYFUNCTION("""COMPUTED_VALUE"""),FALSE)</f>
        <v>0</v>
      </c>
      <c r="E294" s="1174" t="str">
        <f>IFERROR(__xludf.DUMMYFUNCTION("""COMPUTED_VALUE"""),"Laptop")</f>
        <v>Laptop</v>
      </c>
      <c r="F294" s="1176">
        <f>IFERROR(__xludf.DUMMYFUNCTION("""COMPUTED_VALUE"""),1899.99)</f>
        <v>1899.99</v>
      </c>
      <c r="G294" s="1177">
        <f>IFERROR(__xludf.DUMMYFUNCTION("""COMPUTED_VALUE"""),341.0400000000009)</f>
        <v>341.04</v>
      </c>
      <c r="H294" s="1174" t="b">
        <f>IFERROR(__xludf.DUMMYFUNCTION("""COMPUTED_VALUE"""),FALSE)</f>
        <v>0</v>
      </c>
      <c r="I294" s="1174"/>
      <c r="J294" s="1177">
        <f>IFERROR(__xludf.DUMMYFUNCTION("""COMPUTED_VALUE"""),8549.0)</f>
        <v>8549</v>
      </c>
    </row>
    <row r="295">
      <c r="A295" s="1175">
        <f>IFERROR(__xludf.DUMMYFUNCTION("""COMPUTED_VALUE"""),46204.0)</f>
        <v>46204</v>
      </c>
      <c r="B295" s="1174" t="str">
        <f>IFERROR(__xludf.DUMMYFUNCTION("""COMPUTED_VALUE"""),"ke-am-113-0453519-2034636")</f>
        <v>ke-am-113-0453519-2034636</v>
      </c>
      <c r="C295" s="1174"/>
      <c r="D295" s="1174" t="b">
        <f>IFERROR(__xludf.DUMMYFUNCTION("""COMPUTED_VALUE"""),FALSE)</f>
        <v>0</v>
      </c>
      <c r="E295" s="1174" t="str">
        <f>IFERROR(__xludf.DUMMYFUNCTION("""COMPUTED_VALUE"""),"Laptop")</f>
        <v>Laptop</v>
      </c>
      <c r="F295" s="1176">
        <f>IFERROR(__xludf.DUMMYFUNCTION("""COMPUTED_VALUE"""),2099.99)</f>
        <v>2099.99</v>
      </c>
      <c r="G295" s="1177">
        <f>IFERROR(__xludf.DUMMYFUNCTION("""COMPUTED_VALUE"""),485.22999999999956)</f>
        <v>485.23</v>
      </c>
      <c r="H295" s="1174" t="b">
        <f>IFERROR(__xludf.DUMMYFUNCTION("""COMPUTED_VALUE"""),FALSE)</f>
        <v>0</v>
      </c>
      <c r="I295" s="1174"/>
      <c r="J295" s="1177">
        <f>IFERROR(__xludf.DUMMYFUNCTION("""COMPUTED_VALUE"""),9349.0)</f>
        <v>9349</v>
      </c>
    </row>
    <row r="296">
      <c r="A296" s="1175">
        <f>IFERROR(__xludf.DUMMYFUNCTION("""COMPUTED_VALUE"""),46204.0)</f>
        <v>46204</v>
      </c>
      <c r="B296" s="1174"/>
      <c r="C296" s="1174"/>
      <c r="D296" s="1174" t="b">
        <f>IFERROR(__xludf.DUMMYFUNCTION("""COMPUTED_VALUE"""),FALSE)</f>
        <v>0</v>
      </c>
      <c r="E296" s="1174" t="str">
        <f>IFERROR(__xludf.DUMMYFUNCTION("""COMPUTED_VALUE"""),"Laptop")</f>
        <v>Laptop</v>
      </c>
      <c r="F296" s="1176">
        <f>IFERROR(__xludf.DUMMYFUNCTION("""COMPUTED_VALUE"""),1679.99)</f>
        <v>1679.99</v>
      </c>
      <c r="G296" s="1177">
        <f>IFERROR(__xludf.DUMMYFUNCTION("""COMPUTED_VALUE"""),235.67000000000007)</f>
        <v>235.67</v>
      </c>
      <c r="H296" s="1174" t="b">
        <f>IFERROR(__xludf.DUMMYFUNCTION("""COMPUTED_VALUE"""),FALSE)</f>
        <v>0</v>
      </c>
      <c r="I296" s="1174"/>
      <c r="J296" s="1177">
        <f>IFERROR(__xludf.DUMMYFUNCTION("""COMPUTED_VALUE"""),7499.0)</f>
        <v>7499</v>
      </c>
    </row>
    <row r="307">
      <c r="N307" s="1174" t="str">
        <f t="shared" ref="N307:N1000" si="1">IF(M307="","",YEAR(M307))</f>
        <v/>
      </c>
    </row>
    <row r="308">
      <c r="N308" s="1174" t="str">
        <f t="shared" si="1"/>
        <v/>
      </c>
    </row>
    <row r="309">
      <c r="N309" s="1174" t="str">
        <f t="shared" si="1"/>
        <v/>
      </c>
    </row>
    <row r="310">
      <c r="N310" s="1174" t="str">
        <f t="shared" si="1"/>
        <v/>
      </c>
    </row>
    <row r="311">
      <c r="N311" s="1174" t="str">
        <f t="shared" si="1"/>
        <v/>
      </c>
    </row>
    <row r="312">
      <c r="N312" s="1174" t="str">
        <f t="shared" si="1"/>
        <v/>
      </c>
    </row>
    <row r="313">
      <c r="N313" s="1174" t="str">
        <f t="shared" si="1"/>
        <v/>
      </c>
    </row>
    <row r="314">
      <c r="N314" s="1174" t="str">
        <f t="shared" si="1"/>
        <v/>
      </c>
    </row>
    <row r="315">
      <c r="N315" s="1174" t="str">
        <f t="shared" si="1"/>
        <v/>
      </c>
    </row>
    <row r="316">
      <c r="N316" s="1174" t="str">
        <f t="shared" si="1"/>
        <v/>
      </c>
    </row>
    <row r="317">
      <c r="N317" s="1174" t="str">
        <f t="shared" si="1"/>
        <v/>
      </c>
    </row>
    <row r="318">
      <c r="N318" s="1174" t="str">
        <f t="shared" si="1"/>
        <v/>
      </c>
    </row>
    <row r="319">
      <c r="N319" s="1174" t="str">
        <f t="shared" si="1"/>
        <v/>
      </c>
    </row>
    <row r="320">
      <c r="N320" s="1174" t="str">
        <f t="shared" si="1"/>
        <v/>
      </c>
    </row>
    <row r="321">
      <c r="N321" s="1174" t="str">
        <f t="shared" si="1"/>
        <v/>
      </c>
    </row>
    <row r="322">
      <c r="N322" s="1174" t="str">
        <f t="shared" si="1"/>
        <v/>
      </c>
    </row>
    <row r="323">
      <c r="N323" s="1174" t="str">
        <f t="shared" si="1"/>
        <v/>
      </c>
    </row>
    <row r="324">
      <c r="N324" s="1174" t="str">
        <f t="shared" si="1"/>
        <v/>
      </c>
    </row>
    <row r="325">
      <c r="N325" s="1174" t="str">
        <f t="shared" si="1"/>
        <v/>
      </c>
    </row>
    <row r="326">
      <c r="N326" s="1174" t="str">
        <f t="shared" si="1"/>
        <v/>
      </c>
    </row>
    <row r="327">
      <c r="N327" s="1174" t="str">
        <f t="shared" si="1"/>
        <v/>
      </c>
    </row>
    <row r="328">
      <c r="N328" s="1174" t="str">
        <f t="shared" si="1"/>
        <v/>
      </c>
    </row>
    <row r="329">
      <c r="N329" s="1174" t="str">
        <f t="shared" si="1"/>
        <v/>
      </c>
    </row>
    <row r="330">
      <c r="N330" s="1174" t="str">
        <f t="shared" si="1"/>
        <v/>
      </c>
    </row>
    <row r="331">
      <c r="N331" s="1174" t="str">
        <f t="shared" si="1"/>
        <v/>
      </c>
    </row>
    <row r="332">
      <c r="N332" s="1174" t="str">
        <f t="shared" si="1"/>
        <v/>
      </c>
    </row>
    <row r="333">
      <c r="N333" s="1174" t="str">
        <f t="shared" si="1"/>
        <v/>
      </c>
    </row>
    <row r="334">
      <c r="N334" s="1174" t="str">
        <f t="shared" si="1"/>
        <v/>
      </c>
    </row>
    <row r="335">
      <c r="N335" s="1174" t="str">
        <f t="shared" si="1"/>
        <v/>
      </c>
    </row>
    <row r="336">
      <c r="N336" s="1174" t="str">
        <f t="shared" si="1"/>
        <v/>
      </c>
    </row>
    <row r="337">
      <c r="N337" s="1174" t="str">
        <f t="shared" si="1"/>
        <v/>
      </c>
    </row>
    <row r="338">
      <c r="N338" s="1174" t="str">
        <f t="shared" si="1"/>
        <v/>
      </c>
    </row>
    <row r="339">
      <c r="N339" s="1174" t="str">
        <f t="shared" si="1"/>
        <v/>
      </c>
    </row>
    <row r="340">
      <c r="N340" s="1174" t="str">
        <f t="shared" si="1"/>
        <v/>
      </c>
    </row>
    <row r="341">
      <c r="N341" s="1174" t="str">
        <f t="shared" si="1"/>
        <v/>
      </c>
    </row>
    <row r="342">
      <c r="N342" s="1174" t="str">
        <f t="shared" si="1"/>
        <v/>
      </c>
    </row>
    <row r="343">
      <c r="N343" s="1174" t="str">
        <f t="shared" si="1"/>
        <v/>
      </c>
    </row>
    <row r="344">
      <c r="N344" s="1174" t="str">
        <f t="shared" si="1"/>
        <v/>
      </c>
    </row>
    <row r="345">
      <c r="N345" s="1174" t="str">
        <f t="shared" si="1"/>
        <v/>
      </c>
    </row>
    <row r="346">
      <c r="N346" s="1174" t="str">
        <f t="shared" si="1"/>
        <v/>
      </c>
    </row>
    <row r="347">
      <c r="N347" s="1174" t="str">
        <f t="shared" si="1"/>
        <v/>
      </c>
    </row>
    <row r="348">
      <c r="N348" s="1174" t="str">
        <f t="shared" si="1"/>
        <v/>
      </c>
    </row>
    <row r="349">
      <c r="N349" s="1174" t="str">
        <f t="shared" si="1"/>
        <v/>
      </c>
    </row>
    <row r="350">
      <c r="N350" s="1174" t="str">
        <f t="shared" si="1"/>
        <v/>
      </c>
    </row>
    <row r="351">
      <c r="N351" s="1174" t="str">
        <f t="shared" si="1"/>
        <v/>
      </c>
    </row>
    <row r="352">
      <c r="N352" s="1174" t="str">
        <f t="shared" si="1"/>
        <v/>
      </c>
    </row>
    <row r="353">
      <c r="N353" s="1174" t="str">
        <f t="shared" si="1"/>
        <v/>
      </c>
    </row>
    <row r="354">
      <c r="N354" s="1174" t="str">
        <f t="shared" si="1"/>
        <v/>
      </c>
    </row>
    <row r="355">
      <c r="N355" s="1174" t="str">
        <f t="shared" si="1"/>
        <v/>
      </c>
    </row>
    <row r="356">
      <c r="N356" s="1174" t="str">
        <f t="shared" si="1"/>
        <v/>
      </c>
    </row>
    <row r="357">
      <c r="N357" s="1174" t="str">
        <f t="shared" si="1"/>
        <v/>
      </c>
    </row>
    <row r="358">
      <c r="N358" s="1174" t="str">
        <f t="shared" si="1"/>
        <v/>
      </c>
    </row>
    <row r="359">
      <c r="N359" s="1174" t="str">
        <f t="shared" si="1"/>
        <v/>
      </c>
    </row>
    <row r="360">
      <c r="N360" s="1174" t="str">
        <f t="shared" si="1"/>
        <v/>
      </c>
    </row>
    <row r="361">
      <c r="N361" s="1174" t="str">
        <f t="shared" si="1"/>
        <v/>
      </c>
    </row>
    <row r="362">
      <c r="N362" s="1174" t="str">
        <f t="shared" si="1"/>
        <v/>
      </c>
    </row>
    <row r="363">
      <c r="N363" s="1174" t="str">
        <f t="shared" si="1"/>
        <v/>
      </c>
    </row>
    <row r="364">
      <c r="N364" s="1174" t="str">
        <f t="shared" si="1"/>
        <v/>
      </c>
    </row>
    <row r="365">
      <c r="N365" s="1174" t="str">
        <f t="shared" si="1"/>
        <v/>
      </c>
    </row>
    <row r="366">
      <c r="N366" s="1174" t="str">
        <f t="shared" si="1"/>
        <v/>
      </c>
    </row>
    <row r="367">
      <c r="N367" s="1174" t="str">
        <f t="shared" si="1"/>
        <v/>
      </c>
    </row>
    <row r="368">
      <c r="N368" s="1174" t="str">
        <f t="shared" si="1"/>
        <v/>
      </c>
    </row>
    <row r="369">
      <c r="N369" s="1174" t="str">
        <f t="shared" si="1"/>
        <v/>
      </c>
    </row>
    <row r="370">
      <c r="N370" s="1174" t="str">
        <f t="shared" si="1"/>
        <v/>
      </c>
    </row>
    <row r="371">
      <c r="N371" s="1174" t="str">
        <f t="shared" si="1"/>
        <v/>
      </c>
    </row>
    <row r="372">
      <c r="N372" s="1174" t="str">
        <f t="shared" si="1"/>
        <v/>
      </c>
    </row>
    <row r="373">
      <c r="N373" s="1174" t="str">
        <f t="shared" si="1"/>
        <v/>
      </c>
    </row>
    <row r="374">
      <c r="N374" s="1174" t="str">
        <f t="shared" si="1"/>
        <v/>
      </c>
    </row>
    <row r="375">
      <c r="N375" s="1174" t="str">
        <f t="shared" si="1"/>
        <v/>
      </c>
    </row>
    <row r="376">
      <c r="N376" s="1174" t="str">
        <f t="shared" si="1"/>
        <v/>
      </c>
    </row>
    <row r="377">
      <c r="N377" s="1174" t="str">
        <f t="shared" si="1"/>
        <v/>
      </c>
    </row>
    <row r="378">
      <c r="N378" s="1174" t="str">
        <f t="shared" si="1"/>
        <v/>
      </c>
    </row>
    <row r="379">
      <c r="N379" s="1174" t="str">
        <f t="shared" si="1"/>
        <v/>
      </c>
    </row>
    <row r="380">
      <c r="N380" s="1174" t="str">
        <f t="shared" si="1"/>
        <v/>
      </c>
    </row>
    <row r="381">
      <c r="N381" s="1174" t="str">
        <f t="shared" si="1"/>
        <v/>
      </c>
    </row>
    <row r="382">
      <c r="N382" s="1174" t="str">
        <f t="shared" si="1"/>
        <v/>
      </c>
    </row>
    <row r="383">
      <c r="N383" s="1174" t="str">
        <f t="shared" si="1"/>
        <v/>
      </c>
    </row>
    <row r="384">
      <c r="N384" s="1174" t="str">
        <f t="shared" si="1"/>
        <v/>
      </c>
    </row>
    <row r="385">
      <c r="N385" s="1174" t="str">
        <f t="shared" si="1"/>
        <v/>
      </c>
    </row>
    <row r="386">
      <c r="N386" s="1174" t="str">
        <f t="shared" si="1"/>
        <v/>
      </c>
    </row>
    <row r="387">
      <c r="N387" s="1174" t="str">
        <f t="shared" si="1"/>
        <v/>
      </c>
    </row>
    <row r="388">
      <c r="N388" s="1174" t="str">
        <f t="shared" si="1"/>
        <v/>
      </c>
    </row>
    <row r="389">
      <c r="N389" s="1174" t="str">
        <f t="shared" si="1"/>
        <v/>
      </c>
    </row>
    <row r="390">
      <c r="N390" s="1174" t="str">
        <f t="shared" si="1"/>
        <v/>
      </c>
    </row>
    <row r="391">
      <c r="N391" s="1174" t="str">
        <f t="shared" si="1"/>
        <v/>
      </c>
    </row>
    <row r="392">
      <c r="N392" s="1174" t="str">
        <f t="shared" si="1"/>
        <v/>
      </c>
    </row>
    <row r="393">
      <c r="N393" s="1174" t="str">
        <f t="shared" si="1"/>
        <v/>
      </c>
    </row>
    <row r="394">
      <c r="N394" s="1174" t="str">
        <f t="shared" si="1"/>
        <v/>
      </c>
    </row>
    <row r="395">
      <c r="N395" s="1174" t="str">
        <f t="shared" si="1"/>
        <v/>
      </c>
    </row>
    <row r="396">
      <c r="N396" s="1174" t="str">
        <f t="shared" si="1"/>
        <v/>
      </c>
    </row>
    <row r="397">
      <c r="N397" s="1174" t="str">
        <f t="shared" si="1"/>
        <v/>
      </c>
    </row>
    <row r="398">
      <c r="N398" s="1174" t="str">
        <f t="shared" si="1"/>
        <v/>
      </c>
    </row>
    <row r="399">
      <c r="N399" s="1174" t="str">
        <f t="shared" si="1"/>
        <v/>
      </c>
    </row>
    <row r="400">
      <c r="N400" s="1174" t="str">
        <f t="shared" si="1"/>
        <v/>
      </c>
    </row>
    <row r="401">
      <c r="N401" s="1174" t="str">
        <f t="shared" si="1"/>
        <v/>
      </c>
    </row>
    <row r="402">
      <c r="N402" s="1174" t="str">
        <f t="shared" si="1"/>
        <v/>
      </c>
    </row>
    <row r="403">
      <c r="N403" s="1174" t="str">
        <f t="shared" si="1"/>
        <v/>
      </c>
    </row>
    <row r="404">
      <c r="N404" s="1174" t="str">
        <f t="shared" si="1"/>
        <v/>
      </c>
    </row>
    <row r="405">
      <c r="N405" s="1174" t="str">
        <f t="shared" si="1"/>
        <v/>
      </c>
    </row>
    <row r="406">
      <c r="N406" s="1174" t="str">
        <f t="shared" si="1"/>
        <v/>
      </c>
    </row>
    <row r="407">
      <c r="N407" s="1174" t="str">
        <f t="shared" si="1"/>
        <v/>
      </c>
    </row>
    <row r="408">
      <c r="N408" s="1174" t="str">
        <f t="shared" si="1"/>
        <v/>
      </c>
    </row>
    <row r="409">
      <c r="N409" s="1174" t="str">
        <f t="shared" si="1"/>
        <v/>
      </c>
    </row>
    <row r="410">
      <c r="N410" s="1174" t="str">
        <f t="shared" si="1"/>
        <v/>
      </c>
    </row>
    <row r="411">
      <c r="N411" s="1174" t="str">
        <f t="shared" si="1"/>
        <v/>
      </c>
    </row>
    <row r="412">
      <c r="N412" s="1174" t="str">
        <f t="shared" si="1"/>
        <v/>
      </c>
    </row>
    <row r="413">
      <c r="N413" s="1174" t="str">
        <f t="shared" si="1"/>
        <v/>
      </c>
    </row>
    <row r="414">
      <c r="N414" s="1174" t="str">
        <f t="shared" si="1"/>
        <v/>
      </c>
    </row>
    <row r="415">
      <c r="N415" s="1174" t="str">
        <f t="shared" si="1"/>
        <v/>
      </c>
    </row>
    <row r="416">
      <c r="N416" s="1174" t="str">
        <f t="shared" si="1"/>
        <v/>
      </c>
    </row>
    <row r="417">
      <c r="N417" s="1174" t="str">
        <f t="shared" si="1"/>
        <v/>
      </c>
    </row>
    <row r="418">
      <c r="N418" s="1174" t="str">
        <f t="shared" si="1"/>
        <v/>
      </c>
    </row>
    <row r="419">
      <c r="N419" s="1174" t="str">
        <f t="shared" si="1"/>
        <v/>
      </c>
    </row>
    <row r="420">
      <c r="N420" s="1174" t="str">
        <f t="shared" si="1"/>
        <v/>
      </c>
    </row>
    <row r="421">
      <c r="N421" s="1174" t="str">
        <f t="shared" si="1"/>
        <v/>
      </c>
    </row>
    <row r="422">
      <c r="N422" s="1174" t="str">
        <f t="shared" si="1"/>
        <v/>
      </c>
    </row>
    <row r="423">
      <c r="N423" s="1174" t="str">
        <f t="shared" si="1"/>
        <v/>
      </c>
    </row>
    <row r="424">
      <c r="N424" s="1174" t="str">
        <f t="shared" si="1"/>
        <v/>
      </c>
    </row>
    <row r="425">
      <c r="N425" s="1174" t="str">
        <f t="shared" si="1"/>
        <v/>
      </c>
    </row>
    <row r="426">
      <c r="N426" s="1174" t="str">
        <f t="shared" si="1"/>
        <v/>
      </c>
    </row>
    <row r="427">
      <c r="N427" s="1174" t="str">
        <f t="shared" si="1"/>
        <v/>
      </c>
    </row>
    <row r="428">
      <c r="N428" s="1174" t="str">
        <f t="shared" si="1"/>
        <v/>
      </c>
    </row>
    <row r="429">
      <c r="N429" s="1174" t="str">
        <f t="shared" si="1"/>
        <v/>
      </c>
    </row>
    <row r="430">
      <c r="N430" s="1174" t="str">
        <f t="shared" si="1"/>
        <v/>
      </c>
    </row>
    <row r="431">
      <c r="N431" s="1174" t="str">
        <f t="shared" si="1"/>
        <v/>
      </c>
    </row>
    <row r="432">
      <c r="N432" s="1174" t="str">
        <f t="shared" si="1"/>
        <v/>
      </c>
    </row>
    <row r="433">
      <c r="N433" s="1174" t="str">
        <f t="shared" si="1"/>
        <v/>
      </c>
    </row>
    <row r="434">
      <c r="N434" s="1174" t="str">
        <f t="shared" si="1"/>
        <v/>
      </c>
    </row>
    <row r="435">
      <c r="N435" s="1174" t="str">
        <f t="shared" si="1"/>
        <v/>
      </c>
    </row>
    <row r="436">
      <c r="N436" s="1174" t="str">
        <f t="shared" si="1"/>
        <v/>
      </c>
    </row>
    <row r="437">
      <c r="N437" s="1174" t="str">
        <f t="shared" si="1"/>
        <v/>
      </c>
    </row>
    <row r="438">
      <c r="N438" s="1174" t="str">
        <f t="shared" si="1"/>
        <v/>
      </c>
    </row>
    <row r="439">
      <c r="N439" s="1174" t="str">
        <f t="shared" si="1"/>
        <v/>
      </c>
    </row>
    <row r="440">
      <c r="N440" s="1174" t="str">
        <f t="shared" si="1"/>
        <v/>
      </c>
    </row>
    <row r="441">
      <c r="N441" s="1174" t="str">
        <f t="shared" si="1"/>
        <v/>
      </c>
    </row>
    <row r="442">
      <c r="N442" s="1174" t="str">
        <f t="shared" si="1"/>
        <v/>
      </c>
    </row>
    <row r="443">
      <c r="N443" s="1174" t="str">
        <f t="shared" si="1"/>
        <v/>
      </c>
    </row>
    <row r="444">
      <c r="N444" s="1174" t="str">
        <f t="shared" si="1"/>
        <v/>
      </c>
    </row>
    <row r="445">
      <c r="N445" s="1174" t="str">
        <f t="shared" si="1"/>
        <v/>
      </c>
    </row>
    <row r="446">
      <c r="N446" s="1174" t="str">
        <f t="shared" si="1"/>
        <v/>
      </c>
    </row>
    <row r="447">
      <c r="N447" s="1174" t="str">
        <f t="shared" si="1"/>
        <v/>
      </c>
    </row>
    <row r="448">
      <c r="N448" s="1174" t="str">
        <f t="shared" si="1"/>
        <v/>
      </c>
    </row>
    <row r="449">
      <c r="N449" s="1174" t="str">
        <f t="shared" si="1"/>
        <v/>
      </c>
    </row>
    <row r="450">
      <c r="N450" s="1174" t="str">
        <f t="shared" si="1"/>
        <v/>
      </c>
    </row>
    <row r="451">
      <c r="N451" s="1174" t="str">
        <f t="shared" si="1"/>
        <v/>
      </c>
    </row>
    <row r="452">
      <c r="N452" s="1174" t="str">
        <f t="shared" si="1"/>
        <v/>
      </c>
    </row>
    <row r="453">
      <c r="N453" s="1174" t="str">
        <f t="shared" si="1"/>
        <v/>
      </c>
    </row>
    <row r="454">
      <c r="N454" s="1174" t="str">
        <f t="shared" si="1"/>
        <v/>
      </c>
    </row>
    <row r="455">
      <c r="N455" s="1174" t="str">
        <f t="shared" si="1"/>
        <v/>
      </c>
    </row>
    <row r="456">
      <c r="N456" s="1174" t="str">
        <f t="shared" si="1"/>
        <v/>
      </c>
    </row>
    <row r="457">
      <c r="N457" s="1174" t="str">
        <f t="shared" si="1"/>
        <v/>
      </c>
    </row>
    <row r="458">
      <c r="N458" s="1174" t="str">
        <f t="shared" si="1"/>
        <v/>
      </c>
    </row>
    <row r="459">
      <c r="N459" s="1174" t="str">
        <f t="shared" si="1"/>
        <v/>
      </c>
    </row>
    <row r="460">
      <c r="N460" s="1174" t="str">
        <f t="shared" si="1"/>
        <v/>
      </c>
    </row>
    <row r="461">
      <c r="N461" s="1174" t="str">
        <f t="shared" si="1"/>
        <v/>
      </c>
    </row>
    <row r="462">
      <c r="N462" s="1174" t="str">
        <f t="shared" si="1"/>
        <v/>
      </c>
    </row>
    <row r="463">
      <c r="N463" s="1174" t="str">
        <f t="shared" si="1"/>
        <v/>
      </c>
    </row>
    <row r="464">
      <c r="N464" s="1174" t="str">
        <f t="shared" si="1"/>
        <v/>
      </c>
    </row>
    <row r="465">
      <c r="N465" s="1174" t="str">
        <f t="shared" si="1"/>
        <v/>
      </c>
    </row>
    <row r="466">
      <c r="N466" s="1174" t="str">
        <f t="shared" si="1"/>
        <v/>
      </c>
    </row>
    <row r="467">
      <c r="N467" s="1174" t="str">
        <f t="shared" si="1"/>
        <v/>
      </c>
    </row>
    <row r="468">
      <c r="N468" s="1174" t="str">
        <f t="shared" si="1"/>
        <v/>
      </c>
    </row>
    <row r="469">
      <c r="N469" s="1174" t="str">
        <f t="shared" si="1"/>
        <v/>
      </c>
    </row>
    <row r="470">
      <c r="N470" s="1174" t="str">
        <f t="shared" si="1"/>
        <v/>
      </c>
    </row>
    <row r="471">
      <c r="N471" s="1174" t="str">
        <f t="shared" si="1"/>
        <v/>
      </c>
    </row>
    <row r="472">
      <c r="N472" s="1174" t="str">
        <f t="shared" si="1"/>
        <v/>
      </c>
    </row>
    <row r="473">
      <c r="N473" s="1174" t="str">
        <f t="shared" si="1"/>
        <v/>
      </c>
    </row>
    <row r="474">
      <c r="N474" s="1174" t="str">
        <f t="shared" si="1"/>
        <v/>
      </c>
    </row>
    <row r="475">
      <c r="N475" s="1174" t="str">
        <f t="shared" si="1"/>
        <v/>
      </c>
    </row>
    <row r="476">
      <c r="N476" s="1174" t="str">
        <f t="shared" si="1"/>
        <v/>
      </c>
    </row>
    <row r="477">
      <c r="N477" s="1174" t="str">
        <f t="shared" si="1"/>
        <v/>
      </c>
    </row>
    <row r="478">
      <c r="N478" s="1174" t="str">
        <f t="shared" si="1"/>
        <v/>
      </c>
    </row>
    <row r="479">
      <c r="N479" s="1174" t="str">
        <f t="shared" si="1"/>
        <v/>
      </c>
    </row>
    <row r="480">
      <c r="N480" s="1174" t="str">
        <f t="shared" si="1"/>
        <v/>
      </c>
    </row>
    <row r="481">
      <c r="N481" s="1174" t="str">
        <f t="shared" si="1"/>
        <v/>
      </c>
    </row>
    <row r="482">
      <c r="N482" s="1174" t="str">
        <f t="shared" si="1"/>
        <v/>
      </c>
    </row>
    <row r="483">
      <c r="N483" s="1174" t="str">
        <f t="shared" si="1"/>
        <v/>
      </c>
    </row>
    <row r="484">
      <c r="N484" s="1174" t="str">
        <f t="shared" si="1"/>
        <v/>
      </c>
    </row>
    <row r="485">
      <c r="N485" s="1174" t="str">
        <f t="shared" si="1"/>
        <v/>
      </c>
    </row>
    <row r="486">
      <c r="N486" s="1174" t="str">
        <f t="shared" si="1"/>
        <v/>
      </c>
    </row>
    <row r="487">
      <c r="N487" s="1174" t="str">
        <f t="shared" si="1"/>
        <v/>
      </c>
    </row>
    <row r="488">
      <c r="N488" s="1174" t="str">
        <f t="shared" si="1"/>
        <v/>
      </c>
    </row>
    <row r="489">
      <c r="N489" s="1174" t="str">
        <f t="shared" si="1"/>
        <v/>
      </c>
    </row>
    <row r="490">
      <c r="N490" s="1174" t="str">
        <f t="shared" si="1"/>
        <v/>
      </c>
    </row>
    <row r="491">
      <c r="N491" s="1174" t="str">
        <f t="shared" si="1"/>
        <v/>
      </c>
    </row>
    <row r="492">
      <c r="N492" s="1174" t="str">
        <f t="shared" si="1"/>
        <v/>
      </c>
    </row>
    <row r="493">
      <c r="N493" s="1174" t="str">
        <f t="shared" si="1"/>
        <v/>
      </c>
    </row>
    <row r="494">
      <c r="N494" s="1174" t="str">
        <f t="shared" si="1"/>
        <v/>
      </c>
    </row>
    <row r="495">
      <c r="N495" s="1174" t="str">
        <f t="shared" si="1"/>
        <v/>
      </c>
    </row>
    <row r="496">
      <c r="N496" s="1174" t="str">
        <f t="shared" si="1"/>
        <v/>
      </c>
    </row>
    <row r="497">
      <c r="N497" s="1174" t="str">
        <f t="shared" si="1"/>
        <v/>
      </c>
    </row>
    <row r="498">
      <c r="N498" s="1174" t="str">
        <f t="shared" si="1"/>
        <v/>
      </c>
    </row>
    <row r="499">
      <c r="N499" s="1174" t="str">
        <f t="shared" si="1"/>
        <v/>
      </c>
    </row>
    <row r="500">
      <c r="N500" s="1174" t="str">
        <f t="shared" si="1"/>
        <v/>
      </c>
    </row>
    <row r="501">
      <c r="N501" s="1174" t="str">
        <f t="shared" si="1"/>
        <v/>
      </c>
    </row>
    <row r="502">
      <c r="N502" s="1174" t="str">
        <f t="shared" si="1"/>
        <v/>
      </c>
    </row>
    <row r="503">
      <c r="N503" s="1174" t="str">
        <f t="shared" si="1"/>
        <v/>
      </c>
    </row>
    <row r="504">
      <c r="N504" s="1174" t="str">
        <f t="shared" si="1"/>
        <v/>
      </c>
    </row>
    <row r="505">
      <c r="N505" s="1174" t="str">
        <f t="shared" si="1"/>
        <v/>
      </c>
    </row>
    <row r="506">
      <c r="N506" s="1174" t="str">
        <f t="shared" si="1"/>
        <v/>
      </c>
    </row>
    <row r="507">
      <c r="N507" s="1174" t="str">
        <f t="shared" si="1"/>
        <v/>
      </c>
    </row>
    <row r="508">
      <c r="N508" s="1174" t="str">
        <f t="shared" si="1"/>
        <v/>
      </c>
    </row>
    <row r="509">
      <c r="N509" s="1174" t="str">
        <f t="shared" si="1"/>
        <v/>
      </c>
    </row>
    <row r="510">
      <c r="N510" s="1174" t="str">
        <f t="shared" si="1"/>
        <v/>
      </c>
    </row>
    <row r="511">
      <c r="N511" s="1174" t="str">
        <f t="shared" si="1"/>
        <v/>
      </c>
    </row>
    <row r="512">
      <c r="N512" s="1174" t="str">
        <f t="shared" si="1"/>
        <v/>
      </c>
    </row>
    <row r="513">
      <c r="N513" s="1174" t="str">
        <f t="shared" si="1"/>
        <v/>
      </c>
    </row>
    <row r="514">
      <c r="N514" s="1174" t="str">
        <f t="shared" si="1"/>
        <v/>
      </c>
    </row>
    <row r="515">
      <c r="N515" s="1174" t="str">
        <f t="shared" si="1"/>
        <v/>
      </c>
    </row>
    <row r="516">
      <c r="N516" s="1174" t="str">
        <f t="shared" si="1"/>
        <v/>
      </c>
    </row>
    <row r="517">
      <c r="N517" s="1174" t="str">
        <f t="shared" si="1"/>
        <v/>
      </c>
    </row>
    <row r="518">
      <c r="N518" s="1174" t="str">
        <f t="shared" si="1"/>
        <v/>
      </c>
    </row>
    <row r="519">
      <c r="N519" s="1174" t="str">
        <f t="shared" si="1"/>
        <v/>
      </c>
    </row>
    <row r="520">
      <c r="N520" s="1174" t="str">
        <f t="shared" si="1"/>
        <v/>
      </c>
    </row>
    <row r="521">
      <c r="N521" s="1174" t="str">
        <f t="shared" si="1"/>
        <v/>
      </c>
    </row>
    <row r="522">
      <c r="N522" s="1174" t="str">
        <f t="shared" si="1"/>
        <v/>
      </c>
    </row>
    <row r="523">
      <c r="N523" s="1174" t="str">
        <f t="shared" si="1"/>
        <v/>
      </c>
    </row>
    <row r="524">
      <c r="N524" s="1174" t="str">
        <f t="shared" si="1"/>
        <v/>
      </c>
    </row>
    <row r="525">
      <c r="N525" s="1174" t="str">
        <f t="shared" si="1"/>
        <v/>
      </c>
    </row>
    <row r="526">
      <c r="N526" s="1174" t="str">
        <f t="shared" si="1"/>
        <v/>
      </c>
    </row>
    <row r="527">
      <c r="N527" s="1174" t="str">
        <f t="shared" si="1"/>
        <v/>
      </c>
    </row>
    <row r="528">
      <c r="N528" s="1174" t="str">
        <f t="shared" si="1"/>
        <v/>
      </c>
    </row>
    <row r="529">
      <c r="N529" s="1174" t="str">
        <f t="shared" si="1"/>
        <v/>
      </c>
    </row>
    <row r="530">
      <c r="N530" s="1174" t="str">
        <f t="shared" si="1"/>
        <v/>
      </c>
    </row>
    <row r="531">
      <c r="N531" s="1174" t="str">
        <f t="shared" si="1"/>
        <v/>
      </c>
    </row>
    <row r="532">
      <c r="N532" s="1174" t="str">
        <f t="shared" si="1"/>
        <v/>
      </c>
    </row>
    <row r="533">
      <c r="N533" s="1174" t="str">
        <f t="shared" si="1"/>
        <v/>
      </c>
    </row>
    <row r="534">
      <c r="N534" s="1174" t="str">
        <f t="shared" si="1"/>
        <v/>
      </c>
    </row>
    <row r="535">
      <c r="N535" s="1174" t="str">
        <f t="shared" si="1"/>
        <v/>
      </c>
    </row>
    <row r="536">
      <c r="N536" s="1174" t="str">
        <f t="shared" si="1"/>
        <v/>
      </c>
    </row>
    <row r="537">
      <c r="N537" s="1174" t="str">
        <f t="shared" si="1"/>
        <v/>
      </c>
    </row>
    <row r="538">
      <c r="N538" s="1174" t="str">
        <f t="shared" si="1"/>
        <v/>
      </c>
    </row>
    <row r="539">
      <c r="N539" s="1174" t="str">
        <f t="shared" si="1"/>
        <v/>
      </c>
    </row>
    <row r="540">
      <c r="N540" s="1174" t="str">
        <f t="shared" si="1"/>
        <v/>
      </c>
    </row>
    <row r="541">
      <c r="N541" s="1174" t="str">
        <f t="shared" si="1"/>
        <v/>
      </c>
    </row>
    <row r="542">
      <c r="N542" s="1174" t="str">
        <f t="shared" si="1"/>
        <v/>
      </c>
    </row>
    <row r="543">
      <c r="N543" s="1174" t="str">
        <f t="shared" si="1"/>
        <v/>
      </c>
    </row>
    <row r="544">
      <c r="N544" s="1174" t="str">
        <f t="shared" si="1"/>
        <v/>
      </c>
    </row>
    <row r="545">
      <c r="N545" s="1174" t="str">
        <f t="shared" si="1"/>
        <v/>
      </c>
    </row>
    <row r="546">
      <c r="N546" s="1174" t="str">
        <f t="shared" si="1"/>
        <v/>
      </c>
    </row>
    <row r="547">
      <c r="N547" s="1174" t="str">
        <f t="shared" si="1"/>
        <v/>
      </c>
    </row>
    <row r="548">
      <c r="N548" s="1174" t="str">
        <f t="shared" si="1"/>
        <v/>
      </c>
    </row>
    <row r="549">
      <c r="N549" s="1174" t="str">
        <f t="shared" si="1"/>
        <v/>
      </c>
    </row>
    <row r="550">
      <c r="N550" s="1174" t="str">
        <f t="shared" si="1"/>
        <v/>
      </c>
    </row>
    <row r="551">
      <c r="N551" s="1174" t="str">
        <f t="shared" si="1"/>
        <v/>
      </c>
    </row>
    <row r="552">
      <c r="N552" s="1174" t="str">
        <f t="shared" si="1"/>
        <v/>
      </c>
    </row>
    <row r="553">
      <c r="N553" s="1174" t="str">
        <f t="shared" si="1"/>
        <v/>
      </c>
    </row>
    <row r="554">
      <c r="N554" s="1174" t="str">
        <f t="shared" si="1"/>
        <v/>
      </c>
    </row>
    <row r="555">
      <c r="N555" s="1174" t="str">
        <f t="shared" si="1"/>
        <v/>
      </c>
    </row>
    <row r="556">
      <c r="N556" s="1174" t="str">
        <f t="shared" si="1"/>
        <v/>
      </c>
    </row>
    <row r="557">
      <c r="N557" s="1174" t="str">
        <f t="shared" si="1"/>
        <v/>
      </c>
    </row>
    <row r="558">
      <c r="N558" s="1174" t="str">
        <f t="shared" si="1"/>
        <v/>
      </c>
    </row>
    <row r="559">
      <c r="N559" s="1174" t="str">
        <f t="shared" si="1"/>
        <v/>
      </c>
    </row>
    <row r="560">
      <c r="N560" s="1174" t="str">
        <f t="shared" si="1"/>
        <v/>
      </c>
    </row>
    <row r="561">
      <c r="N561" s="1174" t="str">
        <f t="shared" si="1"/>
        <v/>
      </c>
    </row>
    <row r="562">
      <c r="N562" s="1174" t="str">
        <f t="shared" si="1"/>
        <v/>
      </c>
    </row>
    <row r="563">
      <c r="N563" s="1174" t="str">
        <f t="shared" si="1"/>
        <v/>
      </c>
    </row>
    <row r="564">
      <c r="N564" s="1174" t="str">
        <f t="shared" si="1"/>
        <v/>
      </c>
    </row>
    <row r="565">
      <c r="N565" s="1174" t="str">
        <f t="shared" si="1"/>
        <v/>
      </c>
    </row>
    <row r="566">
      <c r="N566" s="1174" t="str">
        <f t="shared" si="1"/>
        <v/>
      </c>
    </row>
    <row r="567">
      <c r="N567" s="1174" t="str">
        <f t="shared" si="1"/>
        <v/>
      </c>
    </row>
    <row r="568">
      <c r="N568" s="1174" t="str">
        <f t="shared" si="1"/>
        <v/>
      </c>
    </row>
    <row r="569">
      <c r="N569" s="1174" t="str">
        <f t="shared" si="1"/>
        <v/>
      </c>
    </row>
    <row r="570">
      <c r="N570" s="1174" t="str">
        <f t="shared" si="1"/>
        <v/>
      </c>
    </row>
    <row r="571">
      <c r="N571" s="1174" t="str">
        <f t="shared" si="1"/>
        <v/>
      </c>
    </row>
    <row r="572">
      <c r="N572" s="1174" t="str">
        <f t="shared" si="1"/>
        <v/>
      </c>
    </row>
    <row r="573">
      <c r="N573" s="1174" t="str">
        <f t="shared" si="1"/>
        <v/>
      </c>
    </row>
    <row r="574">
      <c r="N574" s="1174" t="str">
        <f t="shared" si="1"/>
        <v/>
      </c>
    </row>
    <row r="575">
      <c r="N575" s="1174" t="str">
        <f t="shared" si="1"/>
        <v/>
      </c>
    </row>
    <row r="576">
      <c r="N576" s="1174" t="str">
        <f t="shared" si="1"/>
        <v/>
      </c>
    </row>
    <row r="577">
      <c r="N577" s="1174" t="str">
        <f t="shared" si="1"/>
        <v/>
      </c>
    </row>
    <row r="578">
      <c r="N578" s="1174" t="str">
        <f t="shared" si="1"/>
        <v/>
      </c>
    </row>
    <row r="579">
      <c r="N579" s="1174" t="str">
        <f t="shared" si="1"/>
        <v/>
      </c>
    </row>
    <row r="580">
      <c r="N580" s="1174" t="str">
        <f t="shared" si="1"/>
        <v/>
      </c>
    </row>
    <row r="581">
      <c r="N581" s="1174" t="str">
        <f t="shared" si="1"/>
        <v/>
      </c>
    </row>
    <row r="582">
      <c r="N582" s="1174" t="str">
        <f t="shared" si="1"/>
        <v/>
      </c>
    </row>
    <row r="583">
      <c r="N583" s="1174" t="str">
        <f t="shared" si="1"/>
        <v/>
      </c>
    </row>
    <row r="584">
      <c r="N584" s="1174" t="str">
        <f t="shared" si="1"/>
        <v/>
      </c>
    </row>
    <row r="585">
      <c r="N585" s="1174" t="str">
        <f t="shared" si="1"/>
        <v/>
      </c>
    </row>
    <row r="586">
      <c r="N586" s="1174" t="str">
        <f t="shared" si="1"/>
        <v/>
      </c>
    </row>
    <row r="587">
      <c r="N587" s="1174" t="str">
        <f t="shared" si="1"/>
        <v/>
      </c>
    </row>
    <row r="588">
      <c r="N588" s="1174" t="str">
        <f t="shared" si="1"/>
        <v/>
      </c>
    </row>
    <row r="589">
      <c r="N589" s="1174" t="str">
        <f t="shared" si="1"/>
        <v/>
      </c>
    </row>
    <row r="590">
      <c r="N590" s="1174" t="str">
        <f t="shared" si="1"/>
        <v/>
      </c>
    </row>
    <row r="591">
      <c r="N591" s="1174" t="str">
        <f t="shared" si="1"/>
        <v/>
      </c>
    </row>
    <row r="592">
      <c r="N592" s="1174" t="str">
        <f t="shared" si="1"/>
        <v/>
      </c>
    </row>
    <row r="593">
      <c r="N593" s="1174" t="str">
        <f t="shared" si="1"/>
        <v/>
      </c>
    </row>
    <row r="594">
      <c r="N594" s="1174" t="str">
        <f t="shared" si="1"/>
        <v/>
      </c>
    </row>
    <row r="595">
      <c r="N595" s="1174" t="str">
        <f t="shared" si="1"/>
        <v/>
      </c>
    </row>
    <row r="596">
      <c r="N596" s="1174" t="str">
        <f t="shared" si="1"/>
        <v/>
      </c>
    </row>
    <row r="597">
      <c r="N597" s="1174" t="str">
        <f t="shared" si="1"/>
        <v/>
      </c>
    </row>
    <row r="598">
      <c r="N598" s="1174" t="str">
        <f t="shared" si="1"/>
        <v/>
      </c>
    </row>
    <row r="599">
      <c r="N599" s="1174" t="str">
        <f t="shared" si="1"/>
        <v/>
      </c>
    </row>
    <row r="600">
      <c r="N600" s="1174" t="str">
        <f t="shared" si="1"/>
        <v/>
      </c>
    </row>
    <row r="601">
      <c r="N601" s="1174" t="str">
        <f t="shared" si="1"/>
        <v/>
      </c>
    </row>
    <row r="602">
      <c r="N602" s="1174" t="str">
        <f t="shared" si="1"/>
        <v/>
      </c>
    </row>
    <row r="603">
      <c r="N603" s="1174" t="str">
        <f t="shared" si="1"/>
        <v/>
      </c>
    </row>
    <row r="604">
      <c r="N604" s="1174" t="str">
        <f t="shared" si="1"/>
        <v/>
      </c>
    </row>
    <row r="605">
      <c r="N605" s="1174" t="str">
        <f t="shared" si="1"/>
        <v/>
      </c>
    </row>
    <row r="606">
      <c r="N606" s="1174" t="str">
        <f t="shared" si="1"/>
        <v/>
      </c>
    </row>
    <row r="607">
      <c r="N607" s="1174" t="str">
        <f t="shared" si="1"/>
        <v/>
      </c>
    </row>
    <row r="608">
      <c r="N608" s="1174" t="str">
        <f t="shared" si="1"/>
        <v/>
      </c>
    </row>
    <row r="609">
      <c r="N609" s="1174" t="str">
        <f t="shared" si="1"/>
        <v/>
      </c>
    </row>
    <row r="610">
      <c r="N610" s="1174" t="str">
        <f t="shared" si="1"/>
        <v/>
      </c>
    </row>
    <row r="611">
      <c r="N611" s="1174" t="str">
        <f t="shared" si="1"/>
        <v/>
      </c>
    </row>
    <row r="612">
      <c r="N612" s="1174" t="str">
        <f t="shared" si="1"/>
        <v/>
      </c>
    </row>
    <row r="613">
      <c r="N613" s="1174" t="str">
        <f t="shared" si="1"/>
        <v/>
      </c>
    </row>
    <row r="614">
      <c r="N614" s="1174" t="str">
        <f t="shared" si="1"/>
        <v/>
      </c>
    </row>
    <row r="615">
      <c r="N615" s="1174" t="str">
        <f t="shared" si="1"/>
        <v/>
      </c>
    </row>
    <row r="616">
      <c r="N616" s="1174" t="str">
        <f t="shared" si="1"/>
        <v/>
      </c>
    </row>
    <row r="617">
      <c r="N617" s="1174" t="str">
        <f t="shared" si="1"/>
        <v/>
      </c>
    </row>
    <row r="618">
      <c r="N618" s="1174" t="str">
        <f t="shared" si="1"/>
        <v/>
      </c>
    </row>
    <row r="619">
      <c r="N619" s="1174" t="str">
        <f t="shared" si="1"/>
        <v/>
      </c>
    </row>
    <row r="620">
      <c r="N620" s="1174" t="str">
        <f t="shared" si="1"/>
        <v/>
      </c>
    </row>
    <row r="621">
      <c r="N621" s="1174" t="str">
        <f t="shared" si="1"/>
        <v/>
      </c>
    </row>
    <row r="622">
      <c r="N622" s="1174" t="str">
        <f t="shared" si="1"/>
        <v/>
      </c>
    </row>
    <row r="623">
      <c r="N623" s="1174" t="str">
        <f t="shared" si="1"/>
        <v/>
      </c>
    </row>
    <row r="624">
      <c r="N624" s="1174" t="str">
        <f t="shared" si="1"/>
        <v/>
      </c>
    </row>
    <row r="625">
      <c r="N625" s="1174" t="str">
        <f t="shared" si="1"/>
        <v/>
      </c>
    </row>
    <row r="626">
      <c r="N626" s="1174" t="str">
        <f t="shared" si="1"/>
        <v/>
      </c>
    </row>
    <row r="627">
      <c r="N627" s="1174" t="str">
        <f t="shared" si="1"/>
        <v/>
      </c>
    </row>
    <row r="628">
      <c r="N628" s="1174" t="str">
        <f t="shared" si="1"/>
        <v/>
      </c>
    </row>
    <row r="629">
      <c r="N629" s="1174" t="str">
        <f t="shared" si="1"/>
        <v/>
      </c>
    </row>
    <row r="630">
      <c r="N630" s="1174" t="str">
        <f t="shared" si="1"/>
        <v/>
      </c>
    </row>
    <row r="631">
      <c r="N631" s="1174" t="str">
        <f t="shared" si="1"/>
        <v/>
      </c>
    </row>
    <row r="632">
      <c r="N632" s="1174" t="str">
        <f t="shared" si="1"/>
        <v/>
      </c>
    </row>
    <row r="633">
      <c r="N633" s="1174" t="str">
        <f t="shared" si="1"/>
        <v/>
      </c>
    </row>
    <row r="634">
      <c r="N634" s="1174" t="str">
        <f t="shared" si="1"/>
        <v/>
      </c>
    </row>
    <row r="635">
      <c r="N635" s="1174" t="str">
        <f t="shared" si="1"/>
        <v/>
      </c>
    </row>
    <row r="636">
      <c r="N636" s="1174" t="str">
        <f t="shared" si="1"/>
        <v/>
      </c>
    </row>
    <row r="637">
      <c r="N637" s="1174" t="str">
        <f t="shared" si="1"/>
        <v/>
      </c>
    </row>
    <row r="638">
      <c r="N638" s="1174" t="str">
        <f t="shared" si="1"/>
        <v/>
      </c>
    </row>
    <row r="639">
      <c r="N639" s="1174" t="str">
        <f t="shared" si="1"/>
        <v/>
      </c>
    </row>
    <row r="640">
      <c r="N640" s="1174" t="str">
        <f t="shared" si="1"/>
        <v/>
      </c>
    </row>
    <row r="641">
      <c r="N641" s="1174" t="str">
        <f t="shared" si="1"/>
        <v/>
      </c>
    </row>
    <row r="642">
      <c r="N642" s="1174" t="str">
        <f t="shared" si="1"/>
        <v/>
      </c>
    </row>
    <row r="643">
      <c r="N643" s="1174" t="str">
        <f t="shared" si="1"/>
        <v/>
      </c>
    </row>
    <row r="644">
      <c r="N644" s="1174" t="str">
        <f t="shared" si="1"/>
        <v/>
      </c>
    </row>
    <row r="645">
      <c r="N645" s="1174" t="str">
        <f t="shared" si="1"/>
        <v/>
      </c>
    </row>
    <row r="646">
      <c r="N646" s="1174" t="str">
        <f t="shared" si="1"/>
        <v/>
      </c>
    </row>
    <row r="647">
      <c r="N647" s="1174" t="str">
        <f t="shared" si="1"/>
        <v/>
      </c>
    </row>
    <row r="648">
      <c r="N648" s="1174" t="str">
        <f t="shared" si="1"/>
        <v/>
      </c>
    </row>
    <row r="649">
      <c r="N649" s="1174" t="str">
        <f t="shared" si="1"/>
        <v/>
      </c>
    </row>
    <row r="650">
      <c r="N650" s="1174" t="str">
        <f t="shared" si="1"/>
        <v/>
      </c>
    </row>
    <row r="651">
      <c r="N651" s="1174" t="str">
        <f t="shared" si="1"/>
        <v/>
      </c>
    </row>
    <row r="652">
      <c r="N652" s="1174" t="str">
        <f t="shared" si="1"/>
        <v/>
      </c>
    </row>
    <row r="653">
      <c r="N653" s="1174" t="str">
        <f t="shared" si="1"/>
        <v/>
      </c>
    </row>
    <row r="654">
      <c r="N654" s="1174" t="str">
        <f t="shared" si="1"/>
        <v/>
      </c>
    </row>
    <row r="655">
      <c r="N655" s="1174" t="str">
        <f t="shared" si="1"/>
        <v/>
      </c>
    </row>
    <row r="656">
      <c r="N656" s="1174" t="str">
        <f t="shared" si="1"/>
        <v/>
      </c>
    </row>
    <row r="657">
      <c r="N657" s="1174" t="str">
        <f t="shared" si="1"/>
        <v/>
      </c>
    </row>
    <row r="658">
      <c r="N658" s="1174" t="str">
        <f t="shared" si="1"/>
        <v/>
      </c>
    </row>
    <row r="659">
      <c r="N659" s="1174" t="str">
        <f t="shared" si="1"/>
        <v/>
      </c>
    </row>
    <row r="660">
      <c r="N660" s="1174" t="str">
        <f t="shared" si="1"/>
        <v/>
      </c>
    </row>
    <row r="661">
      <c r="N661" s="1174" t="str">
        <f t="shared" si="1"/>
        <v/>
      </c>
    </row>
    <row r="662">
      <c r="N662" s="1174" t="str">
        <f t="shared" si="1"/>
        <v/>
      </c>
    </row>
    <row r="663">
      <c r="N663" s="1174" t="str">
        <f t="shared" si="1"/>
        <v/>
      </c>
    </row>
    <row r="664">
      <c r="N664" s="1174" t="str">
        <f t="shared" si="1"/>
        <v/>
      </c>
    </row>
    <row r="665">
      <c r="N665" s="1174" t="str">
        <f t="shared" si="1"/>
        <v/>
      </c>
    </row>
    <row r="666">
      <c r="N666" s="1174" t="str">
        <f t="shared" si="1"/>
        <v/>
      </c>
    </row>
    <row r="667">
      <c r="N667" s="1174" t="str">
        <f t="shared" si="1"/>
        <v/>
      </c>
    </row>
    <row r="668">
      <c r="N668" s="1174" t="str">
        <f t="shared" si="1"/>
        <v/>
      </c>
    </row>
    <row r="669">
      <c r="N669" s="1174" t="str">
        <f t="shared" si="1"/>
        <v/>
      </c>
    </row>
    <row r="670">
      <c r="N670" s="1174" t="str">
        <f t="shared" si="1"/>
        <v/>
      </c>
    </row>
    <row r="671">
      <c r="N671" s="1174" t="str">
        <f t="shared" si="1"/>
        <v/>
      </c>
    </row>
    <row r="672">
      <c r="N672" s="1174" t="str">
        <f t="shared" si="1"/>
        <v/>
      </c>
    </row>
    <row r="673">
      <c r="N673" s="1174" t="str">
        <f t="shared" si="1"/>
        <v/>
      </c>
    </row>
    <row r="674">
      <c r="N674" s="1174" t="str">
        <f t="shared" si="1"/>
        <v/>
      </c>
    </row>
    <row r="675">
      <c r="N675" s="1174" t="str">
        <f t="shared" si="1"/>
        <v/>
      </c>
    </row>
    <row r="676">
      <c r="N676" s="1174" t="str">
        <f t="shared" si="1"/>
        <v/>
      </c>
    </row>
    <row r="677">
      <c r="N677" s="1174" t="str">
        <f t="shared" si="1"/>
        <v/>
      </c>
    </row>
    <row r="678">
      <c r="N678" s="1174" t="str">
        <f t="shared" si="1"/>
        <v/>
      </c>
    </row>
    <row r="679">
      <c r="N679" s="1174" t="str">
        <f t="shared" si="1"/>
        <v/>
      </c>
    </row>
    <row r="680">
      <c r="N680" s="1174" t="str">
        <f t="shared" si="1"/>
        <v/>
      </c>
    </row>
    <row r="681">
      <c r="N681" s="1174" t="str">
        <f t="shared" si="1"/>
        <v/>
      </c>
    </row>
    <row r="682">
      <c r="N682" s="1174" t="str">
        <f t="shared" si="1"/>
        <v/>
      </c>
    </row>
    <row r="683">
      <c r="N683" s="1174" t="str">
        <f t="shared" si="1"/>
        <v/>
      </c>
    </row>
    <row r="684">
      <c r="N684" s="1174" t="str">
        <f t="shared" si="1"/>
        <v/>
      </c>
    </row>
    <row r="685">
      <c r="N685" s="1174" t="str">
        <f t="shared" si="1"/>
        <v/>
      </c>
    </row>
    <row r="686">
      <c r="N686" s="1174" t="str">
        <f t="shared" si="1"/>
        <v/>
      </c>
    </row>
    <row r="687">
      <c r="N687" s="1174" t="str">
        <f t="shared" si="1"/>
        <v/>
      </c>
    </row>
    <row r="688">
      <c r="N688" s="1174" t="str">
        <f t="shared" si="1"/>
        <v/>
      </c>
    </row>
    <row r="689">
      <c r="N689" s="1174" t="str">
        <f t="shared" si="1"/>
        <v/>
      </c>
    </row>
    <row r="690">
      <c r="N690" s="1174" t="str">
        <f t="shared" si="1"/>
        <v/>
      </c>
    </row>
    <row r="691">
      <c r="N691" s="1174" t="str">
        <f t="shared" si="1"/>
        <v/>
      </c>
    </row>
    <row r="692">
      <c r="N692" s="1174" t="str">
        <f t="shared" si="1"/>
        <v/>
      </c>
    </row>
    <row r="693">
      <c r="N693" s="1174" t="str">
        <f t="shared" si="1"/>
        <v/>
      </c>
    </row>
    <row r="694">
      <c r="N694" s="1174" t="str">
        <f t="shared" si="1"/>
        <v/>
      </c>
    </row>
    <row r="695">
      <c r="N695" s="1174" t="str">
        <f t="shared" si="1"/>
        <v/>
      </c>
    </row>
    <row r="696">
      <c r="N696" s="1174" t="str">
        <f t="shared" si="1"/>
        <v/>
      </c>
    </row>
    <row r="697">
      <c r="N697" s="1174" t="str">
        <f t="shared" si="1"/>
        <v/>
      </c>
    </row>
    <row r="698">
      <c r="N698" s="1174" t="str">
        <f t="shared" si="1"/>
        <v/>
      </c>
    </row>
    <row r="699">
      <c r="N699" s="1174" t="str">
        <f t="shared" si="1"/>
        <v/>
      </c>
    </row>
    <row r="700">
      <c r="N700" s="1174" t="str">
        <f t="shared" si="1"/>
        <v/>
      </c>
    </row>
    <row r="701">
      <c r="N701" s="1174" t="str">
        <f t="shared" si="1"/>
        <v/>
      </c>
    </row>
    <row r="702">
      <c r="N702" s="1174" t="str">
        <f t="shared" si="1"/>
        <v/>
      </c>
    </row>
    <row r="703">
      <c r="N703" s="1174" t="str">
        <f t="shared" si="1"/>
        <v/>
      </c>
    </row>
    <row r="704">
      <c r="N704" s="1174" t="str">
        <f t="shared" si="1"/>
        <v/>
      </c>
    </row>
    <row r="705">
      <c r="N705" s="1174" t="str">
        <f t="shared" si="1"/>
        <v/>
      </c>
    </row>
    <row r="706">
      <c r="N706" s="1174" t="str">
        <f t="shared" si="1"/>
        <v/>
      </c>
    </row>
    <row r="707">
      <c r="N707" s="1174" t="str">
        <f t="shared" si="1"/>
        <v/>
      </c>
    </row>
    <row r="708">
      <c r="N708" s="1174" t="str">
        <f t="shared" si="1"/>
        <v/>
      </c>
    </row>
    <row r="709">
      <c r="N709" s="1174" t="str">
        <f t="shared" si="1"/>
        <v/>
      </c>
    </row>
    <row r="710">
      <c r="N710" s="1174" t="str">
        <f t="shared" si="1"/>
        <v/>
      </c>
    </row>
    <row r="711">
      <c r="N711" s="1174" t="str">
        <f t="shared" si="1"/>
        <v/>
      </c>
    </row>
    <row r="712">
      <c r="N712" s="1174" t="str">
        <f t="shared" si="1"/>
        <v/>
      </c>
    </row>
    <row r="713">
      <c r="N713" s="1174" t="str">
        <f t="shared" si="1"/>
        <v/>
      </c>
    </row>
    <row r="714">
      <c r="N714" s="1174" t="str">
        <f t="shared" si="1"/>
        <v/>
      </c>
    </row>
    <row r="715">
      <c r="N715" s="1174" t="str">
        <f t="shared" si="1"/>
        <v/>
      </c>
    </row>
    <row r="716">
      <c r="N716" s="1174" t="str">
        <f t="shared" si="1"/>
        <v/>
      </c>
    </row>
    <row r="717">
      <c r="N717" s="1174" t="str">
        <f t="shared" si="1"/>
        <v/>
      </c>
    </row>
    <row r="718">
      <c r="N718" s="1174" t="str">
        <f t="shared" si="1"/>
        <v/>
      </c>
    </row>
    <row r="719">
      <c r="N719" s="1174" t="str">
        <f t="shared" si="1"/>
        <v/>
      </c>
    </row>
    <row r="720">
      <c r="N720" s="1174" t="str">
        <f t="shared" si="1"/>
        <v/>
      </c>
    </row>
    <row r="721">
      <c r="N721" s="1174" t="str">
        <f t="shared" si="1"/>
        <v/>
      </c>
    </row>
    <row r="722">
      <c r="N722" s="1174" t="str">
        <f t="shared" si="1"/>
        <v/>
      </c>
    </row>
    <row r="723">
      <c r="N723" s="1174" t="str">
        <f t="shared" si="1"/>
        <v/>
      </c>
    </row>
    <row r="724">
      <c r="N724" s="1174" t="str">
        <f t="shared" si="1"/>
        <v/>
      </c>
    </row>
    <row r="725">
      <c r="N725" s="1174" t="str">
        <f t="shared" si="1"/>
        <v/>
      </c>
    </row>
    <row r="726">
      <c r="N726" s="1174" t="str">
        <f t="shared" si="1"/>
        <v/>
      </c>
    </row>
    <row r="727">
      <c r="N727" s="1174" t="str">
        <f t="shared" si="1"/>
        <v/>
      </c>
    </row>
    <row r="728">
      <c r="N728" s="1174" t="str">
        <f t="shared" si="1"/>
        <v/>
      </c>
    </row>
    <row r="729">
      <c r="N729" s="1174" t="str">
        <f t="shared" si="1"/>
        <v/>
      </c>
    </row>
    <row r="730">
      <c r="N730" s="1174" t="str">
        <f t="shared" si="1"/>
        <v/>
      </c>
    </row>
    <row r="731">
      <c r="N731" s="1174" t="str">
        <f t="shared" si="1"/>
        <v/>
      </c>
    </row>
    <row r="732">
      <c r="N732" s="1174" t="str">
        <f t="shared" si="1"/>
        <v/>
      </c>
    </row>
    <row r="733">
      <c r="N733" s="1174" t="str">
        <f t="shared" si="1"/>
        <v/>
      </c>
    </row>
    <row r="734">
      <c r="N734" s="1174" t="str">
        <f t="shared" si="1"/>
        <v/>
      </c>
    </row>
    <row r="735">
      <c r="N735" s="1174" t="str">
        <f t="shared" si="1"/>
        <v/>
      </c>
    </row>
    <row r="736">
      <c r="N736" s="1174" t="str">
        <f t="shared" si="1"/>
        <v/>
      </c>
    </row>
    <row r="737">
      <c r="N737" s="1174" t="str">
        <f t="shared" si="1"/>
        <v/>
      </c>
    </row>
    <row r="738">
      <c r="N738" s="1174" t="str">
        <f t="shared" si="1"/>
        <v/>
      </c>
    </row>
    <row r="739">
      <c r="N739" s="1174" t="str">
        <f t="shared" si="1"/>
        <v/>
      </c>
    </row>
    <row r="740">
      <c r="N740" s="1174" t="str">
        <f t="shared" si="1"/>
        <v/>
      </c>
    </row>
    <row r="741">
      <c r="N741" s="1174" t="str">
        <f t="shared" si="1"/>
        <v/>
      </c>
    </row>
    <row r="742">
      <c r="N742" s="1174" t="str">
        <f t="shared" si="1"/>
        <v/>
      </c>
    </row>
    <row r="743">
      <c r="N743" s="1174" t="str">
        <f t="shared" si="1"/>
        <v/>
      </c>
    </row>
    <row r="744">
      <c r="N744" s="1174" t="str">
        <f t="shared" si="1"/>
        <v/>
      </c>
    </row>
    <row r="745">
      <c r="N745" s="1174" t="str">
        <f t="shared" si="1"/>
        <v/>
      </c>
    </row>
    <row r="746">
      <c r="N746" s="1174" t="str">
        <f t="shared" si="1"/>
        <v/>
      </c>
    </row>
    <row r="747">
      <c r="N747" s="1174" t="str">
        <f t="shared" si="1"/>
        <v/>
      </c>
    </row>
    <row r="748">
      <c r="N748" s="1174" t="str">
        <f t="shared" si="1"/>
        <v/>
      </c>
    </row>
    <row r="749">
      <c r="N749" s="1174" t="str">
        <f t="shared" si="1"/>
        <v/>
      </c>
    </row>
    <row r="750">
      <c r="N750" s="1174" t="str">
        <f t="shared" si="1"/>
        <v/>
      </c>
    </row>
    <row r="751">
      <c r="N751" s="1174" t="str">
        <f t="shared" si="1"/>
        <v/>
      </c>
    </row>
    <row r="752">
      <c r="N752" s="1174" t="str">
        <f t="shared" si="1"/>
        <v/>
      </c>
    </row>
    <row r="753">
      <c r="N753" s="1174" t="str">
        <f t="shared" si="1"/>
        <v/>
      </c>
    </row>
    <row r="754">
      <c r="N754" s="1174" t="str">
        <f t="shared" si="1"/>
        <v/>
      </c>
    </row>
    <row r="755">
      <c r="N755" s="1174" t="str">
        <f t="shared" si="1"/>
        <v/>
      </c>
    </row>
    <row r="756">
      <c r="N756" s="1174" t="str">
        <f t="shared" si="1"/>
        <v/>
      </c>
    </row>
    <row r="757">
      <c r="N757" s="1174" t="str">
        <f t="shared" si="1"/>
        <v/>
      </c>
    </row>
    <row r="758">
      <c r="N758" s="1174" t="str">
        <f t="shared" si="1"/>
        <v/>
      </c>
    </row>
    <row r="759">
      <c r="N759" s="1174" t="str">
        <f t="shared" si="1"/>
        <v/>
      </c>
    </row>
    <row r="760">
      <c r="N760" s="1174" t="str">
        <f t="shared" si="1"/>
        <v/>
      </c>
    </row>
    <row r="761">
      <c r="N761" s="1174" t="str">
        <f t="shared" si="1"/>
        <v/>
      </c>
    </row>
    <row r="762">
      <c r="N762" s="1174" t="str">
        <f t="shared" si="1"/>
        <v/>
      </c>
    </row>
    <row r="763">
      <c r="N763" s="1174" t="str">
        <f t="shared" si="1"/>
        <v/>
      </c>
    </row>
    <row r="764">
      <c r="N764" s="1174" t="str">
        <f t="shared" si="1"/>
        <v/>
      </c>
    </row>
    <row r="765">
      <c r="N765" s="1174" t="str">
        <f t="shared" si="1"/>
        <v/>
      </c>
    </row>
    <row r="766">
      <c r="N766" s="1174" t="str">
        <f t="shared" si="1"/>
        <v/>
      </c>
    </row>
    <row r="767">
      <c r="N767" s="1174" t="str">
        <f t="shared" si="1"/>
        <v/>
      </c>
    </row>
    <row r="768">
      <c r="N768" s="1174" t="str">
        <f t="shared" si="1"/>
        <v/>
      </c>
    </row>
    <row r="769">
      <c r="N769" s="1174" t="str">
        <f t="shared" si="1"/>
        <v/>
      </c>
    </row>
    <row r="770">
      <c r="N770" s="1174" t="str">
        <f t="shared" si="1"/>
        <v/>
      </c>
    </row>
    <row r="771">
      <c r="N771" s="1174" t="str">
        <f t="shared" si="1"/>
        <v/>
      </c>
    </row>
    <row r="772">
      <c r="N772" s="1174" t="str">
        <f t="shared" si="1"/>
        <v/>
      </c>
    </row>
    <row r="773">
      <c r="N773" s="1174" t="str">
        <f t="shared" si="1"/>
        <v/>
      </c>
    </row>
    <row r="774">
      <c r="N774" s="1174" t="str">
        <f t="shared" si="1"/>
        <v/>
      </c>
    </row>
    <row r="775">
      <c r="N775" s="1174" t="str">
        <f t="shared" si="1"/>
        <v/>
      </c>
    </row>
    <row r="776">
      <c r="N776" s="1174" t="str">
        <f t="shared" si="1"/>
        <v/>
      </c>
    </row>
    <row r="777">
      <c r="N777" s="1174" t="str">
        <f t="shared" si="1"/>
        <v/>
      </c>
    </row>
    <row r="778">
      <c r="N778" s="1174" t="str">
        <f t="shared" si="1"/>
        <v/>
      </c>
    </row>
    <row r="779">
      <c r="N779" s="1174" t="str">
        <f t="shared" si="1"/>
        <v/>
      </c>
    </row>
    <row r="780">
      <c r="N780" s="1174" t="str">
        <f t="shared" si="1"/>
        <v/>
      </c>
    </row>
    <row r="781">
      <c r="N781" s="1174" t="str">
        <f t="shared" si="1"/>
        <v/>
      </c>
    </row>
    <row r="782">
      <c r="N782" s="1174" t="str">
        <f t="shared" si="1"/>
        <v/>
      </c>
    </row>
    <row r="783">
      <c r="N783" s="1174" t="str">
        <f t="shared" si="1"/>
        <v/>
      </c>
    </row>
    <row r="784">
      <c r="N784" s="1174" t="str">
        <f t="shared" si="1"/>
        <v/>
      </c>
    </row>
    <row r="785">
      <c r="N785" s="1174" t="str">
        <f t="shared" si="1"/>
        <v/>
      </c>
    </row>
    <row r="786">
      <c r="N786" s="1174" t="str">
        <f t="shared" si="1"/>
        <v/>
      </c>
    </row>
    <row r="787">
      <c r="N787" s="1174" t="str">
        <f t="shared" si="1"/>
        <v/>
      </c>
    </row>
    <row r="788">
      <c r="N788" s="1174" t="str">
        <f t="shared" si="1"/>
        <v/>
      </c>
    </row>
    <row r="789">
      <c r="N789" s="1174" t="str">
        <f t="shared" si="1"/>
        <v/>
      </c>
    </row>
    <row r="790">
      <c r="N790" s="1174" t="str">
        <f t="shared" si="1"/>
        <v/>
      </c>
    </row>
    <row r="791">
      <c r="N791" s="1174" t="str">
        <f t="shared" si="1"/>
        <v/>
      </c>
    </row>
    <row r="792">
      <c r="N792" s="1174" t="str">
        <f t="shared" si="1"/>
        <v/>
      </c>
    </row>
    <row r="793">
      <c r="N793" s="1174" t="str">
        <f t="shared" si="1"/>
        <v/>
      </c>
    </row>
    <row r="794">
      <c r="N794" s="1174" t="str">
        <f t="shared" si="1"/>
        <v/>
      </c>
    </row>
    <row r="795">
      <c r="N795" s="1174" t="str">
        <f t="shared" si="1"/>
        <v/>
      </c>
    </row>
    <row r="796">
      <c r="N796" s="1174" t="str">
        <f t="shared" si="1"/>
        <v/>
      </c>
    </row>
    <row r="797">
      <c r="N797" s="1174" t="str">
        <f t="shared" si="1"/>
        <v/>
      </c>
    </row>
    <row r="798">
      <c r="N798" s="1174" t="str">
        <f t="shared" si="1"/>
        <v/>
      </c>
    </row>
    <row r="799">
      <c r="N799" s="1174" t="str">
        <f t="shared" si="1"/>
        <v/>
      </c>
    </row>
    <row r="800">
      <c r="N800" s="1174" t="str">
        <f t="shared" si="1"/>
        <v/>
      </c>
    </row>
    <row r="801">
      <c r="N801" s="1174" t="str">
        <f t="shared" si="1"/>
        <v/>
      </c>
    </row>
    <row r="802">
      <c r="N802" s="1174" t="str">
        <f t="shared" si="1"/>
        <v/>
      </c>
    </row>
    <row r="803">
      <c r="N803" s="1174" t="str">
        <f t="shared" si="1"/>
        <v/>
      </c>
    </row>
    <row r="804">
      <c r="N804" s="1174" t="str">
        <f t="shared" si="1"/>
        <v/>
      </c>
    </row>
    <row r="805">
      <c r="N805" s="1174" t="str">
        <f t="shared" si="1"/>
        <v/>
      </c>
    </row>
    <row r="806">
      <c r="N806" s="1174" t="str">
        <f t="shared" si="1"/>
        <v/>
      </c>
    </row>
    <row r="807">
      <c r="N807" s="1174" t="str">
        <f t="shared" si="1"/>
        <v/>
      </c>
    </row>
    <row r="808">
      <c r="N808" s="1174" t="str">
        <f t="shared" si="1"/>
        <v/>
      </c>
    </row>
    <row r="809">
      <c r="N809" s="1174" t="str">
        <f t="shared" si="1"/>
        <v/>
      </c>
    </row>
    <row r="810">
      <c r="N810" s="1174" t="str">
        <f t="shared" si="1"/>
        <v/>
      </c>
    </row>
    <row r="811">
      <c r="N811" s="1174" t="str">
        <f t="shared" si="1"/>
        <v/>
      </c>
    </row>
    <row r="812">
      <c r="N812" s="1174" t="str">
        <f t="shared" si="1"/>
        <v/>
      </c>
    </row>
    <row r="813">
      <c r="N813" s="1174" t="str">
        <f t="shared" si="1"/>
        <v/>
      </c>
    </row>
    <row r="814">
      <c r="N814" s="1174" t="str">
        <f t="shared" si="1"/>
        <v/>
      </c>
    </row>
    <row r="815">
      <c r="N815" s="1174" t="str">
        <f t="shared" si="1"/>
        <v/>
      </c>
    </row>
    <row r="816">
      <c r="N816" s="1174" t="str">
        <f t="shared" si="1"/>
        <v/>
      </c>
    </row>
    <row r="817">
      <c r="N817" s="1174" t="str">
        <f t="shared" si="1"/>
        <v/>
      </c>
    </row>
    <row r="818">
      <c r="N818" s="1174" t="str">
        <f t="shared" si="1"/>
        <v/>
      </c>
    </row>
    <row r="819">
      <c r="N819" s="1174" t="str">
        <f t="shared" si="1"/>
        <v/>
      </c>
    </row>
    <row r="820">
      <c r="N820" s="1174" t="str">
        <f t="shared" si="1"/>
        <v/>
      </c>
    </row>
    <row r="821">
      <c r="N821" s="1174" t="str">
        <f t="shared" si="1"/>
        <v/>
      </c>
    </row>
    <row r="822">
      <c r="N822" s="1174" t="str">
        <f t="shared" si="1"/>
        <v/>
      </c>
    </row>
    <row r="823">
      <c r="N823" s="1174" t="str">
        <f t="shared" si="1"/>
        <v/>
      </c>
    </row>
    <row r="824">
      <c r="N824" s="1174" t="str">
        <f t="shared" si="1"/>
        <v/>
      </c>
    </row>
    <row r="825">
      <c r="N825" s="1174" t="str">
        <f t="shared" si="1"/>
        <v/>
      </c>
    </row>
    <row r="826">
      <c r="N826" s="1174" t="str">
        <f t="shared" si="1"/>
        <v/>
      </c>
    </row>
    <row r="827">
      <c r="N827" s="1174" t="str">
        <f t="shared" si="1"/>
        <v/>
      </c>
    </row>
    <row r="828">
      <c r="N828" s="1174" t="str">
        <f t="shared" si="1"/>
        <v/>
      </c>
    </row>
    <row r="829">
      <c r="N829" s="1174" t="str">
        <f t="shared" si="1"/>
        <v/>
      </c>
    </row>
    <row r="830">
      <c r="N830" s="1174" t="str">
        <f t="shared" si="1"/>
        <v/>
      </c>
    </row>
    <row r="831">
      <c r="N831" s="1174" t="str">
        <f t="shared" si="1"/>
        <v/>
      </c>
    </row>
    <row r="832">
      <c r="N832" s="1174" t="str">
        <f t="shared" si="1"/>
        <v/>
      </c>
    </row>
    <row r="833">
      <c r="N833" s="1174" t="str">
        <f t="shared" si="1"/>
        <v/>
      </c>
    </row>
    <row r="834">
      <c r="N834" s="1174" t="str">
        <f t="shared" si="1"/>
        <v/>
      </c>
    </row>
    <row r="835">
      <c r="N835" s="1174" t="str">
        <f t="shared" si="1"/>
        <v/>
      </c>
    </row>
    <row r="836">
      <c r="N836" s="1174" t="str">
        <f t="shared" si="1"/>
        <v/>
      </c>
    </row>
    <row r="837">
      <c r="N837" s="1174" t="str">
        <f t="shared" si="1"/>
        <v/>
      </c>
    </row>
    <row r="838">
      <c r="N838" s="1174" t="str">
        <f t="shared" si="1"/>
        <v/>
      </c>
    </row>
    <row r="839">
      <c r="N839" s="1174" t="str">
        <f t="shared" si="1"/>
        <v/>
      </c>
    </row>
    <row r="840">
      <c r="N840" s="1174" t="str">
        <f t="shared" si="1"/>
        <v/>
      </c>
    </row>
    <row r="841">
      <c r="N841" s="1174" t="str">
        <f t="shared" si="1"/>
        <v/>
      </c>
    </row>
    <row r="842">
      <c r="N842" s="1174" t="str">
        <f t="shared" si="1"/>
        <v/>
      </c>
    </row>
    <row r="843">
      <c r="N843" s="1174" t="str">
        <f t="shared" si="1"/>
        <v/>
      </c>
    </row>
    <row r="844">
      <c r="N844" s="1174" t="str">
        <f t="shared" si="1"/>
        <v/>
      </c>
    </row>
    <row r="845">
      <c r="N845" s="1174" t="str">
        <f t="shared" si="1"/>
        <v/>
      </c>
    </row>
    <row r="846">
      <c r="N846" s="1174" t="str">
        <f t="shared" si="1"/>
        <v/>
      </c>
    </row>
    <row r="847">
      <c r="N847" s="1174" t="str">
        <f t="shared" si="1"/>
        <v/>
      </c>
    </row>
    <row r="848">
      <c r="N848" s="1174" t="str">
        <f t="shared" si="1"/>
        <v/>
      </c>
    </row>
    <row r="849">
      <c r="N849" s="1174" t="str">
        <f t="shared" si="1"/>
        <v/>
      </c>
    </row>
    <row r="850">
      <c r="N850" s="1174" t="str">
        <f t="shared" si="1"/>
        <v/>
      </c>
    </row>
    <row r="851">
      <c r="N851" s="1174" t="str">
        <f t="shared" si="1"/>
        <v/>
      </c>
    </row>
    <row r="852">
      <c r="N852" s="1174" t="str">
        <f t="shared" si="1"/>
        <v/>
      </c>
    </row>
    <row r="853">
      <c r="N853" s="1174" t="str">
        <f t="shared" si="1"/>
        <v/>
      </c>
    </row>
    <row r="854">
      <c r="N854" s="1174" t="str">
        <f t="shared" si="1"/>
        <v/>
      </c>
    </row>
    <row r="855">
      <c r="N855" s="1174" t="str">
        <f t="shared" si="1"/>
        <v/>
      </c>
    </row>
    <row r="856">
      <c r="N856" s="1174" t="str">
        <f t="shared" si="1"/>
        <v/>
      </c>
    </row>
    <row r="857">
      <c r="N857" s="1174" t="str">
        <f t="shared" si="1"/>
        <v/>
      </c>
    </row>
    <row r="858">
      <c r="N858" s="1174" t="str">
        <f t="shared" si="1"/>
        <v/>
      </c>
    </row>
    <row r="859">
      <c r="N859" s="1174" t="str">
        <f t="shared" si="1"/>
        <v/>
      </c>
    </row>
    <row r="860">
      <c r="N860" s="1174" t="str">
        <f t="shared" si="1"/>
        <v/>
      </c>
    </row>
    <row r="861">
      <c r="N861" s="1174" t="str">
        <f t="shared" si="1"/>
        <v/>
      </c>
    </row>
    <row r="862">
      <c r="N862" s="1174" t="str">
        <f t="shared" si="1"/>
        <v/>
      </c>
    </row>
    <row r="863">
      <c r="N863" s="1174" t="str">
        <f t="shared" si="1"/>
        <v/>
      </c>
    </row>
    <row r="864">
      <c r="N864" s="1174" t="str">
        <f t="shared" si="1"/>
        <v/>
      </c>
    </row>
    <row r="865">
      <c r="N865" s="1174" t="str">
        <f t="shared" si="1"/>
        <v/>
      </c>
    </row>
    <row r="866">
      <c r="N866" s="1174" t="str">
        <f t="shared" si="1"/>
        <v/>
      </c>
    </row>
    <row r="867">
      <c r="N867" s="1174" t="str">
        <f t="shared" si="1"/>
        <v/>
      </c>
    </row>
    <row r="868">
      <c r="N868" s="1174" t="str">
        <f t="shared" si="1"/>
        <v/>
      </c>
    </row>
    <row r="869">
      <c r="N869" s="1174" t="str">
        <f t="shared" si="1"/>
        <v/>
      </c>
    </row>
    <row r="870">
      <c r="N870" s="1174" t="str">
        <f t="shared" si="1"/>
        <v/>
      </c>
    </row>
    <row r="871">
      <c r="N871" s="1174" t="str">
        <f t="shared" si="1"/>
        <v/>
      </c>
    </row>
    <row r="872">
      <c r="N872" s="1174" t="str">
        <f t="shared" si="1"/>
        <v/>
      </c>
    </row>
    <row r="873">
      <c r="N873" s="1174" t="str">
        <f t="shared" si="1"/>
        <v/>
      </c>
    </row>
    <row r="874">
      <c r="N874" s="1174" t="str">
        <f t="shared" si="1"/>
        <v/>
      </c>
    </row>
    <row r="875">
      <c r="N875" s="1174" t="str">
        <f t="shared" si="1"/>
        <v/>
      </c>
    </row>
    <row r="876">
      <c r="N876" s="1174" t="str">
        <f t="shared" si="1"/>
        <v/>
      </c>
    </row>
    <row r="877">
      <c r="N877" s="1174" t="str">
        <f t="shared" si="1"/>
        <v/>
      </c>
    </row>
    <row r="878">
      <c r="N878" s="1174" t="str">
        <f t="shared" si="1"/>
        <v/>
      </c>
    </row>
    <row r="879">
      <c r="N879" s="1174" t="str">
        <f t="shared" si="1"/>
        <v/>
      </c>
    </row>
    <row r="880">
      <c r="N880" s="1174" t="str">
        <f t="shared" si="1"/>
        <v/>
      </c>
    </row>
    <row r="881">
      <c r="N881" s="1174" t="str">
        <f t="shared" si="1"/>
        <v/>
      </c>
    </row>
    <row r="882">
      <c r="N882" s="1174" t="str">
        <f t="shared" si="1"/>
        <v/>
      </c>
    </row>
    <row r="883">
      <c r="N883" s="1174" t="str">
        <f t="shared" si="1"/>
        <v/>
      </c>
    </row>
    <row r="884">
      <c r="N884" s="1174" t="str">
        <f t="shared" si="1"/>
        <v/>
      </c>
    </row>
    <row r="885">
      <c r="N885" s="1174" t="str">
        <f t="shared" si="1"/>
        <v/>
      </c>
    </row>
    <row r="886">
      <c r="N886" s="1174" t="str">
        <f t="shared" si="1"/>
        <v/>
      </c>
    </row>
    <row r="887">
      <c r="N887" s="1174" t="str">
        <f t="shared" si="1"/>
        <v/>
      </c>
    </row>
    <row r="888">
      <c r="N888" s="1174" t="str">
        <f t="shared" si="1"/>
        <v/>
      </c>
    </row>
    <row r="889">
      <c r="N889" s="1174" t="str">
        <f t="shared" si="1"/>
        <v/>
      </c>
    </row>
    <row r="890">
      <c r="N890" s="1174" t="str">
        <f t="shared" si="1"/>
        <v/>
      </c>
    </row>
    <row r="891">
      <c r="N891" s="1174" t="str">
        <f t="shared" si="1"/>
        <v/>
      </c>
    </row>
    <row r="892">
      <c r="N892" s="1174" t="str">
        <f t="shared" si="1"/>
        <v/>
      </c>
    </row>
    <row r="893">
      <c r="N893" s="1174" t="str">
        <f t="shared" si="1"/>
        <v/>
      </c>
    </row>
    <row r="894">
      <c r="N894" s="1174" t="str">
        <f t="shared" si="1"/>
        <v/>
      </c>
    </row>
    <row r="895">
      <c r="N895" s="1174" t="str">
        <f t="shared" si="1"/>
        <v/>
      </c>
    </row>
    <row r="896">
      <c r="N896" s="1174" t="str">
        <f t="shared" si="1"/>
        <v/>
      </c>
    </row>
    <row r="897">
      <c r="N897" s="1174" t="str">
        <f t="shared" si="1"/>
        <v/>
      </c>
    </row>
    <row r="898">
      <c r="N898" s="1174" t="str">
        <f t="shared" si="1"/>
        <v/>
      </c>
    </row>
    <row r="899">
      <c r="N899" s="1174" t="str">
        <f t="shared" si="1"/>
        <v/>
      </c>
    </row>
    <row r="900">
      <c r="N900" s="1174" t="str">
        <f t="shared" si="1"/>
        <v/>
      </c>
    </row>
    <row r="901">
      <c r="N901" s="1174" t="str">
        <f t="shared" si="1"/>
        <v/>
      </c>
    </row>
    <row r="902">
      <c r="N902" s="1174" t="str">
        <f t="shared" si="1"/>
        <v/>
      </c>
    </row>
    <row r="903">
      <c r="N903" s="1174" t="str">
        <f t="shared" si="1"/>
        <v/>
      </c>
    </row>
    <row r="904">
      <c r="N904" s="1174" t="str">
        <f t="shared" si="1"/>
        <v/>
      </c>
    </row>
    <row r="905">
      <c r="N905" s="1174" t="str">
        <f t="shared" si="1"/>
        <v/>
      </c>
    </row>
    <row r="906">
      <c r="N906" s="1174" t="str">
        <f t="shared" si="1"/>
        <v/>
      </c>
    </row>
    <row r="907">
      <c r="N907" s="1174" t="str">
        <f t="shared" si="1"/>
        <v/>
      </c>
    </row>
    <row r="908">
      <c r="N908" s="1174" t="str">
        <f t="shared" si="1"/>
        <v/>
      </c>
    </row>
    <row r="909">
      <c r="N909" s="1174" t="str">
        <f t="shared" si="1"/>
        <v/>
      </c>
    </row>
    <row r="910">
      <c r="N910" s="1174" t="str">
        <f t="shared" si="1"/>
        <v/>
      </c>
    </row>
    <row r="911">
      <c r="N911" s="1174" t="str">
        <f t="shared" si="1"/>
        <v/>
      </c>
    </row>
    <row r="912">
      <c r="N912" s="1174" t="str">
        <f t="shared" si="1"/>
        <v/>
      </c>
    </row>
    <row r="913">
      <c r="N913" s="1174" t="str">
        <f t="shared" si="1"/>
        <v/>
      </c>
    </row>
    <row r="914">
      <c r="N914" s="1174" t="str">
        <f t="shared" si="1"/>
        <v/>
      </c>
    </row>
    <row r="915">
      <c r="N915" s="1174" t="str">
        <f t="shared" si="1"/>
        <v/>
      </c>
    </row>
    <row r="916">
      <c r="N916" s="1174" t="str">
        <f t="shared" si="1"/>
        <v/>
      </c>
    </row>
    <row r="917">
      <c r="N917" s="1174" t="str">
        <f t="shared" si="1"/>
        <v/>
      </c>
    </row>
    <row r="918">
      <c r="N918" s="1174" t="str">
        <f t="shared" si="1"/>
        <v/>
      </c>
    </row>
    <row r="919">
      <c r="N919" s="1174" t="str">
        <f t="shared" si="1"/>
        <v/>
      </c>
    </row>
    <row r="920">
      <c r="N920" s="1174" t="str">
        <f t="shared" si="1"/>
        <v/>
      </c>
    </row>
    <row r="921">
      <c r="N921" s="1174" t="str">
        <f t="shared" si="1"/>
        <v/>
      </c>
    </row>
    <row r="922">
      <c r="N922" s="1174" t="str">
        <f t="shared" si="1"/>
        <v/>
      </c>
    </row>
    <row r="923">
      <c r="N923" s="1174" t="str">
        <f t="shared" si="1"/>
        <v/>
      </c>
    </row>
    <row r="924">
      <c r="N924" s="1174" t="str">
        <f t="shared" si="1"/>
        <v/>
      </c>
    </row>
    <row r="925">
      <c r="N925" s="1174" t="str">
        <f t="shared" si="1"/>
        <v/>
      </c>
    </row>
    <row r="926">
      <c r="N926" s="1174" t="str">
        <f t="shared" si="1"/>
        <v/>
      </c>
    </row>
    <row r="927">
      <c r="N927" s="1174" t="str">
        <f t="shared" si="1"/>
        <v/>
      </c>
    </row>
    <row r="928">
      <c r="N928" s="1174" t="str">
        <f t="shared" si="1"/>
        <v/>
      </c>
    </row>
    <row r="929">
      <c r="N929" s="1174" t="str">
        <f t="shared" si="1"/>
        <v/>
      </c>
    </row>
    <row r="930">
      <c r="N930" s="1174" t="str">
        <f t="shared" si="1"/>
        <v/>
      </c>
    </row>
    <row r="931">
      <c r="N931" s="1174" t="str">
        <f t="shared" si="1"/>
        <v/>
      </c>
    </row>
    <row r="932">
      <c r="N932" s="1174" t="str">
        <f t="shared" si="1"/>
        <v/>
      </c>
    </row>
    <row r="933">
      <c r="N933" s="1174" t="str">
        <f t="shared" si="1"/>
        <v/>
      </c>
    </row>
    <row r="934">
      <c r="N934" s="1174" t="str">
        <f t="shared" si="1"/>
        <v/>
      </c>
    </row>
    <row r="935">
      <c r="N935" s="1174" t="str">
        <f t="shared" si="1"/>
        <v/>
      </c>
    </row>
    <row r="936">
      <c r="N936" s="1174" t="str">
        <f t="shared" si="1"/>
        <v/>
      </c>
    </row>
    <row r="937">
      <c r="N937" s="1174" t="str">
        <f t="shared" si="1"/>
        <v/>
      </c>
    </row>
    <row r="938">
      <c r="N938" s="1174" t="str">
        <f t="shared" si="1"/>
        <v/>
      </c>
    </row>
    <row r="939">
      <c r="N939" s="1174" t="str">
        <f t="shared" si="1"/>
        <v/>
      </c>
    </row>
    <row r="940">
      <c r="N940" s="1174" t="str">
        <f t="shared" si="1"/>
        <v/>
      </c>
    </row>
    <row r="941">
      <c r="N941" s="1174" t="str">
        <f t="shared" si="1"/>
        <v/>
      </c>
    </row>
    <row r="942">
      <c r="N942" s="1174" t="str">
        <f t="shared" si="1"/>
        <v/>
      </c>
    </row>
    <row r="943">
      <c r="N943" s="1174" t="str">
        <f t="shared" si="1"/>
        <v/>
      </c>
    </row>
    <row r="944">
      <c r="N944" s="1174" t="str">
        <f t="shared" si="1"/>
        <v/>
      </c>
    </row>
    <row r="945">
      <c r="N945" s="1174" t="str">
        <f t="shared" si="1"/>
        <v/>
      </c>
    </row>
    <row r="946">
      <c r="N946" s="1174" t="str">
        <f t="shared" si="1"/>
        <v/>
      </c>
    </row>
    <row r="947">
      <c r="N947" s="1174" t="str">
        <f t="shared" si="1"/>
        <v/>
      </c>
    </row>
    <row r="948">
      <c r="N948" s="1174" t="str">
        <f t="shared" si="1"/>
        <v/>
      </c>
    </row>
    <row r="949">
      <c r="N949" s="1174" t="str">
        <f t="shared" si="1"/>
        <v/>
      </c>
    </row>
    <row r="950">
      <c r="N950" s="1174" t="str">
        <f t="shared" si="1"/>
        <v/>
      </c>
    </row>
    <row r="951">
      <c r="N951" s="1174" t="str">
        <f t="shared" si="1"/>
        <v/>
      </c>
    </row>
    <row r="952">
      <c r="N952" s="1174" t="str">
        <f t="shared" si="1"/>
        <v/>
      </c>
    </row>
    <row r="953">
      <c r="N953" s="1174" t="str">
        <f t="shared" si="1"/>
        <v/>
      </c>
    </row>
    <row r="954">
      <c r="N954" s="1174" t="str">
        <f t="shared" si="1"/>
        <v/>
      </c>
    </row>
    <row r="955">
      <c r="N955" s="1174" t="str">
        <f t="shared" si="1"/>
        <v/>
      </c>
    </row>
    <row r="956">
      <c r="N956" s="1174" t="str">
        <f t="shared" si="1"/>
        <v/>
      </c>
    </row>
    <row r="957">
      <c r="N957" s="1174" t="str">
        <f t="shared" si="1"/>
        <v/>
      </c>
    </row>
    <row r="958">
      <c r="N958" s="1174" t="str">
        <f t="shared" si="1"/>
        <v/>
      </c>
    </row>
    <row r="959">
      <c r="N959" s="1174" t="str">
        <f t="shared" si="1"/>
        <v/>
      </c>
    </row>
    <row r="960">
      <c r="N960" s="1174" t="str">
        <f t="shared" si="1"/>
        <v/>
      </c>
    </row>
    <row r="961">
      <c r="N961" s="1174" t="str">
        <f t="shared" si="1"/>
        <v/>
      </c>
    </row>
    <row r="962">
      <c r="N962" s="1174" t="str">
        <f t="shared" si="1"/>
        <v/>
      </c>
    </row>
    <row r="963">
      <c r="N963" s="1174" t="str">
        <f t="shared" si="1"/>
        <v/>
      </c>
    </row>
    <row r="964">
      <c r="N964" s="1174" t="str">
        <f t="shared" si="1"/>
        <v/>
      </c>
    </row>
    <row r="965">
      <c r="N965" s="1174" t="str">
        <f t="shared" si="1"/>
        <v/>
      </c>
    </row>
    <row r="966">
      <c r="N966" s="1174" t="str">
        <f t="shared" si="1"/>
        <v/>
      </c>
    </row>
    <row r="967">
      <c r="N967" s="1174" t="str">
        <f t="shared" si="1"/>
        <v/>
      </c>
    </row>
    <row r="968">
      <c r="N968" s="1174" t="str">
        <f t="shared" si="1"/>
        <v/>
      </c>
    </row>
    <row r="969">
      <c r="N969" s="1174" t="str">
        <f t="shared" si="1"/>
        <v/>
      </c>
    </row>
    <row r="970">
      <c r="N970" s="1174" t="str">
        <f t="shared" si="1"/>
        <v/>
      </c>
    </row>
    <row r="971">
      <c r="N971" s="1174" t="str">
        <f t="shared" si="1"/>
        <v/>
      </c>
    </row>
    <row r="972">
      <c r="N972" s="1174" t="str">
        <f t="shared" si="1"/>
        <v/>
      </c>
    </row>
    <row r="973">
      <c r="N973" s="1174" t="str">
        <f t="shared" si="1"/>
        <v/>
      </c>
    </row>
    <row r="974">
      <c r="N974" s="1174" t="str">
        <f t="shared" si="1"/>
        <v/>
      </c>
    </row>
    <row r="975">
      <c r="N975" s="1174" t="str">
        <f t="shared" si="1"/>
        <v/>
      </c>
    </row>
    <row r="976">
      <c r="N976" s="1174" t="str">
        <f t="shared" si="1"/>
        <v/>
      </c>
    </row>
    <row r="977">
      <c r="N977" s="1174" t="str">
        <f t="shared" si="1"/>
        <v/>
      </c>
    </row>
    <row r="978">
      <c r="N978" s="1174" t="str">
        <f t="shared" si="1"/>
        <v/>
      </c>
    </row>
    <row r="979">
      <c r="N979" s="1174" t="str">
        <f t="shared" si="1"/>
        <v/>
      </c>
    </row>
    <row r="980">
      <c r="N980" s="1174" t="str">
        <f t="shared" si="1"/>
        <v/>
      </c>
    </row>
    <row r="981">
      <c r="N981" s="1174" t="str">
        <f t="shared" si="1"/>
        <v/>
      </c>
    </row>
    <row r="982">
      <c r="N982" s="1174" t="str">
        <f t="shared" si="1"/>
        <v/>
      </c>
    </row>
    <row r="983">
      <c r="N983" s="1174" t="str">
        <f t="shared" si="1"/>
        <v/>
      </c>
    </row>
    <row r="984">
      <c r="N984" s="1174" t="str">
        <f t="shared" si="1"/>
        <v/>
      </c>
    </row>
    <row r="985">
      <c r="N985" s="1174" t="str">
        <f t="shared" si="1"/>
        <v/>
      </c>
    </row>
    <row r="986">
      <c r="N986" s="1174" t="str">
        <f t="shared" si="1"/>
        <v/>
      </c>
    </row>
    <row r="987">
      <c r="N987" s="1174" t="str">
        <f t="shared" si="1"/>
        <v/>
      </c>
    </row>
    <row r="988">
      <c r="N988" s="1174" t="str">
        <f t="shared" si="1"/>
        <v/>
      </c>
    </row>
    <row r="989">
      <c r="N989" s="1174" t="str">
        <f t="shared" si="1"/>
        <v/>
      </c>
    </row>
    <row r="990">
      <c r="N990" s="1174" t="str">
        <f t="shared" si="1"/>
        <v/>
      </c>
    </row>
    <row r="991">
      <c r="N991" s="1174" t="str">
        <f t="shared" si="1"/>
        <v/>
      </c>
    </row>
    <row r="992">
      <c r="N992" s="1174" t="str">
        <f t="shared" si="1"/>
        <v/>
      </c>
    </row>
    <row r="993">
      <c r="N993" s="1174" t="str">
        <f t="shared" si="1"/>
        <v/>
      </c>
    </row>
    <row r="994">
      <c r="N994" s="1174" t="str">
        <f t="shared" si="1"/>
        <v/>
      </c>
    </row>
    <row r="995">
      <c r="N995" s="1174" t="str">
        <f t="shared" si="1"/>
        <v/>
      </c>
    </row>
    <row r="996">
      <c r="N996" s="1174" t="str">
        <f t="shared" si="1"/>
        <v/>
      </c>
    </row>
    <row r="997">
      <c r="N997" s="1174" t="str">
        <f t="shared" si="1"/>
        <v/>
      </c>
    </row>
    <row r="998">
      <c r="N998" s="1174" t="str">
        <f t="shared" si="1"/>
        <v/>
      </c>
    </row>
    <row r="999">
      <c r="N999" s="1174" t="str">
        <f t="shared" si="1"/>
        <v/>
      </c>
    </row>
    <row r="1000">
      <c r="N1000" s="1174" t="str">
        <f t="shared" si="1"/>
        <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5"/>
    <col customWidth="1" min="7" max="7" width="14.63"/>
    <col customWidth="1" min="12" max="12" width="14.5"/>
  </cols>
  <sheetData>
    <row r="1">
      <c r="A1" s="1171" t="str">
        <f>IFERROR(__xludf.DUMMYFUNCTION("QUERY(importaciones[#ALL], ""SELECT B, F, AE, AF, H, N, P, R, AG, L WHERE A = 'JOSELYN'"", 1)"),"FECHA DE PEDIDO / VENTA")</f>
        <v>FECHA DE PEDIDO / VENTA</v>
      </c>
      <c r="B1" s="1172" t="str">
        <f>IFERROR(__xludf.DUMMYFUNCTION("""COMPUTED_VALUE"""),"ORDEN DE COMPRA/ código interno")</f>
        <v>ORDEN DE COMPRA/ código interno</v>
      </c>
      <c r="C1" s="1172" t="str">
        <f>IFERROR(__xludf.DUMMYFUNCTION("""COMPUTED_VALUE"""),"COMISIÓN PARA LAPTOP")</f>
        <v>COMISIÓN PARA LAPTOP</v>
      </c>
      <c r="D1" s="1172" t="str">
        <f>IFERROR(__xludf.DUMMYFUNCTION("""COMPUTED_VALUE"""),"COMISIÓN VALIDADA")</f>
        <v>COMISIÓN VALIDADA</v>
      </c>
      <c r="E1" s="1173" t="str">
        <f>IFERROR(__xludf.DUMMYFUNCTION("""COMPUTED_VALUE"""),"Tipo de producto")</f>
        <v>Tipo de producto</v>
      </c>
      <c r="F1" s="1173" t="str">
        <f>IFERROR(__xludf.DUMMYFUNCTION("""COMPUTED_VALUE"""),"PPRECIO EN DOLARES (EEUU)")</f>
        <v>PPRECIO EN DOLARES (EEUU)</v>
      </c>
      <c r="G1" s="1173" t="str">
        <f>IFERROR(__xludf.DUMMYFUNCTION("""COMPUTED_VALUE"""),"(FÓRMULA)
TOTAL EXCEDENTE NETO")</f>
        <v>(FÓRMULA)
TOTAL EXCEDENTE NETO</v>
      </c>
      <c r="H1" s="1173" t="str">
        <f>IFERROR(__xludf.DUMMYFUNCTION("""COMPUTED_VALUE"""),"GARANTIA EXPRESS")</f>
        <v>GARANTIA EXPRESS</v>
      </c>
      <c r="I1" s="1172" t="str">
        <f>IFERROR(__xludf.DUMMYFUNCTION("""COMPUTED_VALUE"""),"COMISIÓN PARA EXCEDENTES")</f>
        <v>COMISIÓN PARA EXCEDENTES</v>
      </c>
      <c r="J1" s="1172" t="str">
        <f>IFERROR(__xludf.DUMMYFUNCTION("""COMPUTED_VALUE"""),"TOTAL COBRADO")</f>
        <v>TOTAL COBRADO</v>
      </c>
      <c r="M1" s="1172" t="str">
        <f>IFERROR(__xludf.DUMMYFUNCTION("QUERY(locales[#ALL], ""SELECT G,D,Q,C,M where A = 'JOSELYN' AND H = TRUE"", 1)"),"COMISIÓN PARA EL MES")</f>
        <v>COMISIÓN PARA EL MES</v>
      </c>
      <c r="N1" s="1172" t="str">
        <f>IFERROR(__xludf.DUMMYFUNCTION("""COMPUTED_VALUE"""),"SN")</f>
        <v>SN</v>
      </c>
      <c r="O1" s="1172" t="str">
        <f>IFERROR(__xludf.DUMMYFUNCTION("""COMPUTED_VALUE"""),"EXCEDENTE PARA PORLLES")</f>
        <v>EXCEDENTE PARA PORLLES</v>
      </c>
      <c r="P1" s="1172" t="str">
        <f>IFERROR(__xludf.DUMMYFUNCTION("""COMPUTED_VALUE"""),"FECHA DE PEDIDO / VENTA")</f>
        <v>FECHA DE PEDIDO / VENTA</v>
      </c>
      <c r="Q1" s="1172" t="str">
        <f>IFERROR(__xludf.DUMMYFUNCTION("""COMPUTED_VALUE"""),"TOTAL COBRADO")</f>
        <v>TOTAL COBRADO</v>
      </c>
    </row>
    <row r="2">
      <c r="A2" s="1175">
        <f>IFERROR(__xludf.DUMMYFUNCTION("""COMPUTED_VALUE"""),45747.0)</f>
        <v>45747</v>
      </c>
      <c r="B2" s="1174" t="str">
        <f>IFERROR(__xludf.DUMMYFUNCTION("""COMPUTED_VALUE"""),"k-BH-1118594826")</f>
        <v>k-BH-1118594826</v>
      </c>
      <c r="C2" s="1174"/>
      <c r="D2" s="1174" t="b">
        <f>IFERROR(__xludf.DUMMYFUNCTION("""COMPUTED_VALUE"""),FALSE)</f>
        <v>0</v>
      </c>
      <c r="E2" s="1174" t="str">
        <f>IFERROR(__xludf.DUMMYFUNCTION("""COMPUTED_VALUE"""),"Laptop")</f>
        <v>Laptop</v>
      </c>
      <c r="F2" s="1176">
        <f>IFERROR(__xludf.DUMMYFUNCTION("""COMPUTED_VALUE"""),2199.0)</f>
        <v>2199</v>
      </c>
      <c r="G2" s="1177">
        <f>IFERROR(__xludf.DUMMYFUNCTION("""COMPUTED_VALUE"""),0.0)</f>
        <v>0</v>
      </c>
      <c r="H2" s="1174"/>
      <c r="I2" s="1174"/>
      <c r="J2" s="1177">
        <f>IFERROR(__xludf.DUMMYFUNCTION("""COMPUTED_VALUE"""),10203.97)</f>
        <v>10203.97</v>
      </c>
      <c r="M2" s="1174" t="str">
        <f>IFERROR(__xludf.DUMMYFUNCTION("""COMPUTED_VALUE"""),"OCTUBRE")</f>
        <v>OCTUBRE</v>
      </c>
      <c r="N2" s="1174" t="str">
        <f>IFERROR(__xludf.DUMMYFUNCTION("""COMPUTED_VALUE"""),"T6NRPX00A125245")</f>
        <v>T6NRPX00A125245</v>
      </c>
      <c r="O2" s="1177"/>
      <c r="P2" s="1175">
        <f>IFERROR(__xludf.DUMMYFUNCTION("""COMPUTED_VALUE"""),45931.0)</f>
        <v>45931</v>
      </c>
      <c r="Q2" s="1177">
        <f>IFERROR(__xludf.DUMMYFUNCTION("""COMPUTED_VALUE"""),7480.0)</f>
        <v>7480</v>
      </c>
    </row>
    <row r="3">
      <c r="A3" s="1175">
        <f>IFERROR(__xludf.DUMMYFUNCTION("""COMPUTED_VALUE"""),45749.0)</f>
        <v>45749</v>
      </c>
      <c r="B3" s="1174" t="str">
        <f>IFERROR(__xludf.DUMMYFUNCTION("""COMPUTED_VALUE"""),"BH - 1118573834")</f>
        <v>BH - 1118573834</v>
      </c>
      <c r="C3" s="1174"/>
      <c r="D3" s="1174" t="b">
        <f>IFERROR(__xludf.DUMMYFUNCTION("""COMPUTED_VALUE"""),FALSE)</f>
        <v>0</v>
      </c>
      <c r="E3" s="1174" t="str">
        <f>IFERROR(__xludf.DUMMYFUNCTION("""COMPUTED_VALUE"""),"Laptop")</f>
        <v>Laptop</v>
      </c>
      <c r="F3" s="1176">
        <f>IFERROR(__xludf.DUMMYFUNCTION("""COMPUTED_VALUE"""),1299.0)</f>
        <v>1299</v>
      </c>
      <c r="G3" s="1177">
        <f>IFERROR(__xludf.DUMMYFUNCTION("""COMPUTED_VALUE"""),0.0)</f>
        <v>0</v>
      </c>
      <c r="H3" s="1174"/>
      <c r="I3" s="1174"/>
      <c r="J3" s="1177">
        <f>IFERROR(__xludf.DUMMYFUNCTION("""COMPUTED_VALUE"""),6512.72)</f>
        <v>6512.72</v>
      </c>
      <c r="M3" s="1174" t="str">
        <f>IFERROR(__xludf.DUMMYFUNCTION("""COMPUTED_VALUE"""),"OCTUBRE")</f>
        <v>OCTUBRE</v>
      </c>
      <c r="N3" s="1174" t="str">
        <f>IFERROR(__xludf.DUMMYFUNCTION("""COMPUTED_VALUE"""),"K2505N0096790")</f>
        <v>K2505N0096790</v>
      </c>
      <c r="O3" s="1177"/>
      <c r="P3" s="1175">
        <f>IFERROR(__xludf.DUMMYFUNCTION("""COMPUTED_VALUE"""),45940.0)</f>
        <v>45940</v>
      </c>
      <c r="Q3" s="1177">
        <f>IFERROR(__xludf.DUMMYFUNCTION("""COMPUTED_VALUE"""),8680.0)</f>
        <v>8680</v>
      </c>
    </row>
    <row r="4">
      <c r="A4" s="1175">
        <f>IFERROR(__xludf.DUMMYFUNCTION("""COMPUTED_VALUE"""),45752.0)</f>
        <v>45752</v>
      </c>
      <c r="B4" s="1174" t="str">
        <f>IFERROR(__xludf.DUMMYFUNCTION("""COMPUTED_VALUE"""),"e - 10-12919-94045")</f>
        <v>e - 10-12919-94045</v>
      </c>
      <c r="C4" s="1174"/>
      <c r="D4" s="1174" t="b">
        <f>IFERROR(__xludf.DUMMYFUNCTION("""COMPUTED_VALUE"""),FALSE)</f>
        <v>0</v>
      </c>
      <c r="E4" s="1174" t="str">
        <f>IFERROR(__xludf.DUMMYFUNCTION("""COMPUTED_VALUE"""),"Laptop")</f>
        <v>Laptop</v>
      </c>
      <c r="F4" s="1176">
        <f>IFERROR(__xludf.DUMMYFUNCTION("""COMPUTED_VALUE"""),749.99)</f>
        <v>749.99</v>
      </c>
      <c r="G4" s="1177">
        <f>IFERROR(__xludf.DUMMYFUNCTION("""COMPUTED_VALUE"""),0.0)</f>
        <v>0</v>
      </c>
      <c r="H4" s="1174"/>
      <c r="I4" s="1174"/>
      <c r="J4" s="1177">
        <f>IFERROR(__xludf.DUMMYFUNCTION("""COMPUTED_VALUE"""),3924.0)</f>
        <v>3924</v>
      </c>
      <c r="N4" s="1174" t="str">
        <f t="shared" ref="N4:N1000" si="1">IF(M4="","",YEAR(M4))</f>
        <v/>
      </c>
    </row>
    <row r="5">
      <c r="A5" s="1175">
        <f>IFERROR(__xludf.DUMMYFUNCTION("""COMPUTED_VALUE"""),45752.0)</f>
        <v>45752</v>
      </c>
      <c r="B5" s="1174" t="str">
        <f>IFERROR(__xludf.DUMMYFUNCTION("""COMPUTED_VALUE"""),"K L - 4648438162")</f>
        <v>K L - 4648438162</v>
      </c>
      <c r="C5" s="1174"/>
      <c r="D5" s="1174" t="b">
        <f>IFERROR(__xludf.DUMMYFUNCTION("""COMPUTED_VALUE"""),FALSE)</f>
        <v>0</v>
      </c>
      <c r="E5" s="1174" t="str">
        <f>IFERROR(__xludf.DUMMYFUNCTION("""COMPUTED_VALUE"""),"Laptop")</f>
        <v>Laptop</v>
      </c>
      <c r="F5" s="1176">
        <f>IFERROR(__xludf.DUMMYFUNCTION("""COMPUTED_VALUE"""),2159.99)</f>
        <v>2159.99</v>
      </c>
      <c r="G5" s="1177">
        <f>IFERROR(__xludf.DUMMYFUNCTION("""COMPUTED_VALUE"""),0.0)</f>
        <v>0</v>
      </c>
      <c r="H5" s="1174"/>
      <c r="I5" s="1174"/>
      <c r="J5" s="1177">
        <f>IFERROR(__xludf.DUMMYFUNCTION("""COMPUTED_VALUE"""),10670.06)</f>
        <v>10670.06</v>
      </c>
      <c r="N5" s="1174" t="str">
        <f t="shared" si="1"/>
        <v/>
      </c>
    </row>
    <row r="6">
      <c r="A6" s="1175">
        <f>IFERROR(__xludf.DUMMYFUNCTION("""COMPUTED_VALUE"""),45760.0)</f>
        <v>45760</v>
      </c>
      <c r="B6" s="1174" t="str">
        <f>IFERROR(__xludf.DUMMYFUNCTION("""COMPUTED_VALUE"""),"K-BBY01-807051036818")</f>
        <v>K-BBY01-807051036818</v>
      </c>
      <c r="C6" s="1174"/>
      <c r="D6" s="1174" t="b">
        <f>IFERROR(__xludf.DUMMYFUNCTION("""COMPUTED_VALUE"""),FALSE)</f>
        <v>0</v>
      </c>
      <c r="E6" s="1174" t="str">
        <f>IFERROR(__xludf.DUMMYFUNCTION("""COMPUTED_VALUE"""),"Laptop")</f>
        <v>Laptop</v>
      </c>
      <c r="F6" s="1176">
        <f>IFERROR(__xludf.DUMMYFUNCTION("""COMPUTED_VALUE"""),1216.99)</f>
        <v>1216.99</v>
      </c>
      <c r="G6" s="1177">
        <f>IFERROR(__xludf.DUMMYFUNCTION("""COMPUTED_VALUE"""),0.0)</f>
        <v>0</v>
      </c>
      <c r="H6" s="1174"/>
      <c r="I6" s="1174"/>
      <c r="J6" s="1177">
        <f>IFERROR(__xludf.DUMMYFUNCTION("""COMPUTED_VALUE"""),6239.74)</f>
        <v>6239.74</v>
      </c>
      <c r="N6" s="1174" t="str">
        <f t="shared" si="1"/>
        <v/>
      </c>
    </row>
    <row r="7">
      <c r="A7" s="1175">
        <f>IFERROR(__xludf.DUMMYFUNCTION("""COMPUTED_VALUE"""),45768.0)</f>
        <v>45768</v>
      </c>
      <c r="B7" s="1174" t="str">
        <f>IFERROR(__xludf.DUMMYFUNCTION("""COMPUTED_VALUE"""),"A-BH-1118843209")</f>
        <v>A-BH-1118843209</v>
      </c>
      <c r="C7" s="1174"/>
      <c r="D7" s="1174" t="b">
        <f>IFERROR(__xludf.DUMMYFUNCTION("""COMPUTED_VALUE"""),FALSE)</f>
        <v>0</v>
      </c>
      <c r="E7" s="1174" t="str">
        <f>IFERROR(__xludf.DUMMYFUNCTION("""COMPUTED_VALUE"""),"Laptop")</f>
        <v>Laptop</v>
      </c>
      <c r="F7" s="1176">
        <f>IFERROR(__xludf.DUMMYFUNCTION("""COMPUTED_VALUE"""),1529.0)</f>
        <v>1529</v>
      </c>
      <c r="G7" s="1177">
        <f>IFERROR(__xludf.DUMMYFUNCTION("""COMPUTED_VALUE"""),0.0)</f>
        <v>0</v>
      </c>
      <c r="H7" s="1174"/>
      <c r="I7" s="1174"/>
      <c r="J7" s="1177">
        <f>IFERROR(__xludf.DUMMYFUNCTION("""COMPUTED_VALUE"""),7348.56)</f>
        <v>7348.56</v>
      </c>
      <c r="N7" s="1174" t="str">
        <f t="shared" si="1"/>
        <v/>
      </c>
    </row>
    <row r="8">
      <c r="A8" s="1175">
        <f>IFERROR(__xludf.DUMMYFUNCTION("""COMPUTED_VALUE"""),45770.0)</f>
        <v>45770</v>
      </c>
      <c r="B8" s="1174" t="str">
        <f>IFERROR(__xludf.DUMMYFUNCTION("""COMPUTED_VALUE"""),"k-a-114-0538469-6593828")</f>
        <v>k-a-114-0538469-6593828</v>
      </c>
      <c r="C8" s="1174"/>
      <c r="D8" s="1174" t="b">
        <f>IFERROR(__xludf.DUMMYFUNCTION("""COMPUTED_VALUE"""),FALSE)</f>
        <v>0</v>
      </c>
      <c r="E8" s="1174" t="str">
        <f>IFERROR(__xludf.DUMMYFUNCTION("""COMPUTED_VALUE"""),"Laptop")</f>
        <v>Laptop</v>
      </c>
      <c r="F8" s="1176">
        <f>IFERROR(__xludf.DUMMYFUNCTION("""COMPUTED_VALUE"""),999.99)</f>
        <v>999.99</v>
      </c>
      <c r="G8" s="1177">
        <f>IFERROR(__xludf.DUMMYFUNCTION("""COMPUTED_VALUE"""),0.0)</f>
        <v>0</v>
      </c>
      <c r="H8" s="1174"/>
      <c r="I8" s="1174"/>
      <c r="J8" s="1177">
        <f>IFERROR(__xludf.DUMMYFUNCTION("""COMPUTED_VALUE"""),5079.0)</f>
        <v>5079</v>
      </c>
      <c r="N8" s="1174" t="str">
        <f t="shared" si="1"/>
        <v/>
      </c>
    </row>
    <row r="9">
      <c r="A9" s="1175">
        <f>IFERROR(__xludf.DUMMYFUNCTION("""COMPUTED_VALUE"""),45771.0)</f>
        <v>45771</v>
      </c>
      <c r="B9" s="1174" t="str">
        <f>IFERROR(__xludf.DUMMYFUNCTION("""COMPUTED_VALUE"""),"J- M-250425-1")</f>
        <v>J- M-250425-1</v>
      </c>
      <c r="C9" s="1174"/>
      <c r="D9" s="1174" t="b">
        <f>IFERROR(__xludf.DUMMYFUNCTION("""COMPUTED_VALUE"""),FALSE)</f>
        <v>0</v>
      </c>
      <c r="E9" s="1174" t="str">
        <f>IFERROR(__xludf.DUMMYFUNCTION("""COMPUTED_VALUE"""),"Laptop")</f>
        <v>Laptop</v>
      </c>
      <c r="F9" s="1176">
        <f>IFERROR(__xludf.DUMMYFUNCTION("""COMPUTED_VALUE"""),1699.99)</f>
        <v>1699.99</v>
      </c>
      <c r="G9" s="1177">
        <f>IFERROR(__xludf.DUMMYFUNCTION("""COMPUTED_VALUE"""),0.0)</f>
        <v>0</v>
      </c>
      <c r="H9" s="1174"/>
      <c r="I9" s="1174"/>
      <c r="J9" s="1177">
        <f>IFERROR(__xludf.DUMMYFUNCTION("""COMPUTED_VALUE"""),8356.3)</f>
        <v>8356.3</v>
      </c>
      <c r="N9" s="1174" t="str">
        <f t="shared" si="1"/>
        <v/>
      </c>
    </row>
    <row r="10">
      <c r="A10" s="1175">
        <f>IFERROR(__xludf.DUMMYFUNCTION("""COMPUTED_VALUE"""),45774.0)</f>
        <v>45774</v>
      </c>
      <c r="B10" s="1174" t="str">
        <f>IFERROR(__xludf.DUMMYFUNCTION("""COMPUTED_VALUE"""),"      K- e  02-13019-28630")</f>
        <v>      K- e  02-13019-28630</v>
      </c>
      <c r="C10" s="1174"/>
      <c r="D10" s="1174" t="b">
        <f>IFERROR(__xludf.DUMMYFUNCTION("""COMPUTED_VALUE"""),FALSE)</f>
        <v>0</v>
      </c>
      <c r="E10" s="1174" t="str">
        <f>IFERROR(__xludf.DUMMYFUNCTION("""COMPUTED_VALUE"""),"Laptop")</f>
        <v>Laptop</v>
      </c>
      <c r="F10" s="1176">
        <f>IFERROR(__xludf.DUMMYFUNCTION("""COMPUTED_VALUE"""),1499.99)</f>
        <v>1499.99</v>
      </c>
      <c r="G10" s="1177">
        <f>IFERROR(__xludf.DUMMYFUNCTION("""COMPUTED_VALUE"""),0.0)</f>
        <v>0</v>
      </c>
      <c r="H10" s="1174"/>
      <c r="I10" s="1174"/>
      <c r="J10" s="1177">
        <f>IFERROR(__xludf.DUMMYFUNCTION("""COMPUTED_VALUE"""),6980.63)</f>
        <v>6980.63</v>
      </c>
      <c r="N10" s="1174" t="str">
        <f t="shared" si="1"/>
        <v/>
      </c>
    </row>
    <row r="11">
      <c r="A11" s="1175">
        <f>IFERROR(__xludf.DUMMYFUNCTION("""COMPUTED_VALUE"""),45776.0)</f>
        <v>45776</v>
      </c>
      <c r="B11" s="1174" t="str">
        <f>IFERROR(__xludf.DUMMYFUNCTION("""COMPUTED_VALUE"""),"k-ex-31493174")</f>
        <v>k-ex-31493174</v>
      </c>
      <c r="C11" s="1174"/>
      <c r="D11" s="1174" t="b">
        <f>IFERROR(__xludf.DUMMYFUNCTION("""COMPUTED_VALUE"""),FALSE)</f>
        <v>0</v>
      </c>
      <c r="E11" s="1174" t="str">
        <f>IFERROR(__xludf.DUMMYFUNCTION("""COMPUTED_VALUE"""),"Laptop")</f>
        <v>Laptop</v>
      </c>
      <c r="F11" s="1176">
        <f>IFERROR(__xludf.DUMMYFUNCTION("""COMPUTED_VALUE"""),1607.1)</f>
        <v>1607.1</v>
      </c>
      <c r="G11" s="1177">
        <f>IFERROR(__xludf.DUMMYFUNCTION("""COMPUTED_VALUE"""),0.0)</f>
        <v>0</v>
      </c>
      <c r="H11" s="1174"/>
      <c r="I11" s="1174"/>
      <c r="J11" s="1177">
        <f>IFERROR(__xludf.DUMMYFUNCTION("""COMPUTED_VALUE"""),7676.31)</f>
        <v>7676.31</v>
      </c>
      <c r="N11" s="1174" t="str">
        <f t="shared" si="1"/>
        <v/>
      </c>
    </row>
    <row r="12">
      <c r="A12" s="1175">
        <f>IFERROR(__xludf.DUMMYFUNCTION("""COMPUTED_VALUE"""),45780.0)</f>
        <v>45780</v>
      </c>
      <c r="B12" s="1174" t="str">
        <f>IFERROR(__xludf.DUMMYFUNCTION("""COMPUTED_VALUE"""),"K-BH-1118963762")</f>
        <v>K-BH-1118963762</v>
      </c>
      <c r="C12" s="1174"/>
      <c r="D12" s="1174" t="b">
        <f>IFERROR(__xludf.DUMMYFUNCTION("""COMPUTED_VALUE"""),FALSE)</f>
        <v>0</v>
      </c>
      <c r="E12" s="1174" t="str">
        <f>IFERROR(__xludf.DUMMYFUNCTION("""COMPUTED_VALUE"""),"Laptop")</f>
        <v>Laptop</v>
      </c>
      <c r="F12" s="1176">
        <f>IFERROR(__xludf.DUMMYFUNCTION("""COMPUTED_VALUE"""),1299.0)</f>
        <v>1299</v>
      </c>
      <c r="G12" s="1177">
        <f>IFERROR(__xludf.DUMMYFUNCTION("""COMPUTED_VALUE"""),0.0)</f>
        <v>0</v>
      </c>
      <c r="H12" s="1174"/>
      <c r="I12" s="1174"/>
      <c r="J12" s="1177">
        <f>IFERROR(__xludf.DUMMYFUNCTION("""COMPUTED_VALUE"""),6299.0)</f>
        <v>6299</v>
      </c>
      <c r="N12" s="1174" t="str">
        <f t="shared" si="1"/>
        <v/>
      </c>
    </row>
    <row r="13">
      <c r="A13" s="1175">
        <f>IFERROR(__xludf.DUMMYFUNCTION("""COMPUTED_VALUE"""),45780.0)</f>
        <v>45780</v>
      </c>
      <c r="B13" s="1174" t="str">
        <f>IFERROR(__xludf.DUMMYFUNCTION("""COMPUTED_VALUE"""),"K-a-113-4661082-2968244")</f>
        <v>K-a-113-4661082-2968244</v>
      </c>
      <c r="C13" s="1174"/>
      <c r="D13" s="1174" t="b">
        <f>IFERROR(__xludf.DUMMYFUNCTION("""COMPUTED_VALUE"""),FALSE)</f>
        <v>0</v>
      </c>
      <c r="E13" s="1174" t="str">
        <f>IFERROR(__xludf.DUMMYFUNCTION("""COMPUTED_VALUE"""),"Laptop")</f>
        <v>Laptop</v>
      </c>
      <c r="F13" s="1176">
        <f>IFERROR(__xludf.DUMMYFUNCTION("""COMPUTED_VALUE"""),1385.0)</f>
        <v>1385</v>
      </c>
      <c r="G13" s="1177">
        <f>IFERROR(__xludf.DUMMYFUNCTION("""COMPUTED_VALUE"""),0.0)</f>
        <v>0</v>
      </c>
      <c r="H13" s="1174"/>
      <c r="I13" s="1174"/>
      <c r="J13" s="1177">
        <f>IFERROR(__xludf.DUMMYFUNCTION("""COMPUTED_VALUE"""),6499.0)</f>
        <v>6499</v>
      </c>
      <c r="N13" s="1174" t="str">
        <f t="shared" si="1"/>
        <v/>
      </c>
    </row>
    <row r="14">
      <c r="A14" s="1175">
        <f>IFERROR(__xludf.DUMMYFUNCTION("""COMPUTED_VALUE"""),45786.0)</f>
        <v>45786</v>
      </c>
      <c r="B14" s="1174" t="str">
        <f>IFERROR(__xludf.DUMMYFUNCTION("""COMPUTED_VALUE"""),"s-e-08-12991-90844")</f>
        <v>s-e-08-12991-90844</v>
      </c>
      <c r="C14" s="1174"/>
      <c r="D14" s="1174" t="b">
        <f>IFERROR(__xludf.DUMMYFUNCTION("""COMPUTED_VALUE"""),FALSE)</f>
        <v>0</v>
      </c>
      <c r="E14" s="1174" t="str">
        <f>IFERROR(__xludf.DUMMYFUNCTION("""COMPUTED_VALUE"""),"Laptop")</f>
        <v>Laptop</v>
      </c>
      <c r="F14" s="1176">
        <f>IFERROR(__xludf.DUMMYFUNCTION("""COMPUTED_VALUE"""),1299.99)</f>
        <v>1299.99</v>
      </c>
      <c r="G14" s="1177">
        <f>IFERROR(__xludf.DUMMYFUNCTION("""COMPUTED_VALUE"""),0.0)</f>
        <v>0</v>
      </c>
      <c r="H14" s="1174"/>
      <c r="I14" s="1174"/>
      <c r="J14" s="1177">
        <f>IFERROR(__xludf.DUMMYFUNCTION("""COMPUTED_VALUE"""),6599.0)</f>
        <v>6599</v>
      </c>
      <c r="N14" s="1174" t="str">
        <f t="shared" si="1"/>
        <v/>
      </c>
    </row>
    <row r="15">
      <c r="A15" s="1175">
        <f>IFERROR(__xludf.DUMMYFUNCTION("""COMPUTED_VALUE"""),45789.0)</f>
        <v>45789</v>
      </c>
      <c r="B15" s="1174" t="str">
        <f>IFERROR(__xludf.DUMMYFUNCTION("""COMPUTED_VALUE"""),"K a 113-0184539-6133063")</f>
        <v>K a 113-0184539-6133063</v>
      </c>
      <c r="C15" s="1174"/>
      <c r="D15" s="1174" t="b">
        <f>IFERROR(__xludf.DUMMYFUNCTION("""COMPUTED_VALUE"""),FALSE)</f>
        <v>0</v>
      </c>
      <c r="E15" s="1174" t="str">
        <f>IFERROR(__xludf.DUMMYFUNCTION("""COMPUTED_VALUE"""),"Laptop")</f>
        <v>Laptop</v>
      </c>
      <c r="F15" s="1176">
        <f>IFERROR(__xludf.DUMMYFUNCTION("""COMPUTED_VALUE"""),99.95)</f>
        <v>99.95</v>
      </c>
      <c r="G15" s="1177">
        <f>IFERROR(__xludf.DUMMYFUNCTION("""COMPUTED_VALUE"""),0.0)</f>
        <v>0</v>
      </c>
      <c r="H15" s="1174"/>
      <c r="I15" s="1174"/>
      <c r="J15" s="1177">
        <f>IFERROR(__xludf.DUMMYFUNCTION("""COMPUTED_VALUE"""),491.56)</f>
        <v>491.56</v>
      </c>
      <c r="N15" s="1174" t="str">
        <f t="shared" si="1"/>
        <v/>
      </c>
    </row>
    <row r="16">
      <c r="A16" s="1175">
        <f>IFERROR(__xludf.DUMMYFUNCTION("""COMPUTED_VALUE"""),45789.0)</f>
        <v>45789</v>
      </c>
      <c r="B16" s="1174" t="str">
        <f>IFERROR(__xludf.DUMMYFUNCTION("""COMPUTED_VALUE"""),"K -a 113-8261722-2682611")</f>
        <v>K -a 113-8261722-2682611</v>
      </c>
      <c r="C16" s="1174"/>
      <c r="D16" s="1174" t="b">
        <f>IFERROR(__xludf.DUMMYFUNCTION("""COMPUTED_VALUE"""),FALSE)</f>
        <v>0</v>
      </c>
      <c r="E16" s="1174" t="str">
        <f>IFERROR(__xludf.DUMMYFUNCTION("""COMPUTED_VALUE"""),"Laptop")</f>
        <v>Laptop</v>
      </c>
      <c r="F16" s="1176">
        <f>IFERROR(__xludf.DUMMYFUNCTION("""COMPUTED_VALUE"""),45.49)</f>
        <v>45.49</v>
      </c>
      <c r="G16" s="1177">
        <f>IFERROR(__xludf.DUMMYFUNCTION("""COMPUTED_VALUE"""),0.0)</f>
        <v>0</v>
      </c>
      <c r="H16" s="1174"/>
      <c r="I16" s="1174"/>
      <c r="J16" s="1177">
        <f>IFERROR(__xludf.DUMMYFUNCTION("""COMPUTED_VALUE"""),272.81)</f>
        <v>272.81</v>
      </c>
      <c r="N16" s="1174" t="str">
        <f t="shared" si="1"/>
        <v/>
      </c>
    </row>
    <row r="17">
      <c r="A17" s="1175">
        <f>IFERROR(__xludf.DUMMYFUNCTION("""COMPUTED_VALUE"""),45790.0)</f>
        <v>45790</v>
      </c>
      <c r="B17" s="1174" t="str">
        <f>IFERROR(__xludf.DUMMYFUNCTION("""COMPUTED_VALUE"""),"K-e-15-13067-99558")</f>
        <v>K-e-15-13067-99558</v>
      </c>
      <c r="C17" s="1174"/>
      <c r="D17" s="1174" t="b">
        <f>IFERROR(__xludf.DUMMYFUNCTION("""COMPUTED_VALUE"""),FALSE)</f>
        <v>0</v>
      </c>
      <c r="E17" s="1174" t="str">
        <f>IFERROR(__xludf.DUMMYFUNCTION("""COMPUTED_VALUE"""),"Laptop")</f>
        <v>Laptop</v>
      </c>
      <c r="F17" s="1176">
        <f>IFERROR(__xludf.DUMMYFUNCTION("""COMPUTED_VALUE"""),1191.99)</f>
        <v>1191.99</v>
      </c>
      <c r="G17" s="1177">
        <f>IFERROR(__xludf.DUMMYFUNCTION("""COMPUTED_VALUE"""),0.0)</f>
        <v>0</v>
      </c>
      <c r="H17" s="1174"/>
      <c r="I17" s="1174"/>
      <c r="J17" s="1177">
        <f>IFERROR(__xludf.DUMMYFUNCTION("""COMPUTED_VALUE"""),5799.0)</f>
        <v>5799</v>
      </c>
      <c r="N17" s="1174" t="str">
        <f t="shared" si="1"/>
        <v/>
      </c>
    </row>
    <row r="18">
      <c r="A18" s="1175">
        <f>IFERROR(__xludf.DUMMYFUNCTION("""COMPUTED_VALUE"""),45793.0)</f>
        <v>45793</v>
      </c>
      <c r="B18" s="1174" t="str">
        <f>IFERROR(__xludf.DUMMYFUNCTION("""COMPUTED_VALUE"""),"113-6683228-0983419")</f>
        <v>113-6683228-0983419</v>
      </c>
      <c r="C18" s="1174"/>
      <c r="D18" s="1174" t="b">
        <f>IFERROR(__xludf.DUMMYFUNCTION("""COMPUTED_VALUE"""),FALSE)</f>
        <v>0</v>
      </c>
      <c r="E18" s="1174" t="str">
        <f>IFERROR(__xludf.DUMMYFUNCTION("""COMPUTED_VALUE"""),"Laptop")</f>
        <v>Laptop</v>
      </c>
      <c r="F18" s="1176">
        <f>IFERROR(__xludf.DUMMYFUNCTION("""COMPUTED_VALUE"""),6.99)</f>
        <v>6.99</v>
      </c>
      <c r="G18" s="1177">
        <f>IFERROR(__xludf.DUMMYFUNCTION("""COMPUTED_VALUE"""),0.0)</f>
        <v>0</v>
      </c>
      <c r="H18" s="1174"/>
      <c r="I18" s="1174"/>
      <c r="J18" s="1177">
        <f>IFERROR(__xludf.DUMMYFUNCTION("""COMPUTED_VALUE"""),29.41)</f>
        <v>29.41</v>
      </c>
      <c r="N18" s="1174" t="str">
        <f t="shared" si="1"/>
        <v/>
      </c>
    </row>
    <row r="19">
      <c r="A19" s="1175">
        <f>IFERROR(__xludf.DUMMYFUNCTION("""COMPUTED_VALUE"""),45793.0)</f>
        <v>45793</v>
      </c>
      <c r="B19" s="1174" t="str">
        <f>IFERROR(__xludf.DUMMYFUNCTION("""COMPUTED_VALUE"""),"113-7477479-0677024")</f>
        <v>113-7477479-0677024</v>
      </c>
      <c r="C19" s="1174"/>
      <c r="D19" s="1174" t="b">
        <f>IFERROR(__xludf.DUMMYFUNCTION("""COMPUTED_VALUE"""),FALSE)</f>
        <v>0</v>
      </c>
      <c r="E19" s="1174" t="str">
        <f>IFERROR(__xludf.DUMMYFUNCTION("""COMPUTED_VALUE"""),"Laptop")</f>
        <v>Laptop</v>
      </c>
      <c r="F19" s="1176">
        <f>IFERROR(__xludf.DUMMYFUNCTION("""COMPUTED_VALUE"""),27.97)</f>
        <v>27.97</v>
      </c>
      <c r="G19" s="1177">
        <f>IFERROR(__xludf.DUMMYFUNCTION("""COMPUTED_VALUE"""),0.0)</f>
        <v>0</v>
      </c>
      <c r="H19" s="1174"/>
      <c r="I19" s="1174"/>
      <c r="J19" s="1177">
        <f>IFERROR(__xludf.DUMMYFUNCTION("""COMPUTED_VALUE"""),118.48)</f>
        <v>118.48</v>
      </c>
      <c r="N19" s="1174" t="str">
        <f t="shared" si="1"/>
        <v/>
      </c>
    </row>
    <row r="20">
      <c r="A20" s="1175">
        <f>IFERROR(__xludf.DUMMYFUNCTION("""COMPUTED_VALUE"""),45794.0)</f>
        <v>45794</v>
      </c>
      <c r="B20" s="1174" t="str">
        <f>IFERROR(__xludf.DUMMYFUNCTION("""COMPUTED_VALUE"""),"L-2- M-250425")</f>
        <v>L-2- M-250425</v>
      </c>
      <c r="C20" s="1174"/>
      <c r="D20" s="1174" t="b">
        <f>IFERROR(__xludf.DUMMYFUNCTION("""COMPUTED_VALUE"""),FALSE)</f>
        <v>0</v>
      </c>
      <c r="E20" s="1174" t="str">
        <f>IFERROR(__xludf.DUMMYFUNCTION("""COMPUTED_VALUE"""),"Laptop")</f>
        <v>Laptop</v>
      </c>
      <c r="F20" s="1176">
        <f>IFERROR(__xludf.DUMMYFUNCTION("""COMPUTED_VALUE"""),1699.99)</f>
        <v>1699.99</v>
      </c>
      <c r="G20" s="1177">
        <f>IFERROR(__xludf.DUMMYFUNCTION("""COMPUTED_VALUE"""),0.0)</f>
        <v>0</v>
      </c>
      <c r="H20" s="1174"/>
      <c r="I20" s="1174"/>
      <c r="J20" s="1177">
        <f>IFERROR(__xludf.DUMMYFUNCTION("""COMPUTED_VALUE"""),8659.0)</f>
        <v>8659</v>
      </c>
      <c r="N20" s="1174" t="str">
        <f t="shared" si="1"/>
        <v/>
      </c>
    </row>
    <row r="21">
      <c r="A21" s="1175">
        <f>IFERROR(__xludf.DUMMYFUNCTION("""COMPUTED_VALUE"""),45794.0)</f>
        <v>45794</v>
      </c>
      <c r="B21" s="1174" t="str">
        <f>IFERROR(__xludf.DUMMYFUNCTION("""COMPUTED_VALUE"""),"K-e-01-13093-78445")</f>
        <v>K-e-01-13093-78445</v>
      </c>
      <c r="C21" s="1174"/>
      <c r="D21" s="1174" t="b">
        <f>IFERROR(__xludf.DUMMYFUNCTION("""COMPUTED_VALUE"""),FALSE)</f>
        <v>0</v>
      </c>
      <c r="E21" s="1174" t="str">
        <f>IFERROR(__xludf.DUMMYFUNCTION("""COMPUTED_VALUE"""),"Laptop")</f>
        <v>Laptop</v>
      </c>
      <c r="F21" s="1176">
        <f>IFERROR(__xludf.DUMMYFUNCTION("""COMPUTED_VALUE"""),984.87)</f>
        <v>984.87</v>
      </c>
      <c r="G21" s="1177">
        <f>IFERROR(__xludf.DUMMYFUNCTION("""COMPUTED_VALUE"""),0.0)</f>
        <v>0</v>
      </c>
      <c r="H21" s="1174"/>
      <c r="I21" s="1174"/>
      <c r="J21" s="1177">
        <f>IFERROR(__xludf.DUMMYFUNCTION("""COMPUTED_VALUE"""),4799.0)</f>
        <v>4799</v>
      </c>
      <c r="N21" s="1174" t="str">
        <f t="shared" si="1"/>
        <v/>
      </c>
    </row>
    <row r="22">
      <c r="A22" s="1175">
        <f>IFERROR(__xludf.DUMMYFUNCTION("""COMPUTED_VALUE"""),45796.0)</f>
        <v>45796</v>
      </c>
      <c r="B22" s="1174" t="str">
        <f>IFERROR(__xludf.DUMMYFUNCTION("""COMPUTED_VALUE"""),"J- M-250425-2")</f>
        <v>J- M-250425-2</v>
      </c>
      <c r="C22" s="1174"/>
      <c r="D22" s="1174" t="b">
        <f>IFERROR(__xludf.DUMMYFUNCTION("""COMPUTED_VALUE"""),FALSE)</f>
        <v>0</v>
      </c>
      <c r="E22" s="1174" t="str">
        <f>IFERROR(__xludf.DUMMYFUNCTION("""COMPUTED_VALUE"""),"Laptop")</f>
        <v>Laptop</v>
      </c>
      <c r="F22" s="1176">
        <f>IFERROR(__xludf.DUMMYFUNCTION("""COMPUTED_VALUE"""),1699.99)</f>
        <v>1699.99</v>
      </c>
      <c r="G22" s="1177">
        <f>IFERROR(__xludf.DUMMYFUNCTION("""COMPUTED_VALUE"""),0.0)</f>
        <v>0</v>
      </c>
      <c r="H22" s="1174"/>
      <c r="I22" s="1174"/>
      <c r="J22" s="1177">
        <f>IFERROR(__xludf.DUMMYFUNCTION("""COMPUTED_VALUE"""),8399.0)</f>
        <v>8399</v>
      </c>
      <c r="N22" s="1174" t="str">
        <f t="shared" si="1"/>
        <v/>
      </c>
    </row>
    <row r="23">
      <c r="A23" s="1175">
        <f>IFERROR(__xludf.DUMMYFUNCTION("""COMPUTED_VALUE"""),45798.0)</f>
        <v>45798</v>
      </c>
      <c r="B23" s="1174" t="str">
        <f>IFERROR(__xludf.DUMMYFUNCTION("""COMPUTED_VALUE"""),"S-e-02-13000-71837")</f>
        <v>S-e-02-13000-71837</v>
      </c>
      <c r="C23" s="1174"/>
      <c r="D23" s="1174" t="b">
        <f>IFERROR(__xludf.DUMMYFUNCTION("""COMPUTED_VALUE"""),FALSE)</f>
        <v>0</v>
      </c>
      <c r="E23" s="1174" t="str">
        <f>IFERROR(__xludf.DUMMYFUNCTION("""COMPUTED_VALUE"""),"Laptop")</f>
        <v>Laptop</v>
      </c>
      <c r="F23" s="1176">
        <f>IFERROR(__xludf.DUMMYFUNCTION("""COMPUTED_VALUE"""),1299.99)</f>
        <v>1299.99</v>
      </c>
      <c r="G23" s="1177">
        <f>IFERROR(__xludf.DUMMYFUNCTION("""COMPUTED_VALUE"""),0.0)</f>
        <v>0</v>
      </c>
      <c r="H23" s="1174"/>
      <c r="I23" s="1174"/>
      <c r="J23" s="1177">
        <f>IFERROR(__xludf.DUMMYFUNCTION("""COMPUTED_VALUE"""),6499.0)</f>
        <v>6499</v>
      </c>
      <c r="N23" s="1174" t="str">
        <f t="shared" si="1"/>
        <v/>
      </c>
    </row>
    <row r="24">
      <c r="A24" s="1175">
        <f>IFERROR(__xludf.DUMMYFUNCTION("""COMPUTED_VALUE"""),45799.0)</f>
        <v>45799</v>
      </c>
      <c r="B24" s="1174" t="str">
        <f>IFERROR(__xludf.DUMMYFUNCTION("""COMPUTED_VALUE"""),"k-e-11-12747-88467-1")</f>
        <v>k-e-11-12747-88467-1</v>
      </c>
      <c r="C24" s="1174"/>
      <c r="D24" s="1174" t="b">
        <f>IFERROR(__xludf.DUMMYFUNCTION("""COMPUTED_VALUE"""),FALSE)</f>
        <v>0</v>
      </c>
      <c r="E24" s="1174" t="str">
        <f>IFERROR(__xludf.DUMMYFUNCTION("""COMPUTED_VALUE"""),"Laptop")</f>
        <v>Laptop</v>
      </c>
      <c r="F24" s="1176">
        <f>IFERROR(__xludf.DUMMYFUNCTION("""COMPUTED_VALUE"""),1999.99)</f>
        <v>1999.99</v>
      </c>
      <c r="G24" s="1177">
        <f>IFERROR(__xludf.DUMMYFUNCTION("""COMPUTED_VALUE"""),0.0)</f>
        <v>0</v>
      </c>
      <c r="H24" s="1174"/>
      <c r="I24" s="1174"/>
      <c r="J24" s="1177">
        <f>IFERROR(__xludf.DUMMYFUNCTION("""COMPUTED_VALUE"""),9756.92)</f>
        <v>9756.92</v>
      </c>
      <c r="N24" s="1174" t="str">
        <f t="shared" si="1"/>
        <v/>
      </c>
    </row>
    <row r="25">
      <c r="A25" s="1175">
        <f>IFERROR(__xludf.DUMMYFUNCTION("""COMPUTED_VALUE"""),45803.0)</f>
        <v>45803</v>
      </c>
      <c r="B25" s="1174" t="str">
        <f>IFERROR(__xludf.DUMMYFUNCTION("""COMPUTED_VALUE"""),"k-e-25-13083-13208")</f>
        <v>k-e-25-13083-13208</v>
      </c>
      <c r="C25" s="1174"/>
      <c r="D25" s="1174" t="b">
        <f>IFERROR(__xludf.DUMMYFUNCTION("""COMPUTED_VALUE"""),FALSE)</f>
        <v>0</v>
      </c>
      <c r="E25" s="1174" t="str">
        <f>IFERROR(__xludf.DUMMYFUNCTION("""COMPUTED_VALUE"""),"Laptop")</f>
        <v>Laptop</v>
      </c>
      <c r="F25" s="1176">
        <f>IFERROR(__xludf.DUMMYFUNCTION("""COMPUTED_VALUE"""),1191.0)</f>
        <v>1191</v>
      </c>
      <c r="G25" s="1177">
        <f>IFERROR(__xludf.DUMMYFUNCTION("""COMPUTED_VALUE"""),0.0)</f>
        <v>0</v>
      </c>
      <c r="H25" s="1174"/>
      <c r="I25" s="1174"/>
      <c r="J25" s="1177">
        <f>IFERROR(__xludf.DUMMYFUNCTION("""COMPUTED_VALUE"""),5999.0)</f>
        <v>5999</v>
      </c>
      <c r="N25" s="1174" t="str">
        <f t="shared" si="1"/>
        <v/>
      </c>
    </row>
    <row r="26">
      <c r="A26" s="1175">
        <f>IFERROR(__xludf.DUMMYFUNCTION("""COMPUTED_VALUE"""),45805.0)</f>
        <v>45805</v>
      </c>
      <c r="B26" s="1174" t="str">
        <f>IFERROR(__xludf.DUMMYFUNCTION("""COMPUTED_VALUE"""),"L  C 280525")</f>
        <v>L  C 280525</v>
      </c>
      <c r="C26" s="1174"/>
      <c r="D26" s="1174" t="b">
        <f>IFERROR(__xludf.DUMMYFUNCTION("""COMPUTED_VALUE"""),FALSE)</f>
        <v>0</v>
      </c>
      <c r="E26" s="1174" t="str">
        <f>IFERROR(__xludf.DUMMYFUNCTION("""COMPUTED_VALUE"""),"Laptop")</f>
        <v>Laptop</v>
      </c>
      <c r="F26" s="1176">
        <f>IFERROR(__xludf.DUMMYFUNCTION("""COMPUTED_VALUE"""),1299.99)</f>
        <v>1299.99</v>
      </c>
      <c r="G26" s="1177">
        <f>IFERROR(__xludf.DUMMYFUNCTION("""COMPUTED_VALUE"""),0.0)</f>
        <v>0</v>
      </c>
      <c r="H26" s="1174"/>
      <c r="I26" s="1174"/>
      <c r="J26" s="1177">
        <f>IFERROR(__xludf.DUMMYFUNCTION("""COMPUTED_VALUE"""),6602.61)</f>
        <v>6602.61</v>
      </c>
      <c r="N26" s="1174" t="str">
        <f t="shared" si="1"/>
        <v/>
      </c>
    </row>
    <row r="27">
      <c r="A27" s="1175">
        <f>IFERROR(__xludf.DUMMYFUNCTION("""COMPUTED_VALUE"""),45806.0)</f>
        <v>45806</v>
      </c>
      <c r="B27" s="1174" t="str">
        <f>IFERROR(__xludf.DUMMYFUNCTION("""COMPUTED_VALUE"""),"k-e-15-13131-26086")</f>
        <v>k-e-15-13131-26086</v>
      </c>
      <c r="C27" s="1174"/>
      <c r="D27" s="1174" t="b">
        <f>IFERROR(__xludf.DUMMYFUNCTION("""COMPUTED_VALUE"""),FALSE)</f>
        <v>0</v>
      </c>
      <c r="E27" s="1174" t="str">
        <f>IFERROR(__xludf.DUMMYFUNCTION("""COMPUTED_VALUE"""),"Laptop")</f>
        <v>Laptop</v>
      </c>
      <c r="F27" s="1176">
        <f>IFERROR(__xludf.DUMMYFUNCTION("""COMPUTED_VALUE"""),1699.99)</f>
        <v>1699.99</v>
      </c>
      <c r="G27" s="1177">
        <f>IFERROR(__xludf.DUMMYFUNCTION("""COMPUTED_VALUE"""),0.0)</f>
        <v>0</v>
      </c>
      <c r="H27" s="1174"/>
      <c r="I27" s="1174"/>
      <c r="J27" s="1177">
        <f>IFERROR(__xludf.DUMMYFUNCTION("""COMPUTED_VALUE"""),8299.0)</f>
        <v>8299</v>
      </c>
      <c r="N27" s="1174" t="str">
        <f t="shared" si="1"/>
        <v/>
      </c>
    </row>
    <row r="28">
      <c r="A28" s="1175">
        <f>IFERROR(__xludf.DUMMYFUNCTION("""COMPUTED_VALUE"""),45807.0)</f>
        <v>45807</v>
      </c>
      <c r="B28" s="1174" t="str">
        <f>IFERROR(__xludf.DUMMYFUNCTION("""COMPUTED_VALUE"""),"k-e-24-13110-76635")</f>
        <v>k-e-24-13110-76635</v>
      </c>
      <c r="C28" s="1174"/>
      <c r="D28" s="1174" t="b">
        <f>IFERROR(__xludf.DUMMYFUNCTION("""COMPUTED_VALUE"""),FALSE)</f>
        <v>0</v>
      </c>
      <c r="E28" s="1174" t="str">
        <f>IFERROR(__xludf.DUMMYFUNCTION("""COMPUTED_VALUE"""),"Laptop")</f>
        <v>Laptop</v>
      </c>
      <c r="F28" s="1176">
        <f>IFERROR(__xludf.DUMMYFUNCTION("""COMPUTED_VALUE"""),1687.03)</f>
        <v>1687.03</v>
      </c>
      <c r="G28" s="1177">
        <f>IFERROR(__xludf.DUMMYFUNCTION("""COMPUTED_VALUE"""),0.0)</f>
        <v>0</v>
      </c>
      <c r="H28" s="1174"/>
      <c r="I28" s="1174"/>
      <c r="J28" s="1177">
        <f>IFERROR(__xludf.DUMMYFUNCTION("""COMPUTED_VALUE"""),6161.83)</f>
        <v>6161.83</v>
      </c>
      <c r="N28" s="1174" t="str">
        <f t="shared" si="1"/>
        <v/>
      </c>
    </row>
    <row r="29">
      <c r="A29" s="1175">
        <f>IFERROR(__xludf.DUMMYFUNCTION("""COMPUTED_VALUE"""),45811.0)</f>
        <v>45811</v>
      </c>
      <c r="B29" s="1174" t="str">
        <f>IFERROR(__xludf.DUMMYFUNCTION("""COMPUTED_VALUE"""),"K-BBY01-807062499768")</f>
        <v>K-BBY01-807062499768</v>
      </c>
      <c r="C29" s="1174"/>
      <c r="D29" s="1174" t="b">
        <f>IFERROR(__xludf.DUMMYFUNCTION("""COMPUTED_VALUE"""),FALSE)</f>
        <v>0</v>
      </c>
      <c r="E29" s="1174" t="str">
        <f>IFERROR(__xludf.DUMMYFUNCTION("""COMPUTED_VALUE"""),"Laptop")</f>
        <v>Laptop</v>
      </c>
      <c r="F29" s="1176">
        <f>IFERROR(__xludf.DUMMYFUNCTION("""COMPUTED_VALUE"""),2629.99)</f>
        <v>2629.99</v>
      </c>
      <c r="G29" s="1177">
        <f>IFERROR(__xludf.DUMMYFUNCTION("""COMPUTED_VALUE"""),0.0)</f>
        <v>0</v>
      </c>
      <c r="H29" s="1174"/>
      <c r="I29" s="1174"/>
      <c r="J29" s="1177">
        <f>IFERROR(__xludf.DUMMYFUNCTION("""COMPUTED_VALUE"""),12121.08)</f>
        <v>12121.08</v>
      </c>
      <c r="N29" s="1174" t="str">
        <f t="shared" si="1"/>
        <v/>
      </c>
    </row>
    <row r="30">
      <c r="A30" s="1175">
        <f>IFERROR(__xludf.DUMMYFUNCTION("""COMPUTED_VALUE"""),45812.0)</f>
        <v>45812</v>
      </c>
      <c r="B30" s="1174" t="str">
        <f>IFERROR(__xludf.DUMMYFUNCTION("""COMPUTED_VALUE"""),"L M 050625")</f>
        <v>L M 050625</v>
      </c>
      <c r="C30" s="1174"/>
      <c r="D30" s="1174" t="b">
        <f>IFERROR(__xludf.DUMMYFUNCTION("""COMPUTED_VALUE"""),FALSE)</f>
        <v>0</v>
      </c>
      <c r="E30" s="1174" t="str">
        <f>IFERROR(__xludf.DUMMYFUNCTION("""COMPUTED_VALUE"""),"Laptop")</f>
        <v>Laptop</v>
      </c>
      <c r="F30" s="1176">
        <f>IFERROR(__xludf.DUMMYFUNCTION("""COMPUTED_VALUE"""),2799.99)</f>
        <v>2799.99</v>
      </c>
      <c r="G30" s="1177">
        <f>IFERROR(__xludf.DUMMYFUNCTION("""COMPUTED_VALUE"""),0.0)</f>
        <v>0</v>
      </c>
      <c r="H30" s="1174"/>
      <c r="I30" s="1174"/>
      <c r="J30" s="1177">
        <f>IFERROR(__xludf.DUMMYFUNCTION("""COMPUTED_VALUE"""),13699.0)</f>
        <v>13699</v>
      </c>
      <c r="N30" s="1174" t="str">
        <f t="shared" si="1"/>
        <v/>
      </c>
    </row>
    <row r="31">
      <c r="A31" s="1175">
        <f>IFERROR(__xludf.DUMMYFUNCTION("""COMPUTED_VALUE"""),45814.0)</f>
        <v>45814</v>
      </c>
      <c r="B31" s="1174" t="str">
        <f>IFERROR(__xludf.DUMMYFUNCTION("""COMPUTED_VALUE"""),"k-e-18-13160-80998")</f>
        <v>k-e-18-13160-80998</v>
      </c>
      <c r="C31" s="1174"/>
      <c r="D31" s="1174" t="b">
        <f>IFERROR(__xludf.DUMMYFUNCTION("""COMPUTED_VALUE"""),FALSE)</f>
        <v>0</v>
      </c>
      <c r="E31" s="1174" t="str">
        <f>IFERROR(__xludf.DUMMYFUNCTION("""COMPUTED_VALUE"""),"Laptop")</f>
        <v>Laptop</v>
      </c>
      <c r="F31" s="1176">
        <f>IFERROR(__xludf.DUMMYFUNCTION("""COMPUTED_VALUE"""),2299.0)</f>
        <v>2299</v>
      </c>
      <c r="G31" s="1177">
        <f>IFERROR(__xludf.DUMMYFUNCTION("""COMPUTED_VALUE"""),0.0)</f>
        <v>0</v>
      </c>
      <c r="H31" s="1174"/>
      <c r="I31" s="1174"/>
      <c r="J31" s="1177">
        <f>IFERROR(__xludf.DUMMYFUNCTION("""COMPUTED_VALUE"""),10699.0)</f>
        <v>10699</v>
      </c>
      <c r="N31" s="1174" t="str">
        <f t="shared" si="1"/>
        <v/>
      </c>
    </row>
    <row r="32">
      <c r="A32" s="1175">
        <f>IFERROR(__xludf.DUMMYFUNCTION("""COMPUTED_VALUE"""),45829.0)</f>
        <v>45829</v>
      </c>
      <c r="B32" s="1174" t="str">
        <f>IFERROR(__xludf.DUMMYFUNCTION("""COMPUTED_VALUE"""),"k-a-113-3092851-7511404")</f>
        <v>k-a-113-3092851-7511404</v>
      </c>
      <c r="C32" s="1174"/>
      <c r="D32" s="1174" t="b">
        <f>IFERROR(__xludf.DUMMYFUNCTION("""COMPUTED_VALUE"""),FALSE)</f>
        <v>0</v>
      </c>
      <c r="E32" s="1174" t="str">
        <f>IFERROR(__xludf.DUMMYFUNCTION("""COMPUTED_VALUE"""),"Laptop")</f>
        <v>Laptop</v>
      </c>
      <c r="F32" s="1176">
        <f>IFERROR(__xludf.DUMMYFUNCTION("""COMPUTED_VALUE"""),1488.0)</f>
        <v>1488</v>
      </c>
      <c r="G32" s="1177">
        <f>IFERROR(__xludf.DUMMYFUNCTION("""COMPUTED_VALUE"""),0.0)</f>
        <v>0</v>
      </c>
      <c r="H32" s="1174"/>
      <c r="I32" s="1174"/>
      <c r="J32" s="1177">
        <f>IFERROR(__xludf.DUMMYFUNCTION("""COMPUTED_VALUE"""),7015.0)</f>
        <v>7015</v>
      </c>
      <c r="N32" s="1174" t="str">
        <f t="shared" si="1"/>
        <v/>
      </c>
    </row>
    <row r="33">
      <c r="A33" s="1175">
        <f>IFERROR(__xludf.DUMMYFUNCTION("""COMPUTED_VALUE"""),45831.0)</f>
        <v>45831</v>
      </c>
      <c r="B33" s="1174" t="str">
        <f>IFERROR(__xludf.DUMMYFUNCTION("""COMPUTED_VALUE"""),"k-a-113-6684011-0509811")</f>
        <v>k-a-113-6684011-0509811</v>
      </c>
      <c r="C33" s="1174"/>
      <c r="D33" s="1174" t="b">
        <f>IFERROR(__xludf.DUMMYFUNCTION("""COMPUTED_VALUE"""),FALSE)</f>
        <v>0</v>
      </c>
      <c r="E33" s="1174" t="str">
        <f>IFERROR(__xludf.DUMMYFUNCTION("""COMPUTED_VALUE"""),"Laptop")</f>
        <v>Laptop</v>
      </c>
      <c r="F33" s="1176">
        <f>IFERROR(__xludf.DUMMYFUNCTION("""COMPUTED_VALUE"""),1488.0)</f>
        <v>1488</v>
      </c>
      <c r="G33" s="1177">
        <f>IFERROR(__xludf.DUMMYFUNCTION("""COMPUTED_VALUE"""),0.0)</f>
        <v>0</v>
      </c>
      <c r="H33" s="1174"/>
      <c r="I33" s="1174"/>
      <c r="J33" s="1177">
        <f>IFERROR(__xludf.DUMMYFUNCTION("""COMPUTED_VALUE"""),7199.0)</f>
        <v>7199</v>
      </c>
      <c r="N33" s="1174" t="str">
        <f t="shared" si="1"/>
        <v/>
      </c>
    </row>
    <row r="34">
      <c r="A34" s="1175">
        <f>IFERROR(__xludf.DUMMYFUNCTION("""COMPUTED_VALUE"""),45839.0)</f>
        <v>45839</v>
      </c>
      <c r="B34" s="1174" t="str">
        <f>IFERROR(__xludf.DUMMYFUNCTION("""COMPUTED_VALUE"""),"k-d-1021183811")</f>
        <v>k-d-1021183811</v>
      </c>
      <c r="C34" s="1174" t="str">
        <f>IFERROR(__xludf.DUMMYFUNCTION("""COMPUTED_VALUE"""),"JULIO")</f>
        <v>JULIO</v>
      </c>
      <c r="D34" s="1174" t="b">
        <f>IFERROR(__xludf.DUMMYFUNCTION("""COMPUTED_VALUE"""),FALSE)</f>
        <v>0</v>
      </c>
      <c r="E34" s="1174" t="str">
        <f>IFERROR(__xludf.DUMMYFUNCTION("""COMPUTED_VALUE"""),"Laptop")</f>
        <v>Laptop</v>
      </c>
      <c r="F34" s="1176">
        <f>IFERROR(__xludf.DUMMYFUNCTION("""COMPUTED_VALUE"""),3949.99)</f>
        <v>3949.99</v>
      </c>
      <c r="G34" s="1177">
        <f>IFERROR(__xludf.DUMMYFUNCTION("""COMPUTED_VALUE"""),0.0)</f>
        <v>0</v>
      </c>
      <c r="H34" s="1174"/>
      <c r="I34" s="1174"/>
      <c r="J34" s="1177">
        <f>IFERROR(__xludf.DUMMYFUNCTION("""COMPUTED_VALUE"""),17037.82)</f>
        <v>17037.82</v>
      </c>
      <c r="N34" s="1174" t="str">
        <f t="shared" si="1"/>
        <v/>
      </c>
    </row>
    <row r="35">
      <c r="A35" s="1175">
        <f>IFERROR(__xludf.DUMMYFUNCTION("""COMPUTED_VALUE"""),45842.0)</f>
        <v>45842</v>
      </c>
      <c r="B35" s="1174" t="str">
        <f>IFERROR(__xludf.DUMMYFUNCTION("""COMPUTED_VALUE"""),"k-d-1021321016")</f>
        <v>k-d-1021321016</v>
      </c>
      <c r="C35" s="1174" t="str">
        <f>IFERROR(__xludf.DUMMYFUNCTION("""COMPUTED_VALUE"""),"JULIO")</f>
        <v>JULIO</v>
      </c>
      <c r="D35" s="1174" t="b">
        <f>IFERROR(__xludf.DUMMYFUNCTION("""COMPUTED_VALUE"""),FALSE)</f>
        <v>0</v>
      </c>
      <c r="E35" s="1174" t="str">
        <f>IFERROR(__xludf.DUMMYFUNCTION("""COMPUTED_VALUE"""),"Laptop")</f>
        <v>Laptop</v>
      </c>
      <c r="F35" s="1176">
        <f>IFERROR(__xludf.DUMMYFUNCTION("""COMPUTED_VALUE"""),1649.99)</f>
        <v>1649.99</v>
      </c>
      <c r="G35" s="1177">
        <f>IFERROR(__xludf.DUMMYFUNCTION("""COMPUTED_VALUE"""),0.0)</f>
        <v>0</v>
      </c>
      <c r="H35" s="1174"/>
      <c r="I35" s="1174"/>
      <c r="J35" s="1177">
        <f>IFERROR(__xludf.DUMMYFUNCTION("""COMPUTED_VALUE"""),7799.0)</f>
        <v>7799</v>
      </c>
      <c r="N35" s="1174" t="str">
        <f t="shared" si="1"/>
        <v/>
      </c>
    </row>
    <row r="36">
      <c r="A36" s="1175">
        <f>IFERROR(__xludf.DUMMYFUNCTION("""COMPUTED_VALUE"""),45843.0)</f>
        <v>45843</v>
      </c>
      <c r="B36" s="1174" t="str">
        <f>IFERROR(__xludf.DUMMYFUNCTION("""COMPUTED_VALUE"""),"s-e-22-13265-76380")</f>
        <v>s-e-22-13265-76380</v>
      </c>
      <c r="C36" s="1174" t="str">
        <f>IFERROR(__xludf.DUMMYFUNCTION("""COMPUTED_VALUE"""),"JULIO")</f>
        <v>JULIO</v>
      </c>
      <c r="D36" s="1174" t="b">
        <f>IFERROR(__xludf.DUMMYFUNCTION("""COMPUTED_VALUE"""),FALSE)</f>
        <v>0</v>
      </c>
      <c r="E36" s="1174" t="str">
        <f>IFERROR(__xludf.DUMMYFUNCTION("""COMPUTED_VALUE"""),"Laptop")</f>
        <v>Laptop</v>
      </c>
      <c r="F36" s="1176">
        <f>IFERROR(__xludf.DUMMYFUNCTION("""COMPUTED_VALUE"""),1649.99)</f>
        <v>1649.99</v>
      </c>
      <c r="G36" s="1177">
        <f>IFERROR(__xludf.DUMMYFUNCTION("""COMPUTED_VALUE"""),0.0)</f>
        <v>0</v>
      </c>
      <c r="H36" s="1174"/>
      <c r="I36" s="1174"/>
      <c r="J36" s="1177">
        <f>IFERROR(__xludf.DUMMYFUNCTION("""COMPUTED_VALUE"""),7799.0)</f>
        <v>7799</v>
      </c>
      <c r="N36" s="1174" t="str">
        <f t="shared" si="1"/>
        <v/>
      </c>
    </row>
    <row r="37">
      <c r="A37" s="1175">
        <f>IFERROR(__xludf.DUMMYFUNCTION("""COMPUTED_VALUE"""),45846.0)</f>
        <v>45846</v>
      </c>
      <c r="B37" s="1174" t="str">
        <f>IFERROR(__xludf.DUMMYFUNCTION("""COMPUTED_VALUE"""),"k-d-1021335782")</f>
        <v>k-d-1021335782</v>
      </c>
      <c r="C37" s="1174" t="str">
        <f>IFERROR(__xludf.DUMMYFUNCTION("""COMPUTED_VALUE"""),"JULIO")</f>
        <v>JULIO</v>
      </c>
      <c r="D37" s="1174" t="b">
        <f>IFERROR(__xludf.DUMMYFUNCTION("""COMPUTED_VALUE"""),FALSE)</f>
        <v>0</v>
      </c>
      <c r="E37" s="1174" t="str">
        <f>IFERROR(__xludf.DUMMYFUNCTION("""COMPUTED_VALUE"""),"Laptop")</f>
        <v>Laptop</v>
      </c>
      <c r="F37" s="1176">
        <f>IFERROR(__xludf.DUMMYFUNCTION("""COMPUTED_VALUE"""),1649.99)</f>
        <v>1649.99</v>
      </c>
      <c r="G37" s="1177">
        <f>IFERROR(__xludf.DUMMYFUNCTION("""COMPUTED_VALUE"""),0.0)</f>
        <v>0</v>
      </c>
      <c r="H37" s="1174"/>
      <c r="I37" s="1174"/>
      <c r="J37" s="1177">
        <f>IFERROR(__xludf.DUMMYFUNCTION("""COMPUTED_VALUE"""),7799.0)</f>
        <v>7799</v>
      </c>
      <c r="N37" s="1174" t="str">
        <f t="shared" si="1"/>
        <v/>
      </c>
    </row>
    <row r="38">
      <c r="A38" s="1175">
        <f>IFERROR(__xludf.DUMMYFUNCTION("""COMPUTED_VALUE"""),45847.0)</f>
        <v>45847</v>
      </c>
      <c r="B38" s="1174" t="str">
        <f>IFERROR(__xludf.DUMMYFUNCTION("""COMPUTED_VALUE"""),"k-d-1021336088")</f>
        <v>k-d-1021336088</v>
      </c>
      <c r="C38" s="1174" t="str">
        <f>IFERROR(__xludf.DUMMYFUNCTION("""COMPUTED_VALUE"""),"JULIO")</f>
        <v>JULIO</v>
      </c>
      <c r="D38" s="1174" t="b">
        <f>IFERROR(__xludf.DUMMYFUNCTION("""COMPUTED_VALUE"""),FALSE)</f>
        <v>0</v>
      </c>
      <c r="E38" s="1174" t="str">
        <f>IFERROR(__xludf.DUMMYFUNCTION("""COMPUTED_VALUE"""),"Laptop")</f>
        <v>Laptop</v>
      </c>
      <c r="F38" s="1176">
        <f>IFERROR(__xludf.DUMMYFUNCTION("""COMPUTED_VALUE"""),1649.99)</f>
        <v>1649.99</v>
      </c>
      <c r="G38" s="1177">
        <f>IFERROR(__xludf.DUMMYFUNCTION("""COMPUTED_VALUE"""),0.0)</f>
        <v>0</v>
      </c>
      <c r="H38" s="1174"/>
      <c r="I38" s="1174"/>
      <c r="J38" s="1177">
        <f>IFERROR(__xludf.DUMMYFUNCTION("""COMPUTED_VALUE"""),7799.0)</f>
        <v>7799</v>
      </c>
      <c r="N38" s="1174" t="str">
        <f t="shared" si="1"/>
        <v/>
      </c>
    </row>
    <row r="39">
      <c r="A39" s="1175">
        <f>IFERROR(__xludf.DUMMYFUNCTION("""COMPUTED_VALUE"""),45847.0)</f>
        <v>45847</v>
      </c>
      <c r="B39" s="1174" t="str">
        <f>IFERROR(__xludf.DUMMYFUNCTION("""COMPUTED_VALUE"""),"k-21-13282-76894")</f>
        <v>k-21-13282-76894</v>
      </c>
      <c r="C39" s="1174" t="str">
        <f>IFERROR(__xludf.DUMMYFUNCTION("""COMPUTED_VALUE"""),"JULIO")</f>
        <v>JULIO</v>
      </c>
      <c r="D39" s="1174" t="b">
        <f>IFERROR(__xludf.DUMMYFUNCTION("""COMPUTED_VALUE"""),FALSE)</f>
        <v>0</v>
      </c>
      <c r="E39" s="1174" t="str">
        <f>IFERROR(__xludf.DUMMYFUNCTION("""COMPUTED_VALUE"""),"Laptop")</f>
        <v>Laptop</v>
      </c>
      <c r="F39" s="1176">
        <f>IFERROR(__xludf.DUMMYFUNCTION("""COMPUTED_VALUE"""),1159.99)</f>
        <v>1159.99</v>
      </c>
      <c r="G39" s="1177">
        <f>IFERROR(__xludf.DUMMYFUNCTION("""COMPUTED_VALUE"""),0.0)</f>
        <v>0</v>
      </c>
      <c r="H39" s="1174"/>
      <c r="I39" s="1174"/>
      <c r="J39" s="1177">
        <f>IFERROR(__xludf.DUMMYFUNCTION("""COMPUTED_VALUE"""),5699.0)</f>
        <v>5699</v>
      </c>
      <c r="N39" s="1174" t="str">
        <f t="shared" si="1"/>
        <v/>
      </c>
    </row>
    <row r="40">
      <c r="A40" s="1175">
        <f>IFERROR(__xludf.DUMMYFUNCTION("""COMPUTED_VALUE"""),45849.0)</f>
        <v>45849</v>
      </c>
      <c r="B40" s="1174" t="str">
        <f>IFERROR(__xludf.DUMMYFUNCTION("""COMPUTED_VALUE"""),"k-e-20-13230-18931")</f>
        <v>k-e-20-13230-18931</v>
      </c>
      <c r="C40" s="1174" t="str">
        <f>IFERROR(__xludf.DUMMYFUNCTION("""COMPUTED_VALUE"""),"JULIO")</f>
        <v>JULIO</v>
      </c>
      <c r="D40" s="1174" t="b">
        <f>IFERROR(__xludf.DUMMYFUNCTION("""COMPUTED_VALUE"""),FALSE)</f>
        <v>0</v>
      </c>
      <c r="E40" s="1174" t="str">
        <f>IFERROR(__xludf.DUMMYFUNCTION("""COMPUTED_VALUE"""),"Laptop")</f>
        <v>Laptop</v>
      </c>
      <c r="F40" s="1176">
        <f>IFERROR(__xludf.DUMMYFUNCTION("""COMPUTED_VALUE"""),1349.0)</f>
        <v>1349</v>
      </c>
      <c r="G40" s="1177">
        <f>IFERROR(__xludf.DUMMYFUNCTION("""COMPUTED_VALUE"""),0.0)</f>
        <v>0</v>
      </c>
      <c r="H40" s="1174"/>
      <c r="I40" s="1174"/>
      <c r="J40" s="1177">
        <f>IFERROR(__xludf.DUMMYFUNCTION("""COMPUTED_VALUE"""),6499.0)</f>
        <v>6499</v>
      </c>
      <c r="N40" s="1174" t="str">
        <f t="shared" si="1"/>
        <v/>
      </c>
    </row>
    <row r="41">
      <c r="A41" s="1175">
        <f>IFERROR(__xludf.DUMMYFUNCTION("""COMPUTED_VALUE"""),45852.0)</f>
        <v>45852</v>
      </c>
      <c r="B41" s="1174" t="str">
        <f>IFERROR(__xludf.DUMMYFUNCTION("""COMPUTED_VALUE"""),"k-113-6598344-1552227")</f>
        <v>k-113-6598344-1552227</v>
      </c>
      <c r="C41" s="1174" t="str">
        <f>IFERROR(__xludf.DUMMYFUNCTION("""COMPUTED_VALUE"""),"JULIO")</f>
        <v>JULIO</v>
      </c>
      <c r="D41" s="1174" t="b">
        <f>IFERROR(__xludf.DUMMYFUNCTION("""COMPUTED_VALUE"""),FALSE)</f>
        <v>0</v>
      </c>
      <c r="E41" s="1174" t="str">
        <f>IFERROR(__xludf.DUMMYFUNCTION("""COMPUTED_VALUE"""),"Laptop")</f>
        <v>Laptop</v>
      </c>
      <c r="F41" s="1176">
        <f>IFERROR(__xludf.DUMMYFUNCTION("""COMPUTED_VALUE"""),1999.99)</f>
        <v>1999.99</v>
      </c>
      <c r="G41" s="1177">
        <f>IFERROR(__xludf.DUMMYFUNCTION("""COMPUTED_VALUE"""),0.0)</f>
        <v>0</v>
      </c>
      <c r="H41" s="1174"/>
      <c r="I41" s="1174"/>
      <c r="J41" s="1177">
        <f>IFERROR(__xludf.DUMMYFUNCTION("""COMPUTED_VALUE"""),9399.0)</f>
        <v>9399</v>
      </c>
      <c r="N41" s="1174" t="str">
        <f t="shared" si="1"/>
        <v/>
      </c>
    </row>
    <row r="42">
      <c r="A42" s="1175">
        <f>IFERROR(__xludf.DUMMYFUNCTION("""COMPUTED_VALUE"""),45853.0)</f>
        <v>45853</v>
      </c>
      <c r="B42" s="1174" t="str">
        <f>IFERROR(__xludf.DUMMYFUNCTION("""COMPUTED_VALUE"""),"Ka-m-19731050")</f>
        <v>Ka-m-19731050</v>
      </c>
      <c r="C42" s="1174" t="str">
        <f>IFERROR(__xludf.DUMMYFUNCTION("""COMPUTED_VALUE"""),"JULIO")</f>
        <v>JULIO</v>
      </c>
      <c r="D42" s="1174" t="b">
        <f>IFERROR(__xludf.DUMMYFUNCTION("""COMPUTED_VALUE"""),FALSE)</f>
        <v>0</v>
      </c>
      <c r="E42" s="1174" t="str">
        <f>IFERROR(__xludf.DUMMYFUNCTION("""COMPUTED_VALUE"""),"Laptop")</f>
        <v>Laptop</v>
      </c>
      <c r="F42" s="1176">
        <f>IFERROR(__xludf.DUMMYFUNCTION("""COMPUTED_VALUE"""),1799.99)</f>
        <v>1799.99</v>
      </c>
      <c r="G42" s="1177">
        <f>IFERROR(__xludf.DUMMYFUNCTION("""COMPUTED_VALUE"""),0.0)</f>
        <v>0</v>
      </c>
      <c r="H42" s="1174"/>
      <c r="I42" s="1174"/>
      <c r="J42" s="1177">
        <f>IFERROR(__xludf.DUMMYFUNCTION("""COMPUTED_VALUE"""),8605.17)</f>
        <v>8605.17</v>
      </c>
      <c r="N42" s="1174" t="str">
        <f t="shared" si="1"/>
        <v/>
      </c>
    </row>
    <row r="43">
      <c r="A43" s="1175">
        <f>IFERROR(__xludf.DUMMYFUNCTION("""COMPUTED_VALUE"""),45857.0)</f>
        <v>45857</v>
      </c>
      <c r="B43" s="1174"/>
      <c r="C43" s="1174"/>
      <c r="D43" s="1174" t="b">
        <f>IFERROR(__xludf.DUMMYFUNCTION("""COMPUTED_VALUE"""),FALSE)</f>
        <v>0</v>
      </c>
      <c r="E43" s="1174" t="str">
        <f>IFERROR(__xludf.DUMMYFUNCTION("""COMPUTED_VALUE"""),"Laptop")</f>
        <v>Laptop</v>
      </c>
      <c r="F43" s="1176">
        <f>IFERROR(__xludf.DUMMYFUNCTION("""COMPUTED_VALUE"""),1099.99)</f>
        <v>1099.99</v>
      </c>
      <c r="G43" s="1177">
        <f>IFERROR(__xludf.DUMMYFUNCTION("""COMPUTED_VALUE"""),0.0)</f>
        <v>0</v>
      </c>
      <c r="H43" s="1174"/>
      <c r="I43" s="1174"/>
      <c r="J43" s="1177">
        <f>IFERROR(__xludf.DUMMYFUNCTION("""COMPUTED_VALUE"""),5899.0)</f>
        <v>5899</v>
      </c>
      <c r="N43" s="1174" t="str">
        <f t="shared" si="1"/>
        <v/>
      </c>
    </row>
    <row r="44">
      <c r="A44" s="1175">
        <f>IFERROR(__xludf.DUMMYFUNCTION("""COMPUTED_VALUE"""),45857.0)</f>
        <v>45857</v>
      </c>
      <c r="B44" s="1174" t="str">
        <f>IFERROR(__xludf.DUMMYFUNCTION("""COMPUTED_VALUE"""),"BBY01-807080766275")</f>
        <v>BBY01-807080766275</v>
      </c>
      <c r="C44" s="1174" t="str">
        <f>IFERROR(__xludf.DUMMYFUNCTION("""COMPUTED_VALUE"""),"JULIO")</f>
        <v>JULIO</v>
      </c>
      <c r="D44" s="1174" t="b">
        <f>IFERROR(__xludf.DUMMYFUNCTION("""COMPUTED_VALUE"""),FALSE)</f>
        <v>0</v>
      </c>
      <c r="E44" s="1174" t="str">
        <f>IFERROR(__xludf.DUMMYFUNCTION("""COMPUTED_VALUE"""),"Laptop")</f>
        <v>Laptop</v>
      </c>
      <c r="F44" s="1176">
        <f>IFERROR(__xludf.DUMMYFUNCTION("""COMPUTED_VALUE"""),2599.99)</f>
        <v>2599.99</v>
      </c>
      <c r="G44" s="1177">
        <f>IFERROR(__xludf.DUMMYFUNCTION("""COMPUTED_VALUE"""),0.0)</f>
        <v>0</v>
      </c>
      <c r="H44" s="1174"/>
      <c r="I44" s="1174"/>
      <c r="J44" s="1177">
        <f>IFERROR(__xludf.DUMMYFUNCTION("""COMPUTED_VALUE"""),11402.0)</f>
        <v>11402</v>
      </c>
      <c r="N44" s="1174" t="str">
        <f t="shared" si="1"/>
        <v/>
      </c>
    </row>
    <row r="45">
      <c r="A45" s="1175">
        <f>IFERROR(__xludf.DUMMYFUNCTION("""COMPUTED_VALUE"""),45859.0)</f>
        <v>45859</v>
      </c>
      <c r="B45" s="1174" t="str">
        <f>IFERROR(__xludf.DUMMYFUNCTION("""COMPUTED_VALUE"""),"k-e-14-13344-21890")</f>
        <v>k-e-14-13344-21890</v>
      </c>
      <c r="C45" s="1174" t="str">
        <f>IFERROR(__xludf.DUMMYFUNCTION("""COMPUTED_VALUE"""),"JULIO")</f>
        <v>JULIO</v>
      </c>
      <c r="D45" s="1174" t="b">
        <f>IFERROR(__xludf.DUMMYFUNCTION("""COMPUTED_VALUE"""),FALSE)</f>
        <v>0</v>
      </c>
      <c r="E45" s="1174" t="str">
        <f>IFERROR(__xludf.DUMMYFUNCTION("""COMPUTED_VALUE"""),"Laptop")</f>
        <v>Laptop</v>
      </c>
      <c r="F45" s="1176">
        <f>IFERROR(__xludf.DUMMYFUNCTION("""COMPUTED_VALUE"""),1399.99)</f>
        <v>1399.99</v>
      </c>
      <c r="G45" s="1177">
        <f>IFERROR(__xludf.DUMMYFUNCTION("""COMPUTED_VALUE"""),0.0)</f>
        <v>0</v>
      </c>
      <c r="H45" s="1174"/>
      <c r="I45" s="1174"/>
      <c r="J45" s="1177">
        <f>IFERROR(__xludf.DUMMYFUNCTION("""COMPUTED_VALUE"""),6599.0)</f>
        <v>6599</v>
      </c>
      <c r="N45" s="1174" t="str">
        <f t="shared" si="1"/>
        <v/>
      </c>
    </row>
    <row r="46">
      <c r="A46" s="1175">
        <f>IFERROR(__xludf.DUMMYFUNCTION("""COMPUTED_VALUE"""),45859.0)</f>
        <v>45859</v>
      </c>
      <c r="B46" s="1174" t="str">
        <f>IFERROR(__xludf.DUMMYFUNCTION("""COMPUTED_VALUE"""),"L-c-1212389657")</f>
        <v>L-c-1212389657</v>
      </c>
      <c r="C46" s="1174" t="str">
        <f>IFERROR(__xludf.DUMMYFUNCTION("""COMPUTED_VALUE"""),"JULIO")</f>
        <v>JULIO</v>
      </c>
      <c r="D46" s="1174" t="b">
        <f>IFERROR(__xludf.DUMMYFUNCTION("""COMPUTED_VALUE"""),FALSE)</f>
        <v>0</v>
      </c>
      <c r="E46" s="1174" t="str">
        <f>IFERROR(__xludf.DUMMYFUNCTION("""COMPUTED_VALUE"""),"Laptop")</f>
        <v>Laptop</v>
      </c>
      <c r="F46" s="1176">
        <f>IFERROR(__xludf.DUMMYFUNCTION("""COMPUTED_VALUE"""),1699.99)</f>
        <v>1699.99</v>
      </c>
      <c r="G46" s="1177">
        <f>IFERROR(__xludf.DUMMYFUNCTION("""COMPUTED_VALUE"""),0.0)</f>
        <v>0</v>
      </c>
      <c r="H46" s="1174"/>
      <c r="I46" s="1174"/>
      <c r="J46" s="1177">
        <f>IFERROR(__xludf.DUMMYFUNCTION("""COMPUTED_VALUE"""),8099.0)</f>
        <v>8099</v>
      </c>
      <c r="N46" s="1174" t="str">
        <f t="shared" si="1"/>
        <v/>
      </c>
    </row>
    <row r="47">
      <c r="A47" s="1175">
        <f>IFERROR(__xludf.DUMMYFUNCTION("""COMPUTED_VALUE"""),45862.0)</f>
        <v>45862</v>
      </c>
      <c r="B47" s="1174" t="str">
        <f>IFERROR(__xludf.DUMMYFUNCTION("""COMPUTED_VALUE"""),"k-a-113-0872533-3166637")</f>
        <v>k-a-113-0872533-3166637</v>
      </c>
      <c r="C47" s="1174" t="str">
        <f>IFERROR(__xludf.DUMMYFUNCTION("""COMPUTED_VALUE"""),"JULIO")</f>
        <v>JULIO</v>
      </c>
      <c r="D47" s="1174" t="b">
        <f>IFERROR(__xludf.DUMMYFUNCTION("""COMPUTED_VALUE"""),FALSE)</f>
        <v>0</v>
      </c>
      <c r="E47" s="1174" t="str">
        <f>IFERROR(__xludf.DUMMYFUNCTION("""COMPUTED_VALUE"""),"Laptop")</f>
        <v>Laptop</v>
      </c>
      <c r="F47" s="1176">
        <f>IFERROR(__xludf.DUMMYFUNCTION("""COMPUTED_VALUE"""),1499.0)</f>
        <v>1499</v>
      </c>
      <c r="G47" s="1177">
        <f>IFERROR(__xludf.DUMMYFUNCTION("""COMPUTED_VALUE"""),0.0)</f>
        <v>0</v>
      </c>
      <c r="H47" s="1174"/>
      <c r="I47" s="1174"/>
      <c r="J47" s="1177">
        <f>IFERROR(__xludf.DUMMYFUNCTION("""COMPUTED_VALUE"""),7199.0)</f>
        <v>7199</v>
      </c>
      <c r="N47" s="1174" t="str">
        <f t="shared" si="1"/>
        <v/>
      </c>
    </row>
    <row r="48">
      <c r="A48" s="1175"/>
      <c r="B48" s="1174" t="str">
        <f>IFERROR(__xludf.DUMMYFUNCTION("""COMPUTED_VALUE"""),"S-e-10-13349-38168")</f>
        <v>S-e-10-13349-38168</v>
      </c>
      <c r="C48" s="1174" t="str">
        <f>IFERROR(__xludf.DUMMYFUNCTION("""COMPUTED_VALUE"""),"JULIO")</f>
        <v>JULIO</v>
      </c>
      <c r="D48" s="1174" t="b">
        <f>IFERROR(__xludf.DUMMYFUNCTION("""COMPUTED_VALUE"""),FALSE)</f>
        <v>0</v>
      </c>
      <c r="E48" s="1174" t="str">
        <f>IFERROR(__xludf.DUMMYFUNCTION("""COMPUTED_VALUE"""),"Laptop")</f>
        <v>Laptop</v>
      </c>
      <c r="F48" s="1176">
        <f>IFERROR(__xludf.DUMMYFUNCTION("""COMPUTED_VALUE"""),1399.99)</f>
        <v>1399.99</v>
      </c>
      <c r="G48" s="1177">
        <f>IFERROR(__xludf.DUMMYFUNCTION("""COMPUTED_VALUE"""),0.0)</f>
        <v>0</v>
      </c>
      <c r="H48" s="1174"/>
      <c r="I48" s="1174"/>
      <c r="J48" s="1177">
        <f>IFERROR(__xludf.DUMMYFUNCTION("""COMPUTED_VALUE"""),6699.0)</f>
        <v>6699</v>
      </c>
      <c r="N48" s="1174" t="str">
        <f t="shared" si="1"/>
        <v/>
      </c>
    </row>
    <row r="49">
      <c r="A49" s="1175">
        <f>IFERROR(__xludf.DUMMYFUNCTION("""COMPUTED_VALUE"""),45866.0)</f>
        <v>45866</v>
      </c>
      <c r="B49" s="1174" t="str">
        <f>IFERROR(__xludf.DUMMYFUNCTION("""COMPUTED_VALUE"""),"K-08-13312-93036")</f>
        <v>K-08-13312-93036</v>
      </c>
      <c r="C49" s="1174" t="str">
        <f>IFERROR(__xludf.DUMMYFUNCTION("""COMPUTED_VALUE"""),"JULIO")</f>
        <v>JULIO</v>
      </c>
      <c r="D49" s="1174" t="b">
        <f>IFERROR(__xludf.DUMMYFUNCTION("""COMPUTED_VALUE"""),FALSE)</f>
        <v>0</v>
      </c>
      <c r="E49" s="1174" t="str">
        <f>IFERROR(__xludf.DUMMYFUNCTION("""COMPUTED_VALUE"""),"Laptop")</f>
        <v>Laptop</v>
      </c>
      <c r="F49" s="1176">
        <f>IFERROR(__xludf.DUMMYFUNCTION("""COMPUTED_VALUE"""),1624.99)</f>
        <v>1624.99</v>
      </c>
      <c r="G49" s="1177">
        <f>IFERROR(__xludf.DUMMYFUNCTION("""COMPUTED_VALUE"""),50.0)</f>
        <v>50</v>
      </c>
      <c r="H49" s="1174"/>
      <c r="I49" s="1174"/>
      <c r="J49" s="1177">
        <f>IFERROR(__xludf.DUMMYFUNCTION("""COMPUTED_VALUE"""),7999.0)</f>
        <v>7999</v>
      </c>
      <c r="N49" s="1174" t="str">
        <f t="shared" si="1"/>
        <v/>
      </c>
    </row>
    <row r="50">
      <c r="A50" s="1175">
        <f>IFERROR(__xludf.DUMMYFUNCTION("""COMPUTED_VALUE"""),45868.0)</f>
        <v>45868</v>
      </c>
      <c r="B50" s="1174" t="str">
        <f>IFERROR(__xludf.DUMMYFUNCTION("""COMPUTED_VALUE"""),"k-e-12-13240-86911")</f>
        <v>k-e-12-13240-86911</v>
      </c>
      <c r="C50" s="1174" t="str">
        <f>IFERROR(__xludf.DUMMYFUNCTION("""COMPUTED_VALUE"""),"AGOSTO")</f>
        <v>AGOSTO</v>
      </c>
      <c r="D50" s="1174" t="b">
        <f>IFERROR(__xludf.DUMMYFUNCTION("""COMPUTED_VALUE"""),TRUE)</f>
        <v>1</v>
      </c>
      <c r="E50" s="1174" t="str">
        <f>IFERROR(__xludf.DUMMYFUNCTION("""COMPUTED_VALUE"""),"Laptop")</f>
        <v>Laptop</v>
      </c>
      <c r="F50" s="1176">
        <f>IFERROR(__xludf.DUMMYFUNCTION("""COMPUTED_VALUE"""),1069.49)</f>
        <v>1069.49</v>
      </c>
      <c r="G50" s="1177">
        <f>IFERROR(__xludf.DUMMYFUNCTION("""COMPUTED_VALUE"""),0.0)</f>
        <v>0</v>
      </c>
      <c r="H50" s="1174"/>
      <c r="I50" s="1174"/>
      <c r="J50" s="1177">
        <f>IFERROR(__xludf.DUMMYFUNCTION("""COMPUTED_VALUE"""),5199.0)</f>
        <v>5199</v>
      </c>
      <c r="N50" s="1174" t="str">
        <f t="shared" si="1"/>
        <v/>
      </c>
    </row>
    <row r="51">
      <c r="A51" s="1175">
        <f>IFERROR(__xludf.DUMMYFUNCTION("""COMPUTED_VALUE"""),45873.0)</f>
        <v>45873</v>
      </c>
      <c r="B51" s="1174" t="str">
        <f>IFERROR(__xludf.DUMMYFUNCTION("""COMPUTED_VALUE"""),"Y-e-08-13402-21848")</f>
        <v>Y-e-08-13402-21848</v>
      </c>
      <c r="C51" s="1174" t="str">
        <f>IFERROR(__xludf.DUMMYFUNCTION("""COMPUTED_VALUE"""),"AGOSTO")</f>
        <v>AGOSTO</v>
      </c>
      <c r="D51" s="1174" t="b">
        <f>IFERROR(__xludf.DUMMYFUNCTION("""COMPUTED_VALUE"""),TRUE)</f>
        <v>1</v>
      </c>
      <c r="E51" s="1174" t="str">
        <f>IFERROR(__xludf.DUMMYFUNCTION("""COMPUTED_VALUE"""),"Laptop")</f>
        <v>Laptop</v>
      </c>
      <c r="F51" s="1176">
        <f>IFERROR(__xludf.DUMMYFUNCTION("""COMPUTED_VALUE"""),1239.99)</f>
        <v>1239.99</v>
      </c>
      <c r="G51" s="1177"/>
      <c r="H51" s="1174"/>
      <c r="I51" s="1174"/>
      <c r="J51" s="1177">
        <f>IFERROR(__xludf.DUMMYFUNCTION("""COMPUTED_VALUE"""),5899.0)</f>
        <v>5899</v>
      </c>
      <c r="N51" s="1174" t="str">
        <f t="shared" si="1"/>
        <v/>
      </c>
    </row>
    <row r="52">
      <c r="A52" s="1175">
        <f>IFERROR(__xludf.DUMMYFUNCTION("""COMPUTED_VALUE"""),45877.0)</f>
        <v>45877</v>
      </c>
      <c r="B52" s="1174" t="str">
        <f>IFERROR(__xludf.DUMMYFUNCTION("""COMPUTED_VALUE"""),"k-e-09-13394-24285")</f>
        <v>k-e-09-13394-24285</v>
      </c>
      <c r="C52" s="1174" t="str">
        <f>IFERROR(__xludf.DUMMYFUNCTION("""COMPUTED_VALUE"""),"AGOSTO")</f>
        <v>AGOSTO</v>
      </c>
      <c r="D52" s="1174" t="b">
        <f>IFERROR(__xludf.DUMMYFUNCTION("""COMPUTED_VALUE"""),TRUE)</f>
        <v>1</v>
      </c>
      <c r="E52" s="1174" t="str">
        <f>IFERROR(__xludf.DUMMYFUNCTION("""COMPUTED_VALUE"""),"Laptop")</f>
        <v>Laptop</v>
      </c>
      <c r="F52" s="1176">
        <f>IFERROR(__xludf.DUMMYFUNCTION("""COMPUTED_VALUE"""),1649.99)</f>
        <v>1649.99</v>
      </c>
      <c r="G52" s="1177"/>
      <c r="H52" s="1174"/>
      <c r="I52" s="1174"/>
      <c r="J52" s="1177">
        <f>IFERROR(__xludf.DUMMYFUNCTION("""COMPUTED_VALUE"""),8199.0)</f>
        <v>8199</v>
      </c>
      <c r="N52" s="1174" t="str">
        <f t="shared" si="1"/>
        <v/>
      </c>
    </row>
    <row r="53">
      <c r="A53" s="1175">
        <f>IFERROR(__xludf.DUMMYFUNCTION("""COMPUTED_VALUE"""),45878.0)</f>
        <v>45878</v>
      </c>
      <c r="B53" s="1174" t="str">
        <f>IFERROR(__xludf.DUMMYFUNCTION("""COMPUTED_VALUE"""),"K-b-BBY01-807076602952")</f>
        <v>K-b-BBY01-807076602952</v>
      </c>
      <c r="C53" s="1174" t="str">
        <f>IFERROR(__xludf.DUMMYFUNCTION("""COMPUTED_VALUE"""),"AGOSTO")</f>
        <v>AGOSTO</v>
      </c>
      <c r="D53" s="1174" t="b">
        <f>IFERROR(__xludf.DUMMYFUNCTION("""COMPUTED_VALUE"""),TRUE)</f>
        <v>1</v>
      </c>
      <c r="E53" s="1174" t="str">
        <f>IFERROR(__xludf.DUMMYFUNCTION("""COMPUTED_VALUE"""),"Laptop")</f>
        <v>Laptop</v>
      </c>
      <c r="F53" s="1176">
        <f>IFERROR(__xludf.DUMMYFUNCTION("""COMPUTED_VALUE"""),1549.99)</f>
        <v>1549.99</v>
      </c>
      <c r="G53" s="1177">
        <f>IFERROR(__xludf.DUMMYFUNCTION("""COMPUTED_VALUE"""),0.0)</f>
        <v>0</v>
      </c>
      <c r="H53" s="1174"/>
      <c r="I53" s="1174"/>
      <c r="J53" s="1177">
        <f>IFERROR(__xludf.DUMMYFUNCTION("""COMPUTED_VALUE"""),8299.0)</f>
        <v>8299</v>
      </c>
      <c r="N53" s="1174" t="str">
        <f t="shared" si="1"/>
        <v/>
      </c>
    </row>
    <row r="54">
      <c r="A54" s="1175">
        <f>IFERROR(__xludf.DUMMYFUNCTION("""COMPUTED_VALUE"""),45881.0)</f>
        <v>45881</v>
      </c>
      <c r="B54" s="1174" t="str">
        <f>IFERROR(__xludf.DUMMYFUNCTION("""COMPUTED_VALUE"""),"K-e-08-13402-19342")</f>
        <v>K-e-08-13402-19342</v>
      </c>
      <c r="C54" s="1174" t="str">
        <f>IFERROR(__xludf.DUMMYFUNCTION("""COMPUTED_VALUE"""),"AGOSTO")</f>
        <v>AGOSTO</v>
      </c>
      <c r="D54" s="1174" t="b">
        <f>IFERROR(__xludf.DUMMYFUNCTION("""COMPUTED_VALUE"""),TRUE)</f>
        <v>1</v>
      </c>
      <c r="E54" s="1174" t="str">
        <f>IFERROR(__xludf.DUMMYFUNCTION("""COMPUTED_VALUE"""),"Laptop")</f>
        <v>Laptop</v>
      </c>
      <c r="F54" s="1176">
        <f>IFERROR(__xludf.DUMMYFUNCTION("""COMPUTED_VALUE"""),1239.99)</f>
        <v>1239.99</v>
      </c>
      <c r="G54" s="1177">
        <f>IFERROR(__xludf.DUMMYFUNCTION("""COMPUTED_VALUE"""),95.0)</f>
        <v>95</v>
      </c>
      <c r="H54" s="1174"/>
      <c r="I54" s="1174"/>
      <c r="J54" s="1177">
        <f>IFERROR(__xludf.DUMMYFUNCTION("""COMPUTED_VALUE"""),5899.0)</f>
        <v>5899</v>
      </c>
      <c r="N54" s="1174" t="str">
        <f t="shared" si="1"/>
        <v/>
      </c>
    </row>
    <row r="55">
      <c r="A55" s="1175">
        <f>IFERROR(__xludf.DUMMYFUNCTION("""COMPUTED_VALUE"""),45882.0)</f>
        <v>45882</v>
      </c>
      <c r="B55" s="1174" t="str">
        <f>IFERROR(__xludf.DUMMYFUNCTION("""COMPUTED_VALUE"""),"k-a-113-7196269-5645044")</f>
        <v>k-a-113-7196269-5645044</v>
      </c>
      <c r="C55" s="1174" t="str">
        <f>IFERROR(__xludf.DUMMYFUNCTION("""COMPUTED_VALUE"""),"AGOSTO")</f>
        <v>AGOSTO</v>
      </c>
      <c r="D55" s="1174" t="b">
        <f>IFERROR(__xludf.DUMMYFUNCTION("""COMPUTED_VALUE"""),TRUE)</f>
        <v>1</v>
      </c>
      <c r="E55" s="1174" t="str">
        <f>IFERROR(__xludf.DUMMYFUNCTION("""COMPUTED_VALUE"""),"Laptop")</f>
        <v>Laptop</v>
      </c>
      <c r="F55" s="1176">
        <f>IFERROR(__xludf.DUMMYFUNCTION("""COMPUTED_VALUE"""),1603.93)</f>
        <v>1603.93</v>
      </c>
      <c r="G55" s="1177">
        <f>IFERROR(__xludf.DUMMYFUNCTION("""COMPUTED_VALUE"""),0.0)</f>
        <v>0</v>
      </c>
      <c r="H55" s="1174"/>
      <c r="I55" s="1174"/>
      <c r="J55" s="1177">
        <f>IFERROR(__xludf.DUMMYFUNCTION("""COMPUTED_VALUE"""),7199.0)</f>
        <v>7199</v>
      </c>
      <c r="N55" s="1174" t="str">
        <f t="shared" si="1"/>
        <v/>
      </c>
    </row>
    <row r="56">
      <c r="A56" s="1175">
        <f>IFERROR(__xludf.DUMMYFUNCTION("""COMPUTED_VALUE"""),45883.0)</f>
        <v>45883</v>
      </c>
      <c r="B56" s="1174" t="str">
        <f>IFERROR(__xludf.DUMMYFUNCTION("""COMPUTED_VALUE"""),"k-BBY01-807078895134")</f>
        <v>k-BBY01-807078895134</v>
      </c>
      <c r="C56" s="1174" t="str">
        <f>IFERROR(__xludf.DUMMYFUNCTION("""COMPUTED_VALUE"""),"AGOSTO")</f>
        <v>AGOSTO</v>
      </c>
      <c r="D56" s="1174" t="b">
        <f>IFERROR(__xludf.DUMMYFUNCTION("""COMPUTED_VALUE"""),TRUE)</f>
        <v>1</v>
      </c>
      <c r="E56" s="1174" t="str">
        <f>IFERROR(__xludf.DUMMYFUNCTION("""COMPUTED_VALUE"""),"Laptop")</f>
        <v>Laptop</v>
      </c>
      <c r="F56" s="1176">
        <f>IFERROR(__xludf.DUMMYFUNCTION("""COMPUTED_VALUE"""),1499.99)</f>
        <v>1499.99</v>
      </c>
      <c r="G56" s="1177">
        <f>IFERROR(__xludf.DUMMYFUNCTION("""COMPUTED_VALUE"""),20.0)</f>
        <v>20</v>
      </c>
      <c r="H56" s="1174"/>
      <c r="I56" s="1174"/>
      <c r="J56" s="1177">
        <f>IFERROR(__xludf.DUMMYFUNCTION("""COMPUTED_VALUE"""),6699.0)</f>
        <v>6699</v>
      </c>
      <c r="N56" s="1174" t="str">
        <f t="shared" si="1"/>
        <v/>
      </c>
    </row>
    <row r="57">
      <c r="A57" s="1175">
        <f>IFERROR(__xludf.DUMMYFUNCTION("""COMPUTED_VALUE"""),45887.0)</f>
        <v>45887</v>
      </c>
      <c r="B57" s="1174" t="str">
        <f>IFERROR(__xludf.DUMMYFUNCTION("""COMPUTED_VALUE"""),"K-BBY01-807078879828")</f>
        <v>K-BBY01-807078879828</v>
      </c>
      <c r="C57" s="1174" t="str">
        <f>IFERROR(__xludf.DUMMYFUNCTION("""COMPUTED_VALUE"""),"AGOSTO")</f>
        <v>AGOSTO</v>
      </c>
      <c r="D57" s="1174" t="b">
        <f>IFERROR(__xludf.DUMMYFUNCTION("""COMPUTED_VALUE"""),TRUE)</f>
        <v>1</v>
      </c>
      <c r="E57" s="1174" t="str">
        <f>IFERROR(__xludf.DUMMYFUNCTION("""COMPUTED_VALUE"""),"Laptop")</f>
        <v>Laptop</v>
      </c>
      <c r="F57" s="1176">
        <f>IFERROR(__xludf.DUMMYFUNCTION("""COMPUTED_VALUE"""),1499.99)</f>
        <v>1499.99</v>
      </c>
      <c r="G57" s="1177">
        <f>IFERROR(__xludf.DUMMYFUNCTION("""COMPUTED_VALUE"""),0.0)</f>
        <v>0</v>
      </c>
      <c r="H57" s="1174"/>
      <c r="I57" s="1174"/>
      <c r="J57" s="1177">
        <f>IFERROR(__xludf.DUMMYFUNCTION("""COMPUTED_VALUE"""),7299.0)</f>
        <v>7299</v>
      </c>
      <c r="N57" s="1174" t="str">
        <f t="shared" si="1"/>
        <v/>
      </c>
    </row>
    <row r="58">
      <c r="A58" s="1175">
        <f>IFERROR(__xludf.DUMMYFUNCTION("""COMPUTED_VALUE"""),45888.0)</f>
        <v>45888</v>
      </c>
      <c r="B58" s="1174" t="str">
        <f>IFERROR(__xludf.DUMMYFUNCTION("""COMPUTED_VALUE"""),"K- BBY01-807076549919")</f>
        <v>K- BBY01-807076549919</v>
      </c>
      <c r="C58" s="1174" t="str">
        <f>IFERROR(__xludf.DUMMYFUNCTION("""COMPUTED_VALUE"""),"AGOSTO")</f>
        <v>AGOSTO</v>
      </c>
      <c r="D58" s="1174" t="b">
        <f>IFERROR(__xludf.DUMMYFUNCTION("""COMPUTED_VALUE"""),TRUE)</f>
        <v>1</v>
      </c>
      <c r="E58" s="1174" t="str">
        <f>IFERROR(__xludf.DUMMYFUNCTION("""COMPUTED_VALUE"""),"Laptop")</f>
        <v>Laptop</v>
      </c>
      <c r="F58" s="1176">
        <f>IFERROR(__xludf.DUMMYFUNCTION("""COMPUTED_VALUE"""),1549.99)</f>
        <v>1549.99</v>
      </c>
      <c r="G58" s="1177">
        <f>IFERROR(__xludf.DUMMYFUNCTION("""COMPUTED_VALUE"""),35.0)</f>
        <v>35</v>
      </c>
      <c r="H58" s="1174"/>
      <c r="I58" s="1174"/>
      <c r="J58" s="1177">
        <f>IFERROR(__xludf.DUMMYFUNCTION("""COMPUTED_VALUE"""),7799.0)</f>
        <v>7799</v>
      </c>
      <c r="N58" s="1174" t="str">
        <f t="shared" si="1"/>
        <v/>
      </c>
    </row>
    <row r="59">
      <c r="A59" s="1175">
        <f>IFERROR(__xludf.DUMMYFUNCTION("""COMPUTED_VALUE"""),45888.0)</f>
        <v>45888</v>
      </c>
      <c r="B59" s="1174" t="str">
        <f>IFERROR(__xludf.DUMMYFUNCTION("""COMPUTED_VALUE"""),"K-a-113-4344226-0500250")</f>
        <v>K-a-113-4344226-0500250</v>
      </c>
      <c r="C59" s="1174" t="str">
        <f>IFERROR(__xludf.DUMMYFUNCTION("""COMPUTED_VALUE"""),"AGOSTO")</f>
        <v>AGOSTO</v>
      </c>
      <c r="D59" s="1174" t="b">
        <f>IFERROR(__xludf.DUMMYFUNCTION("""COMPUTED_VALUE"""),TRUE)</f>
        <v>1</v>
      </c>
      <c r="E59" s="1174" t="str">
        <f>IFERROR(__xludf.DUMMYFUNCTION("""COMPUTED_VALUE"""),"Laptop")</f>
        <v>Laptop</v>
      </c>
      <c r="F59" s="1176">
        <f>IFERROR(__xludf.DUMMYFUNCTION("""COMPUTED_VALUE"""),1649.99)</f>
        <v>1649.99</v>
      </c>
      <c r="G59" s="1177">
        <f>IFERROR(__xludf.DUMMYFUNCTION("""COMPUTED_VALUE"""),0.0)</f>
        <v>0</v>
      </c>
      <c r="H59" s="1174"/>
      <c r="I59" s="1174"/>
      <c r="J59" s="1177">
        <f>IFERROR(__xludf.DUMMYFUNCTION("""COMPUTED_VALUE"""),7699.0)</f>
        <v>7699</v>
      </c>
      <c r="N59" s="1174" t="str">
        <f t="shared" si="1"/>
        <v/>
      </c>
    </row>
    <row r="60">
      <c r="A60" s="1175">
        <f>IFERROR(__xludf.DUMMYFUNCTION("""COMPUTED_VALUE"""),45892.0)</f>
        <v>45892</v>
      </c>
      <c r="B60" s="1174" t="str">
        <f>IFERROR(__xludf.DUMMYFUNCTION("""COMPUTED_VALUE"""),"L-C-1936246")</f>
        <v>L-C-1936246</v>
      </c>
      <c r="C60" s="1174" t="str">
        <f>IFERROR(__xludf.DUMMYFUNCTION("""COMPUTED_VALUE"""),"AGOSTO")</f>
        <v>AGOSTO</v>
      </c>
      <c r="D60" s="1174" t="b">
        <f>IFERROR(__xludf.DUMMYFUNCTION("""COMPUTED_VALUE"""),TRUE)</f>
        <v>1</v>
      </c>
      <c r="E60" s="1174" t="str">
        <f>IFERROR(__xludf.DUMMYFUNCTION("""COMPUTED_VALUE"""),"Laptop")</f>
        <v>Laptop</v>
      </c>
      <c r="F60" s="1176">
        <f>IFERROR(__xludf.DUMMYFUNCTION("""COMPUTED_VALUE"""),799.99)</f>
        <v>799.99</v>
      </c>
      <c r="G60" s="1177">
        <f>IFERROR(__xludf.DUMMYFUNCTION("""COMPUTED_VALUE"""),50.0)</f>
        <v>50</v>
      </c>
      <c r="H60" s="1174"/>
      <c r="I60" s="1174"/>
      <c r="J60" s="1177">
        <f>IFERROR(__xludf.DUMMYFUNCTION("""COMPUTED_VALUE"""),4654.87)</f>
        <v>4654.87</v>
      </c>
      <c r="N60" s="1174" t="str">
        <f t="shared" si="1"/>
        <v/>
      </c>
    </row>
    <row r="61">
      <c r="A61" s="1175">
        <f>IFERROR(__xludf.DUMMYFUNCTION("""COMPUTED_VALUE"""),45892.0)</f>
        <v>45892</v>
      </c>
      <c r="B61" s="1174" t="str">
        <f>IFERROR(__xludf.DUMMYFUNCTION("""COMPUTED_VALUE"""),"k-b-BBY01-807081755969")</f>
        <v>k-b-BBY01-807081755969</v>
      </c>
      <c r="C61" s="1174" t="str">
        <f>IFERROR(__xludf.DUMMYFUNCTION("""COMPUTED_VALUE"""),"AGOSTO")</f>
        <v>AGOSTO</v>
      </c>
      <c r="D61" s="1174" t="b">
        <f>IFERROR(__xludf.DUMMYFUNCTION("""COMPUTED_VALUE"""),TRUE)</f>
        <v>1</v>
      </c>
      <c r="E61" s="1174" t="str">
        <f>IFERROR(__xludf.DUMMYFUNCTION("""COMPUTED_VALUE"""),"Laptop")</f>
        <v>Laptop</v>
      </c>
      <c r="F61" s="1176">
        <f>IFERROR(__xludf.DUMMYFUNCTION("""COMPUTED_VALUE"""),2599.99)</f>
        <v>2599.99</v>
      </c>
      <c r="G61" s="1177">
        <f>IFERROR(__xludf.DUMMYFUNCTION("""COMPUTED_VALUE"""),0.0)</f>
        <v>0</v>
      </c>
      <c r="H61" s="1174"/>
      <c r="I61" s="1174"/>
      <c r="J61" s="1177">
        <f>IFERROR(__xludf.DUMMYFUNCTION("""COMPUTED_VALUE"""),11929.0)</f>
        <v>11929</v>
      </c>
      <c r="N61" s="1174" t="str">
        <f t="shared" si="1"/>
        <v/>
      </c>
    </row>
    <row r="62">
      <c r="A62" s="1175">
        <f>IFERROR(__xludf.DUMMYFUNCTION("""COMPUTED_VALUE"""),45896.0)</f>
        <v>45896</v>
      </c>
      <c r="B62" s="1174" t="str">
        <f>IFERROR(__xludf.DUMMYFUNCTION("""COMPUTED_VALUE"""),"r-m-270825")</f>
        <v>r-m-270825</v>
      </c>
      <c r="C62" s="1174" t="str">
        <f>IFERROR(__xludf.DUMMYFUNCTION("""COMPUTED_VALUE"""),"AGOSTO")</f>
        <v>AGOSTO</v>
      </c>
      <c r="D62" s="1174" t="b">
        <f>IFERROR(__xludf.DUMMYFUNCTION("""COMPUTED_VALUE"""),TRUE)</f>
        <v>1</v>
      </c>
      <c r="E62" s="1174" t="str">
        <f>IFERROR(__xludf.DUMMYFUNCTION("""COMPUTED_VALUE"""),"Laptop")</f>
        <v>Laptop</v>
      </c>
      <c r="F62" s="1176">
        <f>IFERROR(__xludf.DUMMYFUNCTION("""COMPUTED_VALUE"""),3199.99)</f>
        <v>3199.99</v>
      </c>
      <c r="G62" s="1177">
        <f>IFERROR(__xludf.DUMMYFUNCTION("""COMPUTED_VALUE"""),0.0)</f>
        <v>0</v>
      </c>
      <c r="H62" s="1174"/>
      <c r="I62" s="1174"/>
      <c r="J62" s="1177">
        <f>IFERROR(__xludf.DUMMYFUNCTION("""COMPUTED_VALUE"""),14799.0)</f>
        <v>14799</v>
      </c>
      <c r="N62" s="1174" t="str">
        <f t="shared" si="1"/>
        <v/>
      </c>
    </row>
    <row r="63">
      <c r="A63" s="1175">
        <f>IFERROR(__xludf.DUMMYFUNCTION("""COMPUTED_VALUE"""),45896.0)</f>
        <v>45896</v>
      </c>
      <c r="B63" s="1174" t="str">
        <f>IFERROR(__xludf.DUMMYFUNCTION("""COMPUTED_VALUE"""),"k-e-10-13246-18483")</f>
        <v>k-e-10-13246-18483</v>
      </c>
      <c r="C63" s="1174" t="str">
        <f>IFERROR(__xludf.DUMMYFUNCTION("""COMPUTED_VALUE"""),"AGOSTO")</f>
        <v>AGOSTO</v>
      </c>
      <c r="D63" s="1174" t="b">
        <f>IFERROR(__xludf.DUMMYFUNCTION("""COMPUTED_VALUE"""),TRUE)</f>
        <v>1</v>
      </c>
      <c r="E63" s="1174" t="str">
        <f>IFERROR(__xludf.DUMMYFUNCTION("""COMPUTED_VALUE"""),"Laptop")</f>
        <v>Laptop</v>
      </c>
      <c r="F63" s="1176">
        <f>IFERROR(__xludf.DUMMYFUNCTION("""COMPUTED_VALUE"""),1649.99)</f>
        <v>1649.99</v>
      </c>
      <c r="G63" s="1177">
        <f>IFERROR(__xludf.DUMMYFUNCTION("""COMPUTED_VALUE"""),0.0)</f>
        <v>0</v>
      </c>
      <c r="H63" s="1174"/>
      <c r="I63" s="1174"/>
      <c r="J63" s="1177">
        <f>IFERROR(__xludf.DUMMYFUNCTION("""COMPUTED_VALUE"""),7799.0)</f>
        <v>7799</v>
      </c>
      <c r="N63" s="1174" t="str">
        <f t="shared" si="1"/>
        <v/>
      </c>
    </row>
    <row r="64">
      <c r="A64" s="1175">
        <f>IFERROR(__xludf.DUMMYFUNCTION("""COMPUTED_VALUE"""),45896.0)</f>
        <v>45896</v>
      </c>
      <c r="B64" s="1174" t="str">
        <f>IFERROR(__xludf.DUMMYFUNCTION("""COMPUTED_VALUE"""),"g-c-1220594141")</f>
        <v>g-c-1220594141</v>
      </c>
      <c r="C64" s="1174" t="str">
        <f>IFERROR(__xludf.DUMMYFUNCTION("""COMPUTED_VALUE"""),"AGOSTO")</f>
        <v>AGOSTO</v>
      </c>
      <c r="D64" s="1174" t="b">
        <f>IFERROR(__xludf.DUMMYFUNCTION("""COMPUTED_VALUE"""),TRUE)</f>
        <v>1</v>
      </c>
      <c r="E64" s="1174" t="str">
        <f>IFERROR(__xludf.DUMMYFUNCTION("""COMPUTED_VALUE"""),"Laptop")</f>
        <v>Laptop</v>
      </c>
      <c r="F64" s="1176">
        <f>IFERROR(__xludf.DUMMYFUNCTION("""COMPUTED_VALUE"""),1299.99)</f>
        <v>1299.99</v>
      </c>
      <c r="G64" s="1177">
        <f>IFERROR(__xludf.DUMMYFUNCTION("""COMPUTED_VALUE"""),0.0)</f>
        <v>0</v>
      </c>
      <c r="H64" s="1174"/>
      <c r="I64" s="1174"/>
      <c r="J64" s="1177">
        <f>IFERROR(__xludf.DUMMYFUNCTION("""COMPUTED_VALUE"""),6599.0)</f>
        <v>6599</v>
      </c>
      <c r="N64" s="1174" t="str">
        <f t="shared" si="1"/>
        <v/>
      </c>
    </row>
    <row r="65">
      <c r="A65" s="1175">
        <f>IFERROR(__xludf.DUMMYFUNCTION("""COMPUTED_VALUE"""),45898.0)</f>
        <v>45898</v>
      </c>
      <c r="B65" s="1174" t="str">
        <f>IFERROR(__xludf.DUMMYFUNCTION("""COMPUTED_VALUE"""),"k-e-21-13498-96813")</f>
        <v>k-e-21-13498-96813</v>
      </c>
      <c r="C65" s="1174" t="str">
        <f>IFERROR(__xludf.DUMMYFUNCTION("""COMPUTED_VALUE"""),"SETIEMBRE")</f>
        <v>SETIEMBRE</v>
      </c>
      <c r="D65" s="1174" t="b">
        <f>IFERROR(__xludf.DUMMYFUNCTION("""COMPUTED_VALUE"""),TRUE)</f>
        <v>1</v>
      </c>
      <c r="E65" s="1174" t="str">
        <f>IFERROR(__xludf.DUMMYFUNCTION("""COMPUTED_VALUE"""),"Laptop")</f>
        <v>Laptop</v>
      </c>
      <c r="F65" s="1176">
        <f>IFERROR(__xludf.DUMMYFUNCTION("""COMPUTED_VALUE"""),1143.0)</f>
        <v>1143</v>
      </c>
      <c r="G65" s="1177">
        <f>IFERROR(__xludf.DUMMYFUNCTION("""COMPUTED_VALUE"""),0.0)</f>
        <v>0</v>
      </c>
      <c r="H65" s="1174"/>
      <c r="I65" s="1174"/>
      <c r="J65" s="1177">
        <f>IFERROR(__xludf.DUMMYFUNCTION("""COMPUTED_VALUE"""),5316.51)</f>
        <v>5316.51</v>
      </c>
      <c r="N65" s="1174" t="str">
        <f t="shared" si="1"/>
        <v/>
      </c>
    </row>
    <row r="66">
      <c r="A66" s="1175">
        <f>IFERROR(__xludf.DUMMYFUNCTION("""COMPUTED_VALUE"""),45898.0)</f>
        <v>45898</v>
      </c>
      <c r="B66" s="1174" t="str">
        <f>IFERROR(__xludf.DUMMYFUNCTION("""COMPUTED_VALUE"""),"k-a-113-1842957-3037814")</f>
        <v>k-a-113-1842957-3037814</v>
      </c>
      <c r="C66" s="1174" t="str">
        <f>IFERROR(__xludf.DUMMYFUNCTION("""COMPUTED_VALUE"""),"SETIEMBRE")</f>
        <v>SETIEMBRE</v>
      </c>
      <c r="D66" s="1174" t="b">
        <f>IFERROR(__xludf.DUMMYFUNCTION("""COMPUTED_VALUE"""),TRUE)</f>
        <v>1</v>
      </c>
      <c r="E66" s="1174" t="str">
        <f>IFERROR(__xludf.DUMMYFUNCTION("""COMPUTED_VALUE"""),"Laptop")</f>
        <v>Laptop</v>
      </c>
      <c r="F66" s="1176">
        <f>IFERROR(__xludf.DUMMYFUNCTION("""COMPUTED_VALUE"""),1189.99)</f>
        <v>1189.99</v>
      </c>
      <c r="G66" s="1177">
        <f>IFERROR(__xludf.DUMMYFUNCTION("""COMPUTED_VALUE"""),0.0)</f>
        <v>0</v>
      </c>
      <c r="H66" s="1174"/>
      <c r="I66" s="1174"/>
      <c r="J66" s="1177">
        <f>IFERROR(__xludf.DUMMYFUNCTION("""COMPUTED_VALUE"""),5499.0)</f>
        <v>5499</v>
      </c>
      <c r="N66" s="1174" t="str">
        <f t="shared" si="1"/>
        <v/>
      </c>
    </row>
    <row r="67">
      <c r="A67" s="1175">
        <f>IFERROR(__xludf.DUMMYFUNCTION("""COMPUTED_VALUE"""),45901.0)</f>
        <v>45901</v>
      </c>
      <c r="B67" s="1174" t="str">
        <f>IFERROR(__xludf.DUMMYFUNCTION("""COMPUTED_VALUE"""),"k-a-113-1861652-7949015")</f>
        <v>k-a-113-1861652-7949015</v>
      </c>
      <c r="C67" s="1174" t="str">
        <f>IFERROR(__xludf.DUMMYFUNCTION("""COMPUTED_VALUE"""),"SETIEMBRE")</f>
        <v>SETIEMBRE</v>
      </c>
      <c r="D67" s="1174" t="b">
        <f>IFERROR(__xludf.DUMMYFUNCTION("""COMPUTED_VALUE"""),TRUE)</f>
        <v>1</v>
      </c>
      <c r="E67" s="1174" t="str">
        <f>IFERROR(__xludf.DUMMYFUNCTION("""COMPUTED_VALUE"""),"Laptop")</f>
        <v>Laptop</v>
      </c>
      <c r="F67" s="1176">
        <f>IFERROR(__xludf.DUMMYFUNCTION("""COMPUTED_VALUE"""),1274.99)</f>
        <v>1274.99</v>
      </c>
      <c r="G67" s="1177">
        <f>IFERROR(__xludf.DUMMYFUNCTION("""COMPUTED_VALUE"""),0.0)</f>
        <v>0</v>
      </c>
      <c r="H67" s="1174"/>
      <c r="I67" s="1174"/>
      <c r="J67" s="1177">
        <f>IFERROR(__xludf.DUMMYFUNCTION("""COMPUTED_VALUE"""),5799.0)</f>
        <v>5799</v>
      </c>
      <c r="N67" s="1174" t="str">
        <f t="shared" si="1"/>
        <v/>
      </c>
    </row>
    <row r="68">
      <c r="A68" s="1175">
        <f>IFERROR(__xludf.DUMMYFUNCTION("""COMPUTED_VALUE"""),45904.0)</f>
        <v>45904</v>
      </c>
      <c r="B68" s="1174" t="str">
        <f>IFERROR(__xludf.DUMMYFUNCTION("""COMPUTED_VALUE"""),"G-C-1220853087")</f>
        <v>G-C-1220853087</v>
      </c>
      <c r="C68" s="1174" t="str">
        <f>IFERROR(__xludf.DUMMYFUNCTION("""COMPUTED_VALUE"""),"SETIEMBRE")</f>
        <v>SETIEMBRE</v>
      </c>
      <c r="D68" s="1174" t="b">
        <f>IFERROR(__xludf.DUMMYFUNCTION("""COMPUTED_VALUE"""),TRUE)</f>
        <v>1</v>
      </c>
      <c r="E68" s="1174" t="str">
        <f>IFERROR(__xludf.DUMMYFUNCTION("""COMPUTED_VALUE"""),"Laptop")</f>
        <v>Laptop</v>
      </c>
      <c r="F68" s="1176">
        <f>IFERROR(__xludf.DUMMYFUNCTION("""COMPUTED_VALUE"""),1299.99)</f>
        <v>1299.99</v>
      </c>
      <c r="G68" s="1177">
        <f>IFERROR(__xludf.DUMMYFUNCTION("""COMPUTED_VALUE"""),0.0)</f>
        <v>0</v>
      </c>
      <c r="H68" s="1174"/>
      <c r="I68" s="1174"/>
      <c r="J68" s="1177">
        <f>IFERROR(__xludf.DUMMYFUNCTION("""COMPUTED_VALUE"""),6874.0)</f>
        <v>6874</v>
      </c>
      <c r="N68" s="1174" t="str">
        <f t="shared" si="1"/>
        <v/>
      </c>
    </row>
    <row r="69">
      <c r="A69" s="1175">
        <f>IFERROR(__xludf.DUMMYFUNCTION("""COMPUTED_VALUE"""),45904.0)</f>
        <v>45904</v>
      </c>
      <c r="B69" s="1174" t="str">
        <f>IFERROR(__xludf.DUMMYFUNCTION("""COMPUTED_VALUE"""),"k-BBY01-807082280137")</f>
        <v>k-BBY01-807082280137</v>
      </c>
      <c r="C69" s="1174" t="str">
        <f>IFERROR(__xludf.DUMMYFUNCTION("""COMPUTED_VALUE"""),"SETIEMBRE")</f>
        <v>SETIEMBRE</v>
      </c>
      <c r="D69" s="1174" t="b">
        <f>IFERROR(__xludf.DUMMYFUNCTION("""COMPUTED_VALUE"""),TRUE)</f>
        <v>1</v>
      </c>
      <c r="E69" s="1174" t="str">
        <f>IFERROR(__xludf.DUMMYFUNCTION("""COMPUTED_VALUE"""),"Laptop")</f>
        <v>Laptop</v>
      </c>
      <c r="F69" s="1176">
        <f>IFERROR(__xludf.DUMMYFUNCTION("""COMPUTED_VALUE"""),1599.99)</f>
        <v>1599.99</v>
      </c>
      <c r="G69" s="1177">
        <f>IFERROR(__xludf.DUMMYFUNCTION("""COMPUTED_VALUE"""),0.0)</f>
        <v>0</v>
      </c>
      <c r="H69" s="1174"/>
      <c r="I69" s="1174"/>
      <c r="J69" s="1177">
        <f>IFERROR(__xludf.DUMMYFUNCTION("""COMPUTED_VALUE"""),7999.0)</f>
        <v>7999</v>
      </c>
      <c r="N69" s="1174" t="str">
        <f t="shared" si="1"/>
        <v/>
      </c>
    </row>
    <row r="70">
      <c r="A70" s="1175">
        <f>IFERROR(__xludf.DUMMYFUNCTION("""COMPUTED_VALUE"""),45905.0)</f>
        <v>45905</v>
      </c>
      <c r="B70" s="1174" t="str">
        <f>IFERROR(__xludf.DUMMYFUNCTION("""COMPUTED_VALUE"""),"s-e-22-13480-86823")</f>
        <v>s-e-22-13480-86823</v>
      </c>
      <c r="C70" s="1174" t="str">
        <f>IFERROR(__xludf.DUMMYFUNCTION("""COMPUTED_VALUE"""),"SETIEMBRE")</f>
        <v>SETIEMBRE</v>
      </c>
      <c r="D70" s="1174" t="b">
        <f>IFERROR(__xludf.DUMMYFUNCTION("""COMPUTED_VALUE"""),TRUE)</f>
        <v>1</v>
      </c>
      <c r="E70" s="1174" t="str">
        <f>IFERROR(__xludf.DUMMYFUNCTION("""COMPUTED_VALUE"""),"Laptop")</f>
        <v>Laptop</v>
      </c>
      <c r="F70" s="1176">
        <f>IFERROR(__xludf.DUMMYFUNCTION("""COMPUTED_VALUE"""),1149.99)</f>
        <v>1149.99</v>
      </c>
      <c r="G70" s="1177">
        <f>IFERROR(__xludf.DUMMYFUNCTION("""COMPUTED_VALUE"""),0.0)</f>
        <v>0</v>
      </c>
      <c r="H70" s="1174"/>
      <c r="I70" s="1174"/>
      <c r="J70" s="1177">
        <f>IFERROR(__xludf.DUMMYFUNCTION("""COMPUTED_VALUE"""),5699.0)</f>
        <v>5699</v>
      </c>
      <c r="N70" s="1174" t="str">
        <f t="shared" si="1"/>
        <v/>
      </c>
    </row>
    <row r="71">
      <c r="A71" s="1175">
        <f>IFERROR(__xludf.DUMMYFUNCTION("""COMPUTED_VALUE"""),45905.0)</f>
        <v>45905</v>
      </c>
      <c r="B71" s="1174" t="str">
        <f>IFERROR(__xludf.DUMMYFUNCTION("""COMPUTED_VALUE"""),"G-C-1221078707")</f>
        <v>G-C-1221078707</v>
      </c>
      <c r="C71" s="1174" t="str">
        <f>IFERROR(__xludf.DUMMYFUNCTION("""COMPUTED_VALUE"""),"SETIEMBRE")</f>
        <v>SETIEMBRE</v>
      </c>
      <c r="D71" s="1174" t="b">
        <f>IFERROR(__xludf.DUMMYFUNCTION("""COMPUTED_VALUE"""),TRUE)</f>
        <v>1</v>
      </c>
      <c r="E71" s="1174" t="str">
        <f>IFERROR(__xludf.DUMMYFUNCTION("""COMPUTED_VALUE"""),"Laptop")</f>
        <v>Laptop</v>
      </c>
      <c r="F71" s="1176">
        <f>IFERROR(__xludf.DUMMYFUNCTION("""COMPUTED_VALUE"""),1299.99)</f>
        <v>1299.99</v>
      </c>
      <c r="G71" s="1177">
        <f>IFERROR(__xludf.DUMMYFUNCTION("""COMPUTED_VALUE"""),0.0)</f>
        <v>0</v>
      </c>
      <c r="H71" s="1174"/>
      <c r="I71" s="1174"/>
      <c r="J71" s="1177">
        <f>IFERROR(__xludf.DUMMYFUNCTION("""COMPUTED_VALUE"""),6699.0)</f>
        <v>6699</v>
      </c>
      <c r="N71" s="1174" t="str">
        <f t="shared" si="1"/>
        <v/>
      </c>
    </row>
    <row r="72">
      <c r="A72" s="1175">
        <f>IFERROR(__xludf.DUMMYFUNCTION("""COMPUTED_VALUE"""),45906.0)</f>
        <v>45906</v>
      </c>
      <c r="B72" s="1174" t="str">
        <f>IFERROR(__xludf.DUMMYFUNCTION("""COMPUTED_VALUE"""),"k-e-22-13530-58252")</f>
        <v>k-e-22-13530-58252</v>
      </c>
      <c r="C72" s="1174" t="str">
        <f>IFERROR(__xludf.DUMMYFUNCTION("""COMPUTED_VALUE"""),"SETIEMBRE")</f>
        <v>SETIEMBRE</v>
      </c>
      <c r="D72" s="1174" t="b">
        <f>IFERROR(__xludf.DUMMYFUNCTION("""COMPUTED_VALUE"""),TRUE)</f>
        <v>1</v>
      </c>
      <c r="E72" s="1174" t="str">
        <f>IFERROR(__xludf.DUMMYFUNCTION("""COMPUTED_VALUE"""),"Laptop")</f>
        <v>Laptop</v>
      </c>
      <c r="F72" s="1176">
        <f>IFERROR(__xludf.DUMMYFUNCTION("""COMPUTED_VALUE"""),1599.99)</f>
        <v>1599.99</v>
      </c>
      <c r="G72" s="1177">
        <f>IFERROR(__xludf.DUMMYFUNCTION("""COMPUTED_VALUE"""),0.0)</f>
        <v>0</v>
      </c>
      <c r="H72" s="1174"/>
      <c r="I72" s="1174"/>
      <c r="J72" s="1177">
        <f>IFERROR(__xludf.DUMMYFUNCTION("""COMPUTED_VALUE"""),7999.0)</f>
        <v>7999</v>
      </c>
      <c r="N72" s="1174" t="str">
        <f t="shared" si="1"/>
        <v/>
      </c>
    </row>
    <row r="73">
      <c r="A73" s="1175">
        <f>IFERROR(__xludf.DUMMYFUNCTION("""COMPUTED_VALUE"""),45906.0)</f>
        <v>45906</v>
      </c>
      <c r="B73" s="1174" t="str">
        <f>IFERROR(__xludf.DUMMYFUNCTION("""COMPUTED_VALUE"""),"k-a-113-7650823-7919457")</f>
        <v>k-a-113-7650823-7919457</v>
      </c>
      <c r="C73" s="1174" t="str">
        <f>IFERROR(__xludf.DUMMYFUNCTION("""COMPUTED_VALUE"""),"SETIEMBRE")</f>
        <v>SETIEMBRE</v>
      </c>
      <c r="D73" s="1174" t="b">
        <f>IFERROR(__xludf.DUMMYFUNCTION("""COMPUTED_VALUE"""),FALSE)</f>
        <v>0</v>
      </c>
      <c r="E73" s="1174" t="str">
        <f>IFERROR(__xludf.DUMMYFUNCTION("""COMPUTED_VALUE"""),"Laptop")</f>
        <v>Laptop</v>
      </c>
      <c r="F73" s="1176">
        <f>IFERROR(__xludf.DUMMYFUNCTION("""COMPUTED_VALUE"""),1839.99)</f>
        <v>1839.99</v>
      </c>
      <c r="G73" s="1177">
        <f>IFERROR(__xludf.DUMMYFUNCTION("""COMPUTED_VALUE"""),0.0)</f>
        <v>0</v>
      </c>
      <c r="H73" s="1174"/>
      <c r="I73" s="1174"/>
      <c r="J73" s="1177">
        <f>IFERROR(__xludf.DUMMYFUNCTION("""COMPUTED_VALUE"""),8799.0)</f>
        <v>8799</v>
      </c>
      <c r="N73" s="1174" t="str">
        <f t="shared" si="1"/>
        <v/>
      </c>
    </row>
    <row r="74">
      <c r="A74" s="1175">
        <f>IFERROR(__xludf.DUMMYFUNCTION("""COMPUTED_VALUE"""),45906.0)</f>
        <v>45906</v>
      </c>
      <c r="B74" s="1174" t="str">
        <f>IFERROR(__xludf.DUMMYFUNCTION("""COMPUTED_VALUE"""),"k-a-113-2213675-6195414")</f>
        <v>k-a-113-2213675-6195414</v>
      </c>
      <c r="C74" s="1174" t="str">
        <f>IFERROR(__xludf.DUMMYFUNCTION("""COMPUTED_VALUE"""),"SETIEMBRE")</f>
        <v>SETIEMBRE</v>
      </c>
      <c r="D74" s="1174" t="b">
        <f>IFERROR(__xludf.DUMMYFUNCTION("""COMPUTED_VALUE"""),FALSE)</f>
        <v>0</v>
      </c>
      <c r="E74" s="1174" t="str">
        <f>IFERROR(__xludf.DUMMYFUNCTION("""COMPUTED_VALUE"""),"Laptop")</f>
        <v>Laptop</v>
      </c>
      <c r="F74" s="1176">
        <f>IFERROR(__xludf.DUMMYFUNCTION("""COMPUTED_VALUE"""),1189.0)</f>
        <v>1189</v>
      </c>
      <c r="G74" s="1177">
        <f>IFERROR(__xludf.DUMMYFUNCTION("""COMPUTED_VALUE"""),0.0)</f>
        <v>0</v>
      </c>
      <c r="H74" s="1174"/>
      <c r="I74" s="1174"/>
      <c r="J74" s="1177">
        <f>IFERROR(__xludf.DUMMYFUNCTION("""COMPUTED_VALUE"""),5799.0)</f>
        <v>5799</v>
      </c>
      <c r="N74" s="1174" t="str">
        <f t="shared" si="1"/>
        <v/>
      </c>
    </row>
    <row r="75">
      <c r="A75" s="1175">
        <f>IFERROR(__xludf.DUMMYFUNCTION("""COMPUTED_VALUE"""),45909.0)</f>
        <v>45909</v>
      </c>
      <c r="B75" s="1174" t="str">
        <f>IFERROR(__xludf.DUMMYFUNCTION("""COMPUTED_VALUE"""),"L-C-090925")</f>
        <v>L-C-090925</v>
      </c>
      <c r="C75" s="1174" t="str">
        <f>IFERROR(__xludf.DUMMYFUNCTION("""COMPUTED_VALUE"""),"SETIEMBRE")</f>
        <v>SETIEMBRE</v>
      </c>
      <c r="D75" s="1174" t="b">
        <f>IFERROR(__xludf.DUMMYFUNCTION("""COMPUTED_VALUE"""),TRUE)</f>
        <v>1</v>
      </c>
      <c r="E75" s="1174" t="str">
        <f>IFERROR(__xludf.DUMMYFUNCTION("""COMPUTED_VALUE"""),"Laptop")</f>
        <v>Laptop</v>
      </c>
      <c r="F75" s="1176">
        <f>IFERROR(__xludf.DUMMYFUNCTION("""COMPUTED_VALUE"""),1299.99)</f>
        <v>1299.99</v>
      </c>
      <c r="G75" s="1177">
        <f>IFERROR(__xludf.DUMMYFUNCTION("""COMPUTED_VALUE"""),0.0)</f>
        <v>0</v>
      </c>
      <c r="H75" s="1174"/>
      <c r="I75" s="1174"/>
      <c r="J75" s="1177">
        <f>IFERROR(__xludf.DUMMYFUNCTION("""COMPUTED_VALUE"""),6699.0)</f>
        <v>6699</v>
      </c>
      <c r="N75" s="1174" t="str">
        <f t="shared" si="1"/>
        <v/>
      </c>
    </row>
    <row r="76">
      <c r="A76" s="1175">
        <f>IFERROR(__xludf.DUMMYFUNCTION("""COMPUTED_VALUE"""),45910.0)</f>
        <v>45910</v>
      </c>
      <c r="B76" s="1174" t="str">
        <f>IFERROR(__xludf.DUMMYFUNCTION("""COMPUTED_VALUE"""),"k-e-03-13575-33324")</f>
        <v>k-e-03-13575-33324</v>
      </c>
      <c r="C76" s="1174" t="str">
        <f>IFERROR(__xludf.DUMMYFUNCTION("""COMPUTED_VALUE"""),"SETIEMBRE")</f>
        <v>SETIEMBRE</v>
      </c>
      <c r="D76" s="1174" t="b">
        <f>IFERROR(__xludf.DUMMYFUNCTION("""COMPUTED_VALUE"""),TRUE)</f>
        <v>1</v>
      </c>
      <c r="E76" s="1174" t="str">
        <f>IFERROR(__xludf.DUMMYFUNCTION("""COMPUTED_VALUE"""),"Laptop")</f>
        <v>Laptop</v>
      </c>
      <c r="F76" s="1176">
        <f>IFERROR(__xludf.DUMMYFUNCTION("""COMPUTED_VALUE"""),1349.99)</f>
        <v>1349.99</v>
      </c>
      <c r="G76" s="1177">
        <f>IFERROR(__xludf.DUMMYFUNCTION("""COMPUTED_VALUE"""),0.0)</f>
        <v>0</v>
      </c>
      <c r="H76" s="1174"/>
      <c r="I76" s="1174"/>
      <c r="J76" s="1177">
        <f>IFERROR(__xludf.DUMMYFUNCTION("""COMPUTED_VALUE"""),6399.0)</f>
        <v>6399</v>
      </c>
      <c r="N76" s="1174" t="str">
        <f t="shared" si="1"/>
        <v/>
      </c>
    </row>
    <row r="77">
      <c r="A77" s="1175">
        <f>IFERROR(__xludf.DUMMYFUNCTION("""COMPUTED_VALUE"""),45910.0)</f>
        <v>45910</v>
      </c>
      <c r="B77" s="1174" t="str">
        <f>IFERROR(__xludf.DUMMYFUNCTION("""COMPUTED_VALUE"""),"k-n-563702332")</f>
        <v>k-n-563702332</v>
      </c>
      <c r="C77" s="1174" t="str">
        <f>IFERROR(__xludf.DUMMYFUNCTION("""COMPUTED_VALUE"""),"SETIEMBRE")</f>
        <v>SETIEMBRE</v>
      </c>
      <c r="D77" s="1174" t="b">
        <f>IFERROR(__xludf.DUMMYFUNCTION("""COMPUTED_VALUE"""),TRUE)</f>
        <v>1</v>
      </c>
      <c r="E77" s="1174" t="str">
        <f>IFERROR(__xludf.DUMMYFUNCTION("""COMPUTED_VALUE"""),"Laptop")</f>
        <v>Laptop</v>
      </c>
      <c r="F77" s="1176">
        <f>IFERROR(__xludf.DUMMYFUNCTION("""COMPUTED_VALUE"""),2099.99)</f>
        <v>2099.99</v>
      </c>
      <c r="G77" s="1177">
        <f>IFERROR(__xludf.DUMMYFUNCTION("""COMPUTED_VALUE"""),0.0)</f>
        <v>0</v>
      </c>
      <c r="H77" s="1174"/>
      <c r="I77" s="1174"/>
      <c r="J77" s="1177">
        <f>IFERROR(__xludf.DUMMYFUNCTION("""COMPUTED_VALUE"""),9999.0)</f>
        <v>9999</v>
      </c>
      <c r="N77" s="1174" t="str">
        <f t="shared" si="1"/>
        <v/>
      </c>
    </row>
    <row r="78">
      <c r="A78" s="1175">
        <f>IFERROR(__xludf.DUMMYFUNCTION("""COMPUTED_VALUE"""),45913.0)</f>
        <v>45913</v>
      </c>
      <c r="B78" s="1174" t="str">
        <f>IFERROR(__xludf.DUMMYFUNCTION("""COMPUTED_VALUE"""),"J-M-220825")</f>
        <v>J-M-220825</v>
      </c>
      <c r="C78" s="1174" t="str">
        <f>IFERROR(__xludf.DUMMYFUNCTION("""COMPUTED_VALUE"""),"SETIEMBRE")</f>
        <v>SETIEMBRE</v>
      </c>
      <c r="D78" s="1174" t="b">
        <f>IFERROR(__xludf.DUMMYFUNCTION("""COMPUTED_VALUE"""),TRUE)</f>
        <v>1</v>
      </c>
      <c r="E78" s="1174" t="str">
        <f>IFERROR(__xludf.DUMMYFUNCTION("""COMPUTED_VALUE"""),"Laptop")</f>
        <v>Laptop</v>
      </c>
      <c r="F78" s="1176">
        <f>IFERROR(__xludf.DUMMYFUNCTION("""COMPUTED_VALUE"""),1699.99)</f>
        <v>1699.99</v>
      </c>
      <c r="G78" s="1177">
        <f>IFERROR(__xludf.DUMMYFUNCTION("""COMPUTED_VALUE"""),50.0)</f>
        <v>50</v>
      </c>
      <c r="H78" s="1174"/>
      <c r="I78" s="1174"/>
      <c r="J78" s="1177">
        <f>IFERROR(__xludf.DUMMYFUNCTION("""COMPUTED_VALUE"""),8999.0)</f>
        <v>8999</v>
      </c>
      <c r="N78" s="1174" t="str">
        <f t="shared" si="1"/>
        <v/>
      </c>
    </row>
    <row r="79">
      <c r="A79" s="1175">
        <f>IFERROR(__xludf.DUMMYFUNCTION("""COMPUTED_VALUE"""),45920.0)</f>
        <v>45920</v>
      </c>
      <c r="B79" s="1174" t="str">
        <f>IFERROR(__xludf.DUMMYFUNCTION("""COMPUTED_VALUE"""),"k-e-15-13595-89501")</f>
        <v>k-e-15-13595-89501</v>
      </c>
      <c r="C79" s="1174" t="str">
        <f>IFERROR(__xludf.DUMMYFUNCTION("""COMPUTED_VALUE"""),"SETIEMBRE")</f>
        <v>SETIEMBRE</v>
      </c>
      <c r="D79" s="1174" t="b">
        <f>IFERROR(__xludf.DUMMYFUNCTION("""COMPUTED_VALUE"""),TRUE)</f>
        <v>1</v>
      </c>
      <c r="E79" s="1174" t="str">
        <f>IFERROR(__xludf.DUMMYFUNCTION("""COMPUTED_VALUE"""),"Laptop")</f>
        <v>Laptop</v>
      </c>
      <c r="F79" s="1176">
        <f>IFERROR(__xludf.DUMMYFUNCTION("""COMPUTED_VALUE"""),1199.99)</f>
        <v>1199.99</v>
      </c>
      <c r="G79" s="1177">
        <f>IFERROR(__xludf.DUMMYFUNCTION("""COMPUTED_VALUE"""),0.0)</f>
        <v>0</v>
      </c>
      <c r="H79" s="1174"/>
      <c r="I79" s="1174"/>
      <c r="J79" s="1177">
        <f>IFERROR(__xludf.DUMMYFUNCTION("""COMPUTED_VALUE"""),5699.0)</f>
        <v>5699</v>
      </c>
      <c r="N79" s="1174" t="str">
        <f t="shared" si="1"/>
        <v/>
      </c>
    </row>
    <row r="80">
      <c r="A80" s="1175">
        <f>IFERROR(__xludf.DUMMYFUNCTION("""COMPUTED_VALUE"""),45924.0)</f>
        <v>45924</v>
      </c>
      <c r="B80" s="1174" t="str">
        <f>IFERROR(__xludf.DUMMYFUNCTION("""COMPUTED_VALUE"""),"k-e-11-13621-96273")</f>
        <v>k-e-11-13621-96273</v>
      </c>
      <c r="C80" s="1174" t="str">
        <f>IFERROR(__xludf.DUMMYFUNCTION("""COMPUTED_VALUE"""),"SETIEMBRE")</f>
        <v>SETIEMBRE</v>
      </c>
      <c r="D80" s="1174" t="b">
        <f>IFERROR(__xludf.DUMMYFUNCTION("""COMPUTED_VALUE"""),TRUE)</f>
        <v>1</v>
      </c>
      <c r="E80" s="1174" t="str">
        <f>IFERROR(__xludf.DUMMYFUNCTION("""COMPUTED_VALUE"""),"Laptop")</f>
        <v>Laptop</v>
      </c>
      <c r="F80" s="1176">
        <f>IFERROR(__xludf.DUMMYFUNCTION("""COMPUTED_VALUE"""),1149.99)</f>
        <v>1149.99</v>
      </c>
      <c r="G80" s="1177">
        <f>IFERROR(__xludf.DUMMYFUNCTION("""COMPUTED_VALUE"""),0.0)</f>
        <v>0</v>
      </c>
      <c r="H80" s="1174"/>
      <c r="I80" s="1174"/>
      <c r="J80" s="1177">
        <f>IFERROR(__xludf.DUMMYFUNCTION("""COMPUTED_VALUE"""),5699.0)</f>
        <v>5699</v>
      </c>
      <c r="N80" s="1174" t="str">
        <f t="shared" si="1"/>
        <v/>
      </c>
    </row>
    <row r="81">
      <c r="A81" s="1175">
        <f>IFERROR(__xludf.DUMMYFUNCTION("""COMPUTED_VALUE"""),45925.0)</f>
        <v>45925</v>
      </c>
      <c r="B81" s="1174" t="str">
        <f>IFERROR(__xludf.DUMMYFUNCTION("""COMPUTED_VALUE"""),"J-M-260925")</f>
        <v>J-M-260925</v>
      </c>
      <c r="C81" s="1174" t="str">
        <f>IFERROR(__xludf.DUMMYFUNCTION("""COMPUTED_VALUE"""),"SETIEMBRE")</f>
        <v>SETIEMBRE</v>
      </c>
      <c r="D81" s="1174" t="b">
        <f>IFERROR(__xludf.DUMMYFUNCTION("""COMPUTED_VALUE"""),TRUE)</f>
        <v>1</v>
      </c>
      <c r="E81" s="1174" t="str">
        <f>IFERROR(__xludf.DUMMYFUNCTION("""COMPUTED_VALUE"""),"Laptop")</f>
        <v>Laptop</v>
      </c>
      <c r="F81" s="1176">
        <f>IFERROR(__xludf.DUMMYFUNCTION("""COMPUTED_VALUE"""),2699.99)</f>
        <v>2699.99</v>
      </c>
      <c r="G81" s="1177">
        <f>IFERROR(__xludf.DUMMYFUNCTION("""COMPUTED_VALUE"""),95.0)</f>
        <v>95</v>
      </c>
      <c r="H81" s="1174"/>
      <c r="I81" s="1174"/>
      <c r="J81" s="1177">
        <f>IFERROR(__xludf.DUMMYFUNCTION("""COMPUTED_VALUE"""),12661.48)</f>
        <v>12661.48</v>
      </c>
      <c r="N81" s="1174" t="str">
        <f t="shared" si="1"/>
        <v/>
      </c>
    </row>
    <row r="82">
      <c r="A82" s="1175">
        <f>IFERROR(__xludf.DUMMYFUNCTION("""COMPUTED_VALUE"""),45927.0)</f>
        <v>45927</v>
      </c>
      <c r="B82" s="1174" t="str">
        <f>IFERROR(__xludf.DUMMYFUNCTION("""COMPUTED_VALUE"""),"k-n-564003232")</f>
        <v>k-n-564003232</v>
      </c>
      <c r="C82" s="1174" t="str">
        <f>IFERROR(__xludf.DUMMYFUNCTION("""COMPUTED_VALUE"""),"OCTUBRE")</f>
        <v>OCTUBRE</v>
      </c>
      <c r="D82" s="1174" t="b">
        <f>IFERROR(__xludf.DUMMYFUNCTION("""COMPUTED_VALUE"""),TRUE)</f>
        <v>1</v>
      </c>
      <c r="E82" s="1174" t="str">
        <f>IFERROR(__xludf.DUMMYFUNCTION("""COMPUTED_VALUE"""),"Laptop")</f>
        <v>Laptop</v>
      </c>
      <c r="F82" s="1176">
        <f>IFERROR(__xludf.DUMMYFUNCTION("""COMPUTED_VALUE"""),1099.99)</f>
        <v>1099.99</v>
      </c>
      <c r="G82" s="1177">
        <f>IFERROR(__xludf.DUMMYFUNCTION("""COMPUTED_VALUE"""),0.0)</f>
        <v>0</v>
      </c>
      <c r="H82" s="1174"/>
      <c r="I82" s="1174"/>
      <c r="J82" s="1177">
        <f>IFERROR(__xludf.DUMMYFUNCTION("""COMPUTED_VALUE"""),5235.72)</f>
        <v>5235.72</v>
      </c>
      <c r="N82" s="1174" t="str">
        <f t="shared" si="1"/>
        <v/>
      </c>
    </row>
    <row r="83">
      <c r="A83" s="1175">
        <f>IFERROR(__xludf.DUMMYFUNCTION("""COMPUTED_VALUE"""),45930.0)</f>
        <v>45930</v>
      </c>
      <c r="B83" s="1174" t="str">
        <f>IFERROR(__xludf.DUMMYFUNCTION("""COMPUTED_VALUE"""),"k-b-BBY01-807093119980")</f>
        <v>k-b-BBY01-807093119980</v>
      </c>
      <c r="C83" s="1174" t="str">
        <f>IFERROR(__xludf.DUMMYFUNCTION("""COMPUTED_VALUE"""),"OCTUBRE")</f>
        <v>OCTUBRE</v>
      </c>
      <c r="D83" s="1174" t="b">
        <f>IFERROR(__xludf.DUMMYFUNCTION("""COMPUTED_VALUE"""),TRUE)</f>
        <v>1</v>
      </c>
      <c r="E83" s="1174" t="str">
        <f>IFERROR(__xludf.DUMMYFUNCTION("""COMPUTED_VALUE"""),"Laptop")</f>
        <v>Laptop</v>
      </c>
      <c r="F83" s="1176">
        <f>IFERROR(__xludf.DUMMYFUNCTION("""COMPUTED_VALUE"""),1999.99)</f>
        <v>1999.99</v>
      </c>
      <c r="G83" s="1177">
        <f>IFERROR(__xludf.DUMMYFUNCTION("""COMPUTED_VALUE"""),0.0)</f>
        <v>0</v>
      </c>
      <c r="H83" s="1174"/>
      <c r="I83" s="1174"/>
      <c r="J83" s="1177">
        <f>IFERROR(__xludf.DUMMYFUNCTION("""COMPUTED_VALUE"""),9099.0)</f>
        <v>9099</v>
      </c>
      <c r="N83" s="1174" t="str">
        <f t="shared" si="1"/>
        <v/>
      </c>
    </row>
    <row r="84">
      <c r="A84" s="1175">
        <f>IFERROR(__xludf.DUMMYFUNCTION("""COMPUTED_VALUE"""),45930.0)</f>
        <v>45930</v>
      </c>
      <c r="B84" s="1174" t="str">
        <f>IFERROR(__xludf.DUMMYFUNCTION("""COMPUTED_VALUE"""),"k-a-113-4411897-8013035")</f>
        <v>k-a-113-4411897-8013035</v>
      </c>
      <c r="C84" s="1174" t="str">
        <f>IFERROR(__xludf.DUMMYFUNCTION("""COMPUTED_VALUE"""),"SETIEMBRE")</f>
        <v>SETIEMBRE</v>
      </c>
      <c r="D84" s="1174" t="b">
        <f>IFERROR(__xludf.DUMMYFUNCTION("""COMPUTED_VALUE"""),TRUE)</f>
        <v>1</v>
      </c>
      <c r="E84" s="1174" t="str">
        <f>IFERROR(__xludf.DUMMYFUNCTION("""COMPUTED_VALUE"""),"Laptop")</f>
        <v>Laptop</v>
      </c>
      <c r="F84" s="1176">
        <f>IFERROR(__xludf.DUMMYFUNCTION("""COMPUTED_VALUE"""),1189.99)</f>
        <v>1189.99</v>
      </c>
      <c r="G84" s="1177">
        <f>IFERROR(__xludf.DUMMYFUNCTION("""COMPUTED_VALUE"""),0.0)</f>
        <v>0</v>
      </c>
      <c r="H84" s="1174"/>
      <c r="I84" s="1174"/>
      <c r="J84" s="1177">
        <f>IFERROR(__xludf.DUMMYFUNCTION("""COMPUTED_VALUE"""),5799.0)</f>
        <v>5799</v>
      </c>
      <c r="N84" s="1174" t="str">
        <f t="shared" si="1"/>
        <v/>
      </c>
    </row>
    <row r="85">
      <c r="A85" s="1175">
        <f>IFERROR(__xludf.DUMMYFUNCTION("""COMPUTED_VALUE"""),45930.0)</f>
        <v>45930</v>
      </c>
      <c r="B85" s="1174" t="str">
        <f>IFERROR(__xludf.DUMMYFUNCTION("""COMPUTED_VALUE"""),"K-N-554451734")</f>
        <v>K-N-554451734</v>
      </c>
      <c r="C85" s="1174" t="str">
        <f>IFERROR(__xludf.DUMMYFUNCTION("""COMPUTED_VALUE"""),"OCTUBRE")</f>
        <v>OCTUBRE</v>
      </c>
      <c r="D85" s="1174" t="b">
        <f>IFERROR(__xludf.DUMMYFUNCTION("""COMPUTED_VALUE"""),TRUE)</f>
        <v>1</v>
      </c>
      <c r="E85" s="1174" t="str">
        <f>IFERROR(__xludf.DUMMYFUNCTION("""COMPUTED_VALUE"""),"Laptop")</f>
        <v>Laptop</v>
      </c>
      <c r="F85" s="1176">
        <f>IFERROR(__xludf.DUMMYFUNCTION("""COMPUTED_VALUE"""),3449.99)</f>
        <v>3449.99</v>
      </c>
      <c r="G85" s="1177">
        <f>IFERROR(__xludf.DUMMYFUNCTION("""COMPUTED_VALUE"""),0.0)</f>
        <v>0</v>
      </c>
      <c r="H85" s="1174"/>
      <c r="I85" s="1174"/>
      <c r="J85" s="1177">
        <f>IFERROR(__xludf.DUMMYFUNCTION("""COMPUTED_VALUE"""),14499.0)</f>
        <v>14499</v>
      </c>
      <c r="N85" s="1174" t="str">
        <f t="shared" si="1"/>
        <v/>
      </c>
    </row>
    <row r="86">
      <c r="A86" s="1175">
        <f>IFERROR(__xludf.DUMMYFUNCTION("""COMPUTED_VALUE"""),45931.0)</f>
        <v>45931</v>
      </c>
      <c r="B86" s="1174" t="str">
        <f>IFERROR(__xludf.DUMMYFUNCTION("""COMPUTED_VALUE"""),"K-N-554449174")</f>
        <v>K-N-554449174</v>
      </c>
      <c r="C86" s="1174" t="str">
        <f>IFERROR(__xludf.DUMMYFUNCTION("""COMPUTED_VALUE"""),"OCTUBRE")</f>
        <v>OCTUBRE</v>
      </c>
      <c r="D86" s="1174" t="b">
        <f>IFERROR(__xludf.DUMMYFUNCTION("""COMPUTED_VALUE"""),TRUE)</f>
        <v>1</v>
      </c>
      <c r="E86" s="1174" t="str">
        <f>IFERROR(__xludf.DUMMYFUNCTION("""COMPUTED_VALUE"""),"Laptop")</f>
        <v>Laptop</v>
      </c>
      <c r="F86" s="1176">
        <f>IFERROR(__xludf.DUMMYFUNCTION("""COMPUTED_VALUE"""),1498.0)</f>
        <v>1498</v>
      </c>
      <c r="G86" s="1177">
        <f>IFERROR(__xludf.DUMMYFUNCTION("""COMPUTED_VALUE"""),2.2737367544323206E-13)</f>
        <v>0</v>
      </c>
      <c r="H86" s="1174" t="b">
        <f>IFERROR(__xludf.DUMMYFUNCTION("""COMPUTED_VALUE"""),FALSE)</f>
        <v>0</v>
      </c>
      <c r="I86" s="1174"/>
      <c r="J86" s="1177">
        <f>IFERROR(__xludf.DUMMYFUNCTION("""COMPUTED_VALUE"""),7199.0)</f>
        <v>7199</v>
      </c>
      <c r="N86" s="1174" t="str">
        <f t="shared" si="1"/>
        <v/>
      </c>
    </row>
    <row r="87">
      <c r="A87" s="1175">
        <f>IFERROR(__xludf.DUMMYFUNCTION("""COMPUTED_VALUE"""),45939.0)</f>
        <v>45939</v>
      </c>
      <c r="B87" s="1174" t="str">
        <f>IFERROR(__xludf.DUMMYFUNCTION("""COMPUTED_VALUE"""),"k-e-091368435457")</f>
        <v>k-e-091368435457</v>
      </c>
      <c r="C87" s="1174" t="str">
        <f>IFERROR(__xludf.DUMMYFUNCTION("""COMPUTED_VALUE"""),"OCTUBRE")</f>
        <v>OCTUBRE</v>
      </c>
      <c r="D87" s="1174" t="b">
        <f>IFERROR(__xludf.DUMMYFUNCTION("""COMPUTED_VALUE"""),TRUE)</f>
        <v>1</v>
      </c>
      <c r="E87" s="1174" t="str">
        <f>IFERROR(__xludf.DUMMYFUNCTION("""COMPUTED_VALUE"""),"Laptop")</f>
        <v>Laptop</v>
      </c>
      <c r="F87" s="1176">
        <f>IFERROR(__xludf.DUMMYFUNCTION("""COMPUTED_VALUE"""),1399.99)</f>
        <v>1399.99</v>
      </c>
      <c r="G87" s="1177">
        <f>IFERROR(__xludf.DUMMYFUNCTION("""COMPUTED_VALUE"""),421.9500000000003)</f>
        <v>421.95</v>
      </c>
      <c r="H87" s="1174" t="b">
        <f>IFERROR(__xludf.DUMMYFUNCTION("""COMPUTED_VALUE"""),FALSE)</f>
        <v>0</v>
      </c>
      <c r="I87" s="1174"/>
      <c r="J87" s="1177">
        <f>IFERROR(__xludf.DUMMYFUNCTION("""COMPUTED_VALUE"""),7348.0)</f>
        <v>7348</v>
      </c>
      <c r="N87" s="1174" t="str">
        <f t="shared" si="1"/>
        <v/>
      </c>
    </row>
    <row r="88">
      <c r="A88" s="1175">
        <f>IFERROR(__xludf.DUMMYFUNCTION("""COMPUTED_VALUE"""),45940.0)</f>
        <v>45940</v>
      </c>
      <c r="B88" s="1174" t="str">
        <f>IFERROR(__xludf.DUMMYFUNCTION("""COMPUTED_VALUE"""),"J-M-19870354")</f>
        <v>J-M-19870354</v>
      </c>
      <c r="C88" s="1174" t="str">
        <f>IFERROR(__xludf.DUMMYFUNCTION("""COMPUTED_VALUE"""),"OCTUBRE")</f>
        <v>OCTUBRE</v>
      </c>
      <c r="D88" s="1174" t="b">
        <f>IFERROR(__xludf.DUMMYFUNCTION("""COMPUTED_VALUE"""),TRUE)</f>
        <v>1</v>
      </c>
      <c r="E88" s="1174" t="str">
        <f>IFERROR(__xludf.DUMMYFUNCTION("""COMPUTED_VALUE"""),"Laptop")</f>
        <v>Laptop</v>
      </c>
      <c r="F88" s="1176">
        <f>IFERROR(__xludf.DUMMYFUNCTION("""COMPUTED_VALUE"""),1699.99)</f>
        <v>1699.99</v>
      </c>
      <c r="G88" s="1177">
        <f>IFERROR(__xludf.DUMMYFUNCTION("""COMPUTED_VALUE"""),-349.0)</f>
        <v>-349</v>
      </c>
      <c r="H88" s="1174" t="b">
        <f>IFERROR(__xludf.DUMMYFUNCTION("""COMPUTED_VALUE"""),FALSE)</f>
        <v>0</v>
      </c>
      <c r="I88" s="1174"/>
      <c r="J88" s="1177">
        <f>IFERROR(__xludf.DUMMYFUNCTION("""COMPUTED_VALUE"""),8999.0)</f>
        <v>8999</v>
      </c>
      <c r="N88" s="1174" t="str">
        <f t="shared" si="1"/>
        <v/>
      </c>
    </row>
    <row r="89">
      <c r="A89" s="1175">
        <f>IFERROR(__xludf.DUMMYFUNCTION("""COMPUTED_VALUE"""),45940.0)</f>
        <v>45940</v>
      </c>
      <c r="B89" s="1174" t="str">
        <f>IFERROR(__xludf.DUMMYFUNCTION("""COMPUTED_VALUE"""),"k-a-113-5123038-3993018")</f>
        <v>k-a-113-5123038-3993018</v>
      </c>
      <c r="C89" s="1174" t="str">
        <f>IFERROR(__xludf.DUMMYFUNCTION("""COMPUTED_VALUE"""),"OCTUBRE")</f>
        <v>OCTUBRE</v>
      </c>
      <c r="D89" s="1174" t="b">
        <f>IFERROR(__xludf.DUMMYFUNCTION("""COMPUTED_VALUE"""),TRUE)</f>
        <v>1</v>
      </c>
      <c r="E89" s="1174" t="str">
        <f>IFERROR(__xludf.DUMMYFUNCTION("""COMPUTED_VALUE"""),"Laptop")</f>
        <v>Laptop</v>
      </c>
      <c r="F89" s="1176">
        <f>IFERROR(__xludf.DUMMYFUNCTION("""COMPUTED_VALUE"""),1199.99)</f>
        <v>1199.99</v>
      </c>
      <c r="G89" s="1177">
        <f>IFERROR(__xludf.DUMMYFUNCTION("""COMPUTED_VALUE"""),639.0)</f>
        <v>639</v>
      </c>
      <c r="H89" s="1174" t="b">
        <f>IFERROR(__xludf.DUMMYFUNCTION("""COMPUTED_VALUE"""),FALSE)</f>
        <v>0</v>
      </c>
      <c r="I89" s="1174"/>
      <c r="J89" s="1177">
        <f>IFERROR(__xludf.DUMMYFUNCTION("""COMPUTED_VALUE"""),5999.0)</f>
        <v>5999</v>
      </c>
      <c r="N89" s="1174" t="str">
        <f t="shared" si="1"/>
        <v/>
      </c>
    </row>
    <row r="90">
      <c r="A90" s="1175">
        <f>IFERROR(__xludf.DUMMYFUNCTION("""COMPUTED_VALUE"""),45941.0)</f>
        <v>45941</v>
      </c>
      <c r="B90" s="1174" t="str">
        <f>IFERROR(__xludf.DUMMYFUNCTION("""COMPUTED_VALUE"""),"k-e-21-13673-88143")</f>
        <v>k-e-21-13673-88143</v>
      </c>
      <c r="C90" s="1174" t="str">
        <f>IFERROR(__xludf.DUMMYFUNCTION("""COMPUTED_VALUE"""),"OCTUBRE")</f>
        <v>OCTUBRE</v>
      </c>
      <c r="D90" s="1174" t="b">
        <f>IFERROR(__xludf.DUMMYFUNCTION("""COMPUTED_VALUE"""),TRUE)</f>
        <v>1</v>
      </c>
      <c r="E90" s="1174" t="str">
        <f>IFERROR(__xludf.DUMMYFUNCTION("""COMPUTED_VALUE"""),"Laptop")</f>
        <v>Laptop</v>
      </c>
      <c r="F90" s="1176">
        <f>IFERROR(__xludf.DUMMYFUNCTION("""COMPUTED_VALUE"""),1499.99)</f>
        <v>1499.99</v>
      </c>
      <c r="G90" s="1177">
        <f>IFERROR(__xludf.DUMMYFUNCTION("""COMPUTED_VALUE"""),300.0)</f>
        <v>300</v>
      </c>
      <c r="H90" s="1174" t="b">
        <f>IFERROR(__xludf.DUMMYFUNCTION("""COMPUTED_VALUE"""),FALSE)</f>
        <v>0</v>
      </c>
      <c r="I90" s="1174"/>
      <c r="J90" s="1177">
        <f>IFERROR(__xludf.DUMMYFUNCTION("""COMPUTED_VALUE"""),6851.27)</f>
        <v>6851.27</v>
      </c>
      <c r="N90" s="1174" t="str">
        <f t="shared" si="1"/>
        <v/>
      </c>
    </row>
    <row r="91">
      <c r="A91" s="1175">
        <f>IFERROR(__xludf.DUMMYFUNCTION("""COMPUTED_VALUE"""),45941.0)</f>
        <v>45941</v>
      </c>
      <c r="B91" s="1174" t="str">
        <f>IFERROR(__xludf.DUMMYFUNCTION("""COMPUTED_VALUE"""),"G-D-2008489218892")</f>
        <v>G-D-2008489218892</v>
      </c>
      <c r="C91" s="1174" t="str">
        <f>IFERROR(__xludf.DUMMYFUNCTION("""COMPUTED_VALUE"""),"OCTUBRE")</f>
        <v>OCTUBRE</v>
      </c>
      <c r="D91" s="1174" t="b">
        <f>IFERROR(__xludf.DUMMYFUNCTION("""COMPUTED_VALUE"""),TRUE)</f>
        <v>1</v>
      </c>
      <c r="E91" s="1174" t="str">
        <f>IFERROR(__xludf.DUMMYFUNCTION("""COMPUTED_VALUE"""),"Laptop")</f>
        <v>Laptop</v>
      </c>
      <c r="F91" s="1176">
        <f>IFERROR(__xludf.DUMMYFUNCTION("""COMPUTED_VALUE"""),1899.99)</f>
        <v>1899.99</v>
      </c>
      <c r="G91" s="1177">
        <f>IFERROR(__xludf.DUMMYFUNCTION("""COMPUTED_VALUE"""),70.0)</f>
        <v>70</v>
      </c>
      <c r="H91" s="1174" t="b">
        <f>IFERROR(__xludf.DUMMYFUNCTION("""COMPUTED_VALUE"""),FALSE)</f>
        <v>0</v>
      </c>
      <c r="I91" s="1174"/>
      <c r="J91" s="1177">
        <f>IFERROR(__xludf.DUMMYFUNCTION("""COMPUTED_VALUE"""),8962.94)</f>
        <v>8962.94</v>
      </c>
      <c r="N91" s="1174" t="str">
        <f t="shared" si="1"/>
        <v/>
      </c>
    </row>
    <row r="92">
      <c r="A92" s="1175">
        <f>IFERROR(__xludf.DUMMYFUNCTION("""COMPUTED_VALUE"""),45943.0)</f>
        <v>45943</v>
      </c>
      <c r="B92" s="1174" t="str">
        <f>IFERROR(__xludf.DUMMYFUNCTION("""COMPUTED_VALUE"""),"k-am-113-9524372-4473026")</f>
        <v>k-am-113-9524372-4473026</v>
      </c>
      <c r="C92" s="1174" t="str">
        <f>IFERROR(__xludf.DUMMYFUNCTION("""COMPUTED_VALUE"""),"OCTUBRE")</f>
        <v>OCTUBRE</v>
      </c>
      <c r="D92" s="1174" t="b">
        <f>IFERROR(__xludf.DUMMYFUNCTION("""COMPUTED_VALUE"""),TRUE)</f>
        <v>1</v>
      </c>
      <c r="E92" s="1174" t="str">
        <f>IFERROR(__xludf.DUMMYFUNCTION("""COMPUTED_VALUE"""),"Laptop")</f>
        <v>Laptop</v>
      </c>
      <c r="F92" s="1176">
        <f>IFERROR(__xludf.DUMMYFUNCTION("""COMPUTED_VALUE"""),1799.0)</f>
        <v>1799</v>
      </c>
      <c r="G92" s="1177">
        <f>IFERROR(__xludf.DUMMYFUNCTION("""COMPUTED_VALUE"""),165.73999999999978)</f>
        <v>165.74</v>
      </c>
      <c r="H92" s="1174" t="b">
        <f>IFERROR(__xludf.DUMMYFUNCTION("""COMPUTED_VALUE"""),FALSE)</f>
        <v>0</v>
      </c>
      <c r="I92" s="1174"/>
      <c r="J92" s="1177">
        <f>IFERROR(__xludf.DUMMYFUNCTION("""COMPUTED_VALUE"""),8199.0)</f>
        <v>8199</v>
      </c>
      <c r="N92" s="1174" t="str">
        <f t="shared" si="1"/>
        <v/>
      </c>
    </row>
    <row r="93">
      <c r="A93" s="1175">
        <f>IFERROR(__xludf.DUMMYFUNCTION("""COMPUTED_VALUE"""),45945.0)</f>
        <v>45945</v>
      </c>
      <c r="B93" s="1174" t="str">
        <f>IFERROR(__xludf.DUMMYFUNCTION("""COMPUTED_VALUE"""),"L-M-171025")</f>
        <v>L-M-171025</v>
      </c>
      <c r="C93" s="1174" t="str">
        <f>IFERROR(__xludf.DUMMYFUNCTION("""COMPUTED_VALUE"""),"OCTUBRE")</f>
        <v>OCTUBRE</v>
      </c>
      <c r="D93" s="1174" t="b">
        <f>IFERROR(__xludf.DUMMYFUNCTION("""COMPUTED_VALUE"""),TRUE)</f>
        <v>1</v>
      </c>
      <c r="E93" s="1174" t="str">
        <f>IFERROR(__xludf.DUMMYFUNCTION("""COMPUTED_VALUE"""),"Laptop")</f>
        <v>Laptop</v>
      </c>
      <c r="F93" s="1176">
        <f>IFERROR(__xludf.DUMMYFUNCTION("""COMPUTED_VALUE"""),1899.99)</f>
        <v>1899.99</v>
      </c>
      <c r="G93" s="1177">
        <f>IFERROR(__xludf.DUMMYFUNCTION("""COMPUTED_VALUE"""),350.09000000000015)</f>
        <v>350.09</v>
      </c>
      <c r="H93" s="1174" t="b">
        <f>IFERROR(__xludf.DUMMYFUNCTION("""COMPUTED_VALUE"""),FALSE)</f>
        <v>0</v>
      </c>
      <c r="I93" s="1174"/>
      <c r="J93" s="1177">
        <f>IFERROR(__xludf.DUMMYFUNCTION("""COMPUTED_VALUE"""),8900.0)</f>
        <v>8900</v>
      </c>
      <c r="N93" s="1174" t="str">
        <f t="shared" si="1"/>
        <v/>
      </c>
    </row>
    <row r="94">
      <c r="A94" s="1175">
        <f>IFERROR(__xludf.DUMMYFUNCTION("""COMPUTED_VALUE"""),45950.0)</f>
        <v>45950</v>
      </c>
      <c r="B94" s="1174" t="str">
        <f>IFERROR(__xludf.DUMMYFUNCTION("""COMPUTED_VALUE"""),"k-e-08-13732-31276")</f>
        <v>k-e-08-13732-31276</v>
      </c>
      <c r="C94" s="1174" t="str">
        <f>IFERROR(__xludf.DUMMYFUNCTION("""COMPUTED_VALUE"""),"OCTUBRE")</f>
        <v>OCTUBRE</v>
      </c>
      <c r="D94" s="1174" t="b">
        <f>IFERROR(__xludf.DUMMYFUNCTION("""COMPUTED_VALUE"""),TRUE)</f>
        <v>1</v>
      </c>
      <c r="E94" s="1174" t="str">
        <f>IFERROR(__xludf.DUMMYFUNCTION("""COMPUTED_VALUE"""),"Laptop")</f>
        <v>Laptop</v>
      </c>
      <c r="F94" s="1176">
        <f>IFERROR(__xludf.DUMMYFUNCTION("""COMPUTED_VALUE"""),1349.99)</f>
        <v>1349.99</v>
      </c>
      <c r="G94" s="1177">
        <f>IFERROR(__xludf.DUMMYFUNCTION("""COMPUTED_VALUE"""),0.0)</f>
        <v>0</v>
      </c>
      <c r="H94" s="1174" t="b">
        <f>IFERROR(__xludf.DUMMYFUNCTION("""COMPUTED_VALUE"""),FALSE)</f>
        <v>0</v>
      </c>
      <c r="I94" s="1174"/>
      <c r="J94" s="1177">
        <f>IFERROR(__xludf.DUMMYFUNCTION("""COMPUTED_VALUE"""),5613.81)</f>
        <v>5613.81</v>
      </c>
      <c r="N94" s="1174" t="str">
        <f t="shared" si="1"/>
        <v/>
      </c>
    </row>
    <row r="95">
      <c r="A95" s="1175">
        <f>IFERROR(__xludf.DUMMYFUNCTION("""COMPUTED_VALUE"""),45953.0)</f>
        <v>45953</v>
      </c>
      <c r="B95" s="1174" t="str">
        <f>IFERROR(__xludf.DUMMYFUNCTION("""COMPUTED_VALUE"""),"L-C-211025")</f>
        <v>L-C-211025</v>
      </c>
      <c r="C95" s="1174" t="str">
        <f>IFERROR(__xludf.DUMMYFUNCTION("""COMPUTED_VALUE"""),"OCTUBRE")</f>
        <v>OCTUBRE</v>
      </c>
      <c r="D95" s="1174" t="b">
        <f>IFERROR(__xludf.DUMMYFUNCTION("""COMPUTED_VALUE"""),TRUE)</f>
        <v>1</v>
      </c>
      <c r="E95" s="1174" t="str">
        <f>IFERROR(__xludf.DUMMYFUNCTION("""COMPUTED_VALUE"""),"Laptop")</f>
        <v>Laptop</v>
      </c>
      <c r="F95" s="1176">
        <f>IFERROR(__xludf.DUMMYFUNCTION("""COMPUTED_VALUE"""),1499.99)</f>
        <v>1499.99</v>
      </c>
      <c r="G95" s="1177">
        <f>IFERROR(__xludf.DUMMYFUNCTION("""COMPUTED_VALUE"""),249.54000000000002)</f>
        <v>249.54</v>
      </c>
      <c r="H95" s="1174" t="b">
        <f>IFERROR(__xludf.DUMMYFUNCTION("""COMPUTED_VALUE"""),FALSE)</f>
        <v>0</v>
      </c>
      <c r="I95" s="1174"/>
      <c r="J95" s="1177">
        <f>IFERROR(__xludf.DUMMYFUNCTION("""COMPUTED_VALUE"""),7599.0)</f>
        <v>7599</v>
      </c>
      <c r="N95" s="1174" t="str">
        <f t="shared" si="1"/>
        <v/>
      </c>
    </row>
    <row r="96">
      <c r="A96" s="1175">
        <f>IFERROR(__xludf.DUMMYFUNCTION("""COMPUTED_VALUE"""),45953.0)</f>
        <v>45953</v>
      </c>
      <c r="B96" s="1174" t="str">
        <f>IFERROR(__xludf.DUMMYFUNCTION("""COMPUTED_VALUE"""),"s-e-21-13671-58591")</f>
        <v>s-e-21-13671-58591</v>
      </c>
      <c r="C96" s="1174" t="str">
        <f>IFERROR(__xludf.DUMMYFUNCTION("""COMPUTED_VALUE"""),"OCTUBRE")</f>
        <v>OCTUBRE</v>
      </c>
      <c r="D96" s="1174" t="b">
        <f>IFERROR(__xludf.DUMMYFUNCTION("""COMPUTED_VALUE"""),TRUE)</f>
        <v>1</v>
      </c>
      <c r="E96" s="1174" t="str">
        <f>IFERROR(__xludf.DUMMYFUNCTION("""COMPUTED_VALUE"""),"Laptop")</f>
        <v>Laptop</v>
      </c>
      <c r="F96" s="1176">
        <f>IFERROR(__xludf.DUMMYFUNCTION("""COMPUTED_VALUE"""),1599.99)</f>
        <v>1599.99</v>
      </c>
      <c r="G96" s="1177">
        <f>IFERROR(__xludf.DUMMYFUNCTION("""COMPUTED_VALUE"""),0.0)</f>
        <v>0</v>
      </c>
      <c r="H96" s="1174" t="b">
        <f>IFERROR(__xludf.DUMMYFUNCTION("""COMPUTED_VALUE"""),FALSE)</f>
        <v>0</v>
      </c>
      <c r="I96" s="1174"/>
      <c r="J96" s="1177">
        <f>IFERROR(__xludf.DUMMYFUNCTION("""COMPUTED_VALUE"""),7799.0)</f>
        <v>7799</v>
      </c>
      <c r="N96" s="1174" t="str">
        <f t="shared" si="1"/>
        <v/>
      </c>
    </row>
    <row r="97">
      <c r="A97" s="1175">
        <f>IFERROR(__xludf.DUMMYFUNCTION("""COMPUTED_VALUE"""),45958.0)</f>
        <v>45958</v>
      </c>
      <c r="B97" s="1174" t="str">
        <f>IFERROR(__xludf.DUMMYFUNCTION("""COMPUTED_VALUE"""),"K-B-BBY01-807089018248")</f>
        <v>K-B-BBY01-807089018248</v>
      </c>
      <c r="C97" s="1174" t="str">
        <f>IFERROR(__xludf.DUMMYFUNCTION("""COMPUTED_VALUE"""),"OCTUBRE")</f>
        <v>OCTUBRE</v>
      </c>
      <c r="D97" s="1174" t="b">
        <f>IFERROR(__xludf.DUMMYFUNCTION("""COMPUTED_VALUE"""),TRUE)</f>
        <v>1</v>
      </c>
      <c r="E97" s="1174" t="str">
        <f>IFERROR(__xludf.DUMMYFUNCTION("""COMPUTED_VALUE"""),"Laptop")</f>
        <v>Laptop</v>
      </c>
      <c r="F97" s="1176">
        <f>IFERROR(__xludf.DUMMYFUNCTION("""COMPUTED_VALUE"""),1499.99)</f>
        <v>1499.99</v>
      </c>
      <c r="G97" s="1177">
        <f>IFERROR(__xludf.DUMMYFUNCTION("""COMPUTED_VALUE"""),66.54000000000002)</f>
        <v>66.54</v>
      </c>
      <c r="H97" s="1174" t="b">
        <f>IFERROR(__xludf.DUMMYFUNCTION("""COMPUTED_VALUE"""),FALSE)</f>
        <v>0</v>
      </c>
      <c r="I97" s="1174"/>
      <c r="J97" s="1177">
        <f>IFERROR(__xludf.DUMMYFUNCTION("""COMPUTED_VALUE"""),7499.0)</f>
        <v>7499</v>
      </c>
      <c r="N97" s="1174" t="str">
        <f t="shared" si="1"/>
        <v/>
      </c>
    </row>
    <row r="98">
      <c r="A98" s="1175">
        <f>IFERROR(__xludf.DUMMYFUNCTION("""COMPUTED_VALUE"""),45959.0)</f>
        <v>45959</v>
      </c>
      <c r="B98" s="1174" t="str">
        <f>IFERROR(__xludf.DUMMYFUNCTION("""COMPUTED_VALUE"""),"ja-bh-1125009072")</f>
        <v>ja-bh-1125009072</v>
      </c>
      <c r="C98" s="1174" t="str">
        <f>IFERROR(__xludf.DUMMYFUNCTION("""COMPUTED_VALUE"""),"NOVIEMBRE")</f>
        <v>NOVIEMBRE</v>
      </c>
      <c r="D98" s="1174" t="b">
        <f>IFERROR(__xludf.DUMMYFUNCTION("""COMPUTED_VALUE"""),TRUE)</f>
        <v>1</v>
      </c>
      <c r="E98" s="1174" t="str">
        <f>IFERROR(__xludf.DUMMYFUNCTION("""COMPUTED_VALUE"""),"Laptop")</f>
        <v>Laptop</v>
      </c>
      <c r="F98" s="1176">
        <f>IFERROR(__xludf.DUMMYFUNCTION("""COMPUTED_VALUE"""),1999.99)</f>
        <v>1999.99</v>
      </c>
      <c r="G98" s="1177">
        <f>IFERROR(__xludf.DUMMYFUNCTION("""COMPUTED_VALUE"""),6.536993168992922E-13)</f>
        <v>0</v>
      </c>
      <c r="H98" s="1174" t="b">
        <f>IFERROR(__xludf.DUMMYFUNCTION("""COMPUTED_VALUE"""),FALSE)</f>
        <v>0</v>
      </c>
      <c r="I98" s="1174" t="str">
        <f>IFERROR(__xludf.DUMMYFUNCTION("""COMPUTED_VALUE"""),"NOVIEMBRE")</f>
        <v>NOVIEMBRE</v>
      </c>
      <c r="J98" s="1177">
        <f>IFERROR(__xludf.DUMMYFUNCTION("""COMPUTED_VALUE"""),8699.0)</f>
        <v>8699</v>
      </c>
      <c r="N98" s="1174" t="str">
        <f t="shared" si="1"/>
        <v/>
      </c>
    </row>
    <row r="99">
      <c r="A99" s="1175">
        <f>IFERROR(__xludf.DUMMYFUNCTION("""COMPUTED_VALUE"""),45959.0)</f>
        <v>45959</v>
      </c>
      <c r="B99" s="1174" t="str">
        <f>IFERROR(__xludf.DUMMYFUNCTION("""COMPUTED_VALUE"""),"ke-eb-19-13753-84170")</f>
        <v>ke-eb-19-13753-84170</v>
      </c>
      <c r="C99" s="1174" t="str">
        <f>IFERROR(__xludf.DUMMYFUNCTION("""COMPUTED_VALUE"""),"NOVIEMBRE")</f>
        <v>NOVIEMBRE</v>
      </c>
      <c r="D99" s="1174" t="b">
        <f>IFERROR(__xludf.DUMMYFUNCTION("""COMPUTED_VALUE"""),TRUE)</f>
        <v>1</v>
      </c>
      <c r="E99" s="1174" t="str">
        <f>IFERROR(__xludf.DUMMYFUNCTION("""COMPUTED_VALUE"""),"Laptop")</f>
        <v>Laptop</v>
      </c>
      <c r="F99" s="1176">
        <f>IFERROR(__xludf.DUMMYFUNCTION("""COMPUTED_VALUE"""),1399.99)</f>
        <v>1399.99</v>
      </c>
      <c r="G99" s="1177">
        <f>IFERROR(__xludf.DUMMYFUNCTION("""COMPUTED_VALUE"""),148.73999999999984)</f>
        <v>148.74</v>
      </c>
      <c r="H99" s="1174" t="b">
        <f>IFERROR(__xludf.DUMMYFUNCTION("""COMPUTED_VALUE"""),FALSE)</f>
        <v>0</v>
      </c>
      <c r="I99" s="1174" t="str">
        <f>IFERROR(__xludf.DUMMYFUNCTION("""COMPUTED_VALUE"""),"NOVIEMBRE")</f>
        <v>NOVIEMBRE</v>
      </c>
      <c r="J99" s="1177">
        <f>IFERROR(__xludf.DUMMYFUNCTION("""COMPUTED_VALUE"""),6499.0)</f>
        <v>6499</v>
      </c>
      <c r="N99" s="1174" t="str">
        <f t="shared" si="1"/>
        <v/>
      </c>
    </row>
    <row r="100">
      <c r="A100" s="1175">
        <f>IFERROR(__xludf.DUMMYFUNCTION("""COMPUTED_VALUE"""),45961.0)</f>
        <v>45961</v>
      </c>
      <c r="B100" s="1174" t="str">
        <f>IFERROR(__xludf.DUMMYFUNCTION("""COMPUTED_VALUE"""),"ke-bh-1124982873")</f>
        <v>ke-bh-1124982873</v>
      </c>
      <c r="C100" s="1174" t="str">
        <f>IFERROR(__xludf.DUMMYFUNCTION("""COMPUTED_VALUE"""),"NOVIEMBRE")</f>
        <v>NOVIEMBRE</v>
      </c>
      <c r="D100" s="1174" t="b">
        <f>IFERROR(__xludf.DUMMYFUNCTION("""COMPUTED_VALUE"""),TRUE)</f>
        <v>1</v>
      </c>
      <c r="E100" s="1174" t="str">
        <f>IFERROR(__xludf.DUMMYFUNCTION("""COMPUTED_VALUE"""),"Laptop")</f>
        <v>Laptop</v>
      </c>
      <c r="F100" s="1176">
        <f>IFERROR(__xludf.DUMMYFUNCTION("""COMPUTED_VALUE"""),1999.99)</f>
        <v>1999.99</v>
      </c>
      <c r="G100" s="1177">
        <f>IFERROR(__xludf.DUMMYFUNCTION("""COMPUTED_VALUE"""),48.100000000000364)</f>
        <v>48.1</v>
      </c>
      <c r="H100" s="1174" t="b">
        <f>IFERROR(__xludf.DUMMYFUNCTION("""COMPUTED_VALUE"""),FALSE)</f>
        <v>0</v>
      </c>
      <c r="I100" s="1174" t="str">
        <f>IFERROR(__xludf.DUMMYFUNCTION("""COMPUTED_VALUE"""),"NOVIEMBRE")</f>
        <v>NOVIEMBRE</v>
      </c>
      <c r="J100" s="1177">
        <f>IFERROR(__xludf.DUMMYFUNCTION("""COMPUTED_VALUE"""),8629.0)</f>
        <v>8629</v>
      </c>
      <c r="N100" s="1174" t="str">
        <f t="shared" si="1"/>
        <v/>
      </c>
    </row>
    <row r="101">
      <c r="A101" s="1175">
        <f>IFERROR(__xludf.DUMMYFUNCTION("""COMPUTED_VALUE"""),45961.0)</f>
        <v>45961</v>
      </c>
      <c r="B101" s="1174" t="str">
        <f>IFERROR(__xludf.DUMMYFUNCTION("""COMPUTED_VALUE"""),"ke-ms-480360")</f>
        <v>ke-ms-480360</v>
      </c>
      <c r="C101" s="1174" t="str">
        <f>IFERROR(__xludf.DUMMYFUNCTION("""COMPUTED_VALUE"""),"NOVIEMBRE")</f>
        <v>NOVIEMBRE</v>
      </c>
      <c r="D101" s="1174" t="b">
        <f>IFERROR(__xludf.DUMMYFUNCTION("""COMPUTED_VALUE"""),TRUE)</f>
        <v>1</v>
      </c>
      <c r="E101" s="1174" t="str">
        <f>IFERROR(__xludf.DUMMYFUNCTION("""COMPUTED_VALUE"""),"Laptop")</f>
        <v>Laptop</v>
      </c>
      <c r="F101" s="1176">
        <f>IFERROR(__xludf.DUMMYFUNCTION("""COMPUTED_VALUE"""),1899.0)</f>
        <v>1899</v>
      </c>
      <c r="G101" s="1177">
        <f>IFERROR(__xludf.DUMMYFUNCTION("""COMPUTED_VALUE"""),876.1700000000001)</f>
        <v>876.17</v>
      </c>
      <c r="H101" s="1174" t="b">
        <f>IFERROR(__xludf.DUMMYFUNCTION("""COMPUTED_VALUE"""),FALSE)</f>
        <v>0</v>
      </c>
      <c r="I101" s="1174" t="str">
        <f>IFERROR(__xludf.DUMMYFUNCTION("""COMPUTED_VALUE"""),"NOVIEMBRE")</f>
        <v>NOVIEMBRE</v>
      </c>
      <c r="J101" s="1177">
        <f>IFERROR(__xludf.DUMMYFUNCTION("""COMPUTED_VALUE"""),9499.0)</f>
        <v>9499</v>
      </c>
      <c r="N101" s="1174" t="str">
        <f t="shared" si="1"/>
        <v/>
      </c>
    </row>
    <row r="102">
      <c r="A102" s="1175">
        <f>IFERROR(__xludf.DUMMYFUNCTION("""COMPUTED_VALUE"""),45965.0)</f>
        <v>45965</v>
      </c>
      <c r="B102" s="1174" t="str">
        <f>IFERROR(__xludf.DUMMYFUNCTION("""COMPUTED_VALUE"""),"li-m-041125")</f>
        <v>li-m-041125</v>
      </c>
      <c r="C102" s="1174" t="str">
        <f>IFERROR(__xludf.DUMMYFUNCTION("""COMPUTED_VALUE"""),"NOVIEMBRE")</f>
        <v>NOVIEMBRE</v>
      </c>
      <c r="D102" s="1174" t="b">
        <f>IFERROR(__xludf.DUMMYFUNCTION("""COMPUTED_VALUE"""),TRUE)</f>
        <v>1</v>
      </c>
      <c r="E102" s="1174" t="str">
        <f>IFERROR(__xludf.DUMMYFUNCTION("""COMPUTED_VALUE"""),"Laptop")</f>
        <v>Laptop</v>
      </c>
      <c r="F102" s="1176">
        <f>IFERROR(__xludf.DUMMYFUNCTION("""COMPUTED_VALUE"""),2599.99)</f>
        <v>2599.99</v>
      </c>
      <c r="G102" s="1177">
        <f>IFERROR(__xludf.DUMMYFUNCTION("""COMPUTED_VALUE"""),573.2700000000004)</f>
        <v>573.27</v>
      </c>
      <c r="H102" s="1174" t="b">
        <f>IFERROR(__xludf.DUMMYFUNCTION("""COMPUTED_VALUE"""),FALSE)</f>
        <v>0</v>
      </c>
      <c r="I102" s="1174" t="str">
        <f>IFERROR(__xludf.DUMMYFUNCTION("""COMPUTED_VALUE"""),"NOVIEMBRE")</f>
        <v>NOVIEMBRE</v>
      </c>
      <c r="J102" s="1177">
        <f>IFERROR(__xludf.DUMMYFUNCTION("""COMPUTED_VALUE"""),11999.0)</f>
        <v>11999</v>
      </c>
      <c r="N102" s="1174" t="str">
        <f t="shared" si="1"/>
        <v/>
      </c>
    </row>
    <row r="103">
      <c r="A103" s="1175">
        <f>IFERROR(__xludf.DUMMYFUNCTION("""COMPUTED_VALUE"""),45969.0)</f>
        <v>45969</v>
      </c>
      <c r="B103" s="1174" t="str">
        <f>IFERROR(__xludf.DUMMYFUNCTION("""COMPUTED_VALUE"""),"ke-be-BBY01-807106533267")</f>
        <v>ke-be-BBY01-807106533267</v>
      </c>
      <c r="C103" s="1174" t="str">
        <f>IFERROR(__xludf.DUMMYFUNCTION("""COMPUTED_VALUE"""),"NOVIEMBRE")</f>
        <v>NOVIEMBRE</v>
      </c>
      <c r="D103" s="1174" t="b">
        <f>IFERROR(__xludf.DUMMYFUNCTION("""COMPUTED_VALUE"""),TRUE)</f>
        <v>1</v>
      </c>
      <c r="E103" s="1174" t="str">
        <f>IFERROR(__xludf.DUMMYFUNCTION("""COMPUTED_VALUE"""),"Laptop")</f>
        <v>Laptop</v>
      </c>
      <c r="F103" s="1176">
        <f>IFERROR(__xludf.DUMMYFUNCTION("""COMPUTED_VALUE"""),1299.99)</f>
        <v>1299.99</v>
      </c>
      <c r="G103" s="1177">
        <f>IFERROR(__xludf.DUMMYFUNCTION("""COMPUTED_VALUE"""),149.0)</f>
        <v>149</v>
      </c>
      <c r="H103" s="1174" t="b">
        <f>IFERROR(__xludf.DUMMYFUNCTION("""COMPUTED_VALUE"""),FALSE)</f>
        <v>0</v>
      </c>
      <c r="I103" s="1174" t="str">
        <f>IFERROR(__xludf.DUMMYFUNCTION("""COMPUTED_VALUE"""),"NOVIEMBRE")</f>
        <v>NOVIEMBRE</v>
      </c>
      <c r="J103" s="1177">
        <f>IFERROR(__xludf.DUMMYFUNCTION("""COMPUTED_VALUE"""),5849.0)</f>
        <v>5849</v>
      </c>
      <c r="N103" s="1174" t="str">
        <f t="shared" si="1"/>
        <v/>
      </c>
    </row>
    <row r="104">
      <c r="A104" s="1175">
        <f>IFERROR(__xludf.DUMMYFUNCTION("""COMPUTED_VALUE"""),45974.0)</f>
        <v>45974</v>
      </c>
      <c r="B104" s="1174" t="str">
        <f>IFERROR(__xludf.DUMMYFUNCTION("""COMPUTED_VALUE"""),"k-e-22-13713-21461")</f>
        <v>k-e-22-13713-21461</v>
      </c>
      <c r="C104" s="1174" t="str">
        <f>IFERROR(__xludf.DUMMYFUNCTION("""COMPUTED_VALUE"""),"NOVIEMBRE")</f>
        <v>NOVIEMBRE</v>
      </c>
      <c r="D104" s="1174" t="b">
        <f>IFERROR(__xludf.DUMMYFUNCTION("""COMPUTED_VALUE"""),TRUE)</f>
        <v>1</v>
      </c>
      <c r="E104" s="1174" t="str">
        <f>IFERROR(__xludf.DUMMYFUNCTION("""COMPUTED_VALUE"""),"Laptop")</f>
        <v>Laptop</v>
      </c>
      <c r="F104" s="1176">
        <f>IFERROR(__xludf.DUMMYFUNCTION("""COMPUTED_VALUE"""),1249.99)</f>
        <v>1249.99</v>
      </c>
      <c r="G104" s="1177">
        <f>IFERROR(__xludf.DUMMYFUNCTION("""COMPUTED_VALUE"""),6.0)</f>
        <v>6</v>
      </c>
      <c r="H104" s="1174" t="b">
        <f>IFERROR(__xludf.DUMMYFUNCTION("""COMPUTED_VALUE"""),FALSE)</f>
        <v>0</v>
      </c>
      <c r="I104" s="1174" t="str">
        <f>IFERROR(__xludf.DUMMYFUNCTION("""COMPUTED_VALUE"""),"NOVIEMBRE")</f>
        <v>NOVIEMBRE</v>
      </c>
      <c r="J104" s="1177">
        <f>IFERROR(__xludf.DUMMYFUNCTION("""COMPUTED_VALUE"""),5789.0)</f>
        <v>5789</v>
      </c>
      <c r="N104" s="1174" t="str">
        <f t="shared" si="1"/>
        <v/>
      </c>
    </row>
    <row r="105">
      <c r="A105" s="1175">
        <f>IFERROR(__xludf.DUMMYFUNCTION("""COMPUTED_VALUE"""),45974.0)</f>
        <v>45974</v>
      </c>
      <c r="B105" s="1174" t="str">
        <f>IFERROR(__xludf.DUMMYFUNCTION("""COMPUTED_VALUE"""),"k-e-12-13727-14068")</f>
        <v>k-e-12-13727-14068</v>
      </c>
      <c r="C105" s="1174" t="str">
        <f>IFERROR(__xludf.DUMMYFUNCTION("""COMPUTED_VALUE"""),"NOVIEMBRE")</f>
        <v>NOVIEMBRE</v>
      </c>
      <c r="D105" s="1174" t="b">
        <f>IFERROR(__xludf.DUMMYFUNCTION("""COMPUTED_VALUE"""),TRUE)</f>
        <v>1</v>
      </c>
      <c r="E105" s="1174" t="str">
        <f>IFERROR(__xludf.DUMMYFUNCTION("""COMPUTED_VALUE"""),"Laptop")</f>
        <v>Laptop</v>
      </c>
      <c r="F105" s="1176">
        <f>IFERROR(__xludf.DUMMYFUNCTION("""COMPUTED_VALUE"""),1349.99)</f>
        <v>1349.99</v>
      </c>
      <c r="G105" s="1177">
        <f>IFERROR(__xludf.DUMMYFUNCTION("""COMPUTED_VALUE"""),496.0)</f>
        <v>496</v>
      </c>
      <c r="H105" s="1174" t="b">
        <f>IFERROR(__xludf.DUMMYFUNCTION("""COMPUTED_VALUE"""),FALSE)</f>
        <v>0</v>
      </c>
      <c r="I105" s="1174" t="str">
        <f>IFERROR(__xludf.DUMMYFUNCTION("""COMPUTED_VALUE"""),"NOVIEMBRE")</f>
        <v>NOVIEMBRE</v>
      </c>
      <c r="J105" s="1177">
        <f>IFERROR(__xludf.DUMMYFUNCTION("""COMPUTED_VALUE"""),6999.0)</f>
        <v>6999</v>
      </c>
      <c r="N105" s="1174" t="str">
        <f t="shared" si="1"/>
        <v/>
      </c>
    </row>
    <row r="106">
      <c r="A106" s="1175">
        <f>IFERROR(__xludf.DUMMYFUNCTION("""COMPUTED_VALUE"""),45975.0)</f>
        <v>45975</v>
      </c>
      <c r="B106" s="1174" t="str">
        <f>IFERROR(__xludf.DUMMYFUNCTION("""COMPUTED_VALUE"""),"ke-be-BBY01-807107550863")</f>
        <v>ke-be-BBY01-807107550863</v>
      </c>
      <c r="C106" s="1174" t="str">
        <f>IFERROR(__xludf.DUMMYFUNCTION("""COMPUTED_VALUE"""),"NOVIEMBRE")</f>
        <v>NOVIEMBRE</v>
      </c>
      <c r="D106" s="1174" t="b">
        <f>IFERROR(__xludf.DUMMYFUNCTION("""COMPUTED_VALUE"""),TRUE)</f>
        <v>1</v>
      </c>
      <c r="E106" s="1174" t="str">
        <f>IFERROR(__xludf.DUMMYFUNCTION("""COMPUTED_VALUE"""),"Laptop")</f>
        <v>Laptop</v>
      </c>
      <c r="F106" s="1176">
        <f>IFERROR(__xludf.DUMMYFUNCTION("""COMPUTED_VALUE"""),1199.99)</f>
        <v>1199.99</v>
      </c>
      <c r="G106" s="1177">
        <f>IFERROR(__xludf.DUMMYFUNCTION("""COMPUTED_VALUE"""),15.739999999999782)</f>
        <v>15.74</v>
      </c>
      <c r="H106" s="1174" t="b">
        <f>IFERROR(__xludf.DUMMYFUNCTION("""COMPUTED_VALUE"""),FALSE)</f>
        <v>0</v>
      </c>
      <c r="I106" s="1174" t="str">
        <f>IFERROR(__xludf.DUMMYFUNCTION("""COMPUTED_VALUE"""),"NOVIEMBRE")</f>
        <v>NOVIEMBRE</v>
      </c>
      <c r="J106" s="1177">
        <f>IFERROR(__xludf.DUMMYFUNCTION("""COMPUTED_VALUE"""),5436.75)</f>
        <v>5436.75</v>
      </c>
      <c r="N106" s="1174" t="str">
        <f t="shared" si="1"/>
        <v/>
      </c>
    </row>
    <row r="107">
      <c r="A107" s="1175">
        <f>IFERROR(__xludf.DUMMYFUNCTION("""COMPUTED_VALUE"""),45979.0)</f>
        <v>45979</v>
      </c>
      <c r="B107" s="1174" t="str">
        <f>IFERROR(__xludf.DUMMYFUNCTION("""COMPUTED_VALUE"""),"ke-eb-13-13849-40754")</f>
        <v>ke-eb-13-13849-40754</v>
      </c>
      <c r="C107" s="1174" t="str">
        <f>IFERROR(__xludf.DUMMYFUNCTION("""COMPUTED_VALUE"""),"NOVIEMBRE")</f>
        <v>NOVIEMBRE</v>
      </c>
      <c r="D107" s="1174" t="b">
        <f>IFERROR(__xludf.DUMMYFUNCTION("""COMPUTED_VALUE"""),TRUE)</f>
        <v>1</v>
      </c>
      <c r="E107" s="1174" t="str">
        <f>IFERROR(__xludf.DUMMYFUNCTION("""COMPUTED_VALUE"""),"Laptop")</f>
        <v>Laptop</v>
      </c>
      <c r="F107" s="1176">
        <f>IFERROR(__xludf.DUMMYFUNCTION("""COMPUTED_VALUE"""),1799.99)</f>
        <v>1799.99</v>
      </c>
      <c r="G107" s="1177">
        <f>IFERROR(__xludf.DUMMYFUNCTION("""COMPUTED_VALUE"""),268.25)</f>
        <v>268.25</v>
      </c>
      <c r="H107" s="1174" t="b">
        <f>IFERROR(__xludf.DUMMYFUNCTION("""COMPUTED_VALUE"""),FALSE)</f>
        <v>0</v>
      </c>
      <c r="I107" s="1174" t="str">
        <f>IFERROR(__xludf.DUMMYFUNCTION("""COMPUTED_VALUE"""),"NOVIEMBRE")</f>
        <v>NOVIEMBRE</v>
      </c>
      <c r="J107" s="1177">
        <f>IFERROR(__xludf.DUMMYFUNCTION("""COMPUTED_VALUE"""),7999.0)</f>
        <v>7999</v>
      </c>
      <c r="N107" s="1174" t="str">
        <f t="shared" si="1"/>
        <v/>
      </c>
    </row>
    <row r="108">
      <c r="A108" s="1175">
        <f>IFERROR(__xludf.DUMMYFUNCTION("""COMPUTED_VALUE"""),45981.0)</f>
        <v>45981</v>
      </c>
      <c r="B108" s="1174" t="str">
        <f>IFERROR(__xludf.DUMMYFUNCTION("""COMPUTED_VALUE"""),"ke-eb-17-13850-90363")</f>
        <v>ke-eb-17-13850-90363</v>
      </c>
      <c r="C108" s="1174" t="str">
        <f>IFERROR(__xludf.DUMMYFUNCTION("""COMPUTED_VALUE"""),"NOVIEMBRE")</f>
        <v>NOVIEMBRE</v>
      </c>
      <c r="D108" s="1174" t="b">
        <f>IFERROR(__xludf.DUMMYFUNCTION("""COMPUTED_VALUE"""),TRUE)</f>
        <v>1</v>
      </c>
      <c r="E108" s="1174" t="str">
        <f>IFERROR(__xludf.DUMMYFUNCTION("""COMPUTED_VALUE"""),"Laptop")</f>
        <v>Laptop</v>
      </c>
      <c r="F108" s="1176">
        <f>IFERROR(__xludf.DUMMYFUNCTION("""COMPUTED_VALUE"""),1799.99)</f>
        <v>1799.99</v>
      </c>
      <c r="G108" s="1177">
        <f>IFERROR(__xludf.DUMMYFUNCTION("""COMPUTED_VALUE"""),150.9399999999996)</f>
        <v>150.94</v>
      </c>
      <c r="H108" s="1174" t="b">
        <f>IFERROR(__xludf.DUMMYFUNCTION("""COMPUTED_VALUE"""),FALSE)</f>
        <v>0</v>
      </c>
      <c r="I108" s="1174" t="str">
        <f>IFERROR(__xludf.DUMMYFUNCTION("""COMPUTED_VALUE"""),"NOVIEMBRE")</f>
        <v>NOVIEMBRE</v>
      </c>
      <c r="J108" s="1177">
        <f>IFERROR(__xludf.DUMMYFUNCTION("""COMPUTED_VALUE"""),7999.0)</f>
        <v>7999</v>
      </c>
      <c r="N108" s="1174" t="str">
        <f t="shared" si="1"/>
        <v/>
      </c>
    </row>
    <row r="109">
      <c r="A109" s="1175">
        <f>IFERROR(__xludf.DUMMYFUNCTION("""COMPUTED_VALUE"""),45981.0)</f>
        <v>45981</v>
      </c>
      <c r="B109" s="1174" t="str">
        <f>IFERROR(__xludf.DUMMYFUNCTION("""COMPUTED_VALUE"""),"ke-am-113-9507796-0103440")</f>
        <v>ke-am-113-9507796-0103440</v>
      </c>
      <c r="C109" s="1174" t="str">
        <f>IFERROR(__xludf.DUMMYFUNCTION("""COMPUTED_VALUE"""),"NOVIEMBRE")</f>
        <v>NOVIEMBRE</v>
      </c>
      <c r="D109" s="1174" t="b">
        <f>IFERROR(__xludf.DUMMYFUNCTION("""COMPUTED_VALUE"""),TRUE)</f>
        <v>1</v>
      </c>
      <c r="E109" s="1174" t="str">
        <f>IFERROR(__xludf.DUMMYFUNCTION("""COMPUTED_VALUE"""),"Laptop")</f>
        <v>Laptop</v>
      </c>
      <c r="F109" s="1176">
        <f>IFERROR(__xludf.DUMMYFUNCTION("""COMPUTED_VALUE"""),1489.99)</f>
        <v>1489.99</v>
      </c>
      <c r="G109" s="1177">
        <f>IFERROR(__xludf.DUMMYFUNCTION("""COMPUTED_VALUE"""),190.40999999999985)</f>
        <v>190.41</v>
      </c>
      <c r="H109" s="1174" t="b">
        <f>IFERROR(__xludf.DUMMYFUNCTION("""COMPUTED_VALUE"""),FALSE)</f>
        <v>0</v>
      </c>
      <c r="I109" s="1174" t="str">
        <f>IFERROR(__xludf.DUMMYFUNCTION("""COMPUTED_VALUE"""),"DICIEMBRE")</f>
        <v>DICIEMBRE</v>
      </c>
      <c r="J109" s="1177">
        <f>IFERROR(__xludf.DUMMYFUNCTION("""COMPUTED_VALUE"""),6799.0)</f>
        <v>6799</v>
      </c>
      <c r="N109" s="1174" t="str">
        <f t="shared" si="1"/>
        <v/>
      </c>
    </row>
    <row r="110">
      <c r="A110" s="1175">
        <f>IFERROR(__xludf.DUMMYFUNCTION("""COMPUTED_VALUE"""),45982.0)</f>
        <v>45982</v>
      </c>
      <c r="B110" s="1174" t="str">
        <f>IFERROR(__xludf.DUMMYFUNCTION("""COMPUTED_VALUE"""),"ke-eb-07-13869-79279")</f>
        <v>ke-eb-07-13869-79279</v>
      </c>
      <c r="C110" s="1174" t="str">
        <f>IFERROR(__xludf.DUMMYFUNCTION("""COMPUTED_VALUE"""),"NOVIEMBRE")</f>
        <v>NOVIEMBRE</v>
      </c>
      <c r="D110" s="1174" t="b">
        <f>IFERROR(__xludf.DUMMYFUNCTION("""COMPUTED_VALUE"""),TRUE)</f>
        <v>1</v>
      </c>
      <c r="E110" s="1174" t="str">
        <f>IFERROR(__xludf.DUMMYFUNCTION("""COMPUTED_VALUE"""),"Laptop")</f>
        <v>Laptop</v>
      </c>
      <c r="F110" s="1176">
        <f>IFERROR(__xludf.DUMMYFUNCTION("""COMPUTED_VALUE"""),2349.0)</f>
        <v>2349</v>
      </c>
      <c r="G110" s="1177">
        <f>IFERROR(__xludf.DUMMYFUNCTION("""COMPUTED_VALUE"""),55.0)</f>
        <v>55</v>
      </c>
      <c r="H110" s="1174" t="b">
        <f>IFERROR(__xludf.DUMMYFUNCTION("""COMPUTED_VALUE"""),TRUE)</f>
        <v>1</v>
      </c>
      <c r="I110" s="1174" t="str">
        <f>IFERROR(__xludf.DUMMYFUNCTION("""COMPUTED_VALUE"""),"DICIEMBRE")</f>
        <v>DICIEMBRE</v>
      </c>
      <c r="J110" s="1177">
        <f>IFERROR(__xludf.DUMMYFUNCTION("""COMPUTED_VALUE"""),10336.17)</f>
        <v>10336.17</v>
      </c>
      <c r="N110" s="1174" t="str">
        <f t="shared" si="1"/>
        <v/>
      </c>
    </row>
    <row r="111">
      <c r="A111" s="1175">
        <f>IFERROR(__xludf.DUMMYFUNCTION("""COMPUTED_VALUE"""),45983.0)</f>
        <v>45983</v>
      </c>
      <c r="B111" s="1174" t="str">
        <f>IFERROR(__xludf.DUMMYFUNCTION("""COMPUTED_VALUE"""),"ga-co-181125")</f>
        <v>ga-co-181125</v>
      </c>
      <c r="C111" s="1174" t="str">
        <f>IFERROR(__xludf.DUMMYFUNCTION("""COMPUTED_VALUE"""),"NOVIEMBRE")</f>
        <v>NOVIEMBRE</v>
      </c>
      <c r="D111" s="1174" t="b">
        <f>IFERROR(__xludf.DUMMYFUNCTION("""COMPUTED_VALUE"""),TRUE)</f>
        <v>1</v>
      </c>
      <c r="E111" s="1174" t="str">
        <f>IFERROR(__xludf.DUMMYFUNCTION("""COMPUTED_VALUE"""),"Laptop")</f>
        <v>Laptop</v>
      </c>
      <c r="F111" s="1176">
        <f>IFERROR(__xludf.DUMMYFUNCTION("""COMPUTED_VALUE"""),1199.99)</f>
        <v>1199.99</v>
      </c>
      <c r="G111" s="1177">
        <f>IFERROR(__xludf.DUMMYFUNCTION("""COMPUTED_VALUE"""),424.0)</f>
        <v>424</v>
      </c>
      <c r="H111" s="1174" t="b">
        <f>IFERROR(__xludf.DUMMYFUNCTION("""COMPUTED_VALUE"""),FALSE)</f>
        <v>0</v>
      </c>
      <c r="I111" s="1174" t="str">
        <f>IFERROR(__xludf.DUMMYFUNCTION("""COMPUTED_VALUE"""),"DICIEMBRE")</f>
        <v>DICIEMBRE</v>
      </c>
      <c r="J111" s="1177">
        <f>IFERROR(__xludf.DUMMYFUNCTION("""COMPUTED_VALUE"""),7048.0)</f>
        <v>7048</v>
      </c>
      <c r="N111" s="1174" t="str">
        <f t="shared" si="1"/>
        <v/>
      </c>
    </row>
    <row r="112">
      <c r="A112" s="1175">
        <f>IFERROR(__xludf.DUMMYFUNCTION("""COMPUTED_VALUE"""),45983.0)</f>
        <v>45983</v>
      </c>
      <c r="B112" s="1174" t="str">
        <f>IFERROR(__xludf.DUMMYFUNCTION("""COMPUTED_VALUE"""),"ke-eb-27-13846-62543")</f>
        <v>ke-eb-27-13846-62543</v>
      </c>
      <c r="C112" s="1174" t="str">
        <f>IFERROR(__xludf.DUMMYFUNCTION("""COMPUTED_VALUE"""),"NOVIEMBRE")</f>
        <v>NOVIEMBRE</v>
      </c>
      <c r="D112" s="1174" t="b">
        <f>IFERROR(__xludf.DUMMYFUNCTION("""COMPUTED_VALUE"""),TRUE)</f>
        <v>1</v>
      </c>
      <c r="E112" s="1174" t="str">
        <f>IFERROR(__xludf.DUMMYFUNCTION("""COMPUTED_VALUE"""),"Laptop")</f>
        <v>Laptop</v>
      </c>
      <c r="F112" s="1176">
        <f>IFERROR(__xludf.DUMMYFUNCTION("""COMPUTED_VALUE"""),1019.99)</f>
        <v>1019.99</v>
      </c>
      <c r="G112" s="1177">
        <f>IFERROR(__xludf.DUMMYFUNCTION("""COMPUTED_VALUE"""),40.840000000000146)</f>
        <v>40.84</v>
      </c>
      <c r="H112" s="1174" t="b">
        <f>IFERROR(__xludf.DUMMYFUNCTION("""COMPUTED_VALUE"""),TRUE)</f>
        <v>1</v>
      </c>
      <c r="I112" s="1174" t="str">
        <f>IFERROR(__xludf.DUMMYFUNCTION("""COMPUTED_VALUE"""),"DICIEMBRE")</f>
        <v>DICIEMBRE</v>
      </c>
      <c r="J112" s="1177">
        <f>IFERROR(__xludf.DUMMYFUNCTION("""COMPUTED_VALUE"""),4799.0)</f>
        <v>4799</v>
      </c>
      <c r="N112" s="1174" t="str">
        <f t="shared" si="1"/>
        <v/>
      </c>
    </row>
    <row r="113">
      <c r="A113" s="1175">
        <f>IFERROR(__xludf.DUMMYFUNCTION("""COMPUTED_VALUE"""),45983.0)</f>
        <v>45983</v>
      </c>
      <c r="B113" s="1174" t="str">
        <f>IFERROR(__xludf.DUMMYFUNCTION("""COMPUTED_VALUE"""),"ke-ne-576475971")</f>
        <v>ke-ne-576475971</v>
      </c>
      <c r="C113" s="1174" t="str">
        <f>IFERROR(__xludf.DUMMYFUNCTION("""COMPUTED_VALUE"""),"NOVIEMBRE")</f>
        <v>NOVIEMBRE</v>
      </c>
      <c r="D113" s="1174" t="b">
        <f>IFERROR(__xludf.DUMMYFUNCTION("""COMPUTED_VALUE"""),TRUE)</f>
        <v>1</v>
      </c>
      <c r="E113" s="1174" t="str">
        <f>IFERROR(__xludf.DUMMYFUNCTION("""COMPUTED_VALUE"""),"Laptop")</f>
        <v>Laptop</v>
      </c>
      <c r="F113" s="1176">
        <f>IFERROR(__xludf.DUMMYFUNCTION("""COMPUTED_VALUE"""),979.99)</f>
        <v>979.99</v>
      </c>
      <c r="G113" s="1177">
        <f>IFERROR(__xludf.DUMMYFUNCTION("""COMPUTED_VALUE"""),359.0)</f>
        <v>359</v>
      </c>
      <c r="H113" s="1174" t="b">
        <f>IFERROR(__xludf.DUMMYFUNCTION("""COMPUTED_VALUE"""),FALSE)</f>
        <v>0</v>
      </c>
      <c r="I113" s="1174" t="str">
        <f>IFERROR(__xludf.DUMMYFUNCTION("""COMPUTED_VALUE"""),"NOVIEMBRE")</f>
        <v>NOVIEMBRE</v>
      </c>
      <c r="J113" s="1177">
        <f>IFERROR(__xludf.DUMMYFUNCTION("""COMPUTED_VALUE"""),4999.0)</f>
        <v>4999</v>
      </c>
      <c r="N113" s="1174" t="str">
        <f t="shared" si="1"/>
        <v/>
      </c>
    </row>
    <row r="114">
      <c r="A114" s="1175">
        <f>IFERROR(__xludf.DUMMYFUNCTION("""COMPUTED_VALUE"""),45983.0)</f>
        <v>45983</v>
      </c>
      <c r="B114" s="1174" t="str">
        <f>IFERROR(__xludf.DUMMYFUNCTION("""COMPUTED_VALUE"""),"ke-eb-07-13833-89686")</f>
        <v>ke-eb-07-13833-89686</v>
      </c>
      <c r="C114" s="1174" t="str">
        <f>IFERROR(__xludf.DUMMYFUNCTION("""COMPUTED_VALUE"""),"NOVIEMBRE")</f>
        <v>NOVIEMBRE</v>
      </c>
      <c r="D114" s="1174" t="b">
        <f>IFERROR(__xludf.DUMMYFUNCTION("""COMPUTED_VALUE"""),TRUE)</f>
        <v>1</v>
      </c>
      <c r="E114" s="1174" t="str">
        <f>IFERROR(__xludf.DUMMYFUNCTION("""COMPUTED_VALUE"""),"Laptop")</f>
        <v>Laptop</v>
      </c>
      <c r="F114" s="1176">
        <f>IFERROR(__xludf.DUMMYFUNCTION("""COMPUTED_VALUE"""),1359.99)</f>
        <v>1359.99</v>
      </c>
      <c r="G114" s="1177">
        <f>IFERROR(__xludf.DUMMYFUNCTION("""COMPUTED_VALUE"""),88.0)</f>
        <v>88</v>
      </c>
      <c r="H114" s="1174" t="b">
        <f>IFERROR(__xludf.DUMMYFUNCTION("""COMPUTED_VALUE"""),FALSE)</f>
        <v>0</v>
      </c>
      <c r="I114" s="1174" t="str">
        <f>IFERROR(__xludf.DUMMYFUNCTION("""COMPUTED_VALUE"""),"NOVIEMBRE")</f>
        <v>NOVIEMBRE</v>
      </c>
      <c r="J114" s="1177">
        <f>IFERROR(__xludf.DUMMYFUNCTION("""COMPUTED_VALUE"""),5999.0)</f>
        <v>5999</v>
      </c>
      <c r="N114" s="1174" t="str">
        <f t="shared" si="1"/>
        <v/>
      </c>
    </row>
    <row r="115">
      <c r="A115" s="1175">
        <f>IFERROR(__xludf.DUMMYFUNCTION("""COMPUTED_VALUE"""),45983.0)</f>
        <v>45983</v>
      </c>
      <c r="B115" s="1174" t="str">
        <f>IFERROR(__xludf.DUMMYFUNCTION("""COMPUTED_VALUE"""),"ke-am-113-7768849-3516210")</f>
        <v>ke-am-113-7768849-3516210</v>
      </c>
      <c r="C115" s="1174" t="str">
        <f>IFERROR(__xludf.DUMMYFUNCTION("""COMPUTED_VALUE"""),"DICIEMBRE")</f>
        <v>DICIEMBRE</v>
      </c>
      <c r="D115" s="1174" t="b">
        <f>IFERROR(__xludf.DUMMYFUNCTION("""COMPUTED_VALUE"""),TRUE)</f>
        <v>1</v>
      </c>
      <c r="E115" s="1174" t="str">
        <f>IFERROR(__xludf.DUMMYFUNCTION("""COMPUTED_VALUE"""),"Laptop")</f>
        <v>Laptop</v>
      </c>
      <c r="F115" s="1176">
        <f>IFERROR(__xludf.DUMMYFUNCTION("""COMPUTED_VALUE"""),1324.99)</f>
        <v>1324.99</v>
      </c>
      <c r="G115" s="1177">
        <f>IFERROR(__xludf.DUMMYFUNCTION("""COMPUTED_VALUE"""),134.51000000000022)</f>
        <v>134.51</v>
      </c>
      <c r="H115" s="1174" t="b">
        <f>IFERROR(__xludf.DUMMYFUNCTION("""COMPUTED_VALUE"""),TRUE)</f>
        <v>1</v>
      </c>
      <c r="I115" s="1174" t="str">
        <f>IFERROR(__xludf.DUMMYFUNCTION("""COMPUTED_VALUE"""),"DICIEMBRE")</f>
        <v>DICIEMBRE</v>
      </c>
      <c r="J115" s="1177">
        <f>IFERROR(__xludf.DUMMYFUNCTION("""COMPUTED_VALUE"""),5999.0)</f>
        <v>5999</v>
      </c>
      <c r="N115" s="1174" t="str">
        <f t="shared" si="1"/>
        <v/>
      </c>
    </row>
    <row r="116">
      <c r="A116" s="1175">
        <f>IFERROR(__xludf.DUMMYFUNCTION("""COMPUTED_VALUE"""),45983.0)</f>
        <v>45983</v>
      </c>
      <c r="B116" s="1174" t="str">
        <f>IFERROR(__xludf.DUMMYFUNCTION("""COMPUTED_VALUE"""),"so-eb-13-13866-94003")</f>
        <v>so-eb-13-13866-94003</v>
      </c>
      <c r="C116" s="1174" t="str">
        <f>IFERROR(__xludf.DUMMYFUNCTION("""COMPUTED_VALUE"""),"DICIEMBRE")</f>
        <v>DICIEMBRE</v>
      </c>
      <c r="D116" s="1174" t="b">
        <f>IFERROR(__xludf.DUMMYFUNCTION("""COMPUTED_VALUE"""),TRUE)</f>
        <v>1</v>
      </c>
      <c r="E116" s="1174" t="str">
        <f>IFERROR(__xludf.DUMMYFUNCTION("""COMPUTED_VALUE"""),"Laptop")</f>
        <v>Laptop</v>
      </c>
      <c r="F116" s="1176">
        <f>IFERROR(__xludf.DUMMYFUNCTION("""COMPUTED_VALUE"""),999.99)</f>
        <v>999.99</v>
      </c>
      <c r="G116" s="1177">
        <f>IFERROR(__xludf.DUMMYFUNCTION("""COMPUTED_VALUE"""),113.38000000000011)</f>
        <v>113.38</v>
      </c>
      <c r="H116" s="1174" t="b">
        <f>IFERROR(__xludf.DUMMYFUNCTION("""COMPUTED_VALUE"""),TRUE)</f>
        <v>1</v>
      </c>
      <c r="I116" s="1174" t="str">
        <f>IFERROR(__xludf.DUMMYFUNCTION("""COMPUTED_VALUE"""),"DICIEMBRE")</f>
        <v>DICIEMBRE</v>
      </c>
      <c r="J116" s="1177">
        <f>IFERROR(__xludf.DUMMYFUNCTION("""COMPUTED_VALUE"""),4799.0)</f>
        <v>4799</v>
      </c>
      <c r="N116" s="1174" t="str">
        <f t="shared" si="1"/>
        <v/>
      </c>
    </row>
    <row r="117">
      <c r="A117" s="1175">
        <f>IFERROR(__xludf.DUMMYFUNCTION("""COMPUTED_VALUE"""),45986.0)</f>
        <v>45986</v>
      </c>
      <c r="B117" s="1174" t="str">
        <f>IFERROR(__xludf.DUMMYFUNCTION("""COMPUTED_VALUE"""),"ke-eb-15-13880-14010")</f>
        <v>ke-eb-15-13880-14010</v>
      </c>
      <c r="C117" s="1174" t="str">
        <f>IFERROR(__xludf.DUMMYFUNCTION("""COMPUTED_VALUE"""),"DICIEMBRE")</f>
        <v>DICIEMBRE</v>
      </c>
      <c r="D117" s="1174" t="b">
        <f>IFERROR(__xludf.DUMMYFUNCTION("""COMPUTED_VALUE"""),TRUE)</f>
        <v>1</v>
      </c>
      <c r="E117" s="1174" t="str">
        <f>IFERROR(__xludf.DUMMYFUNCTION("""COMPUTED_VALUE"""),"Laptop")</f>
        <v>Laptop</v>
      </c>
      <c r="F117" s="1176">
        <f>IFERROR(__xludf.DUMMYFUNCTION("""COMPUTED_VALUE"""),1349.99)</f>
        <v>1349.99</v>
      </c>
      <c r="G117" s="1177">
        <f>IFERROR(__xludf.DUMMYFUNCTION("""COMPUTED_VALUE"""),253.82999999999993)</f>
        <v>253.83</v>
      </c>
      <c r="H117" s="1174" t="b">
        <f>IFERROR(__xludf.DUMMYFUNCTION("""COMPUTED_VALUE"""),TRUE)</f>
        <v>1</v>
      </c>
      <c r="I117" s="1174" t="str">
        <f>IFERROR(__xludf.DUMMYFUNCTION("""COMPUTED_VALUE"""),"DICIEMBRE")</f>
        <v>DICIEMBRE</v>
      </c>
      <c r="J117" s="1177">
        <f>IFERROR(__xludf.DUMMYFUNCTION("""COMPUTED_VALUE"""),6299.0)</f>
        <v>6299</v>
      </c>
      <c r="N117" s="1174" t="str">
        <f t="shared" si="1"/>
        <v/>
      </c>
    </row>
    <row r="118">
      <c r="A118" s="1175">
        <f>IFERROR(__xludf.DUMMYFUNCTION("""COMPUTED_VALUE"""),45986.0)</f>
        <v>45986</v>
      </c>
      <c r="B118" s="1174" t="str">
        <f>IFERROR(__xludf.DUMMYFUNCTION("""COMPUTED_VALUE"""),"ke-eb-23-13869-11927")</f>
        <v>ke-eb-23-13869-11927</v>
      </c>
      <c r="C118" s="1174" t="str">
        <f>IFERROR(__xludf.DUMMYFUNCTION("""COMPUTED_VALUE"""),"DICIEMBRE")</f>
        <v>DICIEMBRE</v>
      </c>
      <c r="D118" s="1174" t="b">
        <f>IFERROR(__xludf.DUMMYFUNCTION("""COMPUTED_VALUE"""),TRUE)</f>
        <v>1</v>
      </c>
      <c r="E118" s="1174" t="str">
        <f>IFERROR(__xludf.DUMMYFUNCTION("""COMPUTED_VALUE"""),"Laptop")</f>
        <v>Laptop</v>
      </c>
      <c r="F118" s="1176">
        <f>IFERROR(__xludf.DUMMYFUNCTION("""COMPUTED_VALUE"""),1699.99)</f>
        <v>1699.99</v>
      </c>
      <c r="G118" s="1177">
        <f>IFERROR(__xludf.DUMMYFUNCTION("""COMPUTED_VALUE"""),168.67000000000007)</f>
        <v>168.67</v>
      </c>
      <c r="H118" s="1174" t="b">
        <f>IFERROR(__xludf.DUMMYFUNCTION("""COMPUTED_VALUE"""),TRUE)</f>
        <v>1</v>
      </c>
      <c r="I118" s="1174" t="str">
        <f>IFERROR(__xludf.DUMMYFUNCTION("""COMPUTED_VALUE"""),"DICIEMBRE")</f>
        <v>DICIEMBRE</v>
      </c>
      <c r="J118" s="1177">
        <f>IFERROR(__xludf.DUMMYFUNCTION("""COMPUTED_VALUE"""),7599.0)</f>
        <v>7599</v>
      </c>
      <c r="N118" s="1174" t="str">
        <f t="shared" si="1"/>
        <v/>
      </c>
    </row>
    <row r="119">
      <c r="A119" s="1175">
        <f>IFERROR(__xludf.DUMMYFUNCTION("""COMPUTED_VALUE"""),45988.0)</f>
        <v>45988</v>
      </c>
      <c r="B119" s="1174" t="str">
        <f>IFERROR(__xludf.DUMMYFUNCTION("""COMPUTED_VALUE"""),"li-mi-281125")</f>
        <v>li-mi-281125</v>
      </c>
      <c r="C119" s="1174" t="str">
        <f>IFERROR(__xludf.DUMMYFUNCTION("""COMPUTED_VALUE"""),"NOVIEMBRE")</f>
        <v>NOVIEMBRE</v>
      </c>
      <c r="D119" s="1174" t="b">
        <f>IFERROR(__xludf.DUMMYFUNCTION("""COMPUTED_VALUE"""),TRUE)</f>
        <v>1</v>
      </c>
      <c r="E119" s="1174" t="str">
        <f>IFERROR(__xludf.DUMMYFUNCTION("""COMPUTED_VALUE"""),"Laptop")</f>
        <v>Laptop</v>
      </c>
      <c r="F119" s="1176">
        <f>IFERROR(__xludf.DUMMYFUNCTION("""COMPUTED_VALUE"""),2499.99)</f>
        <v>2499.99</v>
      </c>
      <c r="G119" s="1177">
        <f>IFERROR(__xludf.DUMMYFUNCTION("""COMPUTED_VALUE"""),257.1100000000006)</f>
        <v>257.11</v>
      </c>
      <c r="H119" s="1174" t="b">
        <f>IFERROR(__xludf.DUMMYFUNCTION("""COMPUTED_VALUE"""),TRUE)</f>
        <v>1</v>
      </c>
      <c r="I119" s="1174" t="str">
        <f>IFERROR(__xludf.DUMMYFUNCTION("""COMPUTED_VALUE"""),"DICIEMBRE")</f>
        <v>DICIEMBRE</v>
      </c>
      <c r="J119" s="1177">
        <f>IFERROR(__xludf.DUMMYFUNCTION("""COMPUTED_VALUE"""),11365.2)</f>
        <v>11365.2</v>
      </c>
      <c r="N119" s="1174" t="str">
        <f t="shared" si="1"/>
        <v/>
      </c>
    </row>
    <row r="120">
      <c r="A120" s="1175">
        <f>IFERROR(__xludf.DUMMYFUNCTION("""COMPUTED_VALUE"""),45988.0)</f>
        <v>45988</v>
      </c>
      <c r="B120" s="1174" t="str">
        <f>IFERROR(__xludf.DUMMYFUNCTION("""COMPUTED_VALUE"""),"ab-bh-1125601017")</f>
        <v>ab-bh-1125601017</v>
      </c>
      <c r="C120" s="1174" t="str">
        <f>IFERROR(__xludf.DUMMYFUNCTION("""COMPUTED_VALUE"""),"DICIEMBRE")</f>
        <v>DICIEMBRE</v>
      </c>
      <c r="D120" s="1174" t="b">
        <f>IFERROR(__xludf.DUMMYFUNCTION("""COMPUTED_VALUE"""),TRUE)</f>
        <v>1</v>
      </c>
      <c r="E120" s="1174" t="str">
        <f>IFERROR(__xludf.DUMMYFUNCTION("""COMPUTED_VALUE"""),"Laptop")</f>
        <v>Laptop</v>
      </c>
      <c r="F120" s="1176">
        <f>IFERROR(__xludf.DUMMYFUNCTION("""COMPUTED_VALUE"""),1149.99)</f>
        <v>1149.99</v>
      </c>
      <c r="G120" s="1177">
        <f>IFERROR(__xludf.DUMMYFUNCTION("""COMPUTED_VALUE"""),60.210000000000036)</f>
        <v>60.21</v>
      </c>
      <c r="H120" s="1174" t="b">
        <f>IFERROR(__xludf.DUMMYFUNCTION("""COMPUTED_VALUE"""),TRUE)</f>
        <v>1</v>
      </c>
      <c r="I120" s="1174" t="str">
        <f>IFERROR(__xludf.DUMMYFUNCTION("""COMPUTED_VALUE"""),"ENERO")</f>
        <v>ENERO</v>
      </c>
      <c r="J120" s="1177">
        <f>IFERROR(__xludf.DUMMYFUNCTION("""COMPUTED_VALUE"""),5499.0)</f>
        <v>5499</v>
      </c>
      <c r="N120" s="1174" t="str">
        <f t="shared" si="1"/>
        <v/>
      </c>
    </row>
    <row r="121">
      <c r="A121" s="1175">
        <f>IFERROR(__xludf.DUMMYFUNCTION("""COMPUTED_VALUE"""),45988.0)</f>
        <v>45988</v>
      </c>
      <c r="B121" s="1174" t="str">
        <f>IFERROR(__xludf.DUMMYFUNCTION("""COMPUTED_VALUE"""),"ke-BBY01-807113017691")</f>
        <v>ke-BBY01-807113017691</v>
      </c>
      <c r="C121" s="1174" t="str">
        <f>IFERROR(__xludf.DUMMYFUNCTION("""COMPUTED_VALUE"""),"NOVIEMBRE")</f>
        <v>NOVIEMBRE</v>
      </c>
      <c r="D121" s="1174" t="b">
        <f>IFERROR(__xludf.DUMMYFUNCTION("""COMPUTED_VALUE"""),TRUE)</f>
        <v>1</v>
      </c>
      <c r="E121" s="1174" t="str">
        <f>IFERROR(__xludf.DUMMYFUNCTION("""COMPUTED_VALUE"""),"Laptop")</f>
        <v>Laptop</v>
      </c>
      <c r="F121" s="1176">
        <f>IFERROR(__xludf.DUMMYFUNCTION("""COMPUTED_VALUE"""),1449.99)</f>
        <v>1449.99</v>
      </c>
      <c r="G121" s="1177">
        <f>IFERROR(__xludf.DUMMYFUNCTION("""COMPUTED_VALUE"""),224.0600000000004)</f>
        <v>224.06</v>
      </c>
      <c r="H121" s="1174" t="b">
        <f>IFERROR(__xludf.DUMMYFUNCTION("""COMPUTED_VALUE"""),FALSE)</f>
        <v>0</v>
      </c>
      <c r="I121" s="1174" t="str">
        <f>IFERROR(__xludf.DUMMYFUNCTION("""COMPUTED_VALUE"""),"DICIEMBRE")</f>
        <v>DICIEMBRE</v>
      </c>
      <c r="J121" s="1177">
        <f>IFERROR(__xludf.DUMMYFUNCTION("""COMPUTED_VALUE"""),6599.0)</f>
        <v>6599</v>
      </c>
      <c r="N121" s="1174" t="str">
        <f t="shared" si="1"/>
        <v/>
      </c>
    </row>
    <row r="122">
      <c r="A122" s="1175">
        <f>IFERROR(__xludf.DUMMYFUNCTION("""COMPUTED_VALUE"""),45988.0)</f>
        <v>45988</v>
      </c>
      <c r="B122" s="1174" t="str">
        <f>IFERROR(__xludf.DUMMYFUNCTION("""COMPUTED_VALUE"""),"ke-am-113-6161454-5312212")</f>
        <v>ke-am-113-6161454-5312212</v>
      </c>
      <c r="C122" s="1174" t="str">
        <f>IFERROR(__xludf.DUMMYFUNCTION("""COMPUTED_VALUE"""),"DICIEMBRE")</f>
        <v>DICIEMBRE</v>
      </c>
      <c r="D122" s="1174" t="b">
        <f>IFERROR(__xludf.DUMMYFUNCTION("""COMPUTED_VALUE"""),TRUE)</f>
        <v>1</v>
      </c>
      <c r="E122" s="1174" t="str">
        <f>IFERROR(__xludf.DUMMYFUNCTION("""COMPUTED_VALUE"""),"Laptop")</f>
        <v>Laptop</v>
      </c>
      <c r="F122" s="1176">
        <f>IFERROR(__xludf.DUMMYFUNCTION("""COMPUTED_VALUE"""),1324.99)</f>
        <v>1324.99</v>
      </c>
      <c r="G122" s="1177">
        <f>IFERROR(__xludf.DUMMYFUNCTION("""COMPUTED_VALUE"""),47.0)</f>
        <v>47</v>
      </c>
      <c r="H122" s="1174" t="b">
        <f>IFERROR(__xludf.DUMMYFUNCTION("""COMPUTED_VALUE"""),TRUE)</f>
        <v>1</v>
      </c>
      <c r="I122" s="1174" t="str">
        <f>IFERROR(__xludf.DUMMYFUNCTION("""COMPUTED_VALUE"""),"DICIEMBRE")</f>
        <v>DICIEMBRE</v>
      </c>
      <c r="J122" s="1177">
        <f>IFERROR(__xludf.DUMMYFUNCTION("""COMPUTED_VALUE"""),5999.0)</f>
        <v>5999</v>
      </c>
      <c r="N122" s="1174" t="str">
        <f t="shared" si="1"/>
        <v/>
      </c>
    </row>
    <row r="123">
      <c r="A123" s="1175">
        <f>IFERROR(__xludf.DUMMYFUNCTION("""COMPUTED_VALUE"""),45988.0)</f>
        <v>45988</v>
      </c>
      <c r="B123" s="1174" t="str">
        <f>IFERROR(__xludf.DUMMYFUNCTION("""COMPUTED_VALUE"""),"li-co-181125-2")</f>
        <v>li-co-181125-2</v>
      </c>
      <c r="C123" s="1174" t="str">
        <f>IFERROR(__xludf.DUMMYFUNCTION("""COMPUTED_VALUE"""),"NOVIEMBRE")</f>
        <v>NOVIEMBRE</v>
      </c>
      <c r="D123" s="1174" t="b">
        <f>IFERROR(__xludf.DUMMYFUNCTION("""COMPUTED_VALUE"""),TRUE)</f>
        <v>1</v>
      </c>
      <c r="E123" s="1174" t="str">
        <f>IFERROR(__xludf.DUMMYFUNCTION("""COMPUTED_VALUE"""),"Laptop")</f>
        <v>Laptop</v>
      </c>
      <c r="F123" s="1176">
        <f>IFERROR(__xludf.DUMMYFUNCTION("""COMPUTED_VALUE"""),1199.99)</f>
        <v>1199.99</v>
      </c>
      <c r="G123" s="1177">
        <f>IFERROR(__xludf.DUMMYFUNCTION("""COMPUTED_VALUE"""),40.0)</f>
        <v>40</v>
      </c>
      <c r="H123" s="1174" t="b">
        <f>IFERROR(__xludf.DUMMYFUNCTION("""COMPUTED_VALUE"""),TRUE)</f>
        <v>1</v>
      </c>
      <c r="I123" s="1174" t="str">
        <f>IFERROR(__xludf.DUMMYFUNCTION("""COMPUTED_VALUE"""),"DICIEMBRE")</f>
        <v>DICIEMBRE</v>
      </c>
      <c r="J123" s="1177">
        <f>IFERROR(__xludf.DUMMYFUNCTION("""COMPUTED_VALUE"""),6000.0)</f>
        <v>6000</v>
      </c>
      <c r="N123" s="1174" t="str">
        <f t="shared" si="1"/>
        <v/>
      </c>
    </row>
    <row r="124">
      <c r="A124" s="1175">
        <f>IFERROR(__xludf.DUMMYFUNCTION("""COMPUTED_VALUE"""),45990.0)</f>
        <v>45990</v>
      </c>
      <c r="B124" s="1174" t="str">
        <f>IFERROR(__xludf.DUMMYFUNCTION("""COMPUTED_VALUE"""),"ka-co-191125")</f>
        <v>ka-co-191125</v>
      </c>
      <c r="C124" s="1174" t="str">
        <f>IFERROR(__xludf.DUMMYFUNCTION("""COMPUTED_VALUE"""),"NOVIEMBRE")</f>
        <v>NOVIEMBRE</v>
      </c>
      <c r="D124" s="1174" t="b">
        <f>IFERROR(__xludf.DUMMYFUNCTION("""COMPUTED_VALUE"""),TRUE)</f>
        <v>1</v>
      </c>
      <c r="E124" s="1174" t="str">
        <f>IFERROR(__xludf.DUMMYFUNCTION("""COMPUTED_VALUE"""),"Laptop")</f>
        <v>Laptop</v>
      </c>
      <c r="F124" s="1176">
        <f>IFERROR(__xludf.DUMMYFUNCTION("""COMPUTED_VALUE"""),1199.99)</f>
        <v>1199.99</v>
      </c>
      <c r="G124" s="1177">
        <f>IFERROR(__xludf.DUMMYFUNCTION("""COMPUTED_VALUE"""),134.0)</f>
        <v>134</v>
      </c>
      <c r="H124" s="1174" t="b">
        <f>IFERROR(__xludf.DUMMYFUNCTION("""COMPUTED_VALUE"""),FALSE)</f>
        <v>0</v>
      </c>
      <c r="I124" s="1174" t="str">
        <f>IFERROR(__xludf.DUMMYFUNCTION("""COMPUTED_VALUE"""),"NOVIEMBRE")</f>
        <v>NOVIEMBRE</v>
      </c>
      <c r="J124" s="1177">
        <f>IFERROR(__xludf.DUMMYFUNCTION("""COMPUTED_VALUE"""),6299.0)</f>
        <v>6299</v>
      </c>
      <c r="N124" s="1174" t="str">
        <f t="shared" si="1"/>
        <v/>
      </c>
    </row>
    <row r="125">
      <c r="A125" s="1175">
        <f>IFERROR(__xludf.DUMMYFUNCTION("""COMPUTED_VALUE"""),45990.0)</f>
        <v>45990</v>
      </c>
      <c r="B125" s="1174" t="str">
        <f>IFERROR(__xludf.DUMMYFUNCTION("""COMPUTED_VALUE"""),"ab-eb-16-13882-98586")</f>
        <v>ab-eb-16-13882-98586</v>
      </c>
      <c r="C125" s="1174" t="str">
        <f>IFERROR(__xludf.DUMMYFUNCTION("""COMPUTED_VALUE"""),"DICIEMBRE")</f>
        <v>DICIEMBRE</v>
      </c>
      <c r="D125" s="1174" t="b">
        <f>IFERROR(__xludf.DUMMYFUNCTION("""COMPUTED_VALUE"""),TRUE)</f>
        <v>1</v>
      </c>
      <c r="E125" s="1174" t="str">
        <f>IFERROR(__xludf.DUMMYFUNCTION("""COMPUTED_VALUE"""),"Laptop")</f>
        <v>Laptop</v>
      </c>
      <c r="F125" s="1176">
        <f>IFERROR(__xludf.DUMMYFUNCTION("""COMPUTED_VALUE"""),1449.99)</f>
        <v>1449.99</v>
      </c>
      <c r="G125" s="1177">
        <f>IFERROR(__xludf.DUMMYFUNCTION("""COMPUTED_VALUE"""),96.0)</f>
        <v>96</v>
      </c>
      <c r="H125" s="1174" t="b">
        <f>IFERROR(__xludf.DUMMYFUNCTION("""COMPUTED_VALUE"""),TRUE)</f>
        <v>1</v>
      </c>
      <c r="I125" s="1174" t="str">
        <f>IFERROR(__xludf.DUMMYFUNCTION("""COMPUTED_VALUE"""),"DICIEMBRE")</f>
        <v>DICIEMBRE</v>
      </c>
      <c r="J125" s="1177">
        <f>IFERROR(__xludf.DUMMYFUNCTION("""COMPUTED_VALUE"""),6599.0)</f>
        <v>6599</v>
      </c>
      <c r="N125" s="1174" t="str">
        <f t="shared" si="1"/>
        <v/>
      </c>
    </row>
    <row r="126">
      <c r="A126" s="1175">
        <f>IFERROR(__xludf.DUMMYFUNCTION("""COMPUTED_VALUE"""),45990.0)</f>
        <v>45990</v>
      </c>
      <c r="B126" s="1174" t="str">
        <f>IFERROR(__xludf.DUMMYFUNCTION("""COMPUTED_VALUE"""),"ke-eb-22-13885-27270")</f>
        <v>ke-eb-22-13885-27270</v>
      </c>
      <c r="C126" s="1174" t="str">
        <f>IFERROR(__xludf.DUMMYFUNCTION("""COMPUTED_VALUE"""),"DICIEMBRE")</f>
        <v>DICIEMBRE</v>
      </c>
      <c r="D126" s="1174" t="b">
        <f>IFERROR(__xludf.DUMMYFUNCTION("""COMPUTED_VALUE"""),TRUE)</f>
        <v>1</v>
      </c>
      <c r="E126" s="1174" t="str">
        <f>IFERROR(__xludf.DUMMYFUNCTION("""COMPUTED_VALUE"""),"Laptop")</f>
        <v>Laptop</v>
      </c>
      <c r="F126" s="1176">
        <f>IFERROR(__xludf.DUMMYFUNCTION("""COMPUTED_VALUE"""),1499.99)</f>
        <v>1499.99</v>
      </c>
      <c r="G126" s="1177">
        <f>IFERROR(__xludf.DUMMYFUNCTION("""COMPUTED_VALUE"""),117.32999999999993)</f>
        <v>117.33</v>
      </c>
      <c r="H126" s="1174" t="b">
        <f>IFERROR(__xludf.DUMMYFUNCTION("""COMPUTED_VALUE"""),TRUE)</f>
        <v>1</v>
      </c>
      <c r="I126" s="1174" t="str">
        <f>IFERROR(__xludf.DUMMYFUNCTION("""COMPUTED_VALUE"""),"DICIEMBRE")</f>
        <v>DICIEMBRE</v>
      </c>
      <c r="J126" s="1177">
        <f>IFERROR(__xludf.DUMMYFUNCTION("""COMPUTED_VALUE"""),6899.0)</f>
        <v>6899</v>
      </c>
      <c r="N126" s="1174" t="str">
        <f t="shared" si="1"/>
        <v/>
      </c>
    </row>
    <row r="127">
      <c r="A127" s="1175">
        <f>IFERROR(__xludf.DUMMYFUNCTION("""COMPUTED_VALUE"""),45990.0)</f>
        <v>45990</v>
      </c>
      <c r="B127" s="1174" t="str">
        <f>IFERROR(__xludf.DUMMYFUNCTION("""COMPUTED_VALUE"""),"ga-co-301125")</f>
        <v>ga-co-301125</v>
      </c>
      <c r="C127" s="1174" t="str">
        <f>IFERROR(__xludf.DUMMYFUNCTION("""COMPUTED_VALUE"""),"DICIEMBRE")</f>
        <v>DICIEMBRE</v>
      </c>
      <c r="D127" s="1174" t="b">
        <f>IFERROR(__xludf.DUMMYFUNCTION("""COMPUTED_VALUE"""),TRUE)</f>
        <v>1</v>
      </c>
      <c r="E127" s="1174" t="str">
        <f>IFERROR(__xludf.DUMMYFUNCTION("""COMPUTED_VALUE"""),"Laptop")</f>
        <v>Laptop</v>
      </c>
      <c r="F127" s="1176">
        <f>IFERROR(__xludf.DUMMYFUNCTION("""COMPUTED_VALUE"""),1999.99)</f>
        <v>1999.99</v>
      </c>
      <c r="G127" s="1177">
        <f>IFERROR(__xludf.DUMMYFUNCTION("""COMPUTED_VALUE"""),60.19000000000051)</f>
        <v>60.19</v>
      </c>
      <c r="H127" s="1174" t="b">
        <f>IFERROR(__xludf.DUMMYFUNCTION("""COMPUTED_VALUE"""),TRUE)</f>
        <v>1</v>
      </c>
      <c r="I127" s="1174" t="str">
        <f>IFERROR(__xludf.DUMMYFUNCTION("""COMPUTED_VALUE"""),"DICIEMBRE")</f>
        <v>DICIEMBRE</v>
      </c>
      <c r="J127" s="1177">
        <f>IFERROR(__xludf.DUMMYFUNCTION("""COMPUTED_VALUE"""),9299.0)</f>
        <v>9299</v>
      </c>
      <c r="N127" s="1174" t="str">
        <f t="shared" si="1"/>
        <v/>
      </c>
    </row>
    <row r="128">
      <c r="A128" s="1175">
        <f>IFERROR(__xludf.DUMMYFUNCTION("""COMPUTED_VALUE"""),45994.0)</f>
        <v>45994</v>
      </c>
      <c r="B128" s="1174" t="str">
        <f>IFERROR(__xludf.DUMMYFUNCTION("""COMPUTED_VALUE"""),"K24072501")</f>
        <v>K24072501</v>
      </c>
      <c r="C128" s="1174" t="str">
        <f>IFERROR(__xludf.DUMMYFUNCTION("""COMPUTED_VALUE"""),"DICIEMBRE")</f>
        <v>DICIEMBRE</v>
      </c>
      <c r="D128" s="1174" t="b">
        <f>IFERROR(__xludf.DUMMYFUNCTION("""COMPUTED_VALUE"""),TRUE)</f>
        <v>1</v>
      </c>
      <c r="E128" s="1174" t="str">
        <f>IFERROR(__xludf.DUMMYFUNCTION("""COMPUTED_VALUE"""),"Laptop")</f>
        <v>Laptop</v>
      </c>
      <c r="F128" s="1176"/>
      <c r="G128" s="1177">
        <f>IFERROR(__xludf.DUMMYFUNCTION("""COMPUTED_VALUE"""),38.0)</f>
        <v>38</v>
      </c>
      <c r="H128" s="1174" t="b">
        <f>IFERROR(__xludf.DUMMYFUNCTION("""COMPUTED_VALUE"""),FALSE)</f>
        <v>0</v>
      </c>
      <c r="I128" s="1174" t="str">
        <f>IFERROR(__xludf.DUMMYFUNCTION("""COMPUTED_VALUE"""),"DICIEMBRE")</f>
        <v>DICIEMBRE</v>
      </c>
      <c r="J128" s="1177">
        <f>IFERROR(__xludf.DUMMYFUNCTION("""COMPUTED_VALUE"""),8999.0)</f>
        <v>8999</v>
      </c>
      <c r="N128" s="1174" t="str">
        <f t="shared" si="1"/>
        <v/>
      </c>
    </row>
    <row r="129">
      <c r="A129" s="1175">
        <f>IFERROR(__xludf.DUMMYFUNCTION("""COMPUTED_VALUE"""),45995.0)</f>
        <v>45995</v>
      </c>
      <c r="B129" s="1174" t="str">
        <f>IFERROR(__xludf.DUMMYFUNCTION("""COMPUTED_VALUE"""),"ga-le-4650528746")</f>
        <v>ga-le-4650528746</v>
      </c>
      <c r="C129" s="1174" t="str">
        <f>IFERROR(__xludf.DUMMYFUNCTION("""COMPUTED_VALUE"""),"DICIEMBRE")</f>
        <v>DICIEMBRE</v>
      </c>
      <c r="D129" s="1174" t="b">
        <f>IFERROR(__xludf.DUMMYFUNCTION("""COMPUTED_VALUE"""),TRUE)</f>
        <v>1</v>
      </c>
      <c r="E129" s="1174" t="str">
        <f>IFERROR(__xludf.DUMMYFUNCTION("""COMPUTED_VALUE"""),"Laptop")</f>
        <v>Laptop</v>
      </c>
      <c r="F129" s="1176">
        <f>IFERROR(__xludf.DUMMYFUNCTION("""COMPUTED_VALUE"""),1259.99)</f>
        <v>1259.99</v>
      </c>
      <c r="G129" s="1177">
        <f>IFERROR(__xludf.DUMMYFUNCTION("""COMPUTED_VALUE"""),109.26000000000022)</f>
        <v>109.26</v>
      </c>
      <c r="H129" s="1174" t="b">
        <f>IFERROR(__xludf.DUMMYFUNCTION("""COMPUTED_VALUE"""),TRUE)</f>
        <v>1</v>
      </c>
      <c r="I129" s="1174" t="str">
        <f>IFERROR(__xludf.DUMMYFUNCTION("""COMPUTED_VALUE"""),"DICIEMBRE")</f>
        <v>DICIEMBRE</v>
      </c>
      <c r="J129" s="1177">
        <f>IFERROR(__xludf.DUMMYFUNCTION("""COMPUTED_VALUE"""),5899.0)</f>
        <v>5899</v>
      </c>
      <c r="N129" s="1174" t="str">
        <f t="shared" si="1"/>
        <v/>
      </c>
    </row>
    <row r="130">
      <c r="A130" s="1175">
        <f>IFERROR(__xludf.DUMMYFUNCTION("""COMPUTED_VALUE"""),45996.0)</f>
        <v>45996</v>
      </c>
      <c r="B130" s="1174" t="str">
        <f>IFERROR(__xludf.DUMMYFUNCTION("""COMPUTED_VALUE"""),"ga-co-051225")</f>
        <v>ga-co-051225</v>
      </c>
      <c r="C130" s="1174" t="str">
        <f>IFERROR(__xludf.DUMMYFUNCTION("""COMPUTED_VALUE"""),"DICIEMBRE")</f>
        <v>DICIEMBRE</v>
      </c>
      <c r="D130" s="1174" t="b">
        <f>IFERROR(__xludf.DUMMYFUNCTION("""COMPUTED_VALUE"""),TRUE)</f>
        <v>1</v>
      </c>
      <c r="E130" s="1174" t="str">
        <f>IFERROR(__xludf.DUMMYFUNCTION("""COMPUTED_VALUE"""),"Laptop")</f>
        <v>Laptop</v>
      </c>
      <c r="F130" s="1176">
        <f>IFERROR(__xludf.DUMMYFUNCTION("""COMPUTED_VALUE"""),1599.99)</f>
        <v>1599.99</v>
      </c>
      <c r="G130" s="1177">
        <f>IFERROR(__xludf.DUMMYFUNCTION("""COMPUTED_VALUE"""),87.46000000000004)</f>
        <v>87.46</v>
      </c>
      <c r="H130" s="1174" t="b">
        <f>IFERROR(__xludf.DUMMYFUNCTION("""COMPUTED_VALUE"""),FALSE)</f>
        <v>0</v>
      </c>
      <c r="I130" s="1174" t="str">
        <f>IFERROR(__xludf.DUMMYFUNCTION("""COMPUTED_VALUE"""),"ENERO")</f>
        <v>ENERO</v>
      </c>
      <c r="J130" s="1177">
        <f>IFERROR(__xludf.DUMMYFUNCTION("""COMPUTED_VALUE"""),8099.0)</f>
        <v>8099</v>
      </c>
      <c r="N130" s="1174" t="str">
        <f t="shared" si="1"/>
        <v/>
      </c>
    </row>
    <row r="131">
      <c r="A131" s="1175">
        <f>IFERROR(__xludf.DUMMYFUNCTION("""COMPUTED_VALUE"""),45996.0)</f>
        <v>45996</v>
      </c>
      <c r="B131" s="1174" t="str">
        <f>IFERROR(__xludf.DUMMYFUNCTION("""COMPUTED_VALUE"""),"ke-eb-15-13932-24794")</f>
        <v>ke-eb-15-13932-24794</v>
      </c>
      <c r="C131" s="1174" t="str">
        <f>IFERROR(__xludf.DUMMYFUNCTION("""COMPUTED_VALUE"""),"DICIEMBRE")</f>
        <v>DICIEMBRE</v>
      </c>
      <c r="D131" s="1174" t="b">
        <f>IFERROR(__xludf.DUMMYFUNCTION("""COMPUTED_VALUE"""),TRUE)</f>
        <v>1</v>
      </c>
      <c r="E131" s="1174" t="str">
        <f>IFERROR(__xludf.DUMMYFUNCTION("""COMPUTED_VALUE"""),"Laptop")</f>
        <v>Laptop</v>
      </c>
      <c r="F131" s="1176">
        <f>IFERROR(__xludf.DUMMYFUNCTION("""COMPUTED_VALUE"""),2799.99)</f>
        <v>2799.99</v>
      </c>
      <c r="G131" s="1177">
        <f>IFERROR(__xludf.DUMMYFUNCTION("""COMPUTED_VALUE"""),114.11000000000058)</f>
        <v>114.11</v>
      </c>
      <c r="H131" s="1174" t="b">
        <f>IFERROR(__xludf.DUMMYFUNCTION("""COMPUTED_VALUE"""),TRUE)</f>
        <v>1</v>
      </c>
      <c r="I131" s="1174" t="str">
        <f>IFERROR(__xludf.DUMMYFUNCTION("""COMPUTED_VALUE"""),"DICIEMBRE")</f>
        <v>DICIEMBRE</v>
      </c>
      <c r="J131" s="1177">
        <f>IFERROR(__xludf.DUMMYFUNCTION("""COMPUTED_VALUE"""),12199.0)</f>
        <v>12199</v>
      </c>
      <c r="N131" s="1174" t="str">
        <f t="shared" si="1"/>
        <v/>
      </c>
    </row>
    <row r="132">
      <c r="A132" s="1175">
        <f>IFERROR(__xludf.DUMMYFUNCTION("""COMPUTED_VALUE"""),46001.0)</f>
        <v>46001</v>
      </c>
      <c r="B132" s="1174" t="str">
        <f>IFERROR(__xludf.DUMMYFUNCTION("""COMPUTED_VALUE"""),"ga-co-111225")</f>
        <v>ga-co-111225</v>
      </c>
      <c r="C132" s="1174" t="str">
        <f>IFERROR(__xludf.DUMMYFUNCTION("""COMPUTED_VALUE"""),"DICIEMBRE")</f>
        <v>DICIEMBRE</v>
      </c>
      <c r="D132" s="1174" t="b">
        <f>IFERROR(__xludf.DUMMYFUNCTION("""COMPUTED_VALUE"""),TRUE)</f>
        <v>1</v>
      </c>
      <c r="E132" s="1174" t="str">
        <f>IFERROR(__xludf.DUMMYFUNCTION("""COMPUTED_VALUE"""),"Laptop")</f>
        <v>Laptop</v>
      </c>
      <c r="F132" s="1176">
        <f>IFERROR(__xludf.DUMMYFUNCTION("""COMPUTED_VALUE"""),1999.99)</f>
        <v>1999.99</v>
      </c>
      <c r="G132" s="1177">
        <f>IFERROR(__xludf.DUMMYFUNCTION("""COMPUTED_VALUE"""),786.8700000000008)</f>
        <v>786.87</v>
      </c>
      <c r="H132" s="1174" t="b">
        <f>IFERROR(__xludf.DUMMYFUNCTION("""COMPUTED_VALUE"""),TRUE)</f>
        <v>1</v>
      </c>
      <c r="I132" s="1174" t="str">
        <f>IFERROR(__xludf.DUMMYFUNCTION("""COMPUTED_VALUE"""),"ENERO")</f>
        <v>ENERO</v>
      </c>
      <c r="J132" s="1177">
        <f>IFERROR(__xludf.DUMMYFUNCTION("""COMPUTED_VALUE"""),9899.0)</f>
        <v>9899</v>
      </c>
      <c r="N132" s="1174" t="str">
        <f t="shared" si="1"/>
        <v/>
      </c>
    </row>
    <row r="133">
      <c r="A133" s="1175">
        <f>IFERROR(__xludf.DUMMYFUNCTION("""COMPUTED_VALUE"""),46003.0)</f>
        <v>46003</v>
      </c>
      <c r="B133" s="1174" t="str">
        <f>IFERROR(__xludf.DUMMYFUNCTION("""COMPUTED_VALUE"""),"ja-mi-181225")</f>
        <v>ja-mi-181225</v>
      </c>
      <c r="C133" s="1174" t="str">
        <f>IFERROR(__xludf.DUMMYFUNCTION("""COMPUTED_VALUE"""),"DICIEMBRE")</f>
        <v>DICIEMBRE</v>
      </c>
      <c r="D133" s="1174" t="b">
        <f>IFERROR(__xludf.DUMMYFUNCTION("""COMPUTED_VALUE"""),TRUE)</f>
        <v>1</v>
      </c>
      <c r="E133" s="1174" t="str">
        <f>IFERROR(__xludf.DUMMYFUNCTION("""COMPUTED_VALUE"""),"Laptop")</f>
        <v>Laptop</v>
      </c>
      <c r="F133" s="1176">
        <f>IFERROR(__xludf.DUMMYFUNCTION("""COMPUTED_VALUE"""),3799.99)</f>
        <v>3799.99</v>
      </c>
      <c r="G133" s="1177">
        <f>IFERROR(__xludf.DUMMYFUNCTION("""COMPUTED_VALUE"""),750.0000000000018)</f>
        <v>750</v>
      </c>
      <c r="H133" s="1174" t="b">
        <f>IFERROR(__xludf.DUMMYFUNCTION("""COMPUTED_VALUE"""),TRUE)</f>
        <v>1</v>
      </c>
      <c r="I133" s="1174" t="str">
        <f>IFERROR(__xludf.DUMMYFUNCTION("""COMPUTED_VALUE"""),"DICIEMBRE")</f>
        <v>DICIEMBRE</v>
      </c>
      <c r="J133" s="1177">
        <f>IFERROR(__xludf.DUMMYFUNCTION("""COMPUTED_VALUE"""),16977.88)</f>
        <v>16977.88</v>
      </c>
      <c r="N133" s="1174" t="str">
        <f t="shared" si="1"/>
        <v/>
      </c>
    </row>
    <row r="134">
      <c r="A134" s="1175">
        <f>IFERROR(__xludf.DUMMYFUNCTION("""COMPUTED_VALUE"""),46006.0)</f>
        <v>46006</v>
      </c>
      <c r="B134" s="1174" t="str">
        <f>IFERROR(__xludf.DUMMYFUNCTION("""COMPUTED_VALUE"""),"ke-BBY01-807119526544")</f>
        <v>ke-BBY01-807119526544</v>
      </c>
      <c r="C134" s="1174" t="str">
        <f>IFERROR(__xludf.DUMMYFUNCTION("""COMPUTED_VALUE"""),"DICIEMBRE")</f>
        <v>DICIEMBRE</v>
      </c>
      <c r="D134" s="1174" t="b">
        <f>IFERROR(__xludf.DUMMYFUNCTION("""COMPUTED_VALUE"""),TRUE)</f>
        <v>1</v>
      </c>
      <c r="E134" s="1174" t="str">
        <f>IFERROR(__xludf.DUMMYFUNCTION("""COMPUTED_VALUE"""),"Laptop")</f>
        <v>Laptop</v>
      </c>
      <c r="F134" s="1176">
        <f>IFERROR(__xludf.DUMMYFUNCTION("""COMPUTED_VALUE"""),1199.99)</f>
        <v>1199.99</v>
      </c>
      <c r="G134" s="1177">
        <f>IFERROR(__xludf.DUMMYFUNCTION("""COMPUTED_VALUE"""),117.98999999999978)</f>
        <v>117.99</v>
      </c>
      <c r="H134" s="1174" t="b">
        <f>IFERROR(__xludf.DUMMYFUNCTION("""COMPUTED_VALUE"""),TRUE)</f>
        <v>1</v>
      </c>
      <c r="I134" s="1174" t="str">
        <f>IFERROR(__xludf.DUMMYFUNCTION("""COMPUTED_VALUE"""),"DICIEMBRE")</f>
        <v>DICIEMBRE</v>
      </c>
      <c r="J134" s="1177">
        <f>IFERROR(__xludf.DUMMYFUNCTION("""COMPUTED_VALUE"""),5599.0)</f>
        <v>5599</v>
      </c>
      <c r="N134" s="1174" t="str">
        <f t="shared" si="1"/>
        <v/>
      </c>
    </row>
    <row r="135">
      <c r="A135" s="1175">
        <f>IFERROR(__xludf.DUMMYFUNCTION("""COMPUTED_VALUE"""),46008.0)</f>
        <v>46008</v>
      </c>
      <c r="B135" s="1174" t="str">
        <f>IFERROR(__xludf.DUMMYFUNCTION("""COMPUTED_VALUE"""),"ke-eb-04-13997-86160")</f>
        <v>ke-eb-04-13997-86160</v>
      </c>
      <c r="C135" s="1174" t="str">
        <f>IFERROR(__xludf.DUMMYFUNCTION("""COMPUTED_VALUE"""),"DICIEMBRE")</f>
        <v>DICIEMBRE</v>
      </c>
      <c r="D135" s="1174" t="b">
        <f>IFERROR(__xludf.DUMMYFUNCTION("""COMPUTED_VALUE"""),TRUE)</f>
        <v>1</v>
      </c>
      <c r="E135" s="1174" t="str">
        <f>IFERROR(__xludf.DUMMYFUNCTION("""COMPUTED_VALUE"""),"Laptop")</f>
        <v>Laptop</v>
      </c>
      <c r="F135" s="1176">
        <f>IFERROR(__xludf.DUMMYFUNCTION("""COMPUTED_VALUE"""),2174.99)</f>
        <v>2174.99</v>
      </c>
      <c r="G135" s="1177">
        <f>IFERROR(__xludf.DUMMYFUNCTION("""COMPUTED_VALUE"""),336.8299999999999)</f>
        <v>336.83</v>
      </c>
      <c r="H135" s="1174" t="b">
        <f>IFERROR(__xludf.DUMMYFUNCTION("""COMPUTED_VALUE"""),TRUE)</f>
        <v>1</v>
      </c>
      <c r="I135" s="1174" t="str">
        <f>IFERROR(__xludf.DUMMYFUNCTION("""COMPUTED_VALUE"""),"ENERO")</f>
        <v>ENERO</v>
      </c>
      <c r="J135" s="1177">
        <f>IFERROR(__xludf.DUMMYFUNCTION("""COMPUTED_VALUE"""),9799.0)</f>
        <v>9799</v>
      </c>
      <c r="N135" s="1174" t="str">
        <f t="shared" si="1"/>
        <v/>
      </c>
    </row>
    <row r="136">
      <c r="A136" s="1175">
        <f>IFERROR(__xludf.DUMMYFUNCTION("""COMPUTED_VALUE"""),46008.0)</f>
        <v>46008</v>
      </c>
      <c r="B136" s="1174" t="str">
        <f>IFERROR(__xludf.DUMMYFUNCTION("""COMPUTED_VALUE"""),"li-mi-181225")</f>
        <v>li-mi-181225</v>
      </c>
      <c r="C136" s="1174" t="str">
        <f>IFERROR(__xludf.DUMMYFUNCTION("""COMPUTED_VALUE"""),"DICIEMBRE")</f>
        <v>DICIEMBRE</v>
      </c>
      <c r="D136" s="1174" t="b">
        <f>IFERROR(__xludf.DUMMYFUNCTION("""COMPUTED_VALUE"""),TRUE)</f>
        <v>1</v>
      </c>
      <c r="E136" s="1174" t="str">
        <f>IFERROR(__xludf.DUMMYFUNCTION("""COMPUTED_VALUE"""),"Laptop")</f>
        <v>Laptop</v>
      </c>
      <c r="F136" s="1176">
        <f>IFERROR(__xludf.DUMMYFUNCTION("""COMPUTED_VALUE"""),1699.99)</f>
        <v>1699.99</v>
      </c>
      <c r="G136" s="1177">
        <f>IFERROR(__xludf.DUMMYFUNCTION("""COMPUTED_VALUE"""),263.3900000000003)</f>
        <v>263.39</v>
      </c>
      <c r="H136" s="1174" t="b">
        <f>IFERROR(__xludf.DUMMYFUNCTION("""COMPUTED_VALUE"""),TRUE)</f>
        <v>1</v>
      </c>
      <c r="I136" s="1174" t="str">
        <f>IFERROR(__xludf.DUMMYFUNCTION("""COMPUTED_VALUE"""),"ENERO")</f>
        <v>ENERO</v>
      </c>
      <c r="J136" s="1177">
        <f>IFERROR(__xludf.DUMMYFUNCTION("""COMPUTED_VALUE"""),8099.0)</f>
        <v>8099</v>
      </c>
      <c r="N136" s="1174" t="str">
        <f t="shared" si="1"/>
        <v/>
      </c>
    </row>
    <row r="137">
      <c r="A137" s="1175">
        <f>IFERROR(__xludf.DUMMYFUNCTION("""COMPUTED_VALUE"""),46010.0)</f>
        <v>46010</v>
      </c>
      <c r="B137" s="1174" t="str">
        <f>IFERROR(__xludf.DUMMYFUNCTION("""COMPUTED_VALUE"""),"li-mi-201225")</f>
        <v>li-mi-201225</v>
      </c>
      <c r="C137" s="1174" t="str">
        <f>IFERROR(__xludf.DUMMYFUNCTION("""COMPUTED_VALUE"""),"DICIEMBRE")</f>
        <v>DICIEMBRE</v>
      </c>
      <c r="D137" s="1174" t="b">
        <f>IFERROR(__xludf.DUMMYFUNCTION("""COMPUTED_VALUE"""),TRUE)</f>
        <v>1</v>
      </c>
      <c r="E137" s="1174" t="str">
        <f>IFERROR(__xludf.DUMMYFUNCTION("""COMPUTED_VALUE"""),"Laptop")</f>
        <v>Laptop</v>
      </c>
      <c r="F137" s="1176">
        <f>IFERROR(__xludf.DUMMYFUNCTION("""COMPUTED_VALUE"""),1699.99)</f>
        <v>1699.99</v>
      </c>
      <c r="G137" s="1177">
        <f>IFERROR(__xludf.DUMMYFUNCTION("""COMPUTED_VALUE"""),382.47000000000025)</f>
        <v>382.47</v>
      </c>
      <c r="H137" s="1174" t="b">
        <f>IFERROR(__xludf.DUMMYFUNCTION("""COMPUTED_VALUE"""),TRUE)</f>
        <v>1</v>
      </c>
      <c r="I137" s="1174" t="str">
        <f>IFERROR(__xludf.DUMMYFUNCTION("""COMPUTED_VALUE"""),"DICIEMBRE")</f>
        <v>DICIEMBRE</v>
      </c>
      <c r="J137" s="1177">
        <f>IFERROR(__xludf.DUMMYFUNCTION("""COMPUTED_VALUE"""),8657.08)</f>
        <v>8657.08</v>
      </c>
      <c r="N137" s="1174" t="str">
        <f t="shared" si="1"/>
        <v/>
      </c>
    </row>
    <row r="138">
      <c r="A138" s="1175">
        <f>IFERROR(__xludf.DUMMYFUNCTION("""COMPUTED_VALUE"""),46011.0)</f>
        <v>46011</v>
      </c>
      <c r="B138" s="1174" t="str">
        <f>IFERROR(__xludf.DUMMYFUNCTION("""COMPUTED_VALUE"""),"li-mi-221225")</f>
        <v>li-mi-221225</v>
      </c>
      <c r="C138" s="1174" t="str">
        <f>IFERROR(__xludf.DUMMYFUNCTION("""COMPUTED_VALUE"""),"DICIEMBRE")</f>
        <v>DICIEMBRE</v>
      </c>
      <c r="D138" s="1174" t="b">
        <f>IFERROR(__xludf.DUMMYFUNCTION("""COMPUTED_VALUE"""),TRUE)</f>
        <v>1</v>
      </c>
      <c r="E138" s="1174" t="str">
        <f>IFERROR(__xludf.DUMMYFUNCTION("""COMPUTED_VALUE"""),"Laptop")</f>
        <v>Laptop</v>
      </c>
      <c r="F138" s="1176">
        <f>IFERROR(__xludf.DUMMYFUNCTION("""COMPUTED_VALUE"""),1499.99)</f>
        <v>1499.99</v>
      </c>
      <c r="G138" s="1177">
        <f>IFERROR(__xludf.DUMMYFUNCTION("""COMPUTED_VALUE"""),185.02999999999975)</f>
        <v>185.03</v>
      </c>
      <c r="H138" s="1174" t="b">
        <f>IFERROR(__xludf.DUMMYFUNCTION("""COMPUTED_VALUE"""),FALSE)</f>
        <v>0</v>
      </c>
      <c r="I138" s="1174" t="str">
        <f>IFERROR(__xludf.DUMMYFUNCTION("""COMPUTED_VALUE"""),"ENERO")</f>
        <v>ENERO</v>
      </c>
      <c r="J138" s="1177">
        <f>IFERROR(__xludf.DUMMYFUNCTION("""COMPUTED_VALUE"""),7356.53)</f>
        <v>7356.53</v>
      </c>
      <c r="N138" s="1174" t="str">
        <f t="shared" si="1"/>
        <v/>
      </c>
    </row>
    <row r="139">
      <c r="A139" s="1175">
        <f>IFERROR(__xludf.DUMMYFUNCTION("""COMPUTED_VALUE"""),46011.0)</f>
        <v>46011</v>
      </c>
      <c r="B139" s="1174" t="str">
        <f>IFERROR(__xludf.DUMMYFUNCTION("""COMPUTED_VALUE"""),"ga-co-301125-2")</f>
        <v>ga-co-301125-2</v>
      </c>
      <c r="C139" s="1174" t="str">
        <f>IFERROR(__xludf.DUMMYFUNCTION("""COMPUTED_VALUE"""),"DICIEMBRE")</f>
        <v>DICIEMBRE</v>
      </c>
      <c r="D139" s="1174" t="b">
        <f>IFERROR(__xludf.DUMMYFUNCTION("""COMPUTED_VALUE"""),TRUE)</f>
        <v>1</v>
      </c>
      <c r="E139" s="1174" t="str">
        <f>IFERROR(__xludf.DUMMYFUNCTION("""COMPUTED_VALUE"""),"Laptop")</f>
        <v>Laptop</v>
      </c>
      <c r="F139" s="1176">
        <f>IFERROR(__xludf.DUMMYFUNCTION("""COMPUTED_VALUE"""),1199.99)</f>
        <v>1199.99</v>
      </c>
      <c r="G139" s="1177">
        <f>IFERROR(__xludf.DUMMYFUNCTION("""COMPUTED_VALUE"""),119.0)</f>
        <v>119</v>
      </c>
      <c r="H139" s="1174" t="b">
        <f>IFERROR(__xludf.DUMMYFUNCTION("""COMPUTED_VALUE"""),TRUE)</f>
        <v>1</v>
      </c>
      <c r="I139" s="1174" t="str">
        <f>IFERROR(__xludf.DUMMYFUNCTION("""COMPUTED_VALUE"""),"ENERO")</f>
        <v>ENERO</v>
      </c>
      <c r="J139" s="1177">
        <f>IFERROR(__xludf.DUMMYFUNCTION("""COMPUTED_VALUE"""),6249.0)</f>
        <v>6249</v>
      </c>
      <c r="N139" s="1174" t="str">
        <f t="shared" si="1"/>
        <v/>
      </c>
    </row>
    <row r="140">
      <c r="A140" s="1175">
        <f>IFERROR(__xludf.DUMMYFUNCTION("""COMPUTED_VALUE"""),46014.0)</f>
        <v>46014</v>
      </c>
      <c r="B140" s="1174" t="str">
        <f>IFERROR(__xludf.DUMMYFUNCTION("""COMPUTED_VALUE"""),"ga-co-301125-3")</f>
        <v>ga-co-301125-3</v>
      </c>
      <c r="C140" s="1174" t="str">
        <f>IFERROR(__xludf.DUMMYFUNCTION("""COMPUTED_VALUE"""),"DICIEMBRE")</f>
        <v>DICIEMBRE</v>
      </c>
      <c r="D140" s="1174" t="b">
        <f>IFERROR(__xludf.DUMMYFUNCTION("""COMPUTED_VALUE"""),TRUE)</f>
        <v>1</v>
      </c>
      <c r="E140" s="1174" t="str">
        <f>IFERROR(__xludf.DUMMYFUNCTION("""COMPUTED_VALUE"""),"Laptop")</f>
        <v>Laptop</v>
      </c>
      <c r="F140" s="1176">
        <f>IFERROR(__xludf.DUMMYFUNCTION("""COMPUTED_VALUE"""),1199.99)</f>
        <v>1199.99</v>
      </c>
      <c r="G140" s="1177">
        <f>IFERROR(__xludf.DUMMYFUNCTION("""COMPUTED_VALUE"""),84.0)</f>
        <v>84</v>
      </c>
      <c r="H140" s="1174" t="b">
        <f>IFERROR(__xludf.DUMMYFUNCTION("""COMPUTED_VALUE"""),TRUE)</f>
        <v>1</v>
      </c>
      <c r="I140" s="1174" t="str">
        <f>IFERROR(__xludf.DUMMYFUNCTION("""COMPUTED_VALUE"""),"ENERO")</f>
        <v>ENERO</v>
      </c>
      <c r="J140" s="1177">
        <f>IFERROR(__xludf.DUMMYFUNCTION("""COMPUTED_VALUE"""),6299.0)</f>
        <v>6299</v>
      </c>
      <c r="N140" s="1174" t="str">
        <f t="shared" si="1"/>
        <v/>
      </c>
    </row>
    <row r="141">
      <c r="A141" s="1175">
        <f>IFERROR(__xludf.DUMMYFUNCTION("""COMPUTED_VALUE"""),46015.0)</f>
        <v>46015</v>
      </c>
      <c r="B141" s="1174" t="str">
        <f>IFERROR(__xludf.DUMMYFUNCTION("""COMPUTED_VALUE"""),"yo-eb-18-14001-81032")</f>
        <v>yo-eb-18-14001-81032</v>
      </c>
      <c r="C141" s="1174" t="str">
        <f>IFERROR(__xludf.DUMMYFUNCTION("""COMPUTED_VALUE"""),"DICIEMBRE")</f>
        <v>DICIEMBRE</v>
      </c>
      <c r="D141" s="1174" t="b">
        <f>IFERROR(__xludf.DUMMYFUNCTION("""COMPUTED_VALUE"""),TRUE)</f>
        <v>1</v>
      </c>
      <c r="E141" s="1174" t="str">
        <f>IFERROR(__xludf.DUMMYFUNCTION("""COMPUTED_VALUE"""),"Laptop")</f>
        <v>Laptop</v>
      </c>
      <c r="F141" s="1176">
        <f>IFERROR(__xludf.DUMMYFUNCTION("""COMPUTED_VALUE"""),1299.99)</f>
        <v>1299.99</v>
      </c>
      <c r="G141" s="1177">
        <f>IFERROR(__xludf.DUMMYFUNCTION("""COMPUTED_VALUE"""),36.75)</f>
        <v>36.75</v>
      </c>
      <c r="H141" s="1174" t="b">
        <f>IFERROR(__xludf.DUMMYFUNCTION("""COMPUTED_VALUE"""),FALSE)</f>
        <v>0</v>
      </c>
      <c r="I141" s="1174" t="str">
        <f>IFERROR(__xludf.DUMMYFUNCTION("""COMPUTED_VALUE"""),"ENERO")</f>
        <v>ENERO</v>
      </c>
      <c r="J141" s="1177">
        <f>IFERROR(__xludf.DUMMYFUNCTION("""COMPUTED_VALUE"""),5899.0)</f>
        <v>5899</v>
      </c>
      <c r="N141" s="1174" t="str">
        <f t="shared" si="1"/>
        <v/>
      </c>
    </row>
    <row r="142">
      <c r="A142" s="1175">
        <f>IFERROR(__xludf.DUMMYFUNCTION("""COMPUTED_VALUE"""),46015.0)</f>
        <v>46015</v>
      </c>
      <c r="B142" s="1174" t="str">
        <f>IFERROR(__xludf.DUMMYFUNCTION("""COMPUTED_VALUE"""),"ab-eb-02-13904-31348")</f>
        <v>ab-eb-02-13904-31348</v>
      </c>
      <c r="C142" s="1174" t="str">
        <f>IFERROR(__xludf.DUMMYFUNCTION("""COMPUTED_VALUE"""),"DICIEMBRE")</f>
        <v>DICIEMBRE</v>
      </c>
      <c r="D142" s="1174" t="b">
        <f>IFERROR(__xludf.DUMMYFUNCTION("""COMPUTED_VALUE"""),TRUE)</f>
        <v>1</v>
      </c>
      <c r="E142" s="1174" t="str">
        <f>IFERROR(__xludf.DUMMYFUNCTION("""COMPUTED_VALUE"""),"Laptop")</f>
        <v>Laptop</v>
      </c>
      <c r="F142" s="1176">
        <f>IFERROR(__xludf.DUMMYFUNCTION("""COMPUTED_VALUE"""),1449.99)</f>
        <v>1449.99</v>
      </c>
      <c r="G142" s="1177">
        <f>IFERROR(__xludf.DUMMYFUNCTION("""COMPUTED_VALUE"""),206.0)</f>
        <v>206</v>
      </c>
      <c r="H142" s="1174" t="b">
        <f>IFERROR(__xludf.DUMMYFUNCTION("""COMPUTED_VALUE"""),TRUE)</f>
        <v>1</v>
      </c>
      <c r="I142" s="1174" t="str">
        <f>IFERROR(__xludf.DUMMYFUNCTION("""COMPUTED_VALUE"""),"ENERO")</f>
        <v>ENERO</v>
      </c>
      <c r="J142" s="1177">
        <f>IFERROR(__xludf.DUMMYFUNCTION("""COMPUTED_VALUE"""),6699.0)</f>
        <v>6699</v>
      </c>
      <c r="N142" s="1174" t="str">
        <f t="shared" si="1"/>
        <v/>
      </c>
    </row>
    <row r="143">
      <c r="A143" s="1175">
        <f>IFERROR(__xludf.DUMMYFUNCTION("""COMPUTED_VALUE"""),46017.0)</f>
        <v>46017</v>
      </c>
      <c r="B143" s="1174" t="str">
        <f>IFERROR(__xludf.DUMMYFUNCTION("""COMPUTED_VALUE"""),"ab-eb-02-13913-09573")</f>
        <v>ab-eb-02-13913-09573</v>
      </c>
      <c r="C143" s="1174" t="str">
        <f>IFERROR(__xludf.DUMMYFUNCTION("""COMPUTED_VALUE"""),"DICIEMBRE")</f>
        <v>DICIEMBRE</v>
      </c>
      <c r="D143" s="1174" t="b">
        <f>IFERROR(__xludf.DUMMYFUNCTION("""COMPUTED_VALUE"""),TRUE)</f>
        <v>1</v>
      </c>
      <c r="E143" s="1174" t="str">
        <f>IFERROR(__xludf.DUMMYFUNCTION("""COMPUTED_VALUE"""),"Laptop")</f>
        <v>Laptop</v>
      </c>
      <c r="F143" s="1176">
        <f>IFERROR(__xludf.DUMMYFUNCTION("""COMPUTED_VALUE"""),1449.99)</f>
        <v>1449.99</v>
      </c>
      <c r="G143" s="1177">
        <f>IFERROR(__xludf.DUMMYFUNCTION("""COMPUTED_VALUE"""),411.0)</f>
        <v>411</v>
      </c>
      <c r="H143" s="1174" t="b">
        <f>IFERROR(__xludf.DUMMYFUNCTION("""COMPUTED_VALUE"""),TRUE)</f>
        <v>1</v>
      </c>
      <c r="I143" s="1174" t="str">
        <f>IFERROR(__xludf.DUMMYFUNCTION("""COMPUTED_VALUE"""),"ENERO")</f>
        <v>ENERO</v>
      </c>
      <c r="J143" s="1177">
        <f>IFERROR(__xludf.DUMMYFUNCTION("""COMPUTED_VALUE"""),6999.0)</f>
        <v>6999</v>
      </c>
      <c r="N143" s="1174" t="str">
        <f t="shared" si="1"/>
        <v/>
      </c>
    </row>
    <row r="144">
      <c r="A144" s="1175">
        <f>IFERROR(__xludf.DUMMYFUNCTION("""COMPUTED_VALUE"""),46018.0)</f>
        <v>46018</v>
      </c>
      <c r="B144" s="1174" t="str">
        <f>IFERROR(__xludf.DUMMYFUNCTION("""COMPUTED_VALUE"""),"yo-eb-18-13876-12829")</f>
        <v>yo-eb-18-13876-12829</v>
      </c>
      <c r="C144" s="1174" t="str">
        <f>IFERROR(__xludf.DUMMYFUNCTION("""COMPUTED_VALUE"""),"DICIEMBRE")</f>
        <v>DICIEMBRE</v>
      </c>
      <c r="D144" s="1174" t="b">
        <f>IFERROR(__xludf.DUMMYFUNCTION("""COMPUTED_VALUE"""),TRUE)</f>
        <v>1</v>
      </c>
      <c r="E144" s="1174" t="str">
        <f>IFERROR(__xludf.DUMMYFUNCTION("""COMPUTED_VALUE"""),"Laptop")</f>
        <v>Laptop</v>
      </c>
      <c r="F144" s="1176">
        <f>IFERROR(__xludf.DUMMYFUNCTION("""COMPUTED_VALUE"""),1049.99)</f>
        <v>1049.99</v>
      </c>
      <c r="G144" s="1177">
        <f>IFERROR(__xludf.DUMMYFUNCTION("""COMPUTED_VALUE"""),365.0)</f>
        <v>365</v>
      </c>
      <c r="H144" s="1174" t="b">
        <f>IFERROR(__xludf.DUMMYFUNCTION("""COMPUTED_VALUE"""),FALSE)</f>
        <v>0</v>
      </c>
      <c r="I144" s="1174" t="str">
        <f>IFERROR(__xludf.DUMMYFUNCTION("""COMPUTED_VALUE"""),"DICIEMBRE")</f>
        <v>DICIEMBRE</v>
      </c>
      <c r="J144" s="1177">
        <f>IFERROR(__xludf.DUMMYFUNCTION("""COMPUTED_VALUE"""),5699.0)</f>
        <v>5699</v>
      </c>
      <c r="N144" s="1174" t="str">
        <f t="shared" si="1"/>
        <v/>
      </c>
    </row>
    <row r="145">
      <c r="A145" s="1175">
        <f>IFERROR(__xludf.DUMMYFUNCTION("""COMPUTED_VALUE"""),46018.0)</f>
        <v>46018</v>
      </c>
      <c r="B145" s="1174" t="str">
        <f>IFERROR(__xludf.DUMMYFUNCTION("""COMPUTED_VALUE"""),"yo-eb-24-13979-69093")</f>
        <v>yo-eb-24-13979-69093</v>
      </c>
      <c r="C145" s="1174" t="str">
        <f>IFERROR(__xludf.DUMMYFUNCTION("""COMPUTED_VALUE"""),"DICIEMBRE")</f>
        <v>DICIEMBRE</v>
      </c>
      <c r="D145" s="1174" t="b">
        <f>IFERROR(__xludf.DUMMYFUNCTION("""COMPUTED_VALUE"""),TRUE)</f>
        <v>1</v>
      </c>
      <c r="E145" s="1174" t="str">
        <f>IFERROR(__xludf.DUMMYFUNCTION("""COMPUTED_VALUE"""),"Laptop")</f>
        <v>Laptop</v>
      </c>
      <c r="F145" s="1176">
        <f>IFERROR(__xludf.DUMMYFUNCTION("""COMPUTED_VALUE"""),1449.99)</f>
        <v>1449.99</v>
      </c>
      <c r="G145" s="1177">
        <f>IFERROR(__xludf.DUMMYFUNCTION("""COMPUTED_VALUE"""),606.0)</f>
        <v>606</v>
      </c>
      <c r="H145" s="1174" t="b">
        <f>IFERROR(__xludf.DUMMYFUNCTION("""COMPUTED_VALUE"""),TRUE)</f>
        <v>1</v>
      </c>
      <c r="I145" s="1174" t="str">
        <f>IFERROR(__xludf.DUMMYFUNCTION("""COMPUTED_VALUE"""),"ENERO")</f>
        <v>ENERO</v>
      </c>
      <c r="J145" s="1177">
        <f>IFERROR(__xludf.DUMMYFUNCTION("""COMPUTED_VALUE"""),7299.0)</f>
        <v>7299</v>
      </c>
      <c r="N145" s="1174" t="str">
        <f t="shared" si="1"/>
        <v/>
      </c>
    </row>
    <row r="146">
      <c r="A146" s="1175">
        <f>IFERROR(__xludf.DUMMYFUNCTION("""COMPUTED_VALUE"""),46018.0)</f>
        <v>46018</v>
      </c>
      <c r="B146" s="1174" t="str">
        <f>IFERROR(__xludf.DUMMYFUNCTION("""COMPUTED_VALUE"""),"so-bh-1126364116")</f>
        <v>so-bh-1126364116</v>
      </c>
      <c r="C146" s="1174" t="str">
        <f>IFERROR(__xludf.DUMMYFUNCTION("""COMPUTED_VALUE"""),"DICIEMBRE")</f>
        <v>DICIEMBRE</v>
      </c>
      <c r="D146" s="1174" t="b">
        <f>IFERROR(__xludf.DUMMYFUNCTION("""COMPUTED_VALUE"""),TRUE)</f>
        <v>1</v>
      </c>
      <c r="E146" s="1174" t="str">
        <f>IFERROR(__xludf.DUMMYFUNCTION("""COMPUTED_VALUE"""),"Laptop")</f>
        <v>Laptop</v>
      </c>
      <c r="F146" s="1176">
        <f>IFERROR(__xludf.DUMMYFUNCTION("""COMPUTED_VALUE"""),1899.0)</f>
        <v>1899</v>
      </c>
      <c r="G146" s="1177">
        <f>IFERROR(__xludf.DUMMYFUNCTION("""COMPUTED_VALUE"""),217.70000000000073)</f>
        <v>217.7</v>
      </c>
      <c r="H146" s="1174" t="b">
        <f>IFERROR(__xludf.DUMMYFUNCTION("""COMPUTED_VALUE"""),TRUE)</f>
        <v>1</v>
      </c>
      <c r="I146" s="1174" t="str">
        <f>IFERROR(__xludf.DUMMYFUNCTION("""COMPUTED_VALUE"""),"ENERO")</f>
        <v>ENERO</v>
      </c>
      <c r="J146" s="1177">
        <f>IFERROR(__xludf.DUMMYFUNCTION("""COMPUTED_VALUE"""),8999.0)</f>
        <v>8999</v>
      </c>
      <c r="N146" s="1174" t="str">
        <f t="shared" si="1"/>
        <v/>
      </c>
    </row>
    <row r="147">
      <c r="A147" s="1175">
        <f>IFERROR(__xludf.DUMMYFUNCTION("""COMPUTED_VALUE"""),46022.0)</f>
        <v>46022</v>
      </c>
      <c r="B147" s="1174" t="str">
        <f>IFERROR(__xludf.DUMMYFUNCTION("""COMPUTED_VALUE"""),"ke-eb-05-14050-88663")</f>
        <v>ke-eb-05-14050-88663</v>
      </c>
      <c r="C147" s="1174" t="str">
        <f>IFERROR(__xludf.DUMMYFUNCTION("""COMPUTED_VALUE"""),"ENERO")</f>
        <v>ENERO</v>
      </c>
      <c r="D147" s="1174" t="b">
        <f>IFERROR(__xludf.DUMMYFUNCTION("""COMPUTED_VALUE"""),TRUE)</f>
        <v>1</v>
      </c>
      <c r="E147" s="1174" t="str">
        <f>IFERROR(__xludf.DUMMYFUNCTION("""COMPUTED_VALUE"""),"Laptop")</f>
        <v>Laptop</v>
      </c>
      <c r="F147" s="1176">
        <f>IFERROR(__xludf.DUMMYFUNCTION("""COMPUTED_VALUE"""),1149.0)</f>
        <v>1149</v>
      </c>
      <c r="G147" s="1177">
        <f>IFERROR(__xludf.DUMMYFUNCTION("""COMPUTED_VALUE"""),45.0)</f>
        <v>45</v>
      </c>
      <c r="H147" s="1174" t="b">
        <f>IFERROR(__xludf.DUMMYFUNCTION("""COMPUTED_VALUE"""),TRUE)</f>
        <v>1</v>
      </c>
      <c r="I147" s="1174" t="str">
        <f>IFERROR(__xludf.DUMMYFUNCTION("""COMPUTED_VALUE"""),"FEBRERO")</f>
        <v>FEBRERO</v>
      </c>
      <c r="J147" s="1177">
        <f>IFERROR(__xludf.DUMMYFUNCTION("""COMPUTED_VALUE"""),5451.17)</f>
        <v>5451.17</v>
      </c>
      <c r="N147" s="1174" t="str">
        <f t="shared" si="1"/>
        <v/>
      </c>
    </row>
    <row r="148">
      <c r="A148" s="1175">
        <f>IFERROR(__xludf.DUMMYFUNCTION("""COMPUTED_VALUE"""),46022.0)</f>
        <v>46022</v>
      </c>
      <c r="B148" s="1174" t="str">
        <f>IFERROR(__xludf.DUMMYFUNCTION("""COMPUTED_VALUE"""),"ke-am-113-8669564-8008202")</f>
        <v>ke-am-113-8669564-8008202</v>
      </c>
      <c r="C148" s="1174" t="str">
        <f>IFERROR(__xludf.DUMMYFUNCTION("""COMPUTED_VALUE"""),"ENERO")</f>
        <v>ENERO</v>
      </c>
      <c r="D148" s="1174" t="b">
        <f>IFERROR(__xludf.DUMMYFUNCTION("""COMPUTED_VALUE"""),TRUE)</f>
        <v>1</v>
      </c>
      <c r="E148" s="1174" t="str">
        <f>IFERROR(__xludf.DUMMYFUNCTION("""COMPUTED_VALUE"""),"Laptop")</f>
        <v>Laptop</v>
      </c>
      <c r="F148" s="1176">
        <f>IFERROR(__xludf.DUMMYFUNCTION("""COMPUTED_VALUE"""),1699.0)</f>
        <v>1699</v>
      </c>
      <c r="G148" s="1177">
        <f>IFERROR(__xludf.DUMMYFUNCTION("""COMPUTED_VALUE"""),20.0)</f>
        <v>20</v>
      </c>
      <c r="H148" s="1174" t="b">
        <f>IFERROR(__xludf.DUMMYFUNCTION("""COMPUTED_VALUE"""),TRUE)</f>
        <v>1</v>
      </c>
      <c r="I148" s="1174" t="str">
        <f>IFERROR(__xludf.DUMMYFUNCTION("""COMPUTED_VALUE"""),"ENERO")</f>
        <v>ENERO</v>
      </c>
      <c r="J148" s="1177">
        <f>IFERROR(__xludf.DUMMYFUNCTION("""COMPUTED_VALUE"""),7349.0)</f>
        <v>7349</v>
      </c>
      <c r="N148" s="1174" t="str">
        <f t="shared" si="1"/>
        <v/>
      </c>
    </row>
    <row r="149">
      <c r="A149" s="1175">
        <f>IFERROR(__xludf.DUMMYFUNCTION("""COMPUTED_VALUE"""),46022.0)</f>
        <v>46022</v>
      </c>
      <c r="B149" s="1174" t="str">
        <f>IFERROR(__xludf.DUMMYFUNCTION("""COMPUTED_VALUE"""),"yo-eb-18-13973-40449")</f>
        <v>yo-eb-18-13973-40449</v>
      </c>
      <c r="C149" s="1174" t="str">
        <f>IFERROR(__xludf.DUMMYFUNCTION("""COMPUTED_VALUE"""),"DICIEMBRE")</f>
        <v>DICIEMBRE</v>
      </c>
      <c r="D149" s="1174" t="b">
        <f>IFERROR(__xludf.DUMMYFUNCTION("""COMPUTED_VALUE"""),TRUE)</f>
        <v>1</v>
      </c>
      <c r="E149" s="1174" t="str">
        <f>IFERROR(__xludf.DUMMYFUNCTION("""COMPUTED_VALUE"""),"Laptop")</f>
        <v>Laptop</v>
      </c>
      <c r="F149" s="1176">
        <f>IFERROR(__xludf.DUMMYFUNCTION("""COMPUTED_VALUE"""),1449.99)</f>
        <v>1449.99</v>
      </c>
      <c r="G149" s="1177">
        <f>IFERROR(__xludf.DUMMYFUNCTION("""COMPUTED_VALUE"""),401.0)</f>
        <v>401</v>
      </c>
      <c r="H149" s="1174" t="b">
        <f>IFERROR(__xludf.DUMMYFUNCTION("""COMPUTED_VALUE"""),TRUE)</f>
        <v>1</v>
      </c>
      <c r="I149" s="1174" t="str">
        <f>IFERROR(__xludf.DUMMYFUNCTION("""COMPUTED_VALUE"""),"ENERO")</f>
        <v>ENERO</v>
      </c>
      <c r="J149" s="1177">
        <f>IFERROR(__xludf.DUMMYFUNCTION("""COMPUTED_VALUE"""),6999.0)</f>
        <v>6999</v>
      </c>
      <c r="N149" s="1174" t="str">
        <f t="shared" si="1"/>
        <v/>
      </c>
    </row>
    <row r="150">
      <c r="A150" s="1175">
        <f>IFERROR(__xludf.DUMMYFUNCTION("""COMPUTED_VALUE"""),46022.0)</f>
        <v>46022</v>
      </c>
      <c r="B150" s="1174" t="str">
        <f>IFERROR(__xludf.DUMMYFUNCTION("""COMPUTED_VALUE"""),"ke-eb-15-13828-07389")</f>
        <v>ke-eb-15-13828-07389</v>
      </c>
      <c r="C150" s="1174" t="str">
        <f>IFERROR(__xludf.DUMMYFUNCTION("""COMPUTED_VALUE"""),"DICIEMBRE")</f>
        <v>DICIEMBRE</v>
      </c>
      <c r="D150" s="1174" t="b">
        <f>IFERROR(__xludf.DUMMYFUNCTION("""COMPUTED_VALUE"""),TRUE)</f>
        <v>1</v>
      </c>
      <c r="E150" s="1174" t="str">
        <f>IFERROR(__xludf.DUMMYFUNCTION("""COMPUTED_VALUE"""),"Laptop")</f>
        <v>Laptop</v>
      </c>
      <c r="F150" s="1176">
        <f>IFERROR(__xludf.DUMMYFUNCTION("""COMPUTED_VALUE"""),1449.0)</f>
        <v>1449</v>
      </c>
      <c r="G150" s="1177">
        <f>IFERROR(__xludf.DUMMYFUNCTION("""COMPUTED_VALUE"""),78.0)</f>
        <v>78</v>
      </c>
      <c r="H150" s="1174" t="b">
        <f>IFERROR(__xludf.DUMMYFUNCTION("""COMPUTED_VALUE"""),FALSE)</f>
        <v>0</v>
      </c>
      <c r="I150" s="1174" t="str">
        <f>IFERROR(__xludf.DUMMYFUNCTION("""COMPUTED_VALUE"""),"ENERO")</f>
        <v>ENERO</v>
      </c>
      <c r="J150" s="1177">
        <f>IFERROR(__xludf.DUMMYFUNCTION("""COMPUTED_VALUE"""),6350.0)</f>
        <v>6350</v>
      </c>
      <c r="N150" s="1174" t="str">
        <f t="shared" si="1"/>
        <v/>
      </c>
    </row>
    <row r="151">
      <c r="A151" s="1175">
        <f>IFERROR(__xludf.DUMMYFUNCTION("""COMPUTED_VALUE"""),46027.0)</f>
        <v>46027</v>
      </c>
      <c r="B151" s="1174" t="str">
        <f>IFERROR(__xludf.DUMMYFUNCTION("""COMPUTED_VALUE"""),"ke-eb-27-14038-67384")</f>
        <v>ke-eb-27-14038-67384</v>
      </c>
      <c r="C151" s="1174" t="str">
        <f>IFERROR(__xludf.DUMMYFUNCTION("""COMPUTED_VALUE"""),"ENERO")</f>
        <v>ENERO</v>
      </c>
      <c r="D151" s="1174" t="b">
        <f>IFERROR(__xludf.DUMMYFUNCTION("""COMPUTED_VALUE"""),TRUE)</f>
        <v>1</v>
      </c>
      <c r="E151" s="1174" t="str">
        <f>IFERROR(__xludf.DUMMYFUNCTION("""COMPUTED_VALUE"""),"Laptop")</f>
        <v>Laptop</v>
      </c>
      <c r="F151" s="1176">
        <f>IFERROR(__xludf.DUMMYFUNCTION("""COMPUTED_VALUE"""),1599.99)</f>
        <v>1599.99</v>
      </c>
      <c r="G151" s="1177">
        <f>IFERROR(__xludf.DUMMYFUNCTION("""COMPUTED_VALUE"""),176.5699999999997)</f>
        <v>176.57</v>
      </c>
      <c r="H151" s="1174" t="b">
        <f>IFERROR(__xludf.DUMMYFUNCTION("""COMPUTED_VALUE"""),FALSE)</f>
        <v>0</v>
      </c>
      <c r="I151" s="1174" t="str">
        <f>IFERROR(__xludf.DUMMYFUNCTION("""COMPUTED_VALUE"""),"ENERO")</f>
        <v>ENERO</v>
      </c>
      <c r="J151" s="1177">
        <f>IFERROR(__xludf.DUMMYFUNCTION("""COMPUTED_VALUE"""),7648.0)</f>
        <v>7648</v>
      </c>
      <c r="N151" s="1174" t="str">
        <f t="shared" si="1"/>
        <v/>
      </c>
    </row>
    <row r="152">
      <c r="A152" s="1175">
        <f>IFERROR(__xludf.DUMMYFUNCTION("""COMPUTED_VALUE"""),46030.0)</f>
        <v>46030</v>
      </c>
      <c r="B152" s="1174" t="str">
        <f>IFERROR(__xludf.DUMMYFUNCTION("""COMPUTED_VALUE"""),"ja-mi-080126")</f>
        <v>ja-mi-080126</v>
      </c>
      <c r="C152" s="1174" t="str">
        <f>IFERROR(__xludf.DUMMYFUNCTION("""COMPUTED_VALUE"""),"ENERO")</f>
        <v>ENERO</v>
      </c>
      <c r="D152" s="1174" t="b">
        <f>IFERROR(__xludf.DUMMYFUNCTION("""COMPUTED_VALUE"""),TRUE)</f>
        <v>1</v>
      </c>
      <c r="E152" s="1174" t="str">
        <f>IFERROR(__xludf.DUMMYFUNCTION("""COMPUTED_VALUE"""),"Laptop")</f>
        <v>Laptop</v>
      </c>
      <c r="F152" s="1176">
        <f>IFERROR(__xludf.DUMMYFUNCTION("""COMPUTED_VALUE"""),1499.99)</f>
        <v>1499.99</v>
      </c>
      <c r="G152" s="1177">
        <f>IFERROR(__xludf.DUMMYFUNCTION("""COMPUTED_VALUE"""),237.5)</f>
        <v>237.5</v>
      </c>
      <c r="H152" s="1174" t="b">
        <f>IFERROR(__xludf.DUMMYFUNCTION("""COMPUTED_VALUE"""),TRUE)</f>
        <v>1</v>
      </c>
      <c r="I152" s="1174" t="str">
        <f>IFERROR(__xludf.DUMMYFUNCTION("""COMPUTED_VALUE"""),"FEBRERO")</f>
        <v>FEBRERO</v>
      </c>
      <c r="J152" s="1177">
        <f>IFERROR(__xludf.DUMMYFUNCTION("""COMPUTED_VALUE"""),7499.0)</f>
        <v>7499</v>
      </c>
      <c r="N152" s="1174" t="str">
        <f t="shared" si="1"/>
        <v/>
      </c>
    </row>
    <row r="153">
      <c r="A153" s="1175">
        <f>IFERROR(__xludf.DUMMYFUNCTION("""COMPUTED_VALUE"""),46030.0)</f>
        <v>46030</v>
      </c>
      <c r="B153" s="1174" t="str">
        <f>IFERROR(__xludf.DUMMYFUNCTION("""COMPUTED_VALUE"""),"ke-eb-23-14056-65455")</f>
        <v>ke-eb-23-14056-65455</v>
      </c>
      <c r="C153" s="1174" t="str">
        <f>IFERROR(__xludf.DUMMYFUNCTION("""COMPUTED_VALUE"""),"ENERO")</f>
        <v>ENERO</v>
      </c>
      <c r="D153" s="1174" t="b">
        <f>IFERROR(__xludf.DUMMYFUNCTION("""COMPUTED_VALUE"""),TRUE)</f>
        <v>1</v>
      </c>
      <c r="E153" s="1174" t="str">
        <f>IFERROR(__xludf.DUMMYFUNCTION("""COMPUTED_VALUE"""),"Laptop")</f>
        <v>Laptop</v>
      </c>
      <c r="F153" s="1176">
        <f>IFERROR(__xludf.DUMMYFUNCTION("""COMPUTED_VALUE"""),1849.99)</f>
        <v>1849.99</v>
      </c>
      <c r="G153" s="1177">
        <f>IFERROR(__xludf.DUMMYFUNCTION("""COMPUTED_VALUE"""),195.02999999999975)</f>
        <v>195.03</v>
      </c>
      <c r="H153" s="1174" t="b">
        <f>IFERROR(__xludf.DUMMYFUNCTION("""COMPUTED_VALUE"""),FALSE)</f>
        <v>0</v>
      </c>
      <c r="I153" s="1174" t="str">
        <f>IFERROR(__xludf.DUMMYFUNCTION("""COMPUTED_VALUE"""),"ENERO")</f>
        <v>ENERO</v>
      </c>
      <c r="J153" s="1177">
        <f>IFERROR(__xludf.DUMMYFUNCTION("""COMPUTED_VALUE"""),8121.61)</f>
        <v>8121.61</v>
      </c>
      <c r="N153" s="1174" t="str">
        <f t="shared" si="1"/>
        <v/>
      </c>
    </row>
    <row r="154">
      <c r="A154" s="1175">
        <f>IFERROR(__xludf.DUMMYFUNCTION("""COMPUTED_VALUE"""),46032.0)</f>
        <v>46032</v>
      </c>
      <c r="B154" s="1174" t="str">
        <f>IFERROR(__xludf.DUMMYFUNCTION("""COMPUTED_VALUE"""),"ke-eb-15-14075-78367")</f>
        <v>ke-eb-15-14075-78367</v>
      </c>
      <c r="C154" s="1174" t="str">
        <f>IFERROR(__xludf.DUMMYFUNCTION("""COMPUTED_VALUE"""),"ENERO")</f>
        <v>ENERO</v>
      </c>
      <c r="D154" s="1174" t="b">
        <f>IFERROR(__xludf.DUMMYFUNCTION("""COMPUTED_VALUE"""),TRUE)</f>
        <v>1</v>
      </c>
      <c r="E154" s="1174" t="str">
        <f>IFERROR(__xludf.DUMMYFUNCTION("""COMPUTED_VALUE"""),"Laptop")</f>
        <v>Laptop</v>
      </c>
      <c r="F154" s="1176">
        <f>IFERROR(__xludf.DUMMYFUNCTION("""COMPUTED_VALUE"""),1399.99)</f>
        <v>1399.99</v>
      </c>
      <c r="G154" s="1177">
        <f>IFERROR(__xludf.DUMMYFUNCTION("""COMPUTED_VALUE"""),135.09000000000015)</f>
        <v>135.09</v>
      </c>
      <c r="H154" s="1174" t="b">
        <f>IFERROR(__xludf.DUMMYFUNCTION("""COMPUTED_VALUE"""),FALSE)</f>
        <v>0</v>
      </c>
      <c r="I154" s="1174" t="str">
        <f>IFERROR(__xludf.DUMMYFUNCTION("""COMPUTED_VALUE"""),"FEBRERO")</f>
        <v>FEBRERO</v>
      </c>
      <c r="J154" s="1177">
        <f>IFERROR(__xludf.DUMMYFUNCTION("""COMPUTED_VALUE"""),6399.0)</f>
        <v>6399</v>
      </c>
      <c r="N154" s="1174" t="str">
        <f t="shared" si="1"/>
        <v/>
      </c>
    </row>
    <row r="155">
      <c r="A155" s="1175">
        <f>IFERROR(__xludf.DUMMYFUNCTION("""COMPUTED_VALUE"""),46032.0)</f>
        <v>46032</v>
      </c>
      <c r="B155" s="1174" t="str">
        <f>IFERROR(__xludf.DUMMYFUNCTION("""COMPUTED_VALUE"""),"ke-ms-520231")</f>
        <v>ke-ms-520231</v>
      </c>
      <c r="C155" s="1174" t="str">
        <f>IFERROR(__xludf.DUMMYFUNCTION("""COMPUTED_VALUE"""),"ENERO")</f>
        <v>ENERO</v>
      </c>
      <c r="D155" s="1174" t="b">
        <f>IFERROR(__xludf.DUMMYFUNCTION("""COMPUTED_VALUE"""),TRUE)</f>
        <v>1</v>
      </c>
      <c r="E155" s="1174" t="str">
        <f>IFERROR(__xludf.DUMMYFUNCTION("""COMPUTED_VALUE"""),"Laptop")</f>
        <v>Laptop</v>
      </c>
      <c r="F155" s="1176">
        <f>IFERROR(__xludf.DUMMYFUNCTION("""COMPUTED_VALUE"""),1999.0)</f>
        <v>1999</v>
      </c>
      <c r="G155" s="1177">
        <f>IFERROR(__xludf.DUMMYFUNCTION("""COMPUTED_VALUE"""),239.78000000000065)</f>
        <v>239.78</v>
      </c>
      <c r="H155" s="1174" t="b">
        <f>IFERROR(__xludf.DUMMYFUNCTION("""COMPUTED_VALUE"""),TRUE)</f>
        <v>1</v>
      </c>
      <c r="I155" s="1174" t="str">
        <f>IFERROR(__xludf.DUMMYFUNCTION("""COMPUTED_VALUE"""),"FEBRERO")</f>
        <v>FEBRERO</v>
      </c>
      <c r="J155" s="1177">
        <f>IFERROR(__xludf.DUMMYFUNCTION("""COMPUTED_VALUE"""),9099.0)</f>
        <v>9099</v>
      </c>
      <c r="N155" s="1174" t="str">
        <f t="shared" si="1"/>
        <v/>
      </c>
    </row>
    <row r="156">
      <c r="A156" s="1175">
        <f>IFERROR(__xludf.DUMMYFUNCTION("""COMPUTED_VALUE"""),46034.0)</f>
        <v>46034</v>
      </c>
      <c r="B156" s="1174" t="str">
        <f>IFERROR(__xludf.DUMMYFUNCTION("""COMPUTED_VALUE"""),"ke-ms-521091")</f>
        <v>ke-ms-521091</v>
      </c>
      <c r="C156" s="1174" t="str">
        <f>IFERROR(__xludf.DUMMYFUNCTION("""COMPUTED_VALUE"""),"ENERO")</f>
        <v>ENERO</v>
      </c>
      <c r="D156" s="1174" t="b">
        <f>IFERROR(__xludf.DUMMYFUNCTION("""COMPUTED_VALUE"""),TRUE)</f>
        <v>1</v>
      </c>
      <c r="E156" s="1174" t="str">
        <f>IFERROR(__xludf.DUMMYFUNCTION("""COMPUTED_VALUE"""),"Laptop")</f>
        <v>Laptop</v>
      </c>
      <c r="F156" s="1176">
        <f>IFERROR(__xludf.DUMMYFUNCTION("""COMPUTED_VALUE"""),1999.0)</f>
        <v>1999</v>
      </c>
      <c r="G156" s="1177">
        <f>IFERROR(__xludf.DUMMYFUNCTION("""COMPUTED_VALUE"""),264.9400000000005)</f>
        <v>264.94</v>
      </c>
      <c r="H156" s="1174" t="b">
        <f>IFERROR(__xludf.DUMMYFUNCTION("""COMPUTED_VALUE"""),TRUE)</f>
        <v>1</v>
      </c>
      <c r="I156" s="1174" t="str">
        <f>IFERROR(__xludf.DUMMYFUNCTION("""COMPUTED_VALUE"""),"FEBRERO")</f>
        <v>FEBRERO</v>
      </c>
      <c r="J156" s="1177">
        <f>IFERROR(__xludf.DUMMYFUNCTION("""COMPUTED_VALUE"""),9099.0)</f>
        <v>9099</v>
      </c>
      <c r="N156" s="1174" t="str">
        <f t="shared" si="1"/>
        <v/>
      </c>
    </row>
    <row r="157">
      <c r="A157" s="1175">
        <f>IFERROR(__xludf.DUMMYFUNCTION("""COMPUTED_VALUE"""),46035.0)</f>
        <v>46035</v>
      </c>
      <c r="B157" s="1174" t="str">
        <f>IFERROR(__xludf.DUMMYFUNCTION("""COMPUTED_VALUE"""),"so-eb-23-13966-37100")</f>
        <v>so-eb-23-13966-37100</v>
      </c>
      <c r="C157" s="1174" t="str">
        <f>IFERROR(__xludf.DUMMYFUNCTION("""COMPUTED_VALUE"""),"ENERO")</f>
        <v>ENERO</v>
      </c>
      <c r="D157" s="1174" t="b">
        <f>IFERROR(__xludf.DUMMYFUNCTION("""COMPUTED_VALUE"""),TRUE)</f>
        <v>1</v>
      </c>
      <c r="E157" s="1174" t="str">
        <f>IFERROR(__xludf.DUMMYFUNCTION("""COMPUTED_VALUE"""),"Laptop")</f>
        <v>Laptop</v>
      </c>
      <c r="F157" s="1176">
        <f>IFERROR(__xludf.DUMMYFUNCTION("""COMPUTED_VALUE"""),1449.99)</f>
        <v>1449.99</v>
      </c>
      <c r="G157" s="1177">
        <f>IFERROR(__xludf.DUMMYFUNCTION("""COMPUTED_VALUE"""),686.0)</f>
        <v>686</v>
      </c>
      <c r="H157" s="1174" t="b">
        <f>IFERROR(__xludf.DUMMYFUNCTION("""COMPUTED_VALUE"""),TRUE)</f>
        <v>1</v>
      </c>
      <c r="I157" s="1174" t="str">
        <f>IFERROR(__xludf.DUMMYFUNCTION("""COMPUTED_VALUE"""),"ENERO")</f>
        <v>ENERO</v>
      </c>
      <c r="J157" s="1177">
        <f>IFERROR(__xludf.DUMMYFUNCTION("""COMPUTED_VALUE"""),7599.0)</f>
        <v>7599</v>
      </c>
      <c r="N157" s="1174" t="str">
        <f t="shared" si="1"/>
        <v/>
      </c>
    </row>
    <row r="158">
      <c r="A158" s="1175">
        <f>IFERROR(__xludf.DUMMYFUNCTION("""COMPUTED_VALUE"""),46035.0)</f>
        <v>46035</v>
      </c>
      <c r="B158" s="1174" t="str">
        <f>IFERROR(__xludf.DUMMYFUNCTION("""COMPUTED_VALUE"""),"ke-be-BBY01-807134626798")</f>
        <v>ke-be-BBY01-807134626798</v>
      </c>
      <c r="C158" s="1174" t="str">
        <f>IFERROR(__xludf.DUMMYFUNCTION("""COMPUTED_VALUE"""),"ENERO")</f>
        <v>ENERO</v>
      </c>
      <c r="D158" s="1174" t="b">
        <f>IFERROR(__xludf.DUMMYFUNCTION("""COMPUTED_VALUE"""),TRUE)</f>
        <v>1</v>
      </c>
      <c r="E158" s="1174" t="str">
        <f>IFERROR(__xludf.DUMMYFUNCTION("""COMPUTED_VALUE"""),"Laptop")</f>
        <v>Laptop</v>
      </c>
      <c r="F158" s="1176">
        <f>IFERROR(__xludf.DUMMYFUNCTION("""COMPUTED_VALUE"""),1399.99)</f>
        <v>1399.99</v>
      </c>
      <c r="G158" s="1177">
        <f>IFERROR(__xludf.DUMMYFUNCTION("""COMPUTED_VALUE"""),120.03999999999996)</f>
        <v>120.04</v>
      </c>
      <c r="H158" s="1174" t="b">
        <f>IFERROR(__xludf.DUMMYFUNCTION("""COMPUTED_VALUE"""),FALSE)</f>
        <v>0</v>
      </c>
      <c r="I158" s="1174" t="str">
        <f>IFERROR(__xludf.DUMMYFUNCTION("""COMPUTED_VALUE"""),"FEBRERO")</f>
        <v>FEBRERO</v>
      </c>
      <c r="J158" s="1177">
        <f>IFERROR(__xludf.DUMMYFUNCTION("""COMPUTED_VALUE"""),6182.25)</f>
        <v>6182.25</v>
      </c>
      <c r="N158" s="1174" t="str">
        <f t="shared" si="1"/>
        <v/>
      </c>
    </row>
    <row r="159">
      <c r="A159" s="1175">
        <f>IFERROR(__xludf.DUMMYFUNCTION("""COMPUTED_VALUE"""),46039.0)</f>
        <v>46039</v>
      </c>
      <c r="B159" s="1174" t="str">
        <f>IFERROR(__xludf.DUMMYFUNCTION("""COMPUTED_VALUE"""),"re-eb-26-14080-07128")</f>
        <v>re-eb-26-14080-07128</v>
      </c>
      <c r="C159" s="1174" t="str">
        <f>IFERROR(__xludf.DUMMYFUNCTION("""COMPUTED_VALUE"""),"ENERO")</f>
        <v>ENERO</v>
      </c>
      <c r="D159" s="1174" t="b">
        <f>IFERROR(__xludf.DUMMYFUNCTION("""COMPUTED_VALUE"""),TRUE)</f>
        <v>1</v>
      </c>
      <c r="E159" s="1174" t="str">
        <f>IFERROR(__xludf.DUMMYFUNCTION("""COMPUTED_VALUE"""),"Laptop")</f>
        <v>Laptop</v>
      </c>
      <c r="F159" s="1176">
        <f>IFERROR(__xludf.DUMMYFUNCTION("""COMPUTED_VALUE"""),1549.99)</f>
        <v>1549.99</v>
      </c>
      <c r="G159" s="1177">
        <f>IFERROR(__xludf.DUMMYFUNCTION("""COMPUTED_VALUE"""),107.39999999999964)</f>
        <v>107.4</v>
      </c>
      <c r="H159" s="1174" t="b">
        <f>IFERROR(__xludf.DUMMYFUNCTION("""COMPUTED_VALUE"""),TRUE)</f>
        <v>1</v>
      </c>
      <c r="I159" s="1174" t="str">
        <f>IFERROR(__xludf.DUMMYFUNCTION("""COMPUTED_VALUE"""),"FEBRERO")</f>
        <v>FEBRERO</v>
      </c>
      <c r="J159" s="1177">
        <f>IFERROR(__xludf.DUMMYFUNCTION("""COMPUTED_VALUE"""),7099.0)</f>
        <v>7099</v>
      </c>
      <c r="N159" s="1174" t="str">
        <f t="shared" si="1"/>
        <v/>
      </c>
    </row>
    <row r="160">
      <c r="A160" s="1175">
        <f>IFERROR(__xludf.DUMMYFUNCTION("""COMPUTED_VALUE"""),46039.0)</f>
        <v>46039</v>
      </c>
      <c r="B160" s="1174" t="str">
        <f>IFERROR(__xludf.DUMMYFUNCTION("""COMPUTED_VALUE"""),"ke-am-113-4161059-4545859")</f>
        <v>ke-am-113-4161059-4545859</v>
      </c>
      <c r="C160" s="1174" t="str">
        <f>IFERROR(__xludf.DUMMYFUNCTION("""COMPUTED_VALUE"""),"ENERO")</f>
        <v>ENERO</v>
      </c>
      <c r="D160" s="1174" t="b">
        <f>IFERROR(__xludf.DUMMYFUNCTION("""COMPUTED_VALUE"""),TRUE)</f>
        <v>1</v>
      </c>
      <c r="E160" s="1174" t="str">
        <f>IFERROR(__xludf.DUMMYFUNCTION("""COMPUTED_VALUE"""),"Otro")</f>
        <v>Otro</v>
      </c>
      <c r="F160" s="1176">
        <f>IFERROR(__xludf.DUMMYFUNCTION("""COMPUTED_VALUE"""),115.99)</f>
        <v>115.99</v>
      </c>
      <c r="G160" s="1177">
        <f>IFERROR(__xludf.DUMMYFUNCTION("""COMPUTED_VALUE"""),0.0)</f>
        <v>0</v>
      </c>
      <c r="H160" s="1174" t="b">
        <f>IFERROR(__xludf.DUMMYFUNCTION("""COMPUTED_VALUE"""),FALSE)</f>
        <v>0</v>
      </c>
      <c r="I160" s="1174" t="str">
        <f>IFERROR(__xludf.DUMMYFUNCTION("""COMPUTED_VALUE"""),"ENERO")</f>
        <v>ENERO</v>
      </c>
      <c r="J160" s="1177">
        <f>IFERROR(__xludf.DUMMYFUNCTION("""COMPUTED_VALUE"""),514.79)</f>
        <v>514.79</v>
      </c>
      <c r="N160" s="1174" t="str">
        <f t="shared" si="1"/>
        <v/>
      </c>
    </row>
    <row r="161">
      <c r="A161" s="1175">
        <f>IFERROR(__xludf.DUMMYFUNCTION("""COMPUTED_VALUE"""),46039.0)</f>
        <v>46039</v>
      </c>
      <c r="B161" s="1174" t="str">
        <f>IFERROR(__xludf.DUMMYFUNCTION("""COMPUTED_VALUE"""),"ke-am-113-6807190-2734613")</f>
        <v>ke-am-113-6807190-2734613</v>
      </c>
      <c r="C161" s="1174" t="str">
        <f>IFERROR(__xludf.DUMMYFUNCTION("""COMPUTED_VALUE"""),"ENERO")</f>
        <v>ENERO</v>
      </c>
      <c r="D161" s="1174" t="b">
        <f>IFERROR(__xludf.DUMMYFUNCTION("""COMPUTED_VALUE"""),TRUE)</f>
        <v>1</v>
      </c>
      <c r="E161" s="1174" t="str">
        <f>IFERROR(__xludf.DUMMYFUNCTION("""COMPUTED_VALUE"""),"Otro")</f>
        <v>Otro</v>
      </c>
      <c r="F161" s="1176">
        <f>IFERROR(__xludf.DUMMYFUNCTION("""COMPUTED_VALUE"""),9.9)</f>
        <v>9.9</v>
      </c>
      <c r="G161" s="1177">
        <f>IFERROR(__xludf.DUMMYFUNCTION("""COMPUTED_VALUE"""),0.0)</f>
        <v>0</v>
      </c>
      <c r="H161" s="1174" t="b">
        <f>IFERROR(__xludf.DUMMYFUNCTION("""COMPUTED_VALUE"""),FALSE)</f>
        <v>0</v>
      </c>
      <c r="I161" s="1174" t="str">
        <f>IFERROR(__xludf.DUMMYFUNCTION("""COMPUTED_VALUE"""),"ENERO")</f>
        <v>ENERO</v>
      </c>
      <c r="J161" s="1177"/>
      <c r="N161" s="1174" t="str">
        <f t="shared" si="1"/>
        <v/>
      </c>
    </row>
    <row r="162">
      <c r="A162" s="1175">
        <f>IFERROR(__xludf.DUMMYFUNCTION("""COMPUTED_VALUE"""),46041.0)</f>
        <v>46041</v>
      </c>
      <c r="B162" s="1174" t="str">
        <f>IFERROR(__xludf.DUMMYFUNCTION("""COMPUTED_VALUE"""),"ke-eb-19-14020-11799")</f>
        <v>ke-eb-19-14020-11799</v>
      </c>
      <c r="C162" s="1174" t="str">
        <f>IFERROR(__xludf.DUMMYFUNCTION("""COMPUTED_VALUE"""),"ENERO")</f>
        <v>ENERO</v>
      </c>
      <c r="D162" s="1174" t="b">
        <f>IFERROR(__xludf.DUMMYFUNCTION("""COMPUTED_VALUE"""),TRUE)</f>
        <v>1</v>
      </c>
      <c r="E162" s="1174" t="str">
        <f>IFERROR(__xludf.DUMMYFUNCTION("""COMPUTED_VALUE"""),"Laptop")</f>
        <v>Laptop</v>
      </c>
      <c r="F162" s="1176">
        <f>IFERROR(__xludf.DUMMYFUNCTION("""COMPUTED_VALUE"""),1199.0)</f>
        <v>1199</v>
      </c>
      <c r="G162" s="1177">
        <f>IFERROR(__xludf.DUMMYFUNCTION("""COMPUTED_VALUE"""),328.0)</f>
        <v>328</v>
      </c>
      <c r="H162" s="1174" t="b">
        <f>IFERROR(__xludf.DUMMYFUNCTION("""COMPUTED_VALUE"""),TRUE)</f>
        <v>1</v>
      </c>
      <c r="I162" s="1174" t="str">
        <f>IFERROR(__xludf.DUMMYFUNCTION("""COMPUTED_VALUE"""),"FEBRERO")</f>
        <v>FEBRERO</v>
      </c>
      <c r="J162" s="1177">
        <f>IFERROR(__xludf.DUMMYFUNCTION("""COMPUTED_VALUE"""),5899.0)</f>
        <v>5899</v>
      </c>
      <c r="N162" s="1174" t="str">
        <f t="shared" si="1"/>
        <v/>
      </c>
    </row>
    <row r="163">
      <c r="A163" s="1175">
        <f>IFERROR(__xludf.DUMMYFUNCTION("""COMPUTED_VALUE"""),46043.0)</f>
        <v>46043</v>
      </c>
      <c r="B163" s="1174" t="str">
        <f>IFERROR(__xludf.DUMMYFUNCTION("""COMPUTED_VALUE"""),"ab-eb-02-14148-33220")</f>
        <v>ab-eb-02-14148-33220</v>
      </c>
      <c r="C163" s="1174" t="str">
        <f>IFERROR(__xludf.DUMMYFUNCTION("""COMPUTED_VALUE"""),"ENERO")</f>
        <v>ENERO</v>
      </c>
      <c r="D163" s="1174" t="b">
        <f>IFERROR(__xludf.DUMMYFUNCTION("""COMPUTED_VALUE"""),TRUE)</f>
        <v>1</v>
      </c>
      <c r="E163" s="1174" t="str">
        <f>IFERROR(__xludf.DUMMYFUNCTION("""COMPUTED_VALUE"""),"Laptop")</f>
        <v>Laptop</v>
      </c>
      <c r="F163" s="1176">
        <f>IFERROR(__xludf.DUMMYFUNCTION("""COMPUTED_VALUE"""),1599.99)</f>
        <v>1599.99</v>
      </c>
      <c r="G163" s="1177">
        <f>IFERROR(__xludf.DUMMYFUNCTION("""COMPUTED_VALUE"""),146.73999999999978)</f>
        <v>146.74</v>
      </c>
      <c r="H163" s="1174" t="b">
        <f>IFERROR(__xludf.DUMMYFUNCTION("""COMPUTED_VALUE"""),TRUE)</f>
        <v>1</v>
      </c>
      <c r="I163" s="1174" t="str">
        <f>IFERROR(__xludf.DUMMYFUNCTION("""COMPUTED_VALUE"""),"FEBRERO")</f>
        <v>FEBRERO</v>
      </c>
      <c r="J163" s="1177">
        <f>IFERROR(__xludf.DUMMYFUNCTION("""COMPUTED_VALUE"""),7299.0)</f>
        <v>7299</v>
      </c>
      <c r="N163" s="1174" t="str">
        <f t="shared" si="1"/>
        <v/>
      </c>
    </row>
    <row r="164">
      <c r="A164" s="1175">
        <f>IFERROR(__xludf.DUMMYFUNCTION("""COMPUTED_VALUE"""),46045.0)</f>
        <v>46045</v>
      </c>
      <c r="B164" s="1174" t="str">
        <f>IFERROR(__xludf.DUMMYFUNCTION("""COMPUTED_VALUE"""),"ke-ms-524301")</f>
        <v>ke-ms-524301</v>
      </c>
      <c r="C164" s="1174" t="str">
        <f>IFERROR(__xludf.DUMMYFUNCTION("""COMPUTED_VALUE"""),"ENERO")</f>
        <v>ENERO</v>
      </c>
      <c r="D164" s="1174" t="b">
        <f>IFERROR(__xludf.DUMMYFUNCTION("""COMPUTED_VALUE"""),TRUE)</f>
        <v>1</v>
      </c>
      <c r="E164" s="1174" t="str">
        <f>IFERROR(__xludf.DUMMYFUNCTION("""COMPUTED_VALUE"""),"Laptop")</f>
        <v>Laptop</v>
      </c>
      <c r="F164" s="1176">
        <f>IFERROR(__xludf.DUMMYFUNCTION("""COMPUTED_VALUE"""),1999.0)</f>
        <v>1999</v>
      </c>
      <c r="G164" s="1177">
        <f>IFERROR(__xludf.DUMMYFUNCTION("""COMPUTED_VALUE"""),319.9400000000005)</f>
        <v>319.94</v>
      </c>
      <c r="H164" s="1174" t="b">
        <f>IFERROR(__xludf.DUMMYFUNCTION("""COMPUTED_VALUE"""),TRUE)</f>
        <v>1</v>
      </c>
      <c r="I164" s="1174" t="str">
        <f>IFERROR(__xludf.DUMMYFUNCTION("""COMPUTED_VALUE"""),"FEBRERO")</f>
        <v>FEBRERO</v>
      </c>
      <c r="J164" s="1177">
        <f>IFERROR(__xludf.DUMMYFUNCTION("""COMPUTED_VALUE"""),9099.0)</f>
        <v>9099</v>
      </c>
      <c r="N164" s="1174" t="str">
        <f t="shared" si="1"/>
        <v/>
      </c>
    </row>
    <row r="165">
      <c r="A165" s="1175">
        <f>IFERROR(__xludf.DUMMYFUNCTION("""COMPUTED_VALUE"""),46045.0)</f>
        <v>46045</v>
      </c>
      <c r="B165" s="1174" t="str">
        <f>IFERROR(__xludf.DUMMYFUNCTION("""COMPUTED_VALUE"""),"L-M-230825")</f>
        <v>L-M-230825</v>
      </c>
      <c r="C165" s="1174" t="str">
        <f>IFERROR(__xludf.DUMMYFUNCTION("""COMPUTED_VALUE"""),"ENERO")</f>
        <v>ENERO</v>
      </c>
      <c r="D165" s="1174" t="b">
        <f>IFERROR(__xludf.DUMMYFUNCTION("""COMPUTED_VALUE"""),TRUE)</f>
        <v>1</v>
      </c>
      <c r="E165" s="1174" t="str">
        <f>IFERROR(__xludf.DUMMYFUNCTION("""COMPUTED_VALUE"""),"Laptop")</f>
        <v>Laptop</v>
      </c>
      <c r="F165" s="1176">
        <f>IFERROR(__xludf.DUMMYFUNCTION("""COMPUTED_VALUE"""),1499.99)</f>
        <v>1499.99</v>
      </c>
      <c r="G165" s="1177">
        <f>IFERROR(__xludf.DUMMYFUNCTION("""COMPUTED_VALUE"""),0.0)</f>
        <v>0</v>
      </c>
      <c r="H165" s="1174" t="b">
        <f>IFERROR(__xludf.DUMMYFUNCTION("""COMPUTED_VALUE"""),FALSE)</f>
        <v>0</v>
      </c>
      <c r="I165" s="1174" t="str">
        <f>IFERROR(__xludf.DUMMYFUNCTION("""COMPUTED_VALUE"""),"ENERO")</f>
        <v>ENERO</v>
      </c>
      <c r="J165" s="1177">
        <f>IFERROR(__xludf.DUMMYFUNCTION("""COMPUTED_VALUE"""),6899.0)</f>
        <v>6899</v>
      </c>
      <c r="N165" s="1174" t="str">
        <f t="shared" si="1"/>
        <v/>
      </c>
    </row>
    <row r="166">
      <c r="A166" s="1175">
        <f>IFERROR(__xludf.DUMMYFUNCTION("""COMPUTED_VALUE"""),46045.0)</f>
        <v>46045</v>
      </c>
      <c r="B166" s="1174" t="str">
        <f>IFERROR(__xludf.DUMMYFUNCTION("""COMPUTED_VALUE"""),"ke-bb-BBY01-807146664812")</f>
        <v>ke-bb-BBY01-807146664812</v>
      </c>
      <c r="C166" s="1174" t="str">
        <f>IFERROR(__xludf.DUMMYFUNCTION("""COMPUTED_VALUE"""),"ENERO")</f>
        <v>ENERO</v>
      </c>
      <c r="D166" s="1174" t="b">
        <f>IFERROR(__xludf.DUMMYFUNCTION("""COMPUTED_VALUE"""),TRUE)</f>
        <v>1</v>
      </c>
      <c r="E166" s="1174" t="str">
        <f>IFERROR(__xludf.DUMMYFUNCTION("""COMPUTED_VALUE"""),"Laptop")</f>
        <v>Laptop</v>
      </c>
      <c r="F166" s="1176">
        <f>IFERROR(__xludf.DUMMYFUNCTION("""COMPUTED_VALUE"""),1549.0)</f>
        <v>1549</v>
      </c>
      <c r="G166" s="1177">
        <f>IFERROR(__xludf.DUMMYFUNCTION("""COMPUTED_VALUE"""),198.0)</f>
        <v>198</v>
      </c>
      <c r="H166" s="1174" t="b">
        <f>IFERROR(__xludf.DUMMYFUNCTION("""COMPUTED_VALUE"""),TRUE)</f>
        <v>1</v>
      </c>
      <c r="I166" s="1174" t="str">
        <f>IFERROR(__xludf.DUMMYFUNCTION("""COMPUTED_VALUE"""),"FEBRERO")</f>
        <v>FEBRERO</v>
      </c>
      <c r="J166" s="1177">
        <f>IFERROR(__xludf.DUMMYFUNCTION("""COMPUTED_VALUE"""),7199.0)</f>
        <v>7199</v>
      </c>
      <c r="N166" s="1174" t="str">
        <f t="shared" si="1"/>
        <v/>
      </c>
    </row>
    <row r="167">
      <c r="A167" s="1175">
        <f>IFERROR(__xludf.DUMMYFUNCTION("""COMPUTED_VALUE"""),46046.0)</f>
        <v>46046</v>
      </c>
      <c r="B167" s="1174" t="str">
        <f>IFERROR(__xludf.DUMMYFUNCTION("""COMPUTED_VALUE"""),"li-mi-260126")</f>
        <v>li-mi-260126</v>
      </c>
      <c r="C167" s="1174" t="str">
        <f>IFERROR(__xludf.DUMMYFUNCTION("""COMPUTED_VALUE"""),"ENERO")</f>
        <v>ENERO</v>
      </c>
      <c r="D167" s="1174" t="b">
        <f>IFERROR(__xludf.DUMMYFUNCTION("""COMPUTED_VALUE"""),TRUE)</f>
        <v>1</v>
      </c>
      <c r="E167" s="1174" t="str">
        <f>IFERROR(__xludf.DUMMYFUNCTION("""COMPUTED_VALUE"""),"Laptop")</f>
        <v>Laptop</v>
      </c>
      <c r="F167" s="1176">
        <f>IFERROR(__xludf.DUMMYFUNCTION("""COMPUTED_VALUE"""),1499.99)</f>
        <v>1499.99</v>
      </c>
      <c r="G167" s="1177">
        <f>IFERROR(__xludf.DUMMYFUNCTION("""COMPUTED_VALUE"""),145.0)</f>
        <v>145</v>
      </c>
      <c r="H167" s="1174" t="b">
        <f>IFERROR(__xludf.DUMMYFUNCTION("""COMPUTED_VALUE"""),TRUE)</f>
        <v>1</v>
      </c>
      <c r="I167" s="1174" t="str">
        <f>IFERROR(__xludf.DUMMYFUNCTION("""COMPUTED_VALUE"""),"FEBRERO")</f>
        <v>FEBRERO</v>
      </c>
      <c r="J167" s="1177">
        <f>IFERROR(__xludf.DUMMYFUNCTION("""COMPUTED_VALUE"""),7275.36)</f>
        <v>7275.36</v>
      </c>
      <c r="N167" s="1174" t="str">
        <f t="shared" si="1"/>
        <v/>
      </c>
    </row>
    <row r="168">
      <c r="A168" s="1175">
        <f>IFERROR(__xludf.DUMMYFUNCTION("""COMPUTED_VALUE"""),46048.0)</f>
        <v>46048</v>
      </c>
      <c r="B168" s="1174" t="str">
        <f>IFERROR(__xludf.DUMMYFUNCTION("""COMPUTED_VALUE"""),"so-eb-17-14144-72924")</f>
        <v>so-eb-17-14144-72924</v>
      </c>
      <c r="C168" s="1174" t="str">
        <f>IFERROR(__xludf.DUMMYFUNCTION("""COMPUTED_VALUE"""),"ENERO")</f>
        <v>ENERO</v>
      </c>
      <c r="D168" s="1174" t="b">
        <f>IFERROR(__xludf.DUMMYFUNCTION("""COMPUTED_VALUE"""),TRUE)</f>
        <v>1</v>
      </c>
      <c r="E168" s="1174" t="str">
        <f>IFERROR(__xludf.DUMMYFUNCTION("""COMPUTED_VALUE"""),"Laptop")</f>
        <v>Laptop</v>
      </c>
      <c r="F168" s="1176">
        <f>IFERROR(__xludf.DUMMYFUNCTION("""COMPUTED_VALUE"""),1499.99)</f>
        <v>1499.99</v>
      </c>
      <c r="G168" s="1177">
        <f>IFERROR(__xludf.DUMMYFUNCTION("""COMPUTED_VALUE"""),107.32999999999993)</f>
        <v>107.33</v>
      </c>
      <c r="H168" s="1174" t="b">
        <f>IFERROR(__xludf.DUMMYFUNCTION("""COMPUTED_VALUE"""),TRUE)</f>
        <v>1</v>
      </c>
      <c r="I168" s="1174" t="str">
        <f>IFERROR(__xludf.DUMMYFUNCTION("""COMPUTED_VALUE"""),"FEBRERO")</f>
        <v>FEBRERO</v>
      </c>
      <c r="J168" s="1177">
        <f>IFERROR(__xludf.DUMMYFUNCTION("""COMPUTED_VALUE"""),6899.0)</f>
        <v>6899</v>
      </c>
      <c r="N168" s="1174" t="str">
        <f t="shared" si="1"/>
        <v/>
      </c>
    </row>
    <row r="169">
      <c r="A169" s="1175">
        <f>IFERROR(__xludf.DUMMYFUNCTION("""COMPUTED_VALUE"""),46051.0)</f>
        <v>46051</v>
      </c>
      <c r="B169" s="1174" t="str">
        <f>IFERROR(__xludf.DUMMYFUNCTION("""COMPUTED_VALUE"""),"ke-eb-14-14165-96631")</f>
        <v>ke-eb-14-14165-96631</v>
      </c>
      <c r="C169" s="1174" t="str">
        <f>IFERROR(__xludf.DUMMYFUNCTION("""COMPUTED_VALUE"""),"FEBRERO")</f>
        <v>FEBRERO</v>
      </c>
      <c r="D169" s="1174" t="b">
        <f>IFERROR(__xludf.DUMMYFUNCTION("""COMPUTED_VALUE"""),TRUE)</f>
        <v>1</v>
      </c>
      <c r="E169" s="1174" t="str">
        <f>IFERROR(__xludf.DUMMYFUNCTION("""COMPUTED_VALUE"""),"Laptop")</f>
        <v>Laptop</v>
      </c>
      <c r="F169" s="1176">
        <f>IFERROR(__xludf.DUMMYFUNCTION("""COMPUTED_VALUE"""),1849.99)</f>
        <v>1849.99</v>
      </c>
      <c r="G169" s="1177">
        <f>IFERROR(__xludf.DUMMYFUNCTION("""COMPUTED_VALUE"""),268.1099999999997)</f>
        <v>268.11</v>
      </c>
      <c r="H169" s="1174" t="b">
        <f>IFERROR(__xludf.DUMMYFUNCTION("""COMPUTED_VALUE"""),TRUE)</f>
        <v>1</v>
      </c>
      <c r="I169" s="1174" t="str">
        <f>IFERROR(__xludf.DUMMYFUNCTION("""COMPUTED_VALUE"""),"MARZO")</f>
        <v>MARZO</v>
      </c>
      <c r="J169" s="1177">
        <f>IFERROR(__xludf.DUMMYFUNCTION("""COMPUTED_VALUE"""),8299.0)</f>
        <v>8299</v>
      </c>
      <c r="N169" s="1174" t="str">
        <f t="shared" si="1"/>
        <v/>
      </c>
    </row>
    <row r="170">
      <c r="A170" s="1175">
        <f>IFERROR(__xludf.DUMMYFUNCTION("""COMPUTED_VALUE"""),46052.0)</f>
        <v>46052</v>
      </c>
      <c r="B170" s="1174" t="str">
        <f>IFERROR(__xludf.DUMMYFUNCTION("""COMPUTED_VALUE"""),"li-mi-010226")</f>
        <v>li-mi-010226</v>
      </c>
      <c r="C170" s="1174" t="str">
        <f>IFERROR(__xludf.DUMMYFUNCTION("""COMPUTED_VALUE"""),"FEBRERO")</f>
        <v>FEBRERO</v>
      </c>
      <c r="D170" s="1174" t="b">
        <f>IFERROR(__xludf.DUMMYFUNCTION("""COMPUTED_VALUE"""),TRUE)</f>
        <v>1</v>
      </c>
      <c r="E170" s="1174" t="str">
        <f>IFERROR(__xludf.DUMMYFUNCTION("""COMPUTED_VALUE"""),"Laptop")</f>
        <v>Laptop</v>
      </c>
      <c r="F170" s="1176">
        <f>IFERROR(__xludf.DUMMYFUNCTION("""COMPUTED_VALUE"""),2599.99)</f>
        <v>2599.99</v>
      </c>
      <c r="G170" s="1177">
        <f>IFERROR(__xludf.DUMMYFUNCTION("""COMPUTED_VALUE"""),751.8600000000006)</f>
        <v>751.86</v>
      </c>
      <c r="H170" s="1174" t="b">
        <f>IFERROR(__xludf.DUMMYFUNCTION("""COMPUTED_VALUE"""),FALSE)</f>
        <v>0</v>
      </c>
      <c r="I170" s="1174" t="str">
        <f>IFERROR(__xludf.DUMMYFUNCTION("""COMPUTED_VALUE"""),"FEBRERO")</f>
        <v>FEBRERO</v>
      </c>
      <c r="J170" s="1177">
        <f>IFERROR(__xludf.DUMMYFUNCTION("""COMPUTED_VALUE"""),11999.0)</f>
        <v>11999</v>
      </c>
      <c r="N170" s="1174" t="str">
        <f t="shared" si="1"/>
        <v/>
      </c>
    </row>
    <row r="171">
      <c r="A171" s="1175">
        <f>IFERROR(__xludf.DUMMYFUNCTION("""COMPUTED_VALUE"""),46053.0)</f>
        <v>46053</v>
      </c>
      <c r="B171" s="1174" t="str">
        <f>IFERROR(__xludf.DUMMYFUNCTION("""COMPUTED_VALUE"""),"so-eb-22-14045-66443")</f>
        <v>so-eb-22-14045-66443</v>
      </c>
      <c r="C171" s="1174" t="str">
        <f>IFERROR(__xludf.DUMMYFUNCTION("""COMPUTED_VALUE"""),"ENERO")</f>
        <v>ENERO</v>
      </c>
      <c r="D171" s="1174" t="b">
        <f>IFERROR(__xludf.DUMMYFUNCTION("""COMPUTED_VALUE"""),TRUE)</f>
        <v>1</v>
      </c>
      <c r="E171" s="1174" t="str">
        <f>IFERROR(__xludf.DUMMYFUNCTION("""COMPUTED_VALUE"""),"Laptop")</f>
        <v>Laptop</v>
      </c>
      <c r="F171" s="1176">
        <f>IFERROR(__xludf.DUMMYFUNCTION("""COMPUTED_VALUE"""),1349.999)</f>
        <v>1349.999</v>
      </c>
      <c r="G171" s="1177">
        <f>IFERROR(__xludf.DUMMYFUNCTION("""COMPUTED_VALUE"""),64.0)</f>
        <v>64</v>
      </c>
      <c r="H171" s="1174" t="b">
        <f>IFERROR(__xludf.DUMMYFUNCTION("""COMPUTED_VALUE"""),TRUE)</f>
        <v>1</v>
      </c>
      <c r="I171" s="1174" t="str">
        <f>IFERROR(__xludf.DUMMYFUNCTION("""COMPUTED_VALUE"""),"ENERO")</f>
        <v>ENERO</v>
      </c>
      <c r="J171" s="1177">
        <f>IFERROR(__xludf.DUMMYFUNCTION("""COMPUTED_VALUE"""),6099.0)</f>
        <v>6099</v>
      </c>
      <c r="N171" s="1174" t="str">
        <f t="shared" si="1"/>
        <v/>
      </c>
    </row>
    <row r="172">
      <c r="A172" s="1175">
        <f>IFERROR(__xludf.DUMMYFUNCTION("""COMPUTED_VALUE"""),46062.0)</f>
        <v>46062</v>
      </c>
      <c r="B172" s="1174" t="str">
        <f>IFERROR(__xludf.DUMMYFUNCTION("""COMPUTED_VALUE"""),"ja-mi-100226")</f>
        <v>ja-mi-100226</v>
      </c>
      <c r="C172" s="1174" t="str">
        <f>IFERROR(__xludf.DUMMYFUNCTION("""COMPUTED_VALUE"""),"FEBRERO")</f>
        <v>FEBRERO</v>
      </c>
      <c r="D172" s="1174" t="b">
        <f>IFERROR(__xludf.DUMMYFUNCTION("""COMPUTED_VALUE"""),TRUE)</f>
        <v>1</v>
      </c>
      <c r="E172" s="1174" t="str">
        <f>IFERROR(__xludf.DUMMYFUNCTION("""COMPUTED_VALUE"""),"Laptop")</f>
        <v>Laptop</v>
      </c>
      <c r="F172" s="1176">
        <f>IFERROR(__xludf.DUMMYFUNCTION("""COMPUTED_VALUE"""),849.99)</f>
        <v>849.99</v>
      </c>
      <c r="G172" s="1177">
        <f>IFERROR(__xludf.DUMMYFUNCTION("""COMPUTED_VALUE"""),106.27000000000044)</f>
        <v>106.27</v>
      </c>
      <c r="H172" s="1174" t="b">
        <f>IFERROR(__xludf.DUMMYFUNCTION("""COMPUTED_VALUE"""),TRUE)</f>
        <v>1</v>
      </c>
      <c r="I172" s="1174" t="str">
        <f>IFERROR(__xludf.DUMMYFUNCTION("""COMPUTED_VALUE"""),"FEBRERO")</f>
        <v>FEBRERO</v>
      </c>
      <c r="J172" s="1177">
        <f>IFERROR(__xludf.DUMMYFUNCTION("""COMPUTED_VALUE"""),4699.0)</f>
        <v>4699</v>
      </c>
      <c r="N172" s="1174" t="str">
        <f t="shared" si="1"/>
        <v/>
      </c>
    </row>
    <row r="173">
      <c r="A173" s="1175">
        <f>IFERROR(__xludf.DUMMYFUNCTION("""COMPUTED_VALUE"""),46062.0)</f>
        <v>46062</v>
      </c>
      <c r="B173" s="1174" t="str">
        <f>IFERROR(__xludf.DUMMYFUNCTION("""COMPUTED_VALUE"""),"ke-eb-09-14219-54101")</f>
        <v>ke-eb-09-14219-54101</v>
      </c>
      <c r="C173" s="1174" t="str">
        <f>IFERROR(__xludf.DUMMYFUNCTION("""COMPUTED_VALUE"""),"FEBRERO")</f>
        <v>FEBRERO</v>
      </c>
      <c r="D173" s="1174" t="b">
        <f>IFERROR(__xludf.DUMMYFUNCTION("""COMPUTED_VALUE"""),TRUE)</f>
        <v>1</v>
      </c>
      <c r="E173" s="1174" t="str">
        <f>IFERROR(__xludf.DUMMYFUNCTION("""COMPUTED_VALUE"""),"Laptop")</f>
        <v>Laptop</v>
      </c>
      <c r="F173" s="1176">
        <f>IFERROR(__xludf.DUMMYFUNCTION("""COMPUTED_VALUE"""),1549.99)</f>
        <v>1549.99</v>
      </c>
      <c r="G173" s="1177">
        <f>IFERROR(__xludf.DUMMYFUNCTION("""COMPUTED_VALUE"""),193.34000000000015)</f>
        <v>193.34</v>
      </c>
      <c r="H173" s="1174" t="b">
        <f>IFERROR(__xludf.DUMMYFUNCTION("""COMPUTED_VALUE"""),TRUE)</f>
        <v>1</v>
      </c>
      <c r="I173" s="1174" t="str">
        <f>IFERROR(__xludf.DUMMYFUNCTION("""COMPUTED_VALUE"""),"FEBRERO")</f>
        <v>FEBRERO</v>
      </c>
      <c r="J173" s="1177">
        <f>IFERROR(__xludf.DUMMYFUNCTION("""COMPUTED_VALUE"""),7199.0)</f>
        <v>7199</v>
      </c>
      <c r="N173" s="1174" t="str">
        <f t="shared" si="1"/>
        <v/>
      </c>
    </row>
    <row r="174">
      <c r="A174" s="1175">
        <f>IFERROR(__xludf.DUMMYFUNCTION("""COMPUTED_VALUE"""),46064.0)</f>
        <v>46064</v>
      </c>
      <c r="B174" s="1174" t="str">
        <f>IFERROR(__xludf.DUMMYFUNCTION("""COMPUTED_VALUE"""),"ke-be-BBY01-807144858716")</f>
        <v>ke-be-BBY01-807144858716</v>
      </c>
      <c r="C174" s="1174" t="str">
        <f>IFERROR(__xludf.DUMMYFUNCTION("""COMPUTED_VALUE"""),"FEBRERO")</f>
        <v>FEBRERO</v>
      </c>
      <c r="D174" s="1174" t="b">
        <f>IFERROR(__xludf.DUMMYFUNCTION("""COMPUTED_VALUE"""),TRUE)</f>
        <v>1</v>
      </c>
      <c r="E174" s="1174" t="str">
        <f>IFERROR(__xludf.DUMMYFUNCTION("""COMPUTED_VALUE"""),"Laptop")</f>
        <v>Laptop</v>
      </c>
      <c r="F174" s="1176">
        <f>IFERROR(__xludf.DUMMYFUNCTION("""COMPUTED_VALUE"""),1299.99)</f>
        <v>1299.99</v>
      </c>
      <c r="G174" s="1177">
        <f>IFERROR(__xludf.DUMMYFUNCTION("""COMPUTED_VALUE"""),50.0)</f>
        <v>50</v>
      </c>
      <c r="H174" s="1174" t="b">
        <f>IFERROR(__xludf.DUMMYFUNCTION("""COMPUTED_VALUE"""),TRUE)</f>
        <v>1</v>
      </c>
      <c r="I174" s="1174" t="str">
        <f>IFERROR(__xludf.DUMMYFUNCTION("""COMPUTED_VALUE"""),"MARZO")</f>
        <v>MARZO</v>
      </c>
      <c r="J174" s="1177">
        <f>IFERROR(__xludf.DUMMYFUNCTION("""COMPUTED_VALUE"""),5868.74)</f>
        <v>5868.74</v>
      </c>
      <c r="N174" s="1174" t="str">
        <f t="shared" si="1"/>
        <v/>
      </c>
    </row>
    <row r="175">
      <c r="A175" s="1175">
        <f>IFERROR(__xludf.DUMMYFUNCTION("""COMPUTED_VALUE"""),46066.0)</f>
        <v>46066</v>
      </c>
      <c r="B175" s="1174" t="str">
        <f>IFERROR(__xludf.DUMMYFUNCTION("""COMPUTED_VALUE"""),"yo-eb-07-14230-17008")</f>
        <v>yo-eb-07-14230-17008</v>
      </c>
      <c r="C175" s="1174" t="str">
        <f>IFERROR(__xludf.DUMMYFUNCTION("""COMPUTED_VALUE"""),"FEBRERO")</f>
        <v>FEBRERO</v>
      </c>
      <c r="D175" s="1174" t="b">
        <f>IFERROR(__xludf.DUMMYFUNCTION("""COMPUTED_VALUE"""),TRUE)</f>
        <v>1</v>
      </c>
      <c r="E175" s="1174" t="str">
        <f>IFERROR(__xludf.DUMMYFUNCTION("""COMPUTED_VALUE"""),"Laptop")</f>
        <v>Laptop</v>
      </c>
      <c r="F175" s="1176">
        <f>IFERROR(__xludf.DUMMYFUNCTION("""COMPUTED_VALUE"""),1549.99)</f>
        <v>1549.99</v>
      </c>
      <c r="G175" s="1177">
        <f>IFERROR(__xludf.DUMMYFUNCTION("""COMPUTED_VALUE"""),88.34000000000015)</f>
        <v>88.34</v>
      </c>
      <c r="H175" s="1174" t="b">
        <f>IFERROR(__xludf.DUMMYFUNCTION("""COMPUTED_VALUE"""),TRUE)</f>
        <v>1</v>
      </c>
      <c r="I175" s="1174" t="str">
        <f>IFERROR(__xludf.DUMMYFUNCTION("""COMPUTED_VALUE"""),"MARZO")</f>
        <v>MARZO</v>
      </c>
      <c r="J175" s="1177">
        <f>IFERROR(__xludf.DUMMYFUNCTION("""COMPUTED_VALUE"""),6999.0)</f>
        <v>6999</v>
      </c>
      <c r="N175" s="1174" t="str">
        <f t="shared" si="1"/>
        <v/>
      </c>
    </row>
    <row r="176">
      <c r="A176" s="1175">
        <f>IFERROR(__xludf.DUMMYFUNCTION("""COMPUTED_VALUE"""),46066.0)</f>
        <v>46066</v>
      </c>
      <c r="B176" s="1174" t="str">
        <f>IFERROR(__xludf.DUMMYFUNCTION("""COMPUTED_VALUE"""),"si-mi-160226")</f>
        <v>si-mi-160226</v>
      </c>
      <c r="C176" s="1174" t="str">
        <f>IFERROR(__xludf.DUMMYFUNCTION("""COMPUTED_VALUE"""),"FEBRERO")</f>
        <v>FEBRERO</v>
      </c>
      <c r="D176" s="1174" t="b">
        <f>IFERROR(__xludf.DUMMYFUNCTION("""COMPUTED_VALUE"""),TRUE)</f>
        <v>1</v>
      </c>
      <c r="E176" s="1174" t="str">
        <f>IFERROR(__xludf.DUMMYFUNCTION("""COMPUTED_VALUE"""),"Laptop")</f>
        <v>Laptop</v>
      </c>
      <c r="F176" s="1176">
        <f>IFERROR(__xludf.DUMMYFUNCTION("""COMPUTED_VALUE"""),2099.99)</f>
        <v>2099.99</v>
      </c>
      <c r="G176" s="1177">
        <f>IFERROR(__xludf.DUMMYFUNCTION("""COMPUTED_VALUE"""),10.340000000000146)</f>
        <v>10.34</v>
      </c>
      <c r="H176" s="1174" t="b">
        <f>IFERROR(__xludf.DUMMYFUNCTION("""COMPUTED_VALUE"""),TRUE)</f>
        <v>1</v>
      </c>
      <c r="I176" s="1174" t="str">
        <f>IFERROR(__xludf.DUMMYFUNCTION("""COMPUTED_VALUE"""),"FEBRERO")</f>
        <v>FEBRERO</v>
      </c>
      <c r="J176" s="1177">
        <f>IFERROR(__xludf.DUMMYFUNCTION("""COMPUTED_VALUE"""),9599.0)</f>
        <v>9599</v>
      </c>
      <c r="N176" s="1174" t="str">
        <f t="shared" si="1"/>
        <v/>
      </c>
    </row>
    <row r="177">
      <c r="A177" s="1175">
        <f>IFERROR(__xludf.DUMMYFUNCTION("""COMPUTED_VALUE"""),46071.0)</f>
        <v>46071</v>
      </c>
      <c r="B177" s="1174" t="str">
        <f>IFERROR(__xludf.DUMMYFUNCTION("""COMPUTED_VALUE"""),"li-mi-130226")</f>
        <v>li-mi-130226</v>
      </c>
      <c r="C177" s="1174" t="str">
        <f>IFERROR(__xludf.DUMMYFUNCTION("""COMPUTED_VALUE"""),"FEBRERO")</f>
        <v>FEBRERO</v>
      </c>
      <c r="D177" s="1174" t="b">
        <f>IFERROR(__xludf.DUMMYFUNCTION("""COMPUTED_VALUE"""),TRUE)</f>
        <v>1</v>
      </c>
      <c r="E177" s="1174" t="str">
        <f>IFERROR(__xludf.DUMMYFUNCTION("""COMPUTED_VALUE"""),"Laptop")</f>
        <v>Laptop</v>
      </c>
      <c r="F177" s="1176">
        <f>IFERROR(__xludf.DUMMYFUNCTION("""COMPUTED_VALUE"""),1799.99)</f>
        <v>1799.99</v>
      </c>
      <c r="G177" s="1177">
        <f>IFERROR(__xludf.DUMMYFUNCTION("""COMPUTED_VALUE"""),390.46000000000004)</f>
        <v>390.46</v>
      </c>
      <c r="H177" s="1174" t="b">
        <f>IFERROR(__xludf.DUMMYFUNCTION("""COMPUTED_VALUE"""),TRUE)</f>
        <v>1</v>
      </c>
      <c r="I177" s="1174" t="str">
        <f>IFERROR(__xludf.DUMMYFUNCTION("""COMPUTED_VALUE"""),"MARZO")</f>
        <v>MARZO</v>
      </c>
      <c r="J177" s="1177">
        <f>IFERROR(__xludf.DUMMYFUNCTION("""COMPUTED_VALUE"""),8699.0)</f>
        <v>8699</v>
      </c>
      <c r="N177" s="1174" t="str">
        <f t="shared" si="1"/>
        <v/>
      </c>
    </row>
    <row r="178">
      <c r="A178" s="1175">
        <f>IFERROR(__xludf.DUMMYFUNCTION("""COMPUTED_VALUE"""),46073.0)</f>
        <v>46073</v>
      </c>
      <c r="B178" s="1174" t="str">
        <f>IFERROR(__xludf.DUMMYFUNCTION("""COMPUTED_VALUE"""),"si-mi-210226")</f>
        <v>si-mi-210226</v>
      </c>
      <c r="C178" s="1174" t="str">
        <f>IFERROR(__xludf.DUMMYFUNCTION("""COMPUTED_VALUE"""),"FEBRERO")</f>
        <v>FEBRERO</v>
      </c>
      <c r="D178" s="1174" t="b">
        <f>IFERROR(__xludf.DUMMYFUNCTION("""COMPUTED_VALUE"""),TRUE)</f>
        <v>1</v>
      </c>
      <c r="E178" s="1174" t="str">
        <f>IFERROR(__xludf.DUMMYFUNCTION("""COMPUTED_VALUE"""),"Laptop")</f>
        <v>Laptop</v>
      </c>
      <c r="F178" s="1176">
        <f>IFERROR(__xludf.DUMMYFUNCTION("""COMPUTED_VALUE"""),1499.99)</f>
        <v>1499.99</v>
      </c>
      <c r="G178" s="1177">
        <f>IFERROR(__xludf.DUMMYFUNCTION("""COMPUTED_VALUE"""),45.0)</f>
        <v>45</v>
      </c>
      <c r="H178" s="1174" t="b">
        <f>IFERROR(__xludf.DUMMYFUNCTION("""COMPUTED_VALUE"""),TRUE)</f>
        <v>1</v>
      </c>
      <c r="I178" s="1174" t="str">
        <f>IFERROR(__xludf.DUMMYFUNCTION("""COMPUTED_VALUE"""),"MARZO")</f>
        <v>MARZO</v>
      </c>
      <c r="J178" s="1177">
        <f>IFERROR(__xludf.DUMMYFUNCTION("""COMPUTED_VALUE"""),7236.21)</f>
        <v>7236.21</v>
      </c>
      <c r="N178" s="1174" t="str">
        <f t="shared" si="1"/>
        <v/>
      </c>
    </row>
    <row r="179">
      <c r="A179" s="1175">
        <f>IFERROR(__xludf.DUMMYFUNCTION("""COMPUTED_VALUE"""),46073.0)</f>
        <v>46073</v>
      </c>
      <c r="B179" s="1174" t="str">
        <f>IFERROR(__xludf.DUMMYFUNCTION("""COMPUTED_VALUE"""),"si-mi-210226-2")</f>
        <v>si-mi-210226-2</v>
      </c>
      <c r="C179" s="1174" t="str">
        <f>IFERROR(__xludf.DUMMYFUNCTION("""COMPUTED_VALUE"""),"FEBRERO")</f>
        <v>FEBRERO</v>
      </c>
      <c r="D179" s="1174" t="b">
        <f>IFERROR(__xludf.DUMMYFUNCTION("""COMPUTED_VALUE"""),TRUE)</f>
        <v>1</v>
      </c>
      <c r="E179" s="1174" t="str">
        <f>IFERROR(__xludf.DUMMYFUNCTION("""COMPUTED_VALUE"""),"Laptop")</f>
        <v>Laptop</v>
      </c>
      <c r="F179" s="1176">
        <f>IFERROR(__xludf.DUMMYFUNCTION("""COMPUTED_VALUE"""),1799.99)</f>
        <v>1799.99</v>
      </c>
      <c r="G179" s="1177">
        <f>IFERROR(__xludf.DUMMYFUNCTION("""COMPUTED_VALUE"""),145.0)</f>
        <v>145</v>
      </c>
      <c r="H179" s="1174" t="b">
        <f>IFERROR(__xludf.DUMMYFUNCTION("""COMPUTED_VALUE"""),TRUE)</f>
        <v>1</v>
      </c>
      <c r="I179" s="1174" t="str">
        <f>IFERROR(__xludf.DUMMYFUNCTION("""COMPUTED_VALUE"""),"MARZO")</f>
        <v>MARZO</v>
      </c>
      <c r="J179" s="1177">
        <f>IFERROR(__xludf.DUMMYFUNCTION("""COMPUTED_VALUE"""),8460.34)</f>
        <v>8460.34</v>
      </c>
      <c r="N179" s="1174" t="str">
        <f t="shared" si="1"/>
        <v/>
      </c>
    </row>
    <row r="180">
      <c r="A180" s="1175">
        <f>IFERROR(__xludf.DUMMYFUNCTION("""COMPUTED_VALUE"""),46074.0)</f>
        <v>46074</v>
      </c>
      <c r="B180" s="1174" t="str">
        <f>IFERROR(__xludf.DUMMYFUNCTION("""COMPUTED_VALUE"""),"so-eb-22-14124-67118")</f>
        <v>so-eb-22-14124-67118</v>
      </c>
      <c r="C180" s="1174" t="str">
        <f>IFERROR(__xludf.DUMMYFUNCTION("""COMPUTED_VALUE"""),"FEBRERO")</f>
        <v>FEBRERO</v>
      </c>
      <c r="D180" s="1174" t="b">
        <f>IFERROR(__xludf.DUMMYFUNCTION("""COMPUTED_VALUE"""),TRUE)</f>
        <v>1</v>
      </c>
      <c r="E180" s="1174" t="str">
        <f>IFERROR(__xludf.DUMMYFUNCTION("""COMPUTED_VALUE"""),"Laptop")</f>
        <v>Laptop</v>
      </c>
      <c r="F180" s="1176">
        <f>IFERROR(__xludf.DUMMYFUNCTION("""COMPUTED_VALUE"""),1599.99)</f>
        <v>1599.99</v>
      </c>
      <c r="G180" s="1177">
        <f>IFERROR(__xludf.DUMMYFUNCTION("""COMPUTED_VALUE"""),6.989999999999782)</f>
        <v>6.99</v>
      </c>
      <c r="H180" s="1174" t="b">
        <f>IFERROR(__xludf.DUMMYFUNCTION("""COMPUTED_VALUE"""),TRUE)</f>
        <v>1</v>
      </c>
      <c r="I180" s="1174" t="str">
        <f>IFERROR(__xludf.DUMMYFUNCTION("""COMPUTED_VALUE"""),"FEBRERO")</f>
        <v>FEBRERO</v>
      </c>
      <c r="J180" s="1177">
        <f>IFERROR(__xludf.DUMMYFUNCTION("""COMPUTED_VALUE"""),6999.99)</f>
        <v>6999.99</v>
      </c>
      <c r="N180" s="1174" t="str">
        <f t="shared" si="1"/>
        <v/>
      </c>
    </row>
    <row r="181">
      <c r="A181" s="1175">
        <f>IFERROR(__xludf.DUMMYFUNCTION("""COMPUTED_VALUE"""),46076.0)</f>
        <v>46076</v>
      </c>
      <c r="B181" s="1174" t="str">
        <f>IFERROR(__xludf.DUMMYFUNCTION("""COMPUTED_VALUE"""),"ga-co-150126")</f>
        <v>ga-co-150126</v>
      </c>
      <c r="C181" s="1174" t="str">
        <f>IFERROR(__xludf.DUMMYFUNCTION("""COMPUTED_VALUE"""),"FEBRERO")</f>
        <v>FEBRERO</v>
      </c>
      <c r="D181" s="1174" t="b">
        <f>IFERROR(__xludf.DUMMYFUNCTION("""COMPUTED_VALUE"""),TRUE)</f>
        <v>1</v>
      </c>
      <c r="E181" s="1174" t="str">
        <f>IFERROR(__xludf.DUMMYFUNCTION("""COMPUTED_VALUE"""),"Laptop")</f>
        <v>Laptop</v>
      </c>
      <c r="F181" s="1176">
        <f>IFERROR(__xludf.DUMMYFUNCTION("""COMPUTED_VALUE"""),1499.0)</f>
        <v>1499</v>
      </c>
      <c r="G181" s="1177">
        <f>IFERROR(__xludf.DUMMYFUNCTION("""COMPUTED_VALUE"""),67.0)</f>
        <v>67</v>
      </c>
      <c r="H181" s="1174" t="b">
        <f>IFERROR(__xludf.DUMMYFUNCTION("""COMPUTED_VALUE"""),TRUE)</f>
        <v>1</v>
      </c>
      <c r="I181" s="1174" t="str">
        <f>IFERROR(__xludf.DUMMYFUNCTION("""COMPUTED_VALUE"""),"FEBRERO")</f>
        <v>FEBRERO</v>
      </c>
      <c r="J181" s="1177">
        <f>IFERROR(__xludf.DUMMYFUNCTION("""COMPUTED_VALUE"""),7499.0)</f>
        <v>7499</v>
      </c>
      <c r="N181" s="1174" t="str">
        <f t="shared" si="1"/>
        <v/>
      </c>
    </row>
    <row r="182">
      <c r="A182" s="1175">
        <f>IFERROR(__xludf.DUMMYFUNCTION("""COMPUTED_VALUE"""),46079.0)</f>
        <v>46079</v>
      </c>
      <c r="B182" s="1174" t="str">
        <f>IFERROR(__xludf.DUMMYFUNCTION("""COMPUTED_VALUE"""),"ab-eb-19-14128-98092")</f>
        <v>ab-eb-19-14128-98092</v>
      </c>
      <c r="C182" s="1174" t="str">
        <f>IFERROR(__xludf.DUMMYFUNCTION("""COMPUTED_VALUE"""),"FEBRERO")</f>
        <v>FEBRERO</v>
      </c>
      <c r="D182" s="1174" t="b">
        <f>IFERROR(__xludf.DUMMYFUNCTION("""COMPUTED_VALUE"""),TRUE)</f>
        <v>1</v>
      </c>
      <c r="E182" s="1174" t="str">
        <f>IFERROR(__xludf.DUMMYFUNCTION("""COMPUTED_VALUE"""),"Laptop")</f>
        <v>Laptop</v>
      </c>
      <c r="F182" s="1176">
        <f>IFERROR(__xludf.DUMMYFUNCTION("""COMPUTED_VALUE"""),1599.99)</f>
        <v>1599.99</v>
      </c>
      <c r="G182" s="1177">
        <f>IFERROR(__xludf.DUMMYFUNCTION("""COMPUTED_VALUE"""),107.0)</f>
        <v>107</v>
      </c>
      <c r="H182" s="1174" t="b">
        <f>IFERROR(__xludf.DUMMYFUNCTION("""COMPUTED_VALUE"""),FALSE)</f>
        <v>0</v>
      </c>
      <c r="I182" s="1174" t="str">
        <f>IFERROR(__xludf.DUMMYFUNCTION("""COMPUTED_VALUE"""),"FEBRERO")</f>
        <v>FEBRERO</v>
      </c>
      <c r="J182" s="1177">
        <f>IFERROR(__xludf.DUMMYFUNCTION("""COMPUTED_VALUE"""),7499.0)</f>
        <v>7499</v>
      </c>
      <c r="N182" s="1174" t="str">
        <f t="shared" si="1"/>
        <v/>
      </c>
    </row>
    <row r="183">
      <c r="A183" s="1175">
        <f>IFERROR(__xludf.DUMMYFUNCTION("""COMPUTED_VALUE"""),46079.0)</f>
        <v>46079</v>
      </c>
      <c r="B183" s="1174" t="str">
        <f>IFERROR(__xludf.DUMMYFUNCTION("""COMPUTED_VALUE"""),"ke-am-113-2517965-9889813")</f>
        <v>ke-am-113-2517965-9889813</v>
      </c>
      <c r="C183" s="1174" t="str">
        <f>IFERROR(__xludf.DUMMYFUNCTION("""COMPUTED_VALUE"""),"FEBRERO")</f>
        <v>FEBRERO</v>
      </c>
      <c r="D183" s="1174" t="b">
        <f>IFERROR(__xludf.DUMMYFUNCTION("""COMPUTED_VALUE"""),TRUE)</f>
        <v>1</v>
      </c>
      <c r="E183" s="1174" t="str">
        <f>IFERROR(__xludf.DUMMYFUNCTION("""COMPUTED_VALUE"""),"Laptop")</f>
        <v>Laptop</v>
      </c>
      <c r="F183" s="1176">
        <f>IFERROR(__xludf.DUMMYFUNCTION("""COMPUTED_VALUE"""),1499.0)</f>
        <v>1499</v>
      </c>
      <c r="G183" s="1177">
        <f>IFERROR(__xludf.DUMMYFUNCTION("""COMPUTED_VALUE"""),111.0)</f>
        <v>111</v>
      </c>
      <c r="H183" s="1174" t="b">
        <f>IFERROR(__xludf.DUMMYFUNCTION("""COMPUTED_VALUE"""),TRUE)</f>
        <v>1</v>
      </c>
      <c r="I183" s="1174" t="str">
        <f>IFERROR(__xludf.DUMMYFUNCTION("""COMPUTED_VALUE"""),"MARZO")</f>
        <v>MARZO</v>
      </c>
      <c r="J183" s="1177">
        <f>IFERROR(__xludf.DUMMYFUNCTION("""COMPUTED_VALUE"""),6899.0)</f>
        <v>6899</v>
      </c>
      <c r="N183" s="1174" t="str">
        <f t="shared" si="1"/>
        <v/>
      </c>
    </row>
    <row r="184">
      <c r="A184" s="1175">
        <f>IFERROR(__xludf.DUMMYFUNCTION("""COMPUTED_VALUE"""),46081.0)</f>
        <v>46081</v>
      </c>
      <c r="B184" s="1174" t="str">
        <f>IFERROR(__xludf.DUMMYFUNCTION("""COMPUTED_VALUE"""),"re-eb-05-14255-70646")</f>
        <v>re-eb-05-14255-70646</v>
      </c>
      <c r="C184" s="1174" t="str">
        <f>IFERROR(__xludf.DUMMYFUNCTION("""COMPUTED_VALUE"""),"FEBRERO")</f>
        <v>FEBRERO</v>
      </c>
      <c r="D184" s="1174" t="b">
        <f>IFERROR(__xludf.DUMMYFUNCTION("""COMPUTED_VALUE"""),TRUE)</f>
        <v>1</v>
      </c>
      <c r="E184" s="1174" t="str">
        <f>IFERROR(__xludf.DUMMYFUNCTION("""COMPUTED_VALUE"""),"Laptop")</f>
        <v>Laptop</v>
      </c>
      <c r="F184" s="1176">
        <f>IFERROR(__xludf.DUMMYFUNCTION("""COMPUTED_VALUE"""),1549.99)</f>
        <v>1549.99</v>
      </c>
      <c r="G184" s="1177">
        <f>IFERROR(__xludf.DUMMYFUNCTION("""COMPUTED_VALUE"""),113.06999999999971)</f>
        <v>113.07</v>
      </c>
      <c r="H184" s="1174" t="b">
        <f>IFERROR(__xludf.DUMMYFUNCTION("""COMPUTED_VALUE"""),TRUE)</f>
        <v>1</v>
      </c>
      <c r="I184" s="1174" t="str">
        <f>IFERROR(__xludf.DUMMYFUNCTION("""COMPUTED_VALUE"""),"MARZO")</f>
        <v>MARZO</v>
      </c>
      <c r="J184" s="1177">
        <f>IFERROR(__xludf.DUMMYFUNCTION("""COMPUTED_VALUE"""),7099.0)</f>
        <v>7099</v>
      </c>
      <c r="N184" s="1174" t="str">
        <f t="shared" si="1"/>
        <v/>
      </c>
    </row>
    <row r="185">
      <c r="A185" s="1175">
        <f>IFERROR(__xludf.DUMMYFUNCTION("""COMPUTED_VALUE"""),46081.0)</f>
        <v>46081</v>
      </c>
      <c r="B185" s="1174" t="str">
        <f>IFERROR(__xludf.DUMMYFUNCTION("""COMPUTED_VALUE"""),"re-eb-04-14215-51215")</f>
        <v>re-eb-04-14215-51215</v>
      </c>
      <c r="C185" s="1174" t="str">
        <f>IFERROR(__xludf.DUMMYFUNCTION("""COMPUTED_VALUE"""),"FEBRERO")</f>
        <v>FEBRERO</v>
      </c>
      <c r="D185" s="1174" t="b">
        <f>IFERROR(__xludf.DUMMYFUNCTION("""COMPUTED_VALUE"""),TRUE)</f>
        <v>1</v>
      </c>
      <c r="E185" s="1174" t="str">
        <f>IFERROR(__xludf.DUMMYFUNCTION("""COMPUTED_VALUE"""),"Laptop")</f>
        <v>Laptop</v>
      </c>
      <c r="F185" s="1176">
        <f>IFERROR(__xludf.DUMMYFUNCTION("""COMPUTED_VALUE"""),1599.99)</f>
        <v>1599.99</v>
      </c>
      <c r="G185" s="1177">
        <f>IFERROR(__xludf.DUMMYFUNCTION("""COMPUTED_VALUE"""),16.0)</f>
        <v>16</v>
      </c>
      <c r="H185" s="1174" t="b">
        <f>IFERROR(__xludf.DUMMYFUNCTION("""COMPUTED_VALUE"""),TRUE)</f>
        <v>1</v>
      </c>
      <c r="I185" s="1174" t="str">
        <f>IFERROR(__xludf.DUMMYFUNCTION("""COMPUTED_VALUE"""),"MARZO")</f>
        <v>MARZO</v>
      </c>
      <c r="J185" s="1177">
        <f>IFERROR(__xludf.DUMMYFUNCTION("""COMPUTED_VALUE"""),6999.0)</f>
        <v>6999</v>
      </c>
      <c r="N185" s="1174" t="str">
        <f t="shared" si="1"/>
        <v/>
      </c>
    </row>
    <row r="186">
      <c r="A186" s="1175">
        <f>IFERROR(__xludf.DUMMYFUNCTION("""COMPUTED_VALUE"""),46122.0)</f>
        <v>46122</v>
      </c>
      <c r="B186" s="1174" t="str">
        <f>IFERROR(__xludf.DUMMYFUNCTION("""COMPUTED_VALUE"""),"ke-bh-1128648082")</f>
        <v>ke-bh-1128648082</v>
      </c>
      <c r="C186" s="1174" t="str">
        <f>IFERROR(__xludf.DUMMYFUNCTION("""COMPUTED_VALUE"""),"ABRIL")</f>
        <v>ABRIL</v>
      </c>
      <c r="D186" s="1174" t="b">
        <f>IFERROR(__xludf.DUMMYFUNCTION("""COMPUTED_VALUE"""),TRUE)</f>
        <v>1</v>
      </c>
      <c r="E186" s="1174" t="str">
        <f>IFERROR(__xludf.DUMMYFUNCTION("""COMPUTED_VALUE"""),"Otro")</f>
        <v>Otro</v>
      </c>
      <c r="F186" s="1176">
        <f>IFERROR(__xludf.DUMMYFUNCTION("""COMPUTED_VALUE"""),649.99)</f>
        <v>649.99</v>
      </c>
      <c r="G186" s="1177">
        <f>IFERROR(__xludf.DUMMYFUNCTION("""COMPUTED_VALUE"""),0.0)</f>
        <v>0</v>
      </c>
      <c r="H186" s="1174" t="b">
        <f>IFERROR(__xludf.DUMMYFUNCTION("""COMPUTED_VALUE"""),FALSE)</f>
        <v>0</v>
      </c>
      <c r="I186" s="1174" t="str">
        <f>IFERROR(__xludf.DUMMYFUNCTION("""COMPUTED_VALUE"""),"ABRIL")</f>
        <v>ABRIL</v>
      </c>
      <c r="J186" s="1177">
        <f>IFERROR(__xludf.DUMMYFUNCTION("""COMPUTED_VALUE"""),3282.26)</f>
        <v>3282.26</v>
      </c>
      <c r="N186" s="1174" t="str">
        <f t="shared" si="1"/>
        <v/>
      </c>
    </row>
    <row r="187">
      <c r="A187" s="1175">
        <f>IFERROR(__xludf.DUMMYFUNCTION("""COMPUTED_VALUE"""),46123.0)</f>
        <v>46123</v>
      </c>
      <c r="B187" s="1174" t="str">
        <f>IFERROR(__xludf.DUMMYFUNCTION("""COMPUTED_VALUE"""),"ra-mi-120426-2")</f>
        <v>ra-mi-120426-2</v>
      </c>
      <c r="C187" s="1174" t="str">
        <f>IFERROR(__xludf.DUMMYFUNCTION("""COMPUTED_VALUE"""),"ABRIL")</f>
        <v>ABRIL</v>
      </c>
      <c r="D187" s="1174" t="b">
        <f>IFERROR(__xludf.DUMMYFUNCTION("""COMPUTED_VALUE"""),TRUE)</f>
        <v>1</v>
      </c>
      <c r="E187" s="1174" t="str">
        <f>IFERROR(__xludf.DUMMYFUNCTION("""COMPUTED_VALUE"""),"Laptop")</f>
        <v>Laptop</v>
      </c>
      <c r="F187" s="1176">
        <f>IFERROR(__xludf.DUMMYFUNCTION("""COMPUTED_VALUE"""),999.99)</f>
        <v>999.99</v>
      </c>
      <c r="G187" s="1177">
        <f>IFERROR(__xludf.DUMMYFUNCTION("""COMPUTED_VALUE"""),60.650000000000546)</f>
        <v>60.65</v>
      </c>
      <c r="H187" s="1174" t="b">
        <f>IFERROR(__xludf.DUMMYFUNCTION("""COMPUTED_VALUE"""),FALSE)</f>
        <v>0</v>
      </c>
      <c r="I187" s="1174" t="str">
        <f>IFERROR(__xludf.DUMMYFUNCTION("""COMPUTED_VALUE"""),"ABRIL")</f>
        <v>ABRIL</v>
      </c>
      <c r="J187" s="1177">
        <f>IFERROR(__xludf.DUMMYFUNCTION("""COMPUTED_VALUE"""),4993.52)</f>
        <v>4993.52</v>
      </c>
      <c r="N187" s="1174" t="str">
        <f t="shared" si="1"/>
        <v/>
      </c>
    </row>
    <row r="188">
      <c r="A188" s="1175">
        <f>IFERROR(__xludf.DUMMYFUNCTION("""COMPUTED_VALUE"""),46127.0)</f>
        <v>46127</v>
      </c>
      <c r="B188" s="1174" t="str">
        <f>IFERROR(__xludf.DUMMYFUNCTION("""COMPUTED_VALUE"""),"ke-as-10001319463")</f>
        <v>ke-as-10001319463</v>
      </c>
      <c r="C188" s="1174" t="str">
        <f>IFERROR(__xludf.DUMMYFUNCTION("""COMPUTED_VALUE"""),"ABRIL")</f>
        <v>ABRIL</v>
      </c>
      <c r="D188" s="1174" t="b">
        <f>IFERROR(__xludf.DUMMYFUNCTION("""COMPUTED_VALUE"""),TRUE)</f>
        <v>1</v>
      </c>
      <c r="E188" s="1174" t="str">
        <f>IFERROR(__xludf.DUMMYFUNCTION("""COMPUTED_VALUE"""),"Laptop")</f>
        <v>Laptop</v>
      </c>
      <c r="F188" s="1176">
        <f>IFERROR(__xludf.DUMMYFUNCTION("""COMPUTED_VALUE"""),1599.99)</f>
        <v>1599.99</v>
      </c>
      <c r="G188" s="1177">
        <f>IFERROR(__xludf.DUMMYFUNCTION("""COMPUTED_VALUE"""),32.22999999999956)</f>
        <v>32.23</v>
      </c>
      <c r="H188" s="1174" t="b">
        <f>IFERROR(__xludf.DUMMYFUNCTION("""COMPUTED_VALUE"""),TRUE)</f>
        <v>1</v>
      </c>
      <c r="I188" s="1174" t="str">
        <f>IFERROR(__xludf.DUMMYFUNCTION("""COMPUTED_VALUE"""),"MAYO")</f>
        <v>MAYO</v>
      </c>
      <c r="J188" s="1177">
        <f>IFERROR(__xludf.DUMMYFUNCTION("""COMPUTED_VALUE"""),7199.0)</f>
        <v>7199</v>
      </c>
      <c r="N188" s="1174" t="str">
        <f t="shared" si="1"/>
        <v/>
      </c>
    </row>
    <row r="189">
      <c r="A189" s="1175">
        <f>IFERROR(__xludf.DUMMYFUNCTION("""COMPUTED_VALUE"""),46129.0)</f>
        <v>46129</v>
      </c>
      <c r="B189" s="1174" t="str">
        <f>IFERROR(__xludf.DUMMYFUNCTION("""COMPUTED_VALUE"""),"ra-mi-020526")</f>
        <v>ra-mi-020526</v>
      </c>
      <c r="C189" s="1174" t="str">
        <f>IFERROR(__xludf.DUMMYFUNCTION("""COMPUTED_VALUE"""),"ABRIL")</f>
        <v>ABRIL</v>
      </c>
      <c r="D189" s="1174" t="b">
        <f>IFERROR(__xludf.DUMMYFUNCTION("""COMPUTED_VALUE"""),TRUE)</f>
        <v>1</v>
      </c>
      <c r="E189" s="1174" t="str">
        <f>IFERROR(__xludf.DUMMYFUNCTION("""COMPUTED_VALUE"""),"Laptop")</f>
        <v>Laptop</v>
      </c>
      <c r="F189" s="1176">
        <f>IFERROR(__xludf.DUMMYFUNCTION("""COMPUTED_VALUE"""),1899.0)</f>
        <v>1899</v>
      </c>
      <c r="G189" s="1177">
        <f>IFERROR(__xludf.DUMMYFUNCTION("""COMPUTED_VALUE"""),115.96999999999935)</f>
        <v>115.97</v>
      </c>
      <c r="H189" s="1174" t="b">
        <f>IFERROR(__xludf.DUMMYFUNCTION("""COMPUTED_VALUE"""),TRUE)</f>
        <v>1</v>
      </c>
      <c r="I189" s="1174" t="str">
        <f>IFERROR(__xludf.DUMMYFUNCTION("""COMPUTED_VALUE"""),"JUNIO")</f>
        <v>JUNIO</v>
      </c>
      <c r="J189" s="1177">
        <f>IFERROR(__xludf.DUMMYFUNCTION("""COMPUTED_VALUE"""),9099.0)</f>
        <v>9099</v>
      </c>
      <c r="N189" s="1174" t="str">
        <f t="shared" si="1"/>
        <v/>
      </c>
    </row>
    <row r="190">
      <c r="A190" s="1175">
        <f>IFERROR(__xludf.DUMMYFUNCTION("""COMPUTED_VALUE"""),46129.0)</f>
        <v>46129</v>
      </c>
      <c r="B190" s="1174" t="str">
        <f>IFERROR(__xludf.DUMMYFUNCTION("""COMPUTED_VALUE"""),"ke-eb-15-14511-92292")</f>
        <v>ke-eb-15-14511-92292</v>
      </c>
      <c r="C190" s="1174" t="str">
        <f>IFERROR(__xludf.DUMMYFUNCTION("""COMPUTED_VALUE"""),"ABRIL")</f>
        <v>ABRIL</v>
      </c>
      <c r="D190" s="1174" t="b">
        <f>IFERROR(__xludf.DUMMYFUNCTION("""COMPUTED_VALUE"""),TRUE)</f>
        <v>1</v>
      </c>
      <c r="E190" s="1174" t="str">
        <f>IFERROR(__xludf.DUMMYFUNCTION("""COMPUTED_VALUE"""),"Laptop")</f>
        <v>Laptop</v>
      </c>
      <c r="F190" s="1176">
        <f>IFERROR(__xludf.DUMMYFUNCTION("""COMPUTED_VALUE"""),1979.99)</f>
        <v>1979.99</v>
      </c>
      <c r="G190" s="1177">
        <f>IFERROR(__xludf.DUMMYFUNCTION("""COMPUTED_VALUE"""),7.360000000000582)</f>
        <v>7.36</v>
      </c>
      <c r="H190" s="1174" t="b">
        <f>IFERROR(__xludf.DUMMYFUNCTION("""COMPUTED_VALUE"""),TRUE)</f>
        <v>1</v>
      </c>
      <c r="I190" s="1174" t="str">
        <f>IFERROR(__xludf.DUMMYFUNCTION("""COMPUTED_VALUE"""),"MAYO")</f>
        <v>MAYO</v>
      </c>
      <c r="J190" s="1177">
        <f>IFERROR(__xludf.DUMMYFUNCTION("""COMPUTED_VALUE"""),8799.0)</f>
        <v>8799</v>
      </c>
      <c r="N190" s="1174" t="str">
        <f t="shared" si="1"/>
        <v/>
      </c>
    </row>
    <row r="191">
      <c r="A191" s="1175">
        <f>IFERROR(__xludf.DUMMYFUNCTION("""COMPUTED_VALUE"""),46132.0)</f>
        <v>46132</v>
      </c>
      <c r="B191" s="1174" t="str">
        <f>IFERROR(__xludf.DUMMYFUNCTION("""COMPUTED_VALUE"""),"li-mi-210426")</f>
        <v>li-mi-210426</v>
      </c>
      <c r="C191" s="1174" t="str">
        <f>IFERROR(__xludf.DUMMYFUNCTION("""COMPUTED_VALUE"""),"ABRIL")</f>
        <v>ABRIL</v>
      </c>
      <c r="D191" s="1174" t="b">
        <f>IFERROR(__xludf.DUMMYFUNCTION("""COMPUTED_VALUE"""),TRUE)</f>
        <v>1</v>
      </c>
      <c r="E191" s="1174" t="str">
        <f>IFERROR(__xludf.DUMMYFUNCTION("""COMPUTED_VALUE"""),"Laptop")</f>
        <v>Laptop</v>
      </c>
      <c r="F191" s="1176">
        <f>IFERROR(__xludf.DUMMYFUNCTION("""COMPUTED_VALUE"""),1999.99)</f>
        <v>1999.99</v>
      </c>
      <c r="G191" s="1177">
        <f>IFERROR(__xludf.DUMMYFUNCTION("""COMPUTED_VALUE"""),7.247535904753022E-13)</f>
        <v>0</v>
      </c>
      <c r="H191" s="1174" t="b">
        <f>IFERROR(__xludf.DUMMYFUNCTION("""COMPUTED_VALUE"""),TRUE)</f>
        <v>1</v>
      </c>
      <c r="I191" s="1174" t="str">
        <f>IFERROR(__xludf.DUMMYFUNCTION("""COMPUTED_VALUE"""),"JUNIO")</f>
        <v>JUNIO</v>
      </c>
      <c r="J191" s="1177">
        <f>IFERROR(__xludf.DUMMYFUNCTION("""COMPUTED_VALUE"""),9499.0)</f>
        <v>9499</v>
      </c>
      <c r="N191" s="1174" t="str">
        <f t="shared" si="1"/>
        <v/>
      </c>
    </row>
    <row r="192">
      <c r="A192" s="1175">
        <f>IFERROR(__xludf.DUMMYFUNCTION("""COMPUTED_VALUE"""),46133.0)</f>
        <v>46133</v>
      </c>
      <c r="B192" s="1174" t="str">
        <f>IFERROR(__xludf.DUMMYFUNCTION("""COMPUTED_VALUE"""),"re-eb-08-14441-55186")</f>
        <v>re-eb-08-14441-55186</v>
      </c>
      <c r="C192" s="1174" t="str">
        <f>IFERROR(__xludf.DUMMYFUNCTION("""COMPUTED_VALUE"""),"ABRIL")</f>
        <v>ABRIL</v>
      </c>
      <c r="D192" s="1174" t="b">
        <f>IFERROR(__xludf.DUMMYFUNCTION("""COMPUTED_VALUE"""),TRUE)</f>
        <v>1</v>
      </c>
      <c r="E192" s="1174" t="str">
        <f>IFERROR(__xludf.DUMMYFUNCTION("""COMPUTED_VALUE"""),"Laptop")</f>
        <v>Laptop</v>
      </c>
      <c r="F192" s="1176">
        <f>IFERROR(__xludf.DUMMYFUNCTION("""COMPUTED_VALUE"""),1199.99)</f>
        <v>1199.99</v>
      </c>
      <c r="G192" s="1177">
        <f>IFERROR(__xludf.DUMMYFUNCTION("""COMPUTED_VALUE"""),91.0)</f>
        <v>91</v>
      </c>
      <c r="H192" s="1174" t="b">
        <f>IFERROR(__xludf.DUMMYFUNCTION("""COMPUTED_VALUE"""),TRUE)</f>
        <v>1</v>
      </c>
      <c r="I192" s="1174" t="str">
        <f>IFERROR(__xludf.DUMMYFUNCTION("""COMPUTED_VALUE"""),"JUNIO")</f>
        <v>JUNIO</v>
      </c>
      <c r="J192" s="1177">
        <f>IFERROR(__xludf.DUMMYFUNCTION("""COMPUTED_VALUE"""),5799.0)</f>
        <v>5799</v>
      </c>
      <c r="N192" s="1174" t="str">
        <f t="shared" si="1"/>
        <v/>
      </c>
    </row>
    <row r="193">
      <c r="A193" s="1175">
        <f>IFERROR(__xludf.DUMMYFUNCTION("""COMPUTED_VALUE"""),46134.0)</f>
        <v>46134</v>
      </c>
      <c r="B193" s="1174" t="str">
        <f>IFERROR(__xludf.DUMMYFUNCTION("""COMPUTED_VALUE"""),"so-eb-06-14444-92939")</f>
        <v>so-eb-06-14444-92939</v>
      </c>
      <c r="C193" s="1174" t="str">
        <f>IFERROR(__xludf.DUMMYFUNCTION("""COMPUTED_VALUE"""),"ABRIL")</f>
        <v>ABRIL</v>
      </c>
      <c r="D193" s="1174" t="b">
        <f>IFERROR(__xludf.DUMMYFUNCTION("""COMPUTED_VALUE"""),TRUE)</f>
        <v>1</v>
      </c>
      <c r="E193" s="1174" t="str">
        <f>IFERROR(__xludf.DUMMYFUNCTION("""COMPUTED_VALUE"""),"Laptop")</f>
        <v>Laptop</v>
      </c>
      <c r="F193" s="1176">
        <f>IFERROR(__xludf.DUMMYFUNCTION("""COMPUTED_VALUE"""),1199.99)</f>
        <v>1199.99</v>
      </c>
      <c r="G193" s="1177">
        <f>IFERROR(__xludf.DUMMYFUNCTION("""COMPUTED_VALUE"""),91.0)</f>
        <v>91</v>
      </c>
      <c r="H193" s="1174" t="b">
        <f>IFERROR(__xludf.DUMMYFUNCTION("""COMPUTED_VALUE"""),TRUE)</f>
        <v>1</v>
      </c>
      <c r="I193" s="1174" t="str">
        <f>IFERROR(__xludf.DUMMYFUNCTION("""COMPUTED_VALUE"""),"MAYO")</f>
        <v>MAYO</v>
      </c>
      <c r="J193" s="1177">
        <f>IFERROR(__xludf.DUMMYFUNCTION("""COMPUTED_VALUE"""),5799.0)</f>
        <v>5799</v>
      </c>
      <c r="N193" s="1174" t="str">
        <f t="shared" si="1"/>
        <v/>
      </c>
    </row>
    <row r="194">
      <c r="A194" s="1175">
        <f>IFERROR(__xludf.DUMMYFUNCTION("""COMPUTED_VALUE"""),46134.0)</f>
        <v>46134</v>
      </c>
      <c r="B194" s="1174" t="str">
        <f>IFERROR(__xludf.DUMMYFUNCTION("""COMPUTED_VALUE"""),"jl-mi-260426")</f>
        <v>jl-mi-260426</v>
      </c>
      <c r="C194" s="1174" t="str">
        <f>IFERROR(__xludf.DUMMYFUNCTION("""COMPUTED_VALUE"""),"MAYO")</f>
        <v>MAYO</v>
      </c>
      <c r="D194" s="1174" t="b">
        <f>IFERROR(__xludf.DUMMYFUNCTION("""COMPUTED_VALUE"""),TRUE)</f>
        <v>1</v>
      </c>
      <c r="E194" s="1174" t="str">
        <f>IFERROR(__xludf.DUMMYFUNCTION("""COMPUTED_VALUE"""),"Laptop")</f>
        <v>Laptop</v>
      </c>
      <c r="F194" s="1176">
        <f>IFERROR(__xludf.DUMMYFUNCTION("""COMPUTED_VALUE"""),1999.99)</f>
        <v>1999.99</v>
      </c>
      <c r="G194" s="1177">
        <f>IFERROR(__xludf.DUMMYFUNCTION("""COMPUTED_VALUE"""),2.8421709430404007E-13)</f>
        <v>0</v>
      </c>
      <c r="H194" s="1174" t="b">
        <f>IFERROR(__xludf.DUMMYFUNCTION("""COMPUTED_VALUE"""),TRUE)</f>
        <v>1</v>
      </c>
      <c r="I194" s="1174" t="str">
        <f>IFERROR(__xludf.DUMMYFUNCTION("""COMPUTED_VALUE"""),"JUNIO")</f>
        <v>JUNIO</v>
      </c>
      <c r="J194" s="1177">
        <f>IFERROR(__xludf.DUMMYFUNCTION("""COMPUTED_VALUE"""),9499.0)</f>
        <v>9499</v>
      </c>
      <c r="N194" s="1174" t="str">
        <f t="shared" si="1"/>
        <v/>
      </c>
    </row>
    <row r="195">
      <c r="A195" s="1175">
        <f>IFERROR(__xludf.DUMMYFUNCTION("""COMPUTED_VALUE"""),46135.0)</f>
        <v>46135</v>
      </c>
      <c r="B195" s="1174" t="str">
        <f>IFERROR(__xludf.DUMMYFUNCTION("""COMPUTED_VALUE"""),"G-D-2008460464895")</f>
        <v>G-D-2008460464895</v>
      </c>
      <c r="C195" s="1174" t="str">
        <f>IFERROR(__xludf.DUMMYFUNCTION("""COMPUTED_VALUE"""),"ABRIL")</f>
        <v>ABRIL</v>
      </c>
      <c r="D195" s="1174" t="b">
        <f>IFERROR(__xludf.DUMMYFUNCTION("""COMPUTED_VALUE"""),TRUE)</f>
        <v>1</v>
      </c>
      <c r="E195" s="1174" t="str">
        <f>IFERROR(__xludf.DUMMYFUNCTION("""COMPUTED_VALUE"""),"Laptop")</f>
        <v>Laptop</v>
      </c>
      <c r="F195" s="1176">
        <f>IFERROR(__xludf.DUMMYFUNCTION("""COMPUTED_VALUE"""),1599.99)</f>
        <v>1599.99</v>
      </c>
      <c r="G195" s="1177">
        <f>IFERROR(__xludf.DUMMYFUNCTION("""COMPUTED_VALUE"""),-115.0)</f>
        <v>-115</v>
      </c>
      <c r="H195" s="1174" t="b">
        <f>IFERROR(__xludf.DUMMYFUNCTION("""COMPUTED_VALUE"""),FALSE)</f>
        <v>0</v>
      </c>
      <c r="I195" s="1174" t="str">
        <f>IFERROR(__xludf.DUMMYFUNCTION("""COMPUTED_VALUE"""),"MAYO")</f>
        <v>MAYO</v>
      </c>
      <c r="J195" s="1177">
        <f>IFERROR(__xludf.DUMMYFUNCTION("""COMPUTED_VALUE"""),7738.0)</f>
        <v>7738</v>
      </c>
      <c r="N195" s="1174" t="str">
        <f t="shared" si="1"/>
        <v/>
      </c>
    </row>
    <row r="196">
      <c r="A196" s="1175">
        <f>IFERROR(__xludf.DUMMYFUNCTION("""COMPUTED_VALUE"""),46137.0)</f>
        <v>46137</v>
      </c>
      <c r="B196" s="1174" t="str">
        <f>IFERROR(__xludf.DUMMYFUNCTION("""COMPUTED_VALUE"""),"li-mi-230426")</f>
        <v>li-mi-230426</v>
      </c>
      <c r="C196" s="1174" t="str">
        <f>IFERROR(__xludf.DUMMYFUNCTION("""COMPUTED_VALUE"""),"MAYO")</f>
        <v>MAYO</v>
      </c>
      <c r="D196" s="1174" t="b">
        <f>IFERROR(__xludf.DUMMYFUNCTION("""COMPUTED_VALUE"""),TRUE)</f>
        <v>1</v>
      </c>
      <c r="E196" s="1174" t="str">
        <f>IFERROR(__xludf.DUMMYFUNCTION("""COMPUTED_VALUE"""),"Laptop")</f>
        <v>Laptop</v>
      </c>
      <c r="F196" s="1176">
        <f>IFERROR(__xludf.DUMMYFUNCTION("""COMPUTED_VALUE"""),1999.99)</f>
        <v>1999.99</v>
      </c>
      <c r="G196" s="1177">
        <f>IFERROR(__xludf.DUMMYFUNCTION("""COMPUTED_VALUE"""),26.399999999999636)</f>
        <v>26.4</v>
      </c>
      <c r="H196" s="1174" t="b">
        <f>IFERROR(__xludf.DUMMYFUNCTION("""COMPUTED_VALUE"""),TRUE)</f>
        <v>1</v>
      </c>
      <c r="I196" s="1174" t="str">
        <f>IFERROR(__xludf.DUMMYFUNCTION("""COMPUTED_VALUE"""),"JUNIO")</f>
        <v>JUNIO</v>
      </c>
      <c r="J196" s="1177">
        <f>IFERROR(__xludf.DUMMYFUNCTION("""COMPUTED_VALUE"""),9499.0)</f>
        <v>9499</v>
      </c>
      <c r="N196" s="1174" t="str">
        <f t="shared" si="1"/>
        <v/>
      </c>
    </row>
    <row r="197">
      <c r="A197" s="1175">
        <f>IFERROR(__xludf.DUMMYFUNCTION("""COMPUTED_VALUE"""),46139.0)</f>
        <v>46139</v>
      </c>
      <c r="B197" s="1174" t="str">
        <f>IFERROR(__xludf.DUMMYFUNCTION("""COMPUTED_VALUE"""),"ga-bh-1128760587")</f>
        <v>ga-bh-1128760587</v>
      </c>
      <c r="C197" s="1174" t="str">
        <f>IFERROR(__xludf.DUMMYFUNCTION("""COMPUTED_VALUE"""),"MAYO")</f>
        <v>MAYO</v>
      </c>
      <c r="D197" s="1174" t="b">
        <f>IFERROR(__xludf.DUMMYFUNCTION("""COMPUTED_VALUE"""),TRUE)</f>
        <v>1</v>
      </c>
      <c r="E197" s="1174" t="str">
        <f>IFERROR(__xludf.DUMMYFUNCTION("""COMPUTED_VALUE"""),"Laptop")</f>
        <v>Laptop</v>
      </c>
      <c r="F197" s="1176">
        <f>IFERROR(__xludf.DUMMYFUNCTION("""COMPUTED_VALUE"""),1299.0)</f>
        <v>1299</v>
      </c>
      <c r="G197" s="1177">
        <f>IFERROR(__xludf.DUMMYFUNCTION("""COMPUTED_VALUE"""),25.0)</f>
        <v>25</v>
      </c>
      <c r="H197" s="1174" t="b">
        <f>IFERROR(__xludf.DUMMYFUNCTION("""COMPUTED_VALUE"""),TRUE)</f>
        <v>1</v>
      </c>
      <c r="I197" s="1174" t="str">
        <f>IFERROR(__xludf.DUMMYFUNCTION("""COMPUTED_VALUE"""),"JUNIO")</f>
        <v>JUNIO</v>
      </c>
      <c r="J197" s="1177">
        <f>IFERROR(__xludf.DUMMYFUNCTION("""COMPUTED_VALUE"""),6536.46)</f>
        <v>6536.46</v>
      </c>
      <c r="N197" s="1174" t="str">
        <f t="shared" si="1"/>
        <v/>
      </c>
    </row>
    <row r="198">
      <c r="A198" s="1175">
        <f>IFERROR(__xludf.DUMMYFUNCTION("""COMPUTED_VALUE"""),46141.0)</f>
        <v>46141</v>
      </c>
      <c r="B198" s="1174" t="str">
        <f>IFERROR(__xludf.DUMMYFUNCTION("""COMPUTED_VALUE"""),"ke-be-807173301141")</f>
        <v>ke-be-807173301141</v>
      </c>
      <c r="C198" s="1174" t="str">
        <f>IFERROR(__xludf.DUMMYFUNCTION("""COMPUTED_VALUE"""),"MAYO")</f>
        <v>MAYO</v>
      </c>
      <c r="D198" s="1174" t="b">
        <f>IFERROR(__xludf.DUMMYFUNCTION("""COMPUTED_VALUE"""),TRUE)</f>
        <v>1</v>
      </c>
      <c r="E198" s="1174" t="str">
        <f>IFERROR(__xludf.DUMMYFUNCTION("""COMPUTED_VALUE"""),"Laptop")</f>
        <v>Laptop</v>
      </c>
      <c r="F198" s="1176">
        <f>IFERROR(__xludf.DUMMYFUNCTION("""COMPUTED_VALUE"""),2399.99)</f>
        <v>2399.99</v>
      </c>
      <c r="G198" s="1177">
        <f>IFERROR(__xludf.DUMMYFUNCTION("""COMPUTED_VALUE"""),50.0)</f>
        <v>50</v>
      </c>
      <c r="H198" s="1174" t="b">
        <f>IFERROR(__xludf.DUMMYFUNCTION("""COMPUTED_VALUE"""),TRUE)</f>
        <v>1</v>
      </c>
      <c r="I198" s="1174"/>
      <c r="J198" s="1177">
        <f>IFERROR(__xludf.DUMMYFUNCTION("""COMPUTED_VALUE"""),10820.12)</f>
        <v>10820.12</v>
      </c>
      <c r="N198" s="1174" t="str">
        <f t="shared" si="1"/>
        <v/>
      </c>
    </row>
    <row r="199">
      <c r="A199" s="1175">
        <f>IFERROR(__xludf.DUMMYFUNCTION("""COMPUTED_VALUE"""),46141.0)</f>
        <v>46141</v>
      </c>
      <c r="B199" s="1174" t="str">
        <f>IFERROR(__xludf.DUMMYFUNCTION("""COMPUTED_VALUE"""),"so-eb-26-14518-36138")</f>
        <v>so-eb-26-14518-36138</v>
      </c>
      <c r="C199" s="1174" t="str">
        <f>IFERROR(__xludf.DUMMYFUNCTION("""COMPUTED_VALUE"""),"MAYO")</f>
        <v>MAYO</v>
      </c>
      <c r="D199" s="1174" t="b">
        <f>IFERROR(__xludf.DUMMYFUNCTION("""COMPUTED_VALUE"""),TRUE)</f>
        <v>1</v>
      </c>
      <c r="E199" s="1174" t="str">
        <f>IFERROR(__xludf.DUMMYFUNCTION("""COMPUTED_VALUE"""),"Laptop")</f>
        <v>Laptop</v>
      </c>
      <c r="F199" s="1176">
        <f>IFERROR(__xludf.DUMMYFUNCTION("""COMPUTED_VALUE"""),1399.99)</f>
        <v>1399.99</v>
      </c>
      <c r="G199" s="1177">
        <f>IFERROR(__xludf.DUMMYFUNCTION("""COMPUTED_VALUE"""),111.0)</f>
        <v>111</v>
      </c>
      <c r="H199" s="1174" t="b">
        <f>IFERROR(__xludf.DUMMYFUNCTION("""COMPUTED_VALUE"""),TRUE)</f>
        <v>1</v>
      </c>
      <c r="I199" s="1174" t="str">
        <f>IFERROR(__xludf.DUMMYFUNCTION("""COMPUTED_VALUE"""),"MAYO")</f>
        <v>MAYO</v>
      </c>
      <c r="J199" s="1177">
        <f>IFERROR(__xludf.DUMMYFUNCTION("""COMPUTED_VALUE"""),6499.0)</f>
        <v>6499</v>
      </c>
      <c r="N199" s="1174" t="str">
        <f t="shared" si="1"/>
        <v/>
      </c>
    </row>
    <row r="200">
      <c r="A200" s="1175">
        <f>IFERROR(__xludf.DUMMYFUNCTION("""COMPUTED_VALUE"""),46141.0)</f>
        <v>46141</v>
      </c>
      <c r="B200" s="1174" t="str">
        <f>IFERROR(__xludf.DUMMYFUNCTION("""COMPUTED_VALUE"""),"ke-as-10001325322")</f>
        <v>ke-as-10001325322</v>
      </c>
      <c r="C200" s="1174" t="str">
        <f>IFERROR(__xludf.DUMMYFUNCTION("""COMPUTED_VALUE"""),"MAYO")</f>
        <v>MAYO</v>
      </c>
      <c r="D200" s="1174" t="b">
        <f>IFERROR(__xludf.DUMMYFUNCTION("""COMPUTED_VALUE"""),TRUE)</f>
        <v>1</v>
      </c>
      <c r="E200" s="1174" t="str">
        <f>IFERROR(__xludf.DUMMYFUNCTION("""COMPUTED_VALUE"""),"Laptop")</f>
        <v>Laptop</v>
      </c>
      <c r="F200" s="1176">
        <f>IFERROR(__xludf.DUMMYFUNCTION("""COMPUTED_VALUE"""),1399.99)</f>
        <v>1399.99</v>
      </c>
      <c r="G200" s="1177">
        <f>IFERROR(__xludf.DUMMYFUNCTION("""COMPUTED_VALUE"""),111.0)</f>
        <v>111</v>
      </c>
      <c r="H200" s="1174" t="b">
        <f>IFERROR(__xludf.DUMMYFUNCTION("""COMPUTED_VALUE"""),TRUE)</f>
        <v>1</v>
      </c>
      <c r="I200" s="1174" t="str">
        <f>IFERROR(__xludf.DUMMYFUNCTION("""COMPUTED_VALUE"""),"JUNIO")</f>
        <v>JUNIO</v>
      </c>
      <c r="J200" s="1177">
        <f>IFERROR(__xludf.DUMMYFUNCTION("""COMPUTED_VALUE"""),6499.0)</f>
        <v>6499</v>
      </c>
      <c r="N200" s="1174" t="str">
        <f t="shared" si="1"/>
        <v/>
      </c>
    </row>
    <row r="201">
      <c r="A201" s="1175">
        <f>IFERROR(__xludf.DUMMYFUNCTION("""COMPUTED_VALUE"""),46141.0)</f>
        <v>46141</v>
      </c>
      <c r="B201" s="1174" t="str">
        <f>IFERROR(__xludf.DUMMYFUNCTION("""COMPUTED_VALUE"""),"ka-am-113-5961318-4879423")</f>
        <v>ka-am-113-5961318-4879423</v>
      </c>
      <c r="C201" s="1174" t="str">
        <f>IFERROR(__xludf.DUMMYFUNCTION("""COMPUTED_VALUE"""),"MAYO")</f>
        <v>MAYO</v>
      </c>
      <c r="D201" s="1174" t="b">
        <f>IFERROR(__xludf.DUMMYFUNCTION("""COMPUTED_VALUE"""),TRUE)</f>
        <v>1</v>
      </c>
      <c r="E201" s="1174" t="str">
        <f>IFERROR(__xludf.DUMMYFUNCTION("""COMPUTED_VALUE"""),"Laptop")</f>
        <v>Laptop</v>
      </c>
      <c r="F201" s="1176">
        <f>IFERROR(__xludf.DUMMYFUNCTION("""COMPUTED_VALUE"""),1299.99)</f>
        <v>1299.99</v>
      </c>
      <c r="G201" s="1177">
        <f>IFERROR(__xludf.DUMMYFUNCTION("""COMPUTED_VALUE"""),19.100000000000364)</f>
        <v>19.1</v>
      </c>
      <c r="H201" s="1174" t="b">
        <f>IFERROR(__xludf.DUMMYFUNCTION("""COMPUTED_VALUE"""),FALSE)</f>
        <v>0</v>
      </c>
      <c r="I201" s="1174"/>
      <c r="J201" s="1177">
        <f>IFERROR(__xludf.DUMMYFUNCTION("""COMPUTED_VALUE"""),5899.0)</f>
        <v>5899</v>
      </c>
      <c r="N201" s="1174" t="str">
        <f t="shared" si="1"/>
        <v/>
      </c>
    </row>
    <row r="202">
      <c r="A202" s="1175">
        <f>IFERROR(__xludf.DUMMYFUNCTION("""COMPUTED_VALUE"""),46141.0)</f>
        <v>46141</v>
      </c>
      <c r="B202" s="1174" t="str">
        <f>IFERROR(__xludf.DUMMYFUNCTION("""COMPUTED_VALUE"""),"ke-eb-11-14499-08251")</f>
        <v>ke-eb-11-14499-08251</v>
      </c>
      <c r="C202" s="1174" t="str">
        <f>IFERROR(__xludf.DUMMYFUNCTION("""COMPUTED_VALUE"""),"MAYO")</f>
        <v>MAYO</v>
      </c>
      <c r="D202" s="1174" t="b">
        <f>IFERROR(__xludf.DUMMYFUNCTION("""COMPUTED_VALUE"""),TRUE)</f>
        <v>1</v>
      </c>
      <c r="E202" s="1174" t="str">
        <f>IFERROR(__xludf.DUMMYFUNCTION("""COMPUTED_VALUE"""),"Laptop")</f>
        <v>Laptop</v>
      </c>
      <c r="F202" s="1176">
        <f>IFERROR(__xludf.DUMMYFUNCTION("""COMPUTED_VALUE"""),1649.99)</f>
        <v>1649.99</v>
      </c>
      <c r="G202" s="1177">
        <f>IFERROR(__xludf.DUMMYFUNCTION("""COMPUTED_VALUE"""),454.0)</f>
        <v>454</v>
      </c>
      <c r="H202" s="1174" t="b">
        <f>IFERROR(__xludf.DUMMYFUNCTION("""COMPUTED_VALUE"""),TRUE)</f>
        <v>1</v>
      </c>
      <c r="I202" s="1174" t="str">
        <f>IFERROR(__xludf.DUMMYFUNCTION("""COMPUTED_VALUE"""),"MAYO")</f>
        <v>MAYO</v>
      </c>
      <c r="J202" s="1177">
        <f>IFERROR(__xludf.DUMMYFUNCTION("""COMPUTED_VALUE"""),7799.0)</f>
        <v>7799</v>
      </c>
      <c r="N202" s="1174" t="str">
        <f t="shared" si="1"/>
        <v/>
      </c>
    </row>
    <row r="203">
      <c r="N203" s="1174" t="str">
        <f t="shared" si="1"/>
        <v/>
      </c>
    </row>
    <row r="204">
      <c r="N204" s="1174" t="str">
        <f t="shared" si="1"/>
        <v/>
      </c>
    </row>
    <row r="205">
      <c r="N205" s="1174" t="str">
        <f t="shared" si="1"/>
        <v/>
      </c>
    </row>
    <row r="206">
      <c r="N206" s="1174" t="str">
        <f t="shared" si="1"/>
        <v/>
      </c>
    </row>
    <row r="207">
      <c r="N207" s="1174" t="str">
        <f t="shared" si="1"/>
        <v/>
      </c>
    </row>
    <row r="208">
      <c r="N208" s="1174" t="str">
        <f t="shared" si="1"/>
        <v/>
      </c>
    </row>
    <row r="209">
      <c r="N209" s="1174" t="str">
        <f t="shared" si="1"/>
        <v/>
      </c>
    </row>
    <row r="210">
      <c r="N210" s="1174" t="str">
        <f t="shared" si="1"/>
        <v/>
      </c>
    </row>
    <row r="211">
      <c r="N211" s="1174" t="str">
        <f t="shared" si="1"/>
        <v/>
      </c>
    </row>
    <row r="212">
      <c r="N212" s="1174" t="str">
        <f t="shared" si="1"/>
        <v/>
      </c>
    </row>
    <row r="213">
      <c r="N213" s="1174" t="str">
        <f t="shared" si="1"/>
        <v/>
      </c>
    </row>
    <row r="214">
      <c r="N214" s="1174" t="str">
        <f t="shared" si="1"/>
        <v/>
      </c>
    </row>
    <row r="215">
      <c r="N215" s="1174" t="str">
        <f t="shared" si="1"/>
        <v/>
      </c>
    </row>
    <row r="216">
      <c r="N216" s="1174" t="str">
        <f t="shared" si="1"/>
        <v/>
      </c>
    </row>
    <row r="217">
      <c r="N217" s="1174" t="str">
        <f t="shared" si="1"/>
        <v/>
      </c>
    </row>
    <row r="218">
      <c r="N218" s="1174" t="str">
        <f t="shared" si="1"/>
        <v/>
      </c>
    </row>
    <row r="219">
      <c r="N219" s="1174" t="str">
        <f t="shared" si="1"/>
        <v/>
      </c>
    </row>
    <row r="220">
      <c r="N220" s="1174" t="str">
        <f t="shared" si="1"/>
        <v/>
      </c>
    </row>
    <row r="221">
      <c r="N221" s="1174" t="str">
        <f t="shared" si="1"/>
        <v/>
      </c>
    </row>
    <row r="222">
      <c r="N222" s="1174" t="str">
        <f t="shared" si="1"/>
        <v/>
      </c>
    </row>
    <row r="223">
      <c r="N223" s="1174" t="str">
        <f t="shared" si="1"/>
        <v/>
      </c>
    </row>
    <row r="224">
      <c r="N224" s="1174" t="str">
        <f t="shared" si="1"/>
        <v/>
      </c>
    </row>
    <row r="225">
      <c r="N225" s="1174" t="str">
        <f t="shared" si="1"/>
        <v/>
      </c>
    </row>
    <row r="226">
      <c r="N226" s="1174" t="str">
        <f t="shared" si="1"/>
        <v/>
      </c>
    </row>
    <row r="227">
      <c r="N227" s="1174" t="str">
        <f t="shared" si="1"/>
        <v/>
      </c>
    </row>
    <row r="228">
      <c r="N228" s="1174" t="str">
        <f t="shared" si="1"/>
        <v/>
      </c>
    </row>
    <row r="229">
      <c r="N229" s="1174" t="str">
        <f t="shared" si="1"/>
        <v/>
      </c>
    </row>
    <row r="230">
      <c r="N230" s="1174" t="str">
        <f t="shared" si="1"/>
        <v/>
      </c>
    </row>
    <row r="231">
      <c r="N231" s="1174" t="str">
        <f t="shared" si="1"/>
        <v/>
      </c>
    </row>
    <row r="232">
      <c r="N232" s="1174" t="str">
        <f t="shared" si="1"/>
        <v/>
      </c>
    </row>
    <row r="233">
      <c r="N233" s="1174" t="str">
        <f t="shared" si="1"/>
        <v/>
      </c>
    </row>
    <row r="234">
      <c r="N234" s="1174" t="str">
        <f t="shared" si="1"/>
        <v/>
      </c>
    </row>
    <row r="235">
      <c r="N235" s="1174" t="str">
        <f t="shared" si="1"/>
        <v/>
      </c>
    </row>
    <row r="236">
      <c r="N236" s="1174" t="str">
        <f t="shared" si="1"/>
        <v/>
      </c>
    </row>
    <row r="237">
      <c r="N237" s="1174" t="str">
        <f t="shared" si="1"/>
        <v/>
      </c>
    </row>
    <row r="238">
      <c r="N238" s="1174" t="str">
        <f t="shared" si="1"/>
        <v/>
      </c>
    </row>
    <row r="239">
      <c r="N239" s="1174" t="str">
        <f t="shared" si="1"/>
        <v/>
      </c>
    </row>
    <row r="240">
      <c r="N240" s="1174" t="str">
        <f t="shared" si="1"/>
        <v/>
      </c>
    </row>
    <row r="241">
      <c r="N241" s="1174" t="str">
        <f t="shared" si="1"/>
        <v/>
      </c>
    </row>
    <row r="242">
      <c r="N242" s="1174" t="str">
        <f t="shared" si="1"/>
        <v/>
      </c>
    </row>
    <row r="243">
      <c r="N243" s="1174" t="str">
        <f t="shared" si="1"/>
        <v/>
      </c>
    </row>
    <row r="244">
      <c r="N244" s="1174" t="str">
        <f t="shared" si="1"/>
        <v/>
      </c>
    </row>
    <row r="245">
      <c r="N245" s="1174" t="str">
        <f t="shared" si="1"/>
        <v/>
      </c>
    </row>
    <row r="246">
      <c r="N246" s="1174" t="str">
        <f t="shared" si="1"/>
        <v/>
      </c>
    </row>
    <row r="247">
      <c r="N247" s="1174" t="str">
        <f t="shared" si="1"/>
        <v/>
      </c>
    </row>
    <row r="248">
      <c r="N248" s="1174" t="str">
        <f t="shared" si="1"/>
        <v/>
      </c>
    </row>
    <row r="249">
      <c r="N249" s="1174" t="str">
        <f t="shared" si="1"/>
        <v/>
      </c>
    </row>
    <row r="250">
      <c r="N250" s="1174" t="str">
        <f t="shared" si="1"/>
        <v/>
      </c>
    </row>
    <row r="251">
      <c r="N251" s="1174" t="str">
        <f t="shared" si="1"/>
        <v/>
      </c>
    </row>
    <row r="252">
      <c r="N252" s="1174" t="str">
        <f t="shared" si="1"/>
        <v/>
      </c>
    </row>
    <row r="253">
      <c r="N253" s="1174" t="str">
        <f t="shared" si="1"/>
        <v/>
      </c>
    </row>
    <row r="254">
      <c r="N254" s="1174" t="str">
        <f t="shared" si="1"/>
        <v/>
      </c>
    </row>
    <row r="255">
      <c r="N255" s="1174" t="str">
        <f t="shared" si="1"/>
        <v/>
      </c>
    </row>
    <row r="256">
      <c r="N256" s="1174" t="str">
        <f t="shared" si="1"/>
        <v/>
      </c>
    </row>
    <row r="257">
      <c r="N257" s="1174" t="str">
        <f t="shared" si="1"/>
        <v/>
      </c>
    </row>
    <row r="258">
      <c r="N258" s="1174" t="str">
        <f t="shared" si="1"/>
        <v/>
      </c>
    </row>
    <row r="259">
      <c r="N259" s="1174" t="str">
        <f t="shared" si="1"/>
        <v/>
      </c>
    </row>
    <row r="260">
      <c r="N260" s="1174" t="str">
        <f t="shared" si="1"/>
        <v/>
      </c>
    </row>
    <row r="261">
      <c r="N261" s="1174" t="str">
        <f t="shared" si="1"/>
        <v/>
      </c>
    </row>
    <row r="262">
      <c r="N262" s="1174" t="str">
        <f t="shared" si="1"/>
        <v/>
      </c>
    </row>
    <row r="263">
      <c r="N263" s="1174" t="str">
        <f t="shared" si="1"/>
        <v/>
      </c>
    </row>
    <row r="264">
      <c r="N264" s="1174" t="str">
        <f t="shared" si="1"/>
        <v/>
      </c>
    </row>
    <row r="265">
      <c r="N265" s="1174" t="str">
        <f t="shared" si="1"/>
        <v/>
      </c>
    </row>
    <row r="266">
      <c r="N266" s="1174" t="str">
        <f t="shared" si="1"/>
        <v/>
      </c>
    </row>
    <row r="267">
      <c r="N267" s="1174" t="str">
        <f t="shared" si="1"/>
        <v/>
      </c>
    </row>
    <row r="268">
      <c r="N268" s="1174" t="str">
        <f t="shared" si="1"/>
        <v/>
      </c>
    </row>
    <row r="269">
      <c r="N269" s="1174" t="str">
        <f t="shared" si="1"/>
        <v/>
      </c>
    </row>
    <row r="270">
      <c r="N270" s="1174" t="str">
        <f t="shared" si="1"/>
        <v/>
      </c>
    </row>
    <row r="271">
      <c r="N271" s="1174" t="str">
        <f t="shared" si="1"/>
        <v/>
      </c>
    </row>
    <row r="272">
      <c r="N272" s="1174" t="str">
        <f t="shared" si="1"/>
        <v/>
      </c>
    </row>
    <row r="273">
      <c r="N273" s="1174" t="str">
        <f t="shared" si="1"/>
        <v/>
      </c>
    </row>
    <row r="274">
      <c r="N274" s="1174" t="str">
        <f t="shared" si="1"/>
        <v/>
      </c>
    </row>
    <row r="275">
      <c r="N275" s="1174" t="str">
        <f t="shared" si="1"/>
        <v/>
      </c>
    </row>
    <row r="276">
      <c r="N276" s="1174" t="str">
        <f t="shared" si="1"/>
        <v/>
      </c>
    </row>
    <row r="277">
      <c r="N277" s="1174" t="str">
        <f t="shared" si="1"/>
        <v/>
      </c>
    </row>
    <row r="278">
      <c r="N278" s="1174" t="str">
        <f t="shared" si="1"/>
        <v/>
      </c>
    </row>
    <row r="279">
      <c r="N279" s="1174" t="str">
        <f t="shared" si="1"/>
        <v/>
      </c>
    </row>
    <row r="280">
      <c r="N280" s="1174" t="str">
        <f t="shared" si="1"/>
        <v/>
      </c>
    </row>
    <row r="281">
      <c r="N281" s="1174" t="str">
        <f t="shared" si="1"/>
        <v/>
      </c>
    </row>
    <row r="282">
      <c r="N282" s="1174" t="str">
        <f t="shared" si="1"/>
        <v/>
      </c>
    </row>
    <row r="283">
      <c r="N283" s="1174" t="str">
        <f t="shared" si="1"/>
        <v/>
      </c>
    </row>
    <row r="284">
      <c r="N284" s="1174" t="str">
        <f t="shared" si="1"/>
        <v/>
      </c>
    </row>
    <row r="285">
      <c r="N285" s="1174" t="str">
        <f t="shared" si="1"/>
        <v/>
      </c>
    </row>
    <row r="286">
      <c r="N286" s="1174" t="str">
        <f t="shared" si="1"/>
        <v/>
      </c>
    </row>
    <row r="287">
      <c r="N287" s="1174" t="str">
        <f t="shared" si="1"/>
        <v/>
      </c>
    </row>
    <row r="288">
      <c r="N288" s="1174" t="str">
        <f t="shared" si="1"/>
        <v/>
      </c>
    </row>
    <row r="289">
      <c r="N289" s="1174" t="str">
        <f t="shared" si="1"/>
        <v/>
      </c>
    </row>
    <row r="290">
      <c r="N290" s="1174" t="str">
        <f t="shared" si="1"/>
        <v/>
      </c>
    </row>
    <row r="291">
      <c r="N291" s="1174" t="str">
        <f t="shared" si="1"/>
        <v/>
      </c>
    </row>
    <row r="292">
      <c r="N292" s="1174" t="str">
        <f t="shared" si="1"/>
        <v/>
      </c>
    </row>
    <row r="293">
      <c r="N293" s="1174" t="str">
        <f t="shared" si="1"/>
        <v/>
      </c>
    </row>
    <row r="294">
      <c r="N294" s="1174" t="str">
        <f t="shared" si="1"/>
        <v/>
      </c>
    </row>
    <row r="295">
      <c r="N295" s="1174" t="str">
        <f t="shared" si="1"/>
        <v/>
      </c>
    </row>
    <row r="296">
      <c r="N296" s="1174" t="str">
        <f t="shared" si="1"/>
        <v/>
      </c>
    </row>
    <row r="297">
      <c r="N297" s="1174" t="str">
        <f t="shared" si="1"/>
        <v/>
      </c>
    </row>
    <row r="298">
      <c r="N298" s="1174" t="str">
        <f t="shared" si="1"/>
        <v/>
      </c>
    </row>
    <row r="299">
      <c r="N299" s="1174" t="str">
        <f t="shared" si="1"/>
        <v/>
      </c>
    </row>
    <row r="300">
      <c r="N300" s="1174" t="str">
        <f t="shared" si="1"/>
        <v/>
      </c>
    </row>
    <row r="301">
      <c r="N301" s="1174" t="str">
        <f t="shared" si="1"/>
        <v/>
      </c>
    </row>
    <row r="302">
      <c r="N302" s="1174" t="str">
        <f t="shared" si="1"/>
        <v/>
      </c>
    </row>
    <row r="303">
      <c r="N303" s="1174" t="str">
        <f t="shared" si="1"/>
        <v/>
      </c>
    </row>
    <row r="304">
      <c r="N304" s="1174" t="str">
        <f t="shared" si="1"/>
        <v/>
      </c>
    </row>
    <row r="305">
      <c r="N305" s="1174" t="str">
        <f t="shared" si="1"/>
        <v/>
      </c>
    </row>
    <row r="306">
      <c r="N306" s="1174" t="str">
        <f t="shared" si="1"/>
        <v/>
      </c>
    </row>
    <row r="307">
      <c r="N307" s="1174" t="str">
        <f t="shared" si="1"/>
        <v/>
      </c>
    </row>
    <row r="308">
      <c r="N308" s="1174" t="str">
        <f t="shared" si="1"/>
        <v/>
      </c>
    </row>
    <row r="309">
      <c r="N309" s="1174" t="str">
        <f t="shared" si="1"/>
        <v/>
      </c>
    </row>
    <row r="310">
      <c r="N310" s="1174" t="str">
        <f t="shared" si="1"/>
        <v/>
      </c>
    </row>
    <row r="311">
      <c r="N311" s="1174" t="str">
        <f t="shared" si="1"/>
        <v/>
      </c>
    </row>
    <row r="312">
      <c r="N312" s="1174" t="str">
        <f t="shared" si="1"/>
        <v/>
      </c>
    </row>
    <row r="313">
      <c r="N313" s="1174" t="str">
        <f t="shared" si="1"/>
        <v/>
      </c>
    </row>
    <row r="314">
      <c r="N314" s="1174" t="str">
        <f t="shared" si="1"/>
        <v/>
      </c>
    </row>
    <row r="315">
      <c r="N315" s="1174" t="str">
        <f t="shared" si="1"/>
        <v/>
      </c>
    </row>
    <row r="316">
      <c r="N316" s="1174" t="str">
        <f t="shared" si="1"/>
        <v/>
      </c>
    </row>
    <row r="317">
      <c r="N317" s="1174" t="str">
        <f t="shared" si="1"/>
        <v/>
      </c>
    </row>
    <row r="318">
      <c r="N318" s="1174" t="str">
        <f t="shared" si="1"/>
        <v/>
      </c>
    </row>
    <row r="319">
      <c r="N319" s="1174" t="str">
        <f t="shared" si="1"/>
        <v/>
      </c>
    </row>
    <row r="320">
      <c r="N320" s="1174" t="str">
        <f t="shared" si="1"/>
        <v/>
      </c>
    </row>
    <row r="321">
      <c r="N321" s="1174" t="str">
        <f t="shared" si="1"/>
        <v/>
      </c>
    </row>
    <row r="322">
      <c r="N322" s="1174" t="str">
        <f t="shared" si="1"/>
        <v/>
      </c>
    </row>
    <row r="323">
      <c r="N323" s="1174" t="str">
        <f t="shared" si="1"/>
        <v/>
      </c>
    </row>
    <row r="324">
      <c r="N324" s="1174" t="str">
        <f t="shared" si="1"/>
        <v/>
      </c>
    </row>
    <row r="325">
      <c r="N325" s="1174" t="str">
        <f t="shared" si="1"/>
        <v/>
      </c>
    </row>
    <row r="326">
      <c r="N326" s="1174" t="str">
        <f t="shared" si="1"/>
        <v/>
      </c>
    </row>
    <row r="327">
      <c r="N327" s="1174" t="str">
        <f t="shared" si="1"/>
        <v/>
      </c>
    </row>
    <row r="328">
      <c r="N328" s="1174" t="str">
        <f t="shared" si="1"/>
        <v/>
      </c>
    </row>
    <row r="329">
      <c r="N329" s="1174" t="str">
        <f t="shared" si="1"/>
        <v/>
      </c>
    </row>
    <row r="330">
      <c r="N330" s="1174" t="str">
        <f t="shared" si="1"/>
        <v/>
      </c>
    </row>
    <row r="331">
      <c r="N331" s="1174" t="str">
        <f t="shared" si="1"/>
        <v/>
      </c>
    </row>
    <row r="332">
      <c r="N332" s="1174" t="str">
        <f t="shared" si="1"/>
        <v/>
      </c>
    </row>
    <row r="333">
      <c r="N333" s="1174" t="str">
        <f t="shared" si="1"/>
        <v/>
      </c>
    </row>
    <row r="334">
      <c r="N334" s="1174" t="str">
        <f t="shared" si="1"/>
        <v/>
      </c>
    </row>
    <row r="335">
      <c r="N335" s="1174" t="str">
        <f t="shared" si="1"/>
        <v/>
      </c>
    </row>
    <row r="336">
      <c r="N336" s="1174" t="str">
        <f t="shared" si="1"/>
        <v/>
      </c>
    </row>
    <row r="337">
      <c r="N337" s="1174" t="str">
        <f t="shared" si="1"/>
        <v/>
      </c>
    </row>
    <row r="338">
      <c r="N338" s="1174" t="str">
        <f t="shared" si="1"/>
        <v/>
      </c>
    </row>
    <row r="339">
      <c r="N339" s="1174" t="str">
        <f t="shared" si="1"/>
        <v/>
      </c>
    </row>
    <row r="340">
      <c r="N340" s="1174" t="str">
        <f t="shared" si="1"/>
        <v/>
      </c>
    </row>
    <row r="341">
      <c r="N341" s="1174" t="str">
        <f t="shared" si="1"/>
        <v/>
      </c>
    </row>
    <row r="342">
      <c r="N342" s="1174" t="str">
        <f t="shared" si="1"/>
        <v/>
      </c>
    </row>
    <row r="343">
      <c r="N343" s="1174" t="str">
        <f t="shared" si="1"/>
        <v/>
      </c>
    </row>
    <row r="344">
      <c r="N344" s="1174" t="str">
        <f t="shared" si="1"/>
        <v/>
      </c>
    </row>
    <row r="345">
      <c r="N345" s="1174" t="str">
        <f t="shared" si="1"/>
        <v/>
      </c>
    </row>
    <row r="346">
      <c r="N346" s="1174" t="str">
        <f t="shared" si="1"/>
        <v/>
      </c>
    </row>
    <row r="347">
      <c r="N347" s="1174" t="str">
        <f t="shared" si="1"/>
        <v/>
      </c>
    </row>
    <row r="348">
      <c r="N348" s="1174" t="str">
        <f t="shared" si="1"/>
        <v/>
      </c>
    </row>
    <row r="349">
      <c r="N349" s="1174" t="str">
        <f t="shared" si="1"/>
        <v/>
      </c>
    </row>
    <row r="350">
      <c r="N350" s="1174" t="str">
        <f t="shared" si="1"/>
        <v/>
      </c>
    </row>
    <row r="351">
      <c r="N351" s="1174" t="str">
        <f t="shared" si="1"/>
        <v/>
      </c>
    </row>
    <row r="352">
      <c r="N352" s="1174" t="str">
        <f t="shared" si="1"/>
        <v/>
      </c>
    </row>
    <row r="353">
      <c r="N353" s="1174" t="str">
        <f t="shared" si="1"/>
        <v/>
      </c>
    </row>
    <row r="354">
      <c r="N354" s="1174" t="str">
        <f t="shared" si="1"/>
        <v/>
      </c>
    </row>
    <row r="355">
      <c r="N355" s="1174" t="str">
        <f t="shared" si="1"/>
        <v/>
      </c>
    </row>
    <row r="356">
      <c r="N356" s="1174" t="str">
        <f t="shared" si="1"/>
        <v/>
      </c>
    </row>
    <row r="357">
      <c r="N357" s="1174" t="str">
        <f t="shared" si="1"/>
        <v/>
      </c>
    </row>
    <row r="358">
      <c r="N358" s="1174" t="str">
        <f t="shared" si="1"/>
        <v/>
      </c>
    </row>
    <row r="359">
      <c r="N359" s="1174" t="str">
        <f t="shared" si="1"/>
        <v/>
      </c>
    </row>
    <row r="360">
      <c r="N360" s="1174" t="str">
        <f t="shared" si="1"/>
        <v/>
      </c>
    </row>
    <row r="361">
      <c r="N361" s="1174" t="str">
        <f t="shared" si="1"/>
        <v/>
      </c>
    </row>
    <row r="362">
      <c r="N362" s="1174" t="str">
        <f t="shared" si="1"/>
        <v/>
      </c>
    </row>
    <row r="363">
      <c r="N363" s="1174" t="str">
        <f t="shared" si="1"/>
        <v/>
      </c>
    </row>
    <row r="364">
      <c r="N364" s="1174" t="str">
        <f t="shared" si="1"/>
        <v/>
      </c>
    </row>
    <row r="365">
      <c r="N365" s="1174" t="str">
        <f t="shared" si="1"/>
        <v/>
      </c>
    </row>
    <row r="366">
      <c r="N366" s="1174" t="str">
        <f t="shared" si="1"/>
        <v/>
      </c>
    </row>
    <row r="367">
      <c r="N367" s="1174" t="str">
        <f t="shared" si="1"/>
        <v/>
      </c>
    </row>
    <row r="368">
      <c r="N368" s="1174" t="str">
        <f t="shared" si="1"/>
        <v/>
      </c>
    </row>
    <row r="369">
      <c r="N369" s="1174" t="str">
        <f t="shared" si="1"/>
        <v/>
      </c>
    </row>
    <row r="370">
      <c r="N370" s="1174" t="str">
        <f t="shared" si="1"/>
        <v/>
      </c>
    </row>
    <row r="371">
      <c r="N371" s="1174" t="str">
        <f t="shared" si="1"/>
        <v/>
      </c>
    </row>
    <row r="372">
      <c r="N372" s="1174" t="str">
        <f t="shared" si="1"/>
        <v/>
      </c>
    </row>
    <row r="373">
      <c r="N373" s="1174" t="str">
        <f t="shared" si="1"/>
        <v/>
      </c>
    </row>
    <row r="374">
      <c r="N374" s="1174" t="str">
        <f t="shared" si="1"/>
        <v/>
      </c>
    </row>
    <row r="375">
      <c r="N375" s="1174" t="str">
        <f t="shared" si="1"/>
        <v/>
      </c>
    </row>
    <row r="376">
      <c r="N376" s="1174" t="str">
        <f t="shared" si="1"/>
        <v/>
      </c>
    </row>
    <row r="377">
      <c r="N377" s="1174" t="str">
        <f t="shared" si="1"/>
        <v/>
      </c>
    </row>
    <row r="378">
      <c r="N378" s="1174" t="str">
        <f t="shared" si="1"/>
        <v/>
      </c>
    </row>
    <row r="379">
      <c r="N379" s="1174" t="str">
        <f t="shared" si="1"/>
        <v/>
      </c>
    </row>
    <row r="380">
      <c r="N380" s="1174" t="str">
        <f t="shared" si="1"/>
        <v/>
      </c>
    </row>
    <row r="381">
      <c r="N381" s="1174" t="str">
        <f t="shared" si="1"/>
        <v/>
      </c>
    </row>
    <row r="382">
      <c r="N382" s="1174" t="str">
        <f t="shared" si="1"/>
        <v/>
      </c>
    </row>
    <row r="383">
      <c r="N383" s="1174" t="str">
        <f t="shared" si="1"/>
        <v/>
      </c>
    </row>
    <row r="384">
      <c r="N384" s="1174" t="str">
        <f t="shared" si="1"/>
        <v/>
      </c>
    </row>
    <row r="385">
      <c r="N385" s="1174" t="str">
        <f t="shared" si="1"/>
        <v/>
      </c>
    </row>
    <row r="386">
      <c r="N386" s="1174" t="str">
        <f t="shared" si="1"/>
        <v/>
      </c>
    </row>
    <row r="387">
      <c r="N387" s="1174" t="str">
        <f t="shared" si="1"/>
        <v/>
      </c>
    </row>
    <row r="388">
      <c r="N388" s="1174" t="str">
        <f t="shared" si="1"/>
        <v/>
      </c>
    </row>
    <row r="389">
      <c r="N389" s="1174" t="str">
        <f t="shared" si="1"/>
        <v/>
      </c>
    </row>
    <row r="390">
      <c r="N390" s="1174" t="str">
        <f t="shared" si="1"/>
        <v/>
      </c>
    </row>
    <row r="391">
      <c r="N391" s="1174" t="str">
        <f t="shared" si="1"/>
        <v/>
      </c>
    </row>
    <row r="392">
      <c r="N392" s="1174" t="str">
        <f t="shared" si="1"/>
        <v/>
      </c>
    </row>
    <row r="393">
      <c r="N393" s="1174" t="str">
        <f t="shared" si="1"/>
        <v/>
      </c>
    </row>
    <row r="394">
      <c r="N394" s="1174" t="str">
        <f t="shared" si="1"/>
        <v/>
      </c>
    </row>
    <row r="395">
      <c r="N395" s="1174" t="str">
        <f t="shared" si="1"/>
        <v/>
      </c>
    </row>
    <row r="396">
      <c r="N396" s="1174" t="str">
        <f t="shared" si="1"/>
        <v/>
      </c>
    </row>
    <row r="397">
      <c r="N397" s="1174" t="str">
        <f t="shared" si="1"/>
        <v/>
      </c>
    </row>
    <row r="398">
      <c r="N398" s="1174" t="str">
        <f t="shared" si="1"/>
        <v/>
      </c>
    </row>
    <row r="399">
      <c r="N399" s="1174" t="str">
        <f t="shared" si="1"/>
        <v/>
      </c>
    </row>
    <row r="400">
      <c r="N400" s="1174" t="str">
        <f t="shared" si="1"/>
        <v/>
      </c>
    </row>
    <row r="401">
      <c r="N401" s="1174" t="str">
        <f t="shared" si="1"/>
        <v/>
      </c>
    </row>
    <row r="402">
      <c r="N402" s="1174" t="str">
        <f t="shared" si="1"/>
        <v/>
      </c>
    </row>
    <row r="403">
      <c r="N403" s="1174" t="str">
        <f t="shared" si="1"/>
        <v/>
      </c>
    </row>
    <row r="404">
      <c r="N404" s="1174" t="str">
        <f t="shared" si="1"/>
        <v/>
      </c>
    </row>
    <row r="405">
      <c r="N405" s="1174" t="str">
        <f t="shared" si="1"/>
        <v/>
      </c>
    </row>
    <row r="406">
      <c r="N406" s="1174" t="str">
        <f t="shared" si="1"/>
        <v/>
      </c>
    </row>
    <row r="407">
      <c r="N407" s="1174" t="str">
        <f t="shared" si="1"/>
        <v/>
      </c>
    </row>
    <row r="408">
      <c r="N408" s="1174" t="str">
        <f t="shared" si="1"/>
        <v/>
      </c>
    </row>
    <row r="409">
      <c r="N409" s="1174" t="str">
        <f t="shared" si="1"/>
        <v/>
      </c>
    </row>
    <row r="410">
      <c r="N410" s="1174" t="str">
        <f t="shared" si="1"/>
        <v/>
      </c>
    </row>
    <row r="411">
      <c r="N411" s="1174" t="str">
        <f t="shared" si="1"/>
        <v/>
      </c>
    </row>
    <row r="412">
      <c r="N412" s="1174" t="str">
        <f t="shared" si="1"/>
        <v/>
      </c>
    </row>
    <row r="413">
      <c r="N413" s="1174" t="str">
        <f t="shared" si="1"/>
        <v/>
      </c>
    </row>
    <row r="414">
      <c r="N414" s="1174" t="str">
        <f t="shared" si="1"/>
        <v/>
      </c>
    </row>
    <row r="415">
      <c r="N415" s="1174" t="str">
        <f t="shared" si="1"/>
        <v/>
      </c>
    </row>
    <row r="416">
      <c r="N416" s="1174" t="str">
        <f t="shared" si="1"/>
        <v/>
      </c>
    </row>
    <row r="417">
      <c r="N417" s="1174" t="str">
        <f t="shared" si="1"/>
        <v/>
      </c>
    </row>
    <row r="418">
      <c r="N418" s="1174" t="str">
        <f t="shared" si="1"/>
        <v/>
      </c>
    </row>
    <row r="419">
      <c r="N419" s="1174" t="str">
        <f t="shared" si="1"/>
        <v/>
      </c>
    </row>
    <row r="420">
      <c r="N420" s="1174" t="str">
        <f t="shared" si="1"/>
        <v/>
      </c>
    </row>
    <row r="421">
      <c r="N421" s="1174" t="str">
        <f t="shared" si="1"/>
        <v/>
      </c>
    </row>
    <row r="422">
      <c r="N422" s="1174" t="str">
        <f t="shared" si="1"/>
        <v/>
      </c>
    </row>
    <row r="423">
      <c r="N423" s="1174" t="str">
        <f t="shared" si="1"/>
        <v/>
      </c>
    </row>
    <row r="424">
      <c r="N424" s="1174" t="str">
        <f t="shared" si="1"/>
        <v/>
      </c>
    </row>
    <row r="425">
      <c r="N425" s="1174" t="str">
        <f t="shared" si="1"/>
        <v/>
      </c>
    </row>
    <row r="426">
      <c r="N426" s="1174" t="str">
        <f t="shared" si="1"/>
        <v/>
      </c>
    </row>
    <row r="427">
      <c r="N427" s="1174" t="str">
        <f t="shared" si="1"/>
        <v/>
      </c>
    </row>
    <row r="428">
      <c r="N428" s="1174" t="str">
        <f t="shared" si="1"/>
        <v/>
      </c>
    </row>
    <row r="429">
      <c r="N429" s="1174" t="str">
        <f t="shared" si="1"/>
        <v/>
      </c>
    </row>
    <row r="430">
      <c r="N430" s="1174" t="str">
        <f t="shared" si="1"/>
        <v/>
      </c>
    </row>
    <row r="431">
      <c r="N431" s="1174" t="str">
        <f t="shared" si="1"/>
        <v/>
      </c>
    </row>
    <row r="432">
      <c r="N432" s="1174" t="str">
        <f t="shared" si="1"/>
        <v/>
      </c>
    </row>
    <row r="433">
      <c r="N433" s="1174" t="str">
        <f t="shared" si="1"/>
        <v/>
      </c>
    </row>
    <row r="434">
      <c r="N434" s="1174" t="str">
        <f t="shared" si="1"/>
        <v/>
      </c>
    </row>
    <row r="435">
      <c r="N435" s="1174" t="str">
        <f t="shared" si="1"/>
        <v/>
      </c>
    </row>
    <row r="436">
      <c r="N436" s="1174" t="str">
        <f t="shared" si="1"/>
        <v/>
      </c>
    </row>
    <row r="437">
      <c r="N437" s="1174" t="str">
        <f t="shared" si="1"/>
        <v/>
      </c>
    </row>
    <row r="438">
      <c r="N438" s="1174" t="str">
        <f t="shared" si="1"/>
        <v/>
      </c>
    </row>
    <row r="439">
      <c r="N439" s="1174" t="str">
        <f t="shared" si="1"/>
        <v/>
      </c>
    </row>
    <row r="440">
      <c r="N440" s="1174" t="str">
        <f t="shared" si="1"/>
        <v/>
      </c>
    </row>
    <row r="441">
      <c r="N441" s="1174" t="str">
        <f t="shared" si="1"/>
        <v/>
      </c>
    </row>
    <row r="442">
      <c r="N442" s="1174" t="str">
        <f t="shared" si="1"/>
        <v/>
      </c>
    </row>
    <row r="443">
      <c r="N443" s="1174" t="str">
        <f t="shared" si="1"/>
        <v/>
      </c>
    </row>
    <row r="444">
      <c r="N444" s="1174" t="str">
        <f t="shared" si="1"/>
        <v/>
      </c>
    </row>
    <row r="445">
      <c r="N445" s="1174" t="str">
        <f t="shared" si="1"/>
        <v/>
      </c>
    </row>
    <row r="446">
      <c r="N446" s="1174" t="str">
        <f t="shared" si="1"/>
        <v/>
      </c>
    </row>
    <row r="447">
      <c r="N447" s="1174" t="str">
        <f t="shared" si="1"/>
        <v/>
      </c>
    </row>
    <row r="448">
      <c r="N448" s="1174" t="str">
        <f t="shared" si="1"/>
        <v/>
      </c>
    </row>
    <row r="449">
      <c r="N449" s="1174" t="str">
        <f t="shared" si="1"/>
        <v/>
      </c>
    </row>
    <row r="450">
      <c r="N450" s="1174" t="str">
        <f t="shared" si="1"/>
        <v/>
      </c>
    </row>
    <row r="451">
      <c r="N451" s="1174" t="str">
        <f t="shared" si="1"/>
        <v/>
      </c>
    </row>
    <row r="452">
      <c r="N452" s="1174" t="str">
        <f t="shared" si="1"/>
        <v/>
      </c>
    </row>
    <row r="453">
      <c r="N453" s="1174" t="str">
        <f t="shared" si="1"/>
        <v/>
      </c>
    </row>
    <row r="454">
      <c r="N454" s="1174" t="str">
        <f t="shared" si="1"/>
        <v/>
      </c>
    </row>
    <row r="455">
      <c r="N455" s="1174" t="str">
        <f t="shared" si="1"/>
        <v/>
      </c>
    </row>
    <row r="456">
      <c r="N456" s="1174" t="str">
        <f t="shared" si="1"/>
        <v/>
      </c>
    </row>
    <row r="457">
      <c r="N457" s="1174" t="str">
        <f t="shared" si="1"/>
        <v/>
      </c>
    </row>
    <row r="458">
      <c r="N458" s="1174" t="str">
        <f t="shared" si="1"/>
        <v/>
      </c>
    </row>
    <row r="459">
      <c r="N459" s="1174" t="str">
        <f t="shared" si="1"/>
        <v/>
      </c>
    </row>
    <row r="460">
      <c r="N460" s="1174" t="str">
        <f t="shared" si="1"/>
        <v/>
      </c>
    </row>
    <row r="461">
      <c r="N461" s="1174" t="str">
        <f t="shared" si="1"/>
        <v/>
      </c>
    </row>
    <row r="462">
      <c r="N462" s="1174" t="str">
        <f t="shared" si="1"/>
        <v/>
      </c>
    </row>
    <row r="463">
      <c r="N463" s="1174" t="str">
        <f t="shared" si="1"/>
        <v/>
      </c>
    </row>
    <row r="464">
      <c r="N464" s="1174" t="str">
        <f t="shared" si="1"/>
        <v/>
      </c>
    </row>
    <row r="465">
      <c r="N465" s="1174" t="str">
        <f t="shared" si="1"/>
        <v/>
      </c>
    </row>
    <row r="466">
      <c r="N466" s="1174" t="str">
        <f t="shared" si="1"/>
        <v/>
      </c>
    </row>
    <row r="467">
      <c r="N467" s="1174" t="str">
        <f t="shared" si="1"/>
        <v/>
      </c>
    </row>
    <row r="468">
      <c r="N468" s="1174" t="str">
        <f t="shared" si="1"/>
        <v/>
      </c>
    </row>
    <row r="469">
      <c r="N469" s="1174" t="str">
        <f t="shared" si="1"/>
        <v/>
      </c>
    </row>
    <row r="470">
      <c r="N470" s="1174" t="str">
        <f t="shared" si="1"/>
        <v/>
      </c>
    </row>
    <row r="471">
      <c r="N471" s="1174" t="str">
        <f t="shared" si="1"/>
        <v/>
      </c>
    </row>
    <row r="472">
      <c r="N472" s="1174" t="str">
        <f t="shared" si="1"/>
        <v/>
      </c>
    </row>
    <row r="473">
      <c r="N473" s="1174" t="str">
        <f t="shared" si="1"/>
        <v/>
      </c>
    </row>
    <row r="474">
      <c r="N474" s="1174" t="str">
        <f t="shared" si="1"/>
        <v/>
      </c>
    </row>
    <row r="475">
      <c r="N475" s="1174" t="str">
        <f t="shared" si="1"/>
        <v/>
      </c>
    </row>
    <row r="476">
      <c r="N476" s="1174" t="str">
        <f t="shared" si="1"/>
        <v/>
      </c>
    </row>
    <row r="477">
      <c r="N477" s="1174" t="str">
        <f t="shared" si="1"/>
        <v/>
      </c>
    </row>
    <row r="478">
      <c r="N478" s="1174" t="str">
        <f t="shared" si="1"/>
        <v/>
      </c>
    </row>
    <row r="479">
      <c r="N479" s="1174" t="str">
        <f t="shared" si="1"/>
        <v/>
      </c>
    </row>
    <row r="480">
      <c r="N480" s="1174" t="str">
        <f t="shared" si="1"/>
        <v/>
      </c>
    </row>
    <row r="481">
      <c r="N481" s="1174" t="str">
        <f t="shared" si="1"/>
        <v/>
      </c>
    </row>
    <row r="482">
      <c r="N482" s="1174" t="str">
        <f t="shared" si="1"/>
        <v/>
      </c>
    </row>
    <row r="483">
      <c r="N483" s="1174" t="str">
        <f t="shared" si="1"/>
        <v/>
      </c>
    </row>
    <row r="484">
      <c r="N484" s="1174" t="str">
        <f t="shared" si="1"/>
        <v/>
      </c>
    </row>
    <row r="485">
      <c r="N485" s="1174" t="str">
        <f t="shared" si="1"/>
        <v/>
      </c>
    </row>
    <row r="486">
      <c r="N486" s="1174" t="str">
        <f t="shared" si="1"/>
        <v/>
      </c>
    </row>
    <row r="487">
      <c r="N487" s="1174" t="str">
        <f t="shared" si="1"/>
        <v/>
      </c>
    </row>
    <row r="488">
      <c r="N488" s="1174" t="str">
        <f t="shared" si="1"/>
        <v/>
      </c>
    </row>
    <row r="489">
      <c r="N489" s="1174" t="str">
        <f t="shared" si="1"/>
        <v/>
      </c>
    </row>
    <row r="490">
      <c r="N490" s="1174" t="str">
        <f t="shared" si="1"/>
        <v/>
      </c>
    </row>
    <row r="491">
      <c r="N491" s="1174" t="str">
        <f t="shared" si="1"/>
        <v/>
      </c>
    </row>
    <row r="492">
      <c r="N492" s="1174" t="str">
        <f t="shared" si="1"/>
        <v/>
      </c>
    </row>
    <row r="493">
      <c r="N493" s="1174" t="str">
        <f t="shared" si="1"/>
        <v/>
      </c>
    </row>
    <row r="494">
      <c r="N494" s="1174" t="str">
        <f t="shared" si="1"/>
        <v/>
      </c>
    </row>
    <row r="495">
      <c r="N495" s="1174" t="str">
        <f t="shared" si="1"/>
        <v/>
      </c>
    </row>
    <row r="496">
      <c r="N496" s="1174" t="str">
        <f t="shared" si="1"/>
        <v/>
      </c>
    </row>
    <row r="497">
      <c r="N497" s="1174" t="str">
        <f t="shared" si="1"/>
        <v/>
      </c>
    </row>
    <row r="498">
      <c r="N498" s="1174" t="str">
        <f t="shared" si="1"/>
        <v/>
      </c>
    </row>
    <row r="499">
      <c r="N499" s="1174" t="str">
        <f t="shared" si="1"/>
        <v/>
      </c>
    </row>
    <row r="500">
      <c r="N500" s="1174" t="str">
        <f t="shared" si="1"/>
        <v/>
      </c>
    </row>
    <row r="501">
      <c r="N501" s="1174" t="str">
        <f t="shared" si="1"/>
        <v/>
      </c>
    </row>
    <row r="502">
      <c r="N502" s="1174" t="str">
        <f t="shared" si="1"/>
        <v/>
      </c>
    </row>
    <row r="503">
      <c r="N503" s="1174" t="str">
        <f t="shared" si="1"/>
        <v/>
      </c>
    </row>
    <row r="504">
      <c r="N504" s="1174" t="str">
        <f t="shared" si="1"/>
        <v/>
      </c>
    </row>
    <row r="505">
      <c r="N505" s="1174" t="str">
        <f t="shared" si="1"/>
        <v/>
      </c>
    </row>
    <row r="506">
      <c r="N506" s="1174" t="str">
        <f t="shared" si="1"/>
        <v/>
      </c>
    </row>
    <row r="507">
      <c r="N507" s="1174" t="str">
        <f t="shared" si="1"/>
        <v/>
      </c>
    </row>
    <row r="508">
      <c r="N508" s="1174" t="str">
        <f t="shared" si="1"/>
        <v/>
      </c>
    </row>
    <row r="509">
      <c r="N509" s="1174" t="str">
        <f t="shared" si="1"/>
        <v/>
      </c>
    </row>
    <row r="510">
      <c r="N510" s="1174" t="str">
        <f t="shared" si="1"/>
        <v/>
      </c>
    </row>
    <row r="511">
      <c r="N511" s="1174" t="str">
        <f t="shared" si="1"/>
        <v/>
      </c>
    </row>
    <row r="512">
      <c r="N512" s="1174" t="str">
        <f t="shared" si="1"/>
        <v/>
      </c>
    </row>
    <row r="513">
      <c r="N513" s="1174" t="str">
        <f t="shared" si="1"/>
        <v/>
      </c>
    </row>
    <row r="514">
      <c r="N514" s="1174" t="str">
        <f t="shared" si="1"/>
        <v/>
      </c>
    </row>
    <row r="515">
      <c r="N515" s="1174" t="str">
        <f t="shared" si="1"/>
        <v/>
      </c>
    </row>
    <row r="516">
      <c r="N516" s="1174" t="str">
        <f t="shared" si="1"/>
        <v/>
      </c>
    </row>
    <row r="517">
      <c r="N517" s="1174" t="str">
        <f t="shared" si="1"/>
        <v/>
      </c>
    </row>
    <row r="518">
      <c r="N518" s="1174" t="str">
        <f t="shared" si="1"/>
        <v/>
      </c>
    </row>
    <row r="519">
      <c r="N519" s="1174" t="str">
        <f t="shared" si="1"/>
        <v/>
      </c>
    </row>
    <row r="520">
      <c r="N520" s="1174" t="str">
        <f t="shared" si="1"/>
        <v/>
      </c>
    </row>
    <row r="521">
      <c r="N521" s="1174" t="str">
        <f t="shared" si="1"/>
        <v/>
      </c>
    </row>
    <row r="522">
      <c r="N522" s="1174" t="str">
        <f t="shared" si="1"/>
        <v/>
      </c>
    </row>
    <row r="523">
      <c r="N523" s="1174" t="str">
        <f t="shared" si="1"/>
        <v/>
      </c>
    </row>
    <row r="524">
      <c r="N524" s="1174" t="str">
        <f t="shared" si="1"/>
        <v/>
      </c>
    </row>
    <row r="525">
      <c r="N525" s="1174" t="str">
        <f t="shared" si="1"/>
        <v/>
      </c>
    </row>
    <row r="526">
      <c r="N526" s="1174" t="str">
        <f t="shared" si="1"/>
        <v/>
      </c>
    </row>
    <row r="527">
      <c r="N527" s="1174" t="str">
        <f t="shared" si="1"/>
        <v/>
      </c>
    </row>
    <row r="528">
      <c r="N528" s="1174" t="str">
        <f t="shared" si="1"/>
        <v/>
      </c>
    </row>
    <row r="529">
      <c r="N529" s="1174" t="str">
        <f t="shared" si="1"/>
        <v/>
      </c>
    </row>
    <row r="530">
      <c r="N530" s="1174" t="str">
        <f t="shared" si="1"/>
        <v/>
      </c>
    </row>
    <row r="531">
      <c r="N531" s="1174" t="str">
        <f t="shared" si="1"/>
        <v/>
      </c>
    </row>
    <row r="532">
      <c r="N532" s="1174" t="str">
        <f t="shared" si="1"/>
        <v/>
      </c>
    </row>
    <row r="533">
      <c r="N533" s="1174" t="str">
        <f t="shared" si="1"/>
        <v/>
      </c>
    </row>
    <row r="534">
      <c r="N534" s="1174" t="str">
        <f t="shared" si="1"/>
        <v/>
      </c>
    </row>
    <row r="535">
      <c r="N535" s="1174" t="str">
        <f t="shared" si="1"/>
        <v/>
      </c>
    </row>
    <row r="536">
      <c r="N536" s="1174" t="str">
        <f t="shared" si="1"/>
        <v/>
      </c>
    </row>
    <row r="537">
      <c r="N537" s="1174" t="str">
        <f t="shared" si="1"/>
        <v/>
      </c>
    </row>
    <row r="538">
      <c r="N538" s="1174" t="str">
        <f t="shared" si="1"/>
        <v/>
      </c>
    </row>
    <row r="539">
      <c r="N539" s="1174" t="str">
        <f t="shared" si="1"/>
        <v/>
      </c>
    </row>
    <row r="540">
      <c r="N540" s="1174" t="str">
        <f t="shared" si="1"/>
        <v/>
      </c>
    </row>
    <row r="541">
      <c r="N541" s="1174" t="str">
        <f t="shared" si="1"/>
        <v/>
      </c>
    </row>
    <row r="542">
      <c r="N542" s="1174" t="str">
        <f t="shared" si="1"/>
        <v/>
      </c>
    </row>
    <row r="543">
      <c r="N543" s="1174" t="str">
        <f t="shared" si="1"/>
        <v/>
      </c>
    </row>
    <row r="544">
      <c r="N544" s="1174" t="str">
        <f t="shared" si="1"/>
        <v/>
      </c>
    </row>
    <row r="545">
      <c r="N545" s="1174" t="str">
        <f t="shared" si="1"/>
        <v/>
      </c>
    </row>
    <row r="546">
      <c r="N546" s="1174" t="str">
        <f t="shared" si="1"/>
        <v/>
      </c>
    </row>
    <row r="547">
      <c r="N547" s="1174" t="str">
        <f t="shared" si="1"/>
        <v/>
      </c>
    </row>
    <row r="548">
      <c r="N548" s="1174" t="str">
        <f t="shared" si="1"/>
        <v/>
      </c>
    </row>
    <row r="549">
      <c r="N549" s="1174" t="str">
        <f t="shared" si="1"/>
        <v/>
      </c>
    </row>
    <row r="550">
      <c r="N550" s="1174" t="str">
        <f t="shared" si="1"/>
        <v/>
      </c>
    </row>
    <row r="551">
      <c r="N551" s="1174" t="str">
        <f t="shared" si="1"/>
        <v/>
      </c>
    </row>
    <row r="552">
      <c r="N552" s="1174" t="str">
        <f t="shared" si="1"/>
        <v/>
      </c>
    </row>
    <row r="553">
      <c r="N553" s="1174" t="str">
        <f t="shared" si="1"/>
        <v/>
      </c>
    </row>
    <row r="554">
      <c r="N554" s="1174" t="str">
        <f t="shared" si="1"/>
        <v/>
      </c>
    </row>
    <row r="555">
      <c r="N555" s="1174" t="str">
        <f t="shared" si="1"/>
        <v/>
      </c>
    </row>
    <row r="556">
      <c r="N556" s="1174" t="str">
        <f t="shared" si="1"/>
        <v/>
      </c>
    </row>
    <row r="557">
      <c r="N557" s="1174" t="str">
        <f t="shared" si="1"/>
        <v/>
      </c>
    </row>
    <row r="558">
      <c r="N558" s="1174" t="str">
        <f t="shared" si="1"/>
        <v/>
      </c>
    </row>
    <row r="559">
      <c r="N559" s="1174" t="str">
        <f t="shared" si="1"/>
        <v/>
      </c>
    </row>
    <row r="560">
      <c r="N560" s="1174" t="str">
        <f t="shared" si="1"/>
        <v/>
      </c>
    </row>
    <row r="561">
      <c r="N561" s="1174" t="str">
        <f t="shared" si="1"/>
        <v/>
      </c>
    </row>
    <row r="562">
      <c r="N562" s="1174" t="str">
        <f t="shared" si="1"/>
        <v/>
      </c>
    </row>
    <row r="563">
      <c r="N563" s="1174" t="str">
        <f t="shared" si="1"/>
        <v/>
      </c>
    </row>
    <row r="564">
      <c r="N564" s="1174" t="str">
        <f t="shared" si="1"/>
        <v/>
      </c>
    </row>
    <row r="565">
      <c r="N565" s="1174" t="str">
        <f t="shared" si="1"/>
        <v/>
      </c>
    </row>
    <row r="566">
      <c r="N566" s="1174" t="str">
        <f t="shared" si="1"/>
        <v/>
      </c>
    </row>
    <row r="567">
      <c r="N567" s="1174" t="str">
        <f t="shared" si="1"/>
        <v/>
      </c>
    </row>
    <row r="568">
      <c r="N568" s="1174" t="str">
        <f t="shared" si="1"/>
        <v/>
      </c>
    </row>
    <row r="569">
      <c r="N569" s="1174" t="str">
        <f t="shared" si="1"/>
        <v/>
      </c>
    </row>
    <row r="570">
      <c r="N570" s="1174" t="str">
        <f t="shared" si="1"/>
        <v/>
      </c>
    </row>
    <row r="571">
      <c r="N571" s="1174" t="str">
        <f t="shared" si="1"/>
        <v/>
      </c>
    </row>
    <row r="572">
      <c r="N572" s="1174" t="str">
        <f t="shared" si="1"/>
        <v/>
      </c>
    </row>
    <row r="573">
      <c r="N573" s="1174" t="str">
        <f t="shared" si="1"/>
        <v/>
      </c>
    </row>
    <row r="574">
      <c r="N574" s="1174" t="str">
        <f t="shared" si="1"/>
        <v/>
      </c>
    </row>
    <row r="575">
      <c r="N575" s="1174" t="str">
        <f t="shared" si="1"/>
        <v/>
      </c>
    </row>
    <row r="576">
      <c r="N576" s="1174" t="str">
        <f t="shared" si="1"/>
        <v/>
      </c>
    </row>
    <row r="577">
      <c r="N577" s="1174" t="str">
        <f t="shared" si="1"/>
        <v/>
      </c>
    </row>
    <row r="578">
      <c r="N578" s="1174" t="str">
        <f t="shared" si="1"/>
        <v/>
      </c>
    </row>
    <row r="579">
      <c r="N579" s="1174" t="str">
        <f t="shared" si="1"/>
        <v/>
      </c>
    </row>
    <row r="580">
      <c r="N580" s="1174" t="str">
        <f t="shared" si="1"/>
        <v/>
      </c>
    </row>
    <row r="581">
      <c r="N581" s="1174" t="str">
        <f t="shared" si="1"/>
        <v/>
      </c>
    </row>
    <row r="582">
      <c r="N582" s="1174" t="str">
        <f t="shared" si="1"/>
        <v/>
      </c>
    </row>
    <row r="583">
      <c r="N583" s="1174" t="str">
        <f t="shared" si="1"/>
        <v/>
      </c>
    </row>
    <row r="584">
      <c r="N584" s="1174" t="str">
        <f t="shared" si="1"/>
        <v/>
      </c>
    </row>
    <row r="585">
      <c r="N585" s="1174" t="str">
        <f t="shared" si="1"/>
        <v/>
      </c>
    </row>
    <row r="586">
      <c r="N586" s="1174" t="str">
        <f t="shared" si="1"/>
        <v/>
      </c>
    </row>
    <row r="587">
      <c r="N587" s="1174" t="str">
        <f t="shared" si="1"/>
        <v/>
      </c>
    </row>
    <row r="588">
      <c r="N588" s="1174" t="str">
        <f t="shared" si="1"/>
        <v/>
      </c>
    </row>
    <row r="589">
      <c r="N589" s="1174" t="str">
        <f t="shared" si="1"/>
        <v/>
      </c>
    </row>
    <row r="590">
      <c r="N590" s="1174" t="str">
        <f t="shared" si="1"/>
        <v/>
      </c>
    </row>
    <row r="591">
      <c r="N591" s="1174" t="str">
        <f t="shared" si="1"/>
        <v/>
      </c>
    </row>
    <row r="592">
      <c r="N592" s="1174" t="str">
        <f t="shared" si="1"/>
        <v/>
      </c>
    </row>
    <row r="593">
      <c r="N593" s="1174" t="str">
        <f t="shared" si="1"/>
        <v/>
      </c>
    </row>
    <row r="594">
      <c r="N594" s="1174" t="str">
        <f t="shared" si="1"/>
        <v/>
      </c>
    </row>
    <row r="595">
      <c r="N595" s="1174" t="str">
        <f t="shared" si="1"/>
        <v/>
      </c>
    </row>
    <row r="596">
      <c r="N596" s="1174" t="str">
        <f t="shared" si="1"/>
        <v/>
      </c>
    </row>
    <row r="597">
      <c r="N597" s="1174" t="str">
        <f t="shared" si="1"/>
        <v/>
      </c>
    </row>
    <row r="598">
      <c r="N598" s="1174" t="str">
        <f t="shared" si="1"/>
        <v/>
      </c>
    </row>
    <row r="599">
      <c r="N599" s="1174" t="str">
        <f t="shared" si="1"/>
        <v/>
      </c>
    </row>
    <row r="600">
      <c r="N600" s="1174" t="str">
        <f t="shared" si="1"/>
        <v/>
      </c>
    </row>
    <row r="601">
      <c r="N601" s="1174" t="str">
        <f t="shared" si="1"/>
        <v/>
      </c>
    </row>
    <row r="602">
      <c r="N602" s="1174" t="str">
        <f t="shared" si="1"/>
        <v/>
      </c>
    </row>
    <row r="603">
      <c r="N603" s="1174" t="str">
        <f t="shared" si="1"/>
        <v/>
      </c>
    </row>
    <row r="604">
      <c r="N604" s="1174" t="str">
        <f t="shared" si="1"/>
        <v/>
      </c>
    </row>
    <row r="605">
      <c r="N605" s="1174" t="str">
        <f t="shared" si="1"/>
        <v/>
      </c>
    </row>
    <row r="606">
      <c r="N606" s="1174" t="str">
        <f t="shared" si="1"/>
        <v/>
      </c>
    </row>
    <row r="607">
      <c r="N607" s="1174" t="str">
        <f t="shared" si="1"/>
        <v/>
      </c>
    </row>
    <row r="608">
      <c r="N608" s="1174" t="str">
        <f t="shared" si="1"/>
        <v/>
      </c>
    </row>
    <row r="609">
      <c r="N609" s="1174" t="str">
        <f t="shared" si="1"/>
        <v/>
      </c>
    </row>
    <row r="610">
      <c r="N610" s="1174" t="str">
        <f t="shared" si="1"/>
        <v/>
      </c>
    </row>
    <row r="611">
      <c r="N611" s="1174" t="str">
        <f t="shared" si="1"/>
        <v/>
      </c>
    </row>
    <row r="612">
      <c r="N612" s="1174" t="str">
        <f t="shared" si="1"/>
        <v/>
      </c>
    </row>
    <row r="613">
      <c r="N613" s="1174" t="str">
        <f t="shared" si="1"/>
        <v/>
      </c>
    </row>
    <row r="614">
      <c r="N614" s="1174" t="str">
        <f t="shared" si="1"/>
        <v/>
      </c>
    </row>
    <row r="615">
      <c r="N615" s="1174" t="str">
        <f t="shared" si="1"/>
        <v/>
      </c>
    </row>
    <row r="616">
      <c r="N616" s="1174" t="str">
        <f t="shared" si="1"/>
        <v/>
      </c>
    </row>
    <row r="617">
      <c r="N617" s="1174" t="str">
        <f t="shared" si="1"/>
        <v/>
      </c>
    </row>
    <row r="618">
      <c r="N618" s="1174" t="str">
        <f t="shared" si="1"/>
        <v/>
      </c>
    </row>
    <row r="619">
      <c r="N619" s="1174" t="str">
        <f t="shared" si="1"/>
        <v/>
      </c>
    </row>
    <row r="620">
      <c r="N620" s="1174" t="str">
        <f t="shared" si="1"/>
        <v/>
      </c>
    </row>
    <row r="621">
      <c r="N621" s="1174" t="str">
        <f t="shared" si="1"/>
        <v/>
      </c>
    </row>
    <row r="622">
      <c r="N622" s="1174" t="str">
        <f t="shared" si="1"/>
        <v/>
      </c>
    </row>
    <row r="623">
      <c r="N623" s="1174" t="str">
        <f t="shared" si="1"/>
        <v/>
      </c>
    </row>
    <row r="624">
      <c r="N624" s="1174" t="str">
        <f t="shared" si="1"/>
        <v/>
      </c>
    </row>
    <row r="625">
      <c r="N625" s="1174" t="str">
        <f t="shared" si="1"/>
        <v/>
      </c>
    </row>
    <row r="626">
      <c r="N626" s="1174" t="str">
        <f t="shared" si="1"/>
        <v/>
      </c>
    </row>
    <row r="627">
      <c r="N627" s="1174" t="str">
        <f t="shared" si="1"/>
        <v/>
      </c>
    </row>
    <row r="628">
      <c r="N628" s="1174" t="str">
        <f t="shared" si="1"/>
        <v/>
      </c>
    </row>
    <row r="629">
      <c r="N629" s="1174" t="str">
        <f t="shared" si="1"/>
        <v/>
      </c>
    </row>
    <row r="630">
      <c r="N630" s="1174" t="str">
        <f t="shared" si="1"/>
        <v/>
      </c>
    </row>
    <row r="631">
      <c r="N631" s="1174" t="str">
        <f t="shared" si="1"/>
        <v/>
      </c>
    </row>
    <row r="632">
      <c r="N632" s="1174" t="str">
        <f t="shared" si="1"/>
        <v/>
      </c>
    </row>
    <row r="633">
      <c r="N633" s="1174" t="str">
        <f t="shared" si="1"/>
        <v/>
      </c>
    </row>
    <row r="634">
      <c r="N634" s="1174" t="str">
        <f t="shared" si="1"/>
        <v/>
      </c>
    </row>
    <row r="635">
      <c r="N635" s="1174" t="str">
        <f t="shared" si="1"/>
        <v/>
      </c>
    </row>
    <row r="636">
      <c r="N636" s="1174" t="str">
        <f t="shared" si="1"/>
        <v/>
      </c>
    </row>
    <row r="637">
      <c r="N637" s="1174" t="str">
        <f t="shared" si="1"/>
        <v/>
      </c>
    </row>
    <row r="638">
      <c r="N638" s="1174" t="str">
        <f t="shared" si="1"/>
        <v/>
      </c>
    </row>
    <row r="639">
      <c r="N639" s="1174" t="str">
        <f t="shared" si="1"/>
        <v/>
      </c>
    </row>
    <row r="640">
      <c r="N640" s="1174" t="str">
        <f t="shared" si="1"/>
        <v/>
      </c>
    </row>
    <row r="641">
      <c r="N641" s="1174" t="str">
        <f t="shared" si="1"/>
        <v/>
      </c>
    </row>
    <row r="642">
      <c r="N642" s="1174" t="str">
        <f t="shared" si="1"/>
        <v/>
      </c>
    </row>
    <row r="643">
      <c r="N643" s="1174" t="str">
        <f t="shared" si="1"/>
        <v/>
      </c>
    </row>
    <row r="644">
      <c r="N644" s="1174" t="str">
        <f t="shared" si="1"/>
        <v/>
      </c>
    </row>
    <row r="645">
      <c r="N645" s="1174" t="str">
        <f t="shared" si="1"/>
        <v/>
      </c>
    </row>
    <row r="646">
      <c r="N646" s="1174" t="str">
        <f t="shared" si="1"/>
        <v/>
      </c>
    </row>
    <row r="647">
      <c r="N647" s="1174" t="str">
        <f t="shared" si="1"/>
        <v/>
      </c>
    </row>
    <row r="648">
      <c r="N648" s="1174" t="str">
        <f t="shared" si="1"/>
        <v/>
      </c>
    </row>
    <row r="649">
      <c r="N649" s="1174" t="str">
        <f t="shared" si="1"/>
        <v/>
      </c>
    </row>
    <row r="650">
      <c r="N650" s="1174" t="str">
        <f t="shared" si="1"/>
        <v/>
      </c>
    </row>
    <row r="651">
      <c r="N651" s="1174" t="str">
        <f t="shared" si="1"/>
        <v/>
      </c>
    </row>
    <row r="652">
      <c r="N652" s="1174" t="str">
        <f t="shared" si="1"/>
        <v/>
      </c>
    </row>
    <row r="653">
      <c r="N653" s="1174" t="str">
        <f t="shared" si="1"/>
        <v/>
      </c>
    </row>
    <row r="654">
      <c r="N654" s="1174" t="str">
        <f t="shared" si="1"/>
        <v/>
      </c>
    </row>
    <row r="655">
      <c r="N655" s="1174" t="str">
        <f t="shared" si="1"/>
        <v/>
      </c>
    </row>
    <row r="656">
      <c r="N656" s="1174" t="str">
        <f t="shared" si="1"/>
        <v/>
      </c>
    </row>
    <row r="657">
      <c r="N657" s="1174" t="str">
        <f t="shared" si="1"/>
        <v/>
      </c>
    </row>
    <row r="658">
      <c r="N658" s="1174" t="str">
        <f t="shared" si="1"/>
        <v/>
      </c>
    </row>
    <row r="659">
      <c r="N659" s="1174" t="str">
        <f t="shared" si="1"/>
        <v/>
      </c>
    </row>
    <row r="660">
      <c r="N660" s="1174" t="str">
        <f t="shared" si="1"/>
        <v/>
      </c>
    </row>
    <row r="661">
      <c r="N661" s="1174" t="str">
        <f t="shared" si="1"/>
        <v/>
      </c>
    </row>
    <row r="662">
      <c r="N662" s="1174" t="str">
        <f t="shared" si="1"/>
        <v/>
      </c>
    </row>
    <row r="663">
      <c r="N663" s="1174" t="str">
        <f t="shared" si="1"/>
        <v/>
      </c>
    </row>
    <row r="664">
      <c r="N664" s="1174" t="str">
        <f t="shared" si="1"/>
        <v/>
      </c>
    </row>
    <row r="665">
      <c r="N665" s="1174" t="str">
        <f t="shared" si="1"/>
        <v/>
      </c>
    </row>
    <row r="666">
      <c r="N666" s="1174" t="str">
        <f t="shared" si="1"/>
        <v/>
      </c>
    </row>
    <row r="667">
      <c r="N667" s="1174" t="str">
        <f t="shared" si="1"/>
        <v/>
      </c>
    </row>
    <row r="668">
      <c r="N668" s="1174" t="str">
        <f t="shared" si="1"/>
        <v/>
      </c>
    </row>
    <row r="669">
      <c r="N669" s="1174" t="str">
        <f t="shared" si="1"/>
        <v/>
      </c>
    </row>
    <row r="670">
      <c r="N670" s="1174" t="str">
        <f t="shared" si="1"/>
        <v/>
      </c>
    </row>
    <row r="671">
      <c r="N671" s="1174" t="str">
        <f t="shared" si="1"/>
        <v/>
      </c>
    </row>
    <row r="672">
      <c r="N672" s="1174" t="str">
        <f t="shared" si="1"/>
        <v/>
      </c>
    </row>
    <row r="673">
      <c r="N673" s="1174" t="str">
        <f t="shared" si="1"/>
        <v/>
      </c>
    </row>
    <row r="674">
      <c r="N674" s="1174" t="str">
        <f t="shared" si="1"/>
        <v/>
      </c>
    </row>
    <row r="675">
      <c r="N675" s="1174" t="str">
        <f t="shared" si="1"/>
        <v/>
      </c>
    </row>
    <row r="676">
      <c r="N676" s="1174" t="str">
        <f t="shared" si="1"/>
        <v/>
      </c>
    </row>
    <row r="677">
      <c r="N677" s="1174" t="str">
        <f t="shared" si="1"/>
        <v/>
      </c>
    </row>
    <row r="678">
      <c r="N678" s="1174" t="str">
        <f t="shared" si="1"/>
        <v/>
      </c>
    </row>
    <row r="679">
      <c r="N679" s="1174" t="str">
        <f t="shared" si="1"/>
        <v/>
      </c>
    </row>
    <row r="680">
      <c r="N680" s="1174" t="str">
        <f t="shared" si="1"/>
        <v/>
      </c>
    </row>
    <row r="681">
      <c r="N681" s="1174" t="str">
        <f t="shared" si="1"/>
        <v/>
      </c>
    </row>
    <row r="682">
      <c r="N682" s="1174" t="str">
        <f t="shared" si="1"/>
        <v/>
      </c>
    </row>
    <row r="683">
      <c r="N683" s="1174" t="str">
        <f t="shared" si="1"/>
        <v/>
      </c>
    </row>
    <row r="684">
      <c r="N684" s="1174" t="str">
        <f t="shared" si="1"/>
        <v/>
      </c>
    </row>
    <row r="685">
      <c r="N685" s="1174" t="str">
        <f t="shared" si="1"/>
        <v/>
      </c>
    </row>
    <row r="686">
      <c r="N686" s="1174" t="str">
        <f t="shared" si="1"/>
        <v/>
      </c>
    </row>
    <row r="687">
      <c r="N687" s="1174" t="str">
        <f t="shared" si="1"/>
        <v/>
      </c>
    </row>
    <row r="688">
      <c r="N688" s="1174" t="str">
        <f t="shared" si="1"/>
        <v/>
      </c>
    </row>
    <row r="689">
      <c r="N689" s="1174" t="str">
        <f t="shared" si="1"/>
        <v/>
      </c>
    </row>
    <row r="690">
      <c r="N690" s="1174" t="str">
        <f t="shared" si="1"/>
        <v/>
      </c>
    </row>
    <row r="691">
      <c r="N691" s="1174" t="str">
        <f t="shared" si="1"/>
        <v/>
      </c>
    </row>
    <row r="692">
      <c r="N692" s="1174" t="str">
        <f t="shared" si="1"/>
        <v/>
      </c>
    </row>
    <row r="693">
      <c r="N693" s="1174" t="str">
        <f t="shared" si="1"/>
        <v/>
      </c>
    </row>
    <row r="694">
      <c r="N694" s="1174" t="str">
        <f t="shared" si="1"/>
        <v/>
      </c>
    </row>
    <row r="695">
      <c r="N695" s="1174" t="str">
        <f t="shared" si="1"/>
        <v/>
      </c>
    </row>
    <row r="696">
      <c r="N696" s="1174" t="str">
        <f t="shared" si="1"/>
        <v/>
      </c>
    </row>
    <row r="697">
      <c r="N697" s="1174" t="str">
        <f t="shared" si="1"/>
        <v/>
      </c>
    </row>
    <row r="698">
      <c r="N698" s="1174" t="str">
        <f t="shared" si="1"/>
        <v/>
      </c>
    </row>
    <row r="699">
      <c r="N699" s="1174" t="str">
        <f t="shared" si="1"/>
        <v/>
      </c>
    </row>
    <row r="700">
      <c r="N700" s="1174" t="str">
        <f t="shared" si="1"/>
        <v/>
      </c>
    </row>
    <row r="701">
      <c r="N701" s="1174" t="str">
        <f t="shared" si="1"/>
        <v/>
      </c>
    </row>
    <row r="702">
      <c r="N702" s="1174" t="str">
        <f t="shared" si="1"/>
        <v/>
      </c>
    </row>
    <row r="703">
      <c r="N703" s="1174" t="str">
        <f t="shared" si="1"/>
        <v/>
      </c>
    </row>
    <row r="704">
      <c r="N704" s="1174" t="str">
        <f t="shared" si="1"/>
        <v/>
      </c>
    </row>
    <row r="705">
      <c r="N705" s="1174" t="str">
        <f t="shared" si="1"/>
        <v/>
      </c>
    </row>
    <row r="706">
      <c r="N706" s="1174" t="str">
        <f t="shared" si="1"/>
        <v/>
      </c>
    </row>
    <row r="707">
      <c r="N707" s="1174" t="str">
        <f t="shared" si="1"/>
        <v/>
      </c>
    </row>
    <row r="708">
      <c r="N708" s="1174" t="str">
        <f t="shared" si="1"/>
        <v/>
      </c>
    </row>
    <row r="709">
      <c r="N709" s="1174" t="str">
        <f t="shared" si="1"/>
        <v/>
      </c>
    </row>
    <row r="710">
      <c r="N710" s="1174" t="str">
        <f t="shared" si="1"/>
        <v/>
      </c>
    </row>
    <row r="711">
      <c r="N711" s="1174" t="str">
        <f t="shared" si="1"/>
        <v/>
      </c>
    </row>
    <row r="712">
      <c r="N712" s="1174" t="str">
        <f t="shared" si="1"/>
        <v/>
      </c>
    </row>
    <row r="713">
      <c r="N713" s="1174" t="str">
        <f t="shared" si="1"/>
        <v/>
      </c>
    </row>
    <row r="714">
      <c r="N714" s="1174" t="str">
        <f t="shared" si="1"/>
        <v/>
      </c>
    </row>
    <row r="715">
      <c r="N715" s="1174" t="str">
        <f t="shared" si="1"/>
        <v/>
      </c>
    </row>
    <row r="716">
      <c r="N716" s="1174" t="str">
        <f t="shared" si="1"/>
        <v/>
      </c>
    </row>
    <row r="717">
      <c r="N717" s="1174" t="str">
        <f t="shared" si="1"/>
        <v/>
      </c>
    </row>
    <row r="718">
      <c r="N718" s="1174" t="str">
        <f t="shared" si="1"/>
        <v/>
      </c>
    </row>
    <row r="719">
      <c r="N719" s="1174" t="str">
        <f t="shared" si="1"/>
        <v/>
      </c>
    </row>
    <row r="720">
      <c r="N720" s="1174" t="str">
        <f t="shared" si="1"/>
        <v/>
      </c>
    </row>
    <row r="721">
      <c r="N721" s="1174" t="str">
        <f t="shared" si="1"/>
        <v/>
      </c>
    </row>
    <row r="722">
      <c r="N722" s="1174" t="str">
        <f t="shared" si="1"/>
        <v/>
      </c>
    </row>
    <row r="723">
      <c r="N723" s="1174" t="str">
        <f t="shared" si="1"/>
        <v/>
      </c>
    </row>
    <row r="724">
      <c r="N724" s="1174" t="str">
        <f t="shared" si="1"/>
        <v/>
      </c>
    </row>
    <row r="725">
      <c r="N725" s="1174" t="str">
        <f t="shared" si="1"/>
        <v/>
      </c>
    </row>
    <row r="726">
      <c r="N726" s="1174" t="str">
        <f t="shared" si="1"/>
        <v/>
      </c>
    </row>
    <row r="727">
      <c r="N727" s="1174" t="str">
        <f t="shared" si="1"/>
        <v/>
      </c>
    </row>
    <row r="728">
      <c r="N728" s="1174" t="str">
        <f t="shared" si="1"/>
        <v/>
      </c>
    </row>
    <row r="729">
      <c r="N729" s="1174" t="str">
        <f t="shared" si="1"/>
        <v/>
      </c>
    </row>
    <row r="730">
      <c r="N730" s="1174" t="str">
        <f t="shared" si="1"/>
        <v/>
      </c>
    </row>
    <row r="731">
      <c r="N731" s="1174" t="str">
        <f t="shared" si="1"/>
        <v/>
      </c>
    </row>
    <row r="732">
      <c r="N732" s="1174" t="str">
        <f t="shared" si="1"/>
        <v/>
      </c>
    </row>
    <row r="733">
      <c r="N733" s="1174" t="str">
        <f t="shared" si="1"/>
        <v/>
      </c>
    </row>
    <row r="734">
      <c r="N734" s="1174" t="str">
        <f t="shared" si="1"/>
        <v/>
      </c>
    </row>
    <row r="735">
      <c r="N735" s="1174" t="str">
        <f t="shared" si="1"/>
        <v/>
      </c>
    </row>
    <row r="736">
      <c r="N736" s="1174" t="str">
        <f t="shared" si="1"/>
        <v/>
      </c>
    </row>
    <row r="737">
      <c r="N737" s="1174" t="str">
        <f t="shared" si="1"/>
        <v/>
      </c>
    </row>
    <row r="738">
      <c r="N738" s="1174" t="str">
        <f t="shared" si="1"/>
        <v/>
      </c>
    </row>
    <row r="739">
      <c r="N739" s="1174" t="str">
        <f t="shared" si="1"/>
        <v/>
      </c>
    </row>
    <row r="740">
      <c r="N740" s="1174" t="str">
        <f t="shared" si="1"/>
        <v/>
      </c>
    </row>
    <row r="741">
      <c r="N741" s="1174" t="str">
        <f t="shared" si="1"/>
        <v/>
      </c>
    </row>
    <row r="742">
      <c r="N742" s="1174" t="str">
        <f t="shared" si="1"/>
        <v/>
      </c>
    </row>
    <row r="743">
      <c r="N743" s="1174" t="str">
        <f t="shared" si="1"/>
        <v/>
      </c>
    </row>
    <row r="744">
      <c r="N744" s="1174" t="str">
        <f t="shared" si="1"/>
        <v/>
      </c>
    </row>
    <row r="745">
      <c r="N745" s="1174" t="str">
        <f t="shared" si="1"/>
        <v/>
      </c>
    </row>
    <row r="746">
      <c r="N746" s="1174" t="str">
        <f t="shared" si="1"/>
        <v/>
      </c>
    </row>
    <row r="747">
      <c r="N747" s="1174" t="str">
        <f t="shared" si="1"/>
        <v/>
      </c>
    </row>
    <row r="748">
      <c r="N748" s="1174" t="str">
        <f t="shared" si="1"/>
        <v/>
      </c>
    </row>
    <row r="749">
      <c r="N749" s="1174" t="str">
        <f t="shared" si="1"/>
        <v/>
      </c>
    </row>
    <row r="750">
      <c r="N750" s="1174" t="str">
        <f t="shared" si="1"/>
        <v/>
      </c>
    </row>
    <row r="751">
      <c r="N751" s="1174" t="str">
        <f t="shared" si="1"/>
        <v/>
      </c>
    </row>
    <row r="752">
      <c r="N752" s="1174" t="str">
        <f t="shared" si="1"/>
        <v/>
      </c>
    </row>
    <row r="753">
      <c r="N753" s="1174" t="str">
        <f t="shared" si="1"/>
        <v/>
      </c>
    </row>
    <row r="754">
      <c r="N754" s="1174" t="str">
        <f t="shared" si="1"/>
        <v/>
      </c>
    </row>
    <row r="755">
      <c r="N755" s="1174" t="str">
        <f t="shared" si="1"/>
        <v/>
      </c>
    </row>
    <row r="756">
      <c r="N756" s="1174" t="str">
        <f t="shared" si="1"/>
        <v/>
      </c>
    </row>
    <row r="757">
      <c r="N757" s="1174" t="str">
        <f t="shared" si="1"/>
        <v/>
      </c>
    </row>
    <row r="758">
      <c r="N758" s="1174" t="str">
        <f t="shared" si="1"/>
        <v/>
      </c>
    </row>
    <row r="759">
      <c r="N759" s="1174" t="str">
        <f t="shared" si="1"/>
        <v/>
      </c>
    </row>
    <row r="760">
      <c r="N760" s="1174" t="str">
        <f t="shared" si="1"/>
        <v/>
      </c>
    </row>
    <row r="761">
      <c r="N761" s="1174" t="str">
        <f t="shared" si="1"/>
        <v/>
      </c>
    </row>
    <row r="762">
      <c r="N762" s="1174" t="str">
        <f t="shared" si="1"/>
        <v/>
      </c>
    </row>
    <row r="763">
      <c r="N763" s="1174" t="str">
        <f t="shared" si="1"/>
        <v/>
      </c>
    </row>
    <row r="764">
      <c r="N764" s="1174" t="str">
        <f t="shared" si="1"/>
        <v/>
      </c>
    </row>
    <row r="765">
      <c r="N765" s="1174" t="str">
        <f t="shared" si="1"/>
        <v/>
      </c>
    </row>
    <row r="766">
      <c r="N766" s="1174" t="str">
        <f t="shared" si="1"/>
        <v/>
      </c>
    </row>
    <row r="767">
      <c r="N767" s="1174" t="str">
        <f t="shared" si="1"/>
        <v/>
      </c>
    </row>
    <row r="768">
      <c r="N768" s="1174" t="str">
        <f t="shared" si="1"/>
        <v/>
      </c>
    </row>
    <row r="769">
      <c r="N769" s="1174" t="str">
        <f t="shared" si="1"/>
        <v/>
      </c>
    </row>
    <row r="770">
      <c r="N770" s="1174" t="str">
        <f t="shared" si="1"/>
        <v/>
      </c>
    </row>
    <row r="771">
      <c r="N771" s="1174" t="str">
        <f t="shared" si="1"/>
        <v/>
      </c>
    </row>
    <row r="772">
      <c r="N772" s="1174" t="str">
        <f t="shared" si="1"/>
        <v/>
      </c>
    </row>
    <row r="773">
      <c r="N773" s="1174" t="str">
        <f t="shared" si="1"/>
        <v/>
      </c>
    </row>
    <row r="774">
      <c r="N774" s="1174" t="str">
        <f t="shared" si="1"/>
        <v/>
      </c>
    </row>
    <row r="775">
      <c r="N775" s="1174" t="str">
        <f t="shared" si="1"/>
        <v/>
      </c>
    </row>
    <row r="776">
      <c r="N776" s="1174" t="str">
        <f t="shared" si="1"/>
        <v/>
      </c>
    </row>
    <row r="777">
      <c r="N777" s="1174" t="str">
        <f t="shared" si="1"/>
        <v/>
      </c>
    </row>
    <row r="778">
      <c r="N778" s="1174" t="str">
        <f t="shared" si="1"/>
        <v/>
      </c>
    </row>
    <row r="779">
      <c r="N779" s="1174" t="str">
        <f t="shared" si="1"/>
        <v/>
      </c>
    </row>
    <row r="780">
      <c r="N780" s="1174" t="str">
        <f t="shared" si="1"/>
        <v/>
      </c>
    </row>
    <row r="781">
      <c r="N781" s="1174" t="str">
        <f t="shared" si="1"/>
        <v/>
      </c>
    </row>
    <row r="782">
      <c r="N782" s="1174" t="str">
        <f t="shared" si="1"/>
        <v/>
      </c>
    </row>
    <row r="783">
      <c r="N783" s="1174" t="str">
        <f t="shared" si="1"/>
        <v/>
      </c>
    </row>
    <row r="784">
      <c r="N784" s="1174" t="str">
        <f t="shared" si="1"/>
        <v/>
      </c>
    </row>
    <row r="785">
      <c r="N785" s="1174" t="str">
        <f t="shared" si="1"/>
        <v/>
      </c>
    </row>
    <row r="786">
      <c r="N786" s="1174" t="str">
        <f t="shared" si="1"/>
        <v/>
      </c>
    </row>
    <row r="787">
      <c r="N787" s="1174" t="str">
        <f t="shared" si="1"/>
        <v/>
      </c>
    </row>
    <row r="788">
      <c r="N788" s="1174" t="str">
        <f t="shared" si="1"/>
        <v/>
      </c>
    </row>
    <row r="789">
      <c r="N789" s="1174" t="str">
        <f t="shared" si="1"/>
        <v/>
      </c>
    </row>
    <row r="790">
      <c r="N790" s="1174" t="str">
        <f t="shared" si="1"/>
        <v/>
      </c>
    </row>
    <row r="791">
      <c r="N791" s="1174" t="str">
        <f t="shared" si="1"/>
        <v/>
      </c>
    </row>
    <row r="792">
      <c r="N792" s="1174" t="str">
        <f t="shared" si="1"/>
        <v/>
      </c>
    </row>
    <row r="793">
      <c r="N793" s="1174" t="str">
        <f t="shared" si="1"/>
        <v/>
      </c>
    </row>
    <row r="794">
      <c r="N794" s="1174" t="str">
        <f t="shared" si="1"/>
        <v/>
      </c>
    </row>
    <row r="795">
      <c r="N795" s="1174" t="str">
        <f t="shared" si="1"/>
        <v/>
      </c>
    </row>
    <row r="796">
      <c r="N796" s="1174" t="str">
        <f t="shared" si="1"/>
        <v/>
      </c>
    </row>
    <row r="797">
      <c r="N797" s="1174" t="str">
        <f t="shared" si="1"/>
        <v/>
      </c>
    </row>
    <row r="798">
      <c r="N798" s="1174" t="str">
        <f t="shared" si="1"/>
        <v/>
      </c>
    </row>
    <row r="799">
      <c r="N799" s="1174" t="str">
        <f t="shared" si="1"/>
        <v/>
      </c>
    </row>
    <row r="800">
      <c r="N800" s="1174" t="str">
        <f t="shared" si="1"/>
        <v/>
      </c>
    </row>
    <row r="801">
      <c r="N801" s="1174" t="str">
        <f t="shared" si="1"/>
        <v/>
      </c>
    </row>
    <row r="802">
      <c r="N802" s="1174" t="str">
        <f t="shared" si="1"/>
        <v/>
      </c>
    </row>
    <row r="803">
      <c r="N803" s="1174" t="str">
        <f t="shared" si="1"/>
        <v/>
      </c>
    </row>
    <row r="804">
      <c r="N804" s="1174" t="str">
        <f t="shared" si="1"/>
        <v/>
      </c>
    </row>
    <row r="805">
      <c r="N805" s="1174" t="str">
        <f t="shared" si="1"/>
        <v/>
      </c>
    </row>
    <row r="806">
      <c r="N806" s="1174" t="str">
        <f t="shared" si="1"/>
        <v/>
      </c>
    </row>
    <row r="807">
      <c r="N807" s="1174" t="str">
        <f t="shared" si="1"/>
        <v/>
      </c>
    </row>
    <row r="808">
      <c r="N808" s="1174" t="str">
        <f t="shared" si="1"/>
        <v/>
      </c>
    </row>
    <row r="809">
      <c r="N809" s="1174" t="str">
        <f t="shared" si="1"/>
        <v/>
      </c>
    </row>
    <row r="810">
      <c r="N810" s="1174" t="str">
        <f t="shared" si="1"/>
        <v/>
      </c>
    </row>
    <row r="811">
      <c r="N811" s="1174" t="str">
        <f t="shared" si="1"/>
        <v/>
      </c>
    </row>
    <row r="812">
      <c r="N812" s="1174" t="str">
        <f t="shared" si="1"/>
        <v/>
      </c>
    </row>
    <row r="813">
      <c r="N813" s="1174" t="str">
        <f t="shared" si="1"/>
        <v/>
      </c>
    </row>
    <row r="814">
      <c r="N814" s="1174" t="str">
        <f t="shared" si="1"/>
        <v/>
      </c>
    </row>
    <row r="815">
      <c r="N815" s="1174" t="str">
        <f t="shared" si="1"/>
        <v/>
      </c>
    </row>
    <row r="816">
      <c r="N816" s="1174" t="str">
        <f t="shared" si="1"/>
        <v/>
      </c>
    </row>
    <row r="817">
      <c r="N817" s="1174" t="str">
        <f t="shared" si="1"/>
        <v/>
      </c>
    </row>
    <row r="818">
      <c r="N818" s="1174" t="str">
        <f t="shared" si="1"/>
        <v/>
      </c>
    </row>
    <row r="819">
      <c r="N819" s="1174" t="str">
        <f t="shared" si="1"/>
        <v/>
      </c>
    </row>
    <row r="820">
      <c r="N820" s="1174" t="str">
        <f t="shared" si="1"/>
        <v/>
      </c>
    </row>
    <row r="821">
      <c r="N821" s="1174" t="str">
        <f t="shared" si="1"/>
        <v/>
      </c>
    </row>
    <row r="822">
      <c r="N822" s="1174" t="str">
        <f t="shared" si="1"/>
        <v/>
      </c>
    </row>
    <row r="823">
      <c r="N823" s="1174" t="str">
        <f t="shared" si="1"/>
        <v/>
      </c>
    </row>
    <row r="824">
      <c r="N824" s="1174" t="str">
        <f t="shared" si="1"/>
        <v/>
      </c>
    </row>
    <row r="825">
      <c r="N825" s="1174" t="str">
        <f t="shared" si="1"/>
        <v/>
      </c>
    </row>
    <row r="826">
      <c r="N826" s="1174" t="str">
        <f t="shared" si="1"/>
        <v/>
      </c>
    </row>
    <row r="827">
      <c r="N827" s="1174" t="str">
        <f t="shared" si="1"/>
        <v/>
      </c>
    </row>
    <row r="828">
      <c r="N828" s="1174" t="str">
        <f t="shared" si="1"/>
        <v/>
      </c>
    </row>
    <row r="829">
      <c r="N829" s="1174" t="str">
        <f t="shared" si="1"/>
        <v/>
      </c>
    </row>
    <row r="830">
      <c r="N830" s="1174" t="str">
        <f t="shared" si="1"/>
        <v/>
      </c>
    </row>
    <row r="831">
      <c r="N831" s="1174" t="str">
        <f t="shared" si="1"/>
        <v/>
      </c>
    </row>
    <row r="832">
      <c r="N832" s="1174" t="str">
        <f t="shared" si="1"/>
        <v/>
      </c>
    </row>
    <row r="833">
      <c r="N833" s="1174" t="str">
        <f t="shared" si="1"/>
        <v/>
      </c>
    </row>
    <row r="834">
      <c r="N834" s="1174" t="str">
        <f t="shared" si="1"/>
        <v/>
      </c>
    </row>
    <row r="835">
      <c r="N835" s="1174" t="str">
        <f t="shared" si="1"/>
        <v/>
      </c>
    </row>
    <row r="836">
      <c r="N836" s="1174" t="str">
        <f t="shared" si="1"/>
        <v/>
      </c>
    </row>
    <row r="837">
      <c r="N837" s="1174" t="str">
        <f t="shared" si="1"/>
        <v/>
      </c>
    </row>
    <row r="838">
      <c r="N838" s="1174" t="str">
        <f t="shared" si="1"/>
        <v/>
      </c>
    </row>
    <row r="839">
      <c r="N839" s="1174" t="str">
        <f t="shared" si="1"/>
        <v/>
      </c>
    </row>
    <row r="840">
      <c r="N840" s="1174" t="str">
        <f t="shared" si="1"/>
        <v/>
      </c>
    </row>
    <row r="841">
      <c r="N841" s="1174" t="str">
        <f t="shared" si="1"/>
        <v/>
      </c>
    </row>
    <row r="842">
      <c r="N842" s="1174" t="str">
        <f t="shared" si="1"/>
        <v/>
      </c>
    </row>
    <row r="843">
      <c r="N843" s="1174" t="str">
        <f t="shared" si="1"/>
        <v/>
      </c>
    </row>
    <row r="844">
      <c r="N844" s="1174" t="str">
        <f t="shared" si="1"/>
        <v/>
      </c>
    </row>
    <row r="845">
      <c r="N845" s="1174" t="str">
        <f t="shared" si="1"/>
        <v/>
      </c>
    </row>
    <row r="846">
      <c r="N846" s="1174" t="str">
        <f t="shared" si="1"/>
        <v/>
      </c>
    </row>
    <row r="847">
      <c r="N847" s="1174" t="str">
        <f t="shared" si="1"/>
        <v/>
      </c>
    </row>
    <row r="848">
      <c r="N848" s="1174" t="str">
        <f t="shared" si="1"/>
        <v/>
      </c>
    </row>
    <row r="849">
      <c r="N849" s="1174" t="str">
        <f t="shared" si="1"/>
        <v/>
      </c>
    </row>
    <row r="850">
      <c r="N850" s="1174" t="str">
        <f t="shared" si="1"/>
        <v/>
      </c>
    </row>
    <row r="851">
      <c r="N851" s="1174" t="str">
        <f t="shared" si="1"/>
        <v/>
      </c>
    </row>
    <row r="852">
      <c r="N852" s="1174" t="str">
        <f t="shared" si="1"/>
        <v/>
      </c>
    </row>
    <row r="853">
      <c r="N853" s="1174" t="str">
        <f t="shared" si="1"/>
        <v/>
      </c>
    </row>
    <row r="854">
      <c r="N854" s="1174" t="str">
        <f t="shared" si="1"/>
        <v/>
      </c>
    </row>
    <row r="855">
      <c r="N855" s="1174" t="str">
        <f t="shared" si="1"/>
        <v/>
      </c>
    </row>
    <row r="856">
      <c r="N856" s="1174" t="str">
        <f t="shared" si="1"/>
        <v/>
      </c>
    </row>
    <row r="857">
      <c r="N857" s="1174" t="str">
        <f t="shared" si="1"/>
        <v/>
      </c>
    </row>
    <row r="858">
      <c r="N858" s="1174" t="str">
        <f t="shared" si="1"/>
        <v/>
      </c>
    </row>
    <row r="859">
      <c r="N859" s="1174" t="str">
        <f t="shared" si="1"/>
        <v/>
      </c>
    </row>
    <row r="860">
      <c r="N860" s="1174" t="str">
        <f t="shared" si="1"/>
        <v/>
      </c>
    </row>
    <row r="861">
      <c r="N861" s="1174" t="str">
        <f t="shared" si="1"/>
        <v/>
      </c>
    </row>
    <row r="862">
      <c r="N862" s="1174" t="str">
        <f t="shared" si="1"/>
        <v/>
      </c>
    </row>
    <row r="863">
      <c r="N863" s="1174" t="str">
        <f t="shared" si="1"/>
        <v/>
      </c>
    </row>
    <row r="864">
      <c r="N864" s="1174" t="str">
        <f t="shared" si="1"/>
        <v/>
      </c>
    </row>
    <row r="865">
      <c r="N865" s="1174" t="str">
        <f t="shared" si="1"/>
        <v/>
      </c>
    </row>
    <row r="866">
      <c r="N866" s="1174" t="str">
        <f t="shared" si="1"/>
        <v/>
      </c>
    </row>
    <row r="867">
      <c r="N867" s="1174" t="str">
        <f t="shared" si="1"/>
        <v/>
      </c>
    </row>
    <row r="868">
      <c r="N868" s="1174" t="str">
        <f t="shared" si="1"/>
        <v/>
      </c>
    </row>
    <row r="869">
      <c r="N869" s="1174" t="str">
        <f t="shared" si="1"/>
        <v/>
      </c>
    </row>
    <row r="870">
      <c r="N870" s="1174" t="str">
        <f t="shared" si="1"/>
        <v/>
      </c>
    </row>
    <row r="871">
      <c r="N871" s="1174" t="str">
        <f t="shared" si="1"/>
        <v/>
      </c>
    </row>
    <row r="872">
      <c r="N872" s="1174" t="str">
        <f t="shared" si="1"/>
        <v/>
      </c>
    </row>
    <row r="873">
      <c r="N873" s="1174" t="str">
        <f t="shared" si="1"/>
        <v/>
      </c>
    </row>
    <row r="874">
      <c r="N874" s="1174" t="str">
        <f t="shared" si="1"/>
        <v/>
      </c>
    </row>
    <row r="875">
      <c r="N875" s="1174" t="str">
        <f t="shared" si="1"/>
        <v/>
      </c>
    </row>
    <row r="876">
      <c r="N876" s="1174" t="str">
        <f t="shared" si="1"/>
        <v/>
      </c>
    </row>
    <row r="877">
      <c r="N877" s="1174" t="str">
        <f t="shared" si="1"/>
        <v/>
      </c>
    </row>
    <row r="878">
      <c r="N878" s="1174" t="str">
        <f t="shared" si="1"/>
        <v/>
      </c>
    </row>
    <row r="879">
      <c r="N879" s="1174" t="str">
        <f t="shared" si="1"/>
        <v/>
      </c>
    </row>
    <row r="880">
      <c r="N880" s="1174" t="str">
        <f t="shared" si="1"/>
        <v/>
      </c>
    </row>
    <row r="881">
      <c r="N881" s="1174" t="str">
        <f t="shared" si="1"/>
        <v/>
      </c>
    </row>
    <row r="882">
      <c r="N882" s="1174" t="str">
        <f t="shared" si="1"/>
        <v/>
      </c>
    </row>
    <row r="883">
      <c r="N883" s="1174" t="str">
        <f t="shared" si="1"/>
        <v/>
      </c>
    </row>
    <row r="884">
      <c r="N884" s="1174" t="str">
        <f t="shared" si="1"/>
        <v/>
      </c>
    </row>
    <row r="885">
      <c r="N885" s="1174" t="str">
        <f t="shared" si="1"/>
        <v/>
      </c>
    </row>
    <row r="886">
      <c r="N886" s="1174" t="str">
        <f t="shared" si="1"/>
        <v/>
      </c>
    </row>
    <row r="887">
      <c r="N887" s="1174" t="str">
        <f t="shared" si="1"/>
        <v/>
      </c>
    </row>
    <row r="888">
      <c r="N888" s="1174" t="str">
        <f t="shared" si="1"/>
        <v/>
      </c>
    </row>
    <row r="889">
      <c r="N889" s="1174" t="str">
        <f t="shared" si="1"/>
        <v/>
      </c>
    </row>
    <row r="890">
      <c r="N890" s="1174" t="str">
        <f t="shared" si="1"/>
        <v/>
      </c>
    </row>
    <row r="891">
      <c r="N891" s="1174" t="str">
        <f t="shared" si="1"/>
        <v/>
      </c>
    </row>
    <row r="892">
      <c r="N892" s="1174" t="str">
        <f t="shared" si="1"/>
        <v/>
      </c>
    </row>
    <row r="893">
      <c r="N893" s="1174" t="str">
        <f t="shared" si="1"/>
        <v/>
      </c>
    </row>
    <row r="894">
      <c r="N894" s="1174" t="str">
        <f t="shared" si="1"/>
        <v/>
      </c>
    </row>
    <row r="895">
      <c r="N895" s="1174" t="str">
        <f t="shared" si="1"/>
        <v/>
      </c>
    </row>
    <row r="896">
      <c r="N896" s="1174" t="str">
        <f t="shared" si="1"/>
        <v/>
      </c>
    </row>
    <row r="897">
      <c r="N897" s="1174" t="str">
        <f t="shared" si="1"/>
        <v/>
      </c>
    </row>
    <row r="898">
      <c r="N898" s="1174" t="str">
        <f t="shared" si="1"/>
        <v/>
      </c>
    </row>
    <row r="899">
      <c r="N899" s="1174" t="str">
        <f t="shared" si="1"/>
        <v/>
      </c>
    </row>
    <row r="900">
      <c r="N900" s="1174" t="str">
        <f t="shared" si="1"/>
        <v/>
      </c>
    </row>
    <row r="901">
      <c r="N901" s="1174" t="str">
        <f t="shared" si="1"/>
        <v/>
      </c>
    </row>
    <row r="902">
      <c r="N902" s="1174" t="str">
        <f t="shared" si="1"/>
        <v/>
      </c>
    </row>
    <row r="903">
      <c r="N903" s="1174" t="str">
        <f t="shared" si="1"/>
        <v/>
      </c>
    </row>
    <row r="904">
      <c r="N904" s="1174" t="str">
        <f t="shared" si="1"/>
        <v/>
      </c>
    </row>
    <row r="905">
      <c r="N905" s="1174" t="str">
        <f t="shared" si="1"/>
        <v/>
      </c>
    </row>
    <row r="906">
      <c r="N906" s="1174" t="str">
        <f t="shared" si="1"/>
        <v/>
      </c>
    </row>
    <row r="907">
      <c r="N907" s="1174" t="str">
        <f t="shared" si="1"/>
        <v/>
      </c>
    </row>
    <row r="908">
      <c r="N908" s="1174" t="str">
        <f t="shared" si="1"/>
        <v/>
      </c>
    </row>
    <row r="909">
      <c r="N909" s="1174" t="str">
        <f t="shared" si="1"/>
        <v/>
      </c>
    </row>
    <row r="910">
      <c r="N910" s="1174" t="str">
        <f t="shared" si="1"/>
        <v/>
      </c>
    </row>
    <row r="911">
      <c r="N911" s="1174" t="str">
        <f t="shared" si="1"/>
        <v/>
      </c>
    </row>
    <row r="912">
      <c r="N912" s="1174" t="str">
        <f t="shared" si="1"/>
        <v/>
      </c>
    </row>
    <row r="913">
      <c r="N913" s="1174" t="str">
        <f t="shared" si="1"/>
        <v/>
      </c>
    </row>
    <row r="914">
      <c r="N914" s="1174" t="str">
        <f t="shared" si="1"/>
        <v/>
      </c>
    </row>
    <row r="915">
      <c r="N915" s="1174" t="str">
        <f t="shared" si="1"/>
        <v/>
      </c>
    </row>
    <row r="916">
      <c r="N916" s="1174" t="str">
        <f t="shared" si="1"/>
        <v/>
      </c>
    </row>
    <row r="917">
      <c r="N917" s="1174" t="str">
        <f t="shared" si="1"/>
        <v/>
      </c>
    </row>
    <row r="918">
      <c r="N918" s="1174" t="str">
        <f t="shared" si="1"/>
        <v/>
      </c>
    </row>
    <row r="919">
      <c r="N919" s="1174" t="str">
        <f t="shared" si="1"/>
        <v/>
      </c>
    </row>
    <row r="920">
      <c r="N920" s="1174" t="str">
        <f t="shared" si="1"/>
        <v/>
      </c>
    </row>
    <row r="921">
      <c r="N921" s="1174" t="str">
        <f t="shared" si="1"/>
        <v/>
      </c>
    </row>
    <row r="922">
      <c r="N922" s="1174" t="str">
        <f t="shared" si="1"/>
        <v/>
      </c>
    </row>
    <row r="923">
      <c r="N923" s="1174" t="str">
        <f t="shared" si="1"/>
        <v/>
      </c>
    </row>
    <row r="924">
      <c r="N924" s="1174" t="str">
        <f t="shared" si="1"/>
        <v/>
      </c>
    </row>
    <row r="925">
      <c r="N925" s="1174" t="str">
        <f t="shared" si="1"/>
        <v/>
      </c>
    </row>
    <row r="926">
      <c r="N926" s="1174" t="str">
        <f t="shared" si="1"/>
        <v/>
      </c>
    </row>
    <row r="927">
      <c r="N927" s="1174" t="str">
        <f t="shared" si="1"/>
        <v/>
      </c>
    </row>
    <row r="928">
      <c r="N928" s="1174" t="str">
        <f t="shared" si="1"/>
        <v/>
      </c>
    </row>
    <row r="929">
      <c r="N929" s="1174" t="str">
        <f t="shared" si="1"/>
        <v/>
      </c>
    </row>
    <row r="930">
      <c r="N930" s="1174" t="str">
        <f t="shared" si="1"/>
        <v/>
      </c>
    </row>
    <row r="931">
      <c r="N931" s="1174" t="str">
        <f t="shared" si="1"/>
        <v/>
      </c>
    </row>
    <row r="932">
      <c r="N932" s="1174" t="str">
        <f t="shared" si="1"/>
        <v/>
      </c>
    </row>
    <row r="933">
      <c r="N933" s="1174" t="str">
        <f t="shared" si="1"/>
        <v/>
      </c>
    </row>
    <row r="934">
      <c r="N934" s="1174" t="str">
        <f t="shared" si="1"/>
        <v/>
      </c>
    </row>
    <row r="935">
      <c r="N935" s="1174" t="str">
        <f t="shared" si="1"/>
        <v/>
      </c>
    </row>
    <row r="936">
      <c r="N936" s="1174" t="str">
        <f t="shared" si="1"/>
        <v/>
      </c>
    </row>
    <row r="937">
      <c r="N937" s="1174" t="str">
        <f t="shared" si="1"/>
        <v/>
      </c>
    </row>
    <row r="938">
      <c r="N938" s="1174" t="str">
        <f t="shared" si="1"/>
        <v/>
      </c>
    </row>
    <row r="939">
      <c r="N939" s="1174" t="str">
        <f t="shared" si="1"/>
        <v/>
      </c>
    </row>
    <row r="940">
      <c r="N940" s="1174" t="str">
        <f t="shared" si="1"/>
        <v/>
      </c>
    </row>
    <row r="941">
      <c r="N941" s="1174" t="str">
        <f t="shared" si="1"/>
        <v/>
      </c>
    </row>
    <row r="942">
      <c r="N942" s="1174" t="str">
        <f t="shared" si="1"/>
        <v/>
      </c>
    </row>
    <row r="943">
      <c r="N943" s="1174" t="str">
        <f t="shared" si="1"/>
        <v/>
      </c>
    </row>
    <row r="944">
      <c r="N944" s="1174" t="str">
        <f t="shared" si="1"/>
        <v/>
      </c>
    </row>
    <row r="945">
      <c r="N945" s="1174" t="str">
        <f t="shared" si="1"/>
        <v/>
      </c>
    </row>
    <row r="946">
      <c r="N946" s="1174" t="str">
        <f t="shared" si="1"/>
        <v/>
      </c>
    </row>
    <row r="947">
      <c r="N947" s="1174" t="str">
        <f t="shared" si="1"/>
        <v/>
      </c>
    </row>
    <row r="948">
      <c r="N948" s="1174" t="str">
        <f t="shared" si="1"/>
        <v/>
      </c>
    </row>
    <row r="949">
      <c r="N949" s="1174" t="str">
        <f t="shared" si="1"/>
        <v/>
      </c>
    </row>
    <row r="950">
      <c r="N950" s="1174" t="str">
        <f t="shared" si="1"/>
        <v/>
      </c>
    </row>
    <row r="951">
      <c r="N951" s="1174" t="str">
        <f t="shared" si="1"/>
        <v/>
      </c>
    </row>
    <row r="952">
      <c r="N952" s="1174" t="str">
        <f t="shared" si="1"/>
        <v/>
      </c>
    </row>
    <row r="953">
      <c r="N953" s="1174" t="str">
        <f t="shared" si="1"/>
        <v/>
      </c>
    </row>
    <row r="954">
      <c r="N954" s="1174" t="str">
        <f t="shared" si="1"/>
        <v/>
      </c>
    </row>
    <row r="955">
      <c r="N955" s="1174" t="str">
        <f t="shared" si="1"/>
        <v/>
      </c>
    </row>
    <row r="956">
      <c r="N956" s="1174" t="str">
        <f t="shared" si="1"/>
        <v/>
      </c>
    </row>
    <row r="957">
      <c r="N957" s="1174" t="str">
        <f t="shared" si="1"/>
        <v/>
      </c>
    </row>
    <row r="958">
      <c r="N958" s="1174" t="str">
        <f t="shared" si="1"/>
        <v/>
      </c>
    </row>
    <row r="959">
      <c r="N959" s="1174" t="str">
        <f t="shared" si="1"/>
        <v/>
      </c>
    </row>
    <row r="960">
      <c r="N960" s="1174" t="str">
        <f t="shared" si="1"/>
        <v/>
      </c>
    </row>
    <row r="961">
      <c r="N961" s="1174" t="str">
        <f t="shared" si="1"/>
        <v/>
      </c>
    </row>
    <row r="962">
      <c r="N962" s="1174" t="str">
        <f t="shared" si="1"/>
        <v/>
      </c>
    </row>
    <row r="963">
      <c r="N963" s="1174" t="str">
        <f t="shared" si="1"/>
        <v/>
      </c>
    </row>
    <row r="964">
      <c r="N964" s="1174" t="str">
        <f t="shared" si="1"/>
        <v/>
      </c>
    </row>
    <row r="965">
      <c r="N965" s="1174" t="str">
        <f t="shared" si="1"/>
        <v/>
      </c>
    </row>
    <row r="966">
      <c r="N966" s="1174" t="str">
        <f t="shared" si="1"/>
        <v/>
      </c>
    </row>
    <row r="967">
      <c r="N967" s="1174" t="str">
        <f t="shared" si="1"/>
        <v/>
      </c>
    </row>
    <row r="968">
      <c r="N968" s="1174" t="str">
        <f t="shared" si="1"/>
        <v/>
      </c>
    </row>
    <row r="969">
      <c r="N969" s="1174" t="str">
        <f t="shared" si="1"/>
        <v/>
      </c>
    </row>
    <row r="970">
      <c r="N970" s="1174" t="str">
        <f t="shared" si="1"/>
        <v/>
      </c>
    </row>
    <row r="971">
      <c r="N971" s="1174" t="str">
        <f t="shared" si="1"/>
        <v/>
      </c>
    </row>
    <row r="972">
      <c r="N972" s="1174" t="str">
        <f t="shared" si="1"/>
        <v/>
      </c>
    </row>
    <row r="973">
      <c r="N973" s="1174" t="str">
        <f t="shared" si="1"/>
        <v/>
      </c>
    </row>
    <row r="974">
      <c r="N974" s="1174" t="str">
        <f t="shared" si="1"/>
        <v/>
      </c>
    </row>
    <row r="975">
      <c r="N975" s="1174" t="str">
        <f t="shared" si="1"/>
        <v/>
      </c>
    </row>
    <row r="976">
      <c r="N976" s="1174" t="str">
        <f t="shared" si="1"/>
        <v/>
      </c>
    </row>
    <row r="977">
      <c r="N977" s="1174" t="str">
        <f t="shared" si="1"/>
        <v/>
      </c>
    </row>
    <row r="978">
      <c r="N978" s="1174" t="str">
        <f t="shared" si="1"/>
        <v/>
      </c>
    </row>
    <row r="979">
      <c r="N979" s="1174" t="str">
        <f t="shared" si="1"/>
        <v/>
      </c>
    </row>
    <row r="980">
      <c r="N980" s="1174" t="str">
        <f t="shared" si="1"/>
        <v/>
      </c>
    </row>
    <row r="981">
      <c r="N981" s="1174" t="str">
        <f t="shared" si="1"/>
        <v/>
      </c>
    </row>
    <row r="982">
      <c r="N982" s="1174" t="str">
        <f t="shared" si="1"/>
        <v/>
      </c>
    </row>
    <row r="983">
      <c r="N983" s="1174" t="str">
        <f t="shared" si="1"/>
        <v/>
      </c>
    </row>
    <row r="984">
      <c r="N984" s="1174" t="str">
        <f t="shared" si="1"/>
        <v/>
      </c>
    </row>
    <row r="985">
      <c r="N985" s="1174" t="str">
        <f t="shared" si="1"/>
        <v/>
      </c>
    </row>
    <row r="986">
      <c r="N986" s="1174" t="str">
        <f t="shared" si="1"/>
        <v/>
      </c>
    </row>
    <row r="987">
      <c r="N987" s="1174" t="str">
        <f t="shared" si="1"/>
        <v/>
      </c>
    </row>
    <row r="988">
      <c r="N988" s="1174" t="str">
        <f t="shared" si="1"/>
        <v/>
      </c>
    </row>
    <row r="989">
      <c r="N989" s="1174" t="str">
        <f t="shared" si="1"/>
        <v/>
      </c>
    </row>
    <row r="990">
      <c r="N990" s="1174" t="str">
        <f t="shared" si="1"/>
        <v/>
      </c>
    </row>
    <row r="991">
      <c r="N991" s="1174" t="str">
        <f t="shared" si="1"/>
        <v/>
      </c>
    </row>
    <row r="992">
      <c r="N992" s="1174" t="str">
        <f t="shared" si="1"/>
        <v/>
      </c>
    </row>
    <row r="993">
      <c r="N993" s="1174" t="str">
        <f t="shared" si="1"/>
        <v/>
      </c>
    </row>
    <row r="994">
      <c r="N994" s="1174" t="str">
        <f t="shared" si="1"/>
        <v/>
      </c>
    </row>
    <row r="995">
      <c r="N995" s="1174" t="str">
        <f t="shared" si="1"/>
        <v/>
      </c>
    </row>
    <row r="996">
      <c r="N996" s="1174" t="str">
        <f t="shared" si="1"/>
        <v/>
      </c>
    </row>
    <row r="997">
      <c r="N997" s="1174" t="str">
        <f t="shared" si="1"/>
        <v/>
      </c>
    </row>
    <row r="998">
      <c r="N998" s="1174" t="str">
        <f t="shared" si="1"/>
        <v/>
      </c>
    </row>
    <row r="999">
      <c r="N999" s="1174" t="str">
        <f t="shared" si="1"/>
        <v/>
      </c>
    </row>
    <row r="1000">
      <c r="N1000" s="1174" t="str">
        <f t="shared" si="1"/>
        <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5"/>
    <col customWidth="1" min="7" max="7" width="14.25"/>
    <col customWidth="1" min="12" max="12" width="13.75"/>
    <col customWidth="1" min="13" max="13" width="16.13"/>
  </cols>
  <sheetData>
    <row r="1">
      <c r="A1" s="1171" t="str">
        <f>IFERROR(__xludf.DUMMYFUNCTION("QUERY(importaciones[#ALL], ""SELECT B, F, AE, AF, H, N, P, R, AG, L WHERE A = 'CHELSEA'"", 1)"),"FECHA DE PEDIDO / VENTA")</f>
        <v>FECHA DE PEDIDO / VENTA</v>
      </c>
      <c r="B1" s="1172" t="str">
        <f>IFERROR(__xludf.DUMMYFUNCTION("""COMPUTED_VALUE"""),"ORDEN DE COMPRA/ código interno")</f>
        <v>ORDEN DE COMPRA/ código interno</v>
      </c>
      <c r="C1" s="1172" t="str">
        <f>IFERROR(__xludf.DUMMYFUNCTION("""COMPUTED_VALUE"""),"COMISIÓN PARA LAPTOP")</f>
        <v>COMISIÓN PARA LAPTOP</v>
      </c>
      <c r="D1" s="1172" t="str">
        <f>IFERROR(__xludf.DUMMYFUNCTION("""COMPUTED_VALUE"""),"COMISIÓN VALIDADA")</f>
        <v>COMISIÓN VALIDADA</v>
      </c>
      <c r="E1" s="1172" t="str">
        <f>IFERROR(__xludf.DUMMYFUNCTION("""COMPUTED_VALUE"""),"Tipo de producto")</f>
        <v>Tipo de producto</v>
      </c>
      <c r="F1" s="1172" t="str">
        <f>IFERROR(__xludf.DUMMYFUNCTION("""COMPUTED_VALUE"""),"PPRECIO EN DOLARES (EEUU)")</f>
        <v>PPRECIO EN DOLARES (EEUU)</v>
      </c>
      <c r="G1" s="1172" t="str">
        <f>IFERROR(__xludf.DUMMYFUNCTION("""COMPUTED_VALUE"""),"(FÓRMULA)
TOTAL EXCEDENTE NETO")</f>
        <v>(FÓRMULA)
TOTAL EXCEDENTE NETO</v>
      </c>
      <c r="H1" s="1172" t="str">
        <f>IFERROR(__xludf.DUMMYFUNCTION("""COMPUTED_VALUE"""),"GARANTIA EXPRESS")</f>
        <v>GARANTIA EXPRESS</v>
      </c>
      <c r="I1" s="1172" t="str">
        <f>IFERROR(__xludf.DUMMYFUNCTION("""COMPUTED_VALUE"""),"COMISIÓN PARA EXCEDENTES")</f>
        <v>COMISIÓN PARA EXCEDENTES</v>
      </c>
      <c r="J1" s="1172" t="str">
        <f>IFERROR(__xludf.DUMMYFUNCTION("""COMPUTED_VALUE"""),"TOTAL COBRADO")</f>
        <v>TOTAL COBRADO</v>
      </c>
      <c r="M1" s="1172" t="str">
        <f>IFERROR(__xludf.DUMMYFUNCTION("QUERY(locales[#ALL], ""SELECT G,D,Q,C,M where A = 'CHELSEA' AND H = TRUE"", 1)"),"COMISIÓN PARA EL MES")</f>
        <v>COMISIÓN PARA EL MES</v>
      </c>
      <c r="N1" s="1172" t="str">
        <f>IFERROR(__xludf.DUMMYFUNCTION("""COMPUTED_VALUE"""),"SN")</f>
        <v>SN</v>
      </c>
      <c r="O1" s="1172" t="str">
        <f>IFERROR(__xludf.DUMMYFUNCTION("""COMPUTED_VALUE"""),"EXCEDENTE PARA PORLLES")</f>
        <v>EXCEDENTE PARA PORLLES</v>
      </c>
      <c r="P1" s="1172" t="str">
        <f>IFERROR(__xludf.DUMMYFUNCTION("""COMPUTED_VALUE"""),"FECHA DE PEDIDO / VENTA")</f>
        <v>FECHA DE PEDIDO / VENTA</v>
      </c>
      <c r="Q1" s="1172" t="str">
        <f>IFERROR(__xludf.DUMMYFUNCTION("""COMPUTED_VALUE"""),"TOTAL COBRADO")</f>
        <v>TOTAL COBRADO</v>
      </c>
    </row>
    <row r="2">
      <c r="A2" s="1175">
        <f>IFERROR(__xludf.DUMMYFUNCTION("""COMPUTED_VALUE"""),46052.0)</f>
        <v>46052</v>
      </c>
      <c r="B2" s="1174" t="str">
        <f>IFERROR(__xludf.DUMMYFUNCTION("""COMPUTED_VALUE"""),"li-mi-010226-2")</f>
        <v>li-mi-010226-2</v>
      </c>
      <c r="C2" s="1174" t="str">
        <f>IFERROR(__xludf.DUMMYFUNCTION("""COMPUTED_VALUE"""),"FEBRERO")</f>
        <v>FEBRERO</v>
      </c>
      <c r="D2" s="1174" t="b">
        <f>IFERROR(__xludf.DUMMYFUNCTION("""COMPUTED_VALUE"""),TRUE)</f>
        <v>1</v>
      </c>
      <c r="E2" s="1174" t="str">
        <f>IFERROR(__xludf.DUMMYFUNCTION("""COMPUTED_VALUE"""),"Laptop")</f>
        <v>Laptop</v>
      </c>
      <c r="F2" s="1176">
        <f>IFERROR(__xludf.DUMMYFUNCTION("""COMPUTED_VALUE"""),1599.99)</f>
        <v>1599.99</v>
      </c>
      <c r="G2" s="1177">
        <f>IFERROR(__xludf.DUMMYFUNCTION("""COMPUTED_VALUE"""),494.0)</f>
        <v>494</v>
      </c>
      <c r="H2" s="1174" t="b">
        <f>IFERROR(__xludf.DUMMYFUNCTION("""COMPUTED_VALUE"""),FALSE)</f>
        <v>0</v>
      </c>
      <c r="I2" s="1174" t="str">
        <f>IFERROR(__xludf.DUMMYFUNCTION("""COMPUTED_VALUE"""),"FEBRERO")</f>
        <v>FEBRERO</v>
      </c>
      <c r="J2" s="1177">
        <f>IFERROR(__xludf.DUMMYFUNCTION("""COMPUTED_VALUE"""),7699.0)</f>
        <v>7699</v>
      </c>
      <c r="M2" s="1174" t="str">
        <f>IFERROR(__xludf.DUMMYFUNCTION("""COMPUTED_VALUE"""),"MARZO")</f>
        <v>MARZO</v>
      </c>
      <c r="N2" s="1174" t="str">
        <f>IFERROR(__xludf.DUMMYFUNCTION("""COMPUTED_VALUE"""),"679L4C4")</f>
        <v>679L4C4</v>
      </c>
      <c r="O2" s="1177">
        <f>IFERROR(__xludf.DUMMYFUNCTION("""COMPUTED_VALUE"""),76.0)</f>
        <v>76</v>
      </c>
      <c r="P2" s="1175">
        <f>IFERROR(__xludf.DUMMYFUNCTION("""COMPUTED_VALUE"""),46104.0)</f>
        <v>46104</v>
      </c>
      <c r="Q2" s="1177">
        <f>IFERROR(__xludf.DUMMYFUNCTION("""COMPUTED_VALUE"""),8300.0)</f>
        <v>8300</v>
      </c>
    </row>
    <row r="3">
      <c r="A3" s="1175">
        <f>IFERROR(__xludf.DUMMYFUNCTION("""COMPUTED_VALUE"""),46053.0)</f>
        <v>46053</v>
      </c>
      <c r="B3" s="1174" t="str">
        <f>IFERROR(__xludf.DUMMYFUNCTION("""COMPUTED_VALUE"""),"ga-co-1261386550")</f>
        <v>ga-co-1261386550</v>
      </c>
      <c r="C3" s="1174" t="str">
        <f>IFERROR(__xludf.DUMMYFUNCTION("""COMPUTED_VALUE"""),"FEBRERO")</f>
        <v>FEBRERO</v>
      </c>
      <c r="D3" s="1174" t="b">
        <f>IFERROR(__xludf.DUMMYFUNCTION("""COMPUTED_VALUE"""),TRUE)</f>
        <v>1</v>
      </c>
      <c r="E3" s="1174" t="str">
        <f>IFERROR(__xludf.DUMMYFUNCTION("""COMPUTED_VALUE"""),"Laptop")</f>
        <v>Laptop</v>
      </c>
      <c r="F3" s="1176">
        <f>IFERROR(__xludf.DUMMYFUNCTION("""COMPUTED_VALUE"""),2199.0)</f>
        <v>2199</v>
      </c>
      <c r="G3" s="1177">
        <f>IFERROR(__xludf.DUMMYFUNCTION("""COMPUTED_VALUE"""),699.0)</f>
        <v>699</v>
      </c>
      <c r="H3" s="1174" t="b">
        <f>IFERROR(__xludf.DUMMYFUNCTION("""COMPUTED_VALUE"""),FALSE)</f>
        <v>0</v>
      </c>
      <c r="I3" s="1174" t="str">
        <f>IFERROR(__xludf.DUMMYFUNCTION("""COMPUTED_VALUE"""),"FEBRERO")</f>
        <v>FEBRERO</v>
      </c>
      <c r="J3" s="1177">
        <f>IFERROR(__xludf.DUMMYFUNCTION("""COMPUTED_VALUE"""),10599.0)</f>
        <v>10599</v>
      </c>
      <c r="M3" s="1174" t="str">
        <f>IFERROR(__xludf.DUMMYFUNCTION("""COMPUTED_VALUE"""),"ABRIL")</f>
        <v>ABRIL</v>
      </c>
      <c r="N3" s="1174" t="str">
        <f>IFERROR(__xludf.DUMMYFUNCTION("""COMPUTED_VALUE"""),"PF5VWP0T")</f>
        <v>PF5VWP0T</v>
      </c>
      <c r="O3" s="1177">
        <f>IFERROR(__xludf.DUMMYFUNCTION("""COMPUTED_VALUE"""),51.0)</f>
        <v>51</v>
      </c>
      <c r="P3" s="1175">
        <f>IFERROR(__xludf.DUMMYFUNCTION("""COMPUTED_VALUE"""),46120.0)</f>
        <v>46120</v>
      </c>
      <c r="Q3" s="1177">
        <f>IFERROR(__xludf.DUMMYFUNCTION("""COMPUTED_VALUE"""),11050.0)</f>
        <v>11050</v>
      </c>
    </row>
    <row r="4">
      <c r="A4" s="1175">
        <f>IFERROR(__xludf.DUMMYFUNCTION("""COMPUTED_VALUE"""),46059.0)</f>
        <v>46059</v>
      </c>
      <c r="B4" s="1174" t="str">
        <f>IFERROR(__xludf.DUMMYFUNCTION("""COMPUTED_VALUE"""),"ra-mi-080226")</f>
        <v>ra-mi-080226</v>
      </c>
      <c r="C4" s="1174" t="str">
        <f>IFERROR(__xludf.DUMMYFUNCTION("""COMPUTED_VALUE"""),"FEBRERO")</f>
        <v>FEBRERO</v>
      </c>
      <c r="D4" s="1174" t="b">
        <f>IFERROR(__xludf.DUMMYFUNCTION("""COMPUTED_VALUE"""),TRUE)</f>
        <v>1</v>
      </c>
      <c r="E4" s="1174" t="str">
        <f>IFERROR(__xludf.DUMMYFUNCTION("""COMPUTED_VALUE"""),"Laptop")</f>
        <v>Laptop</v>
      </c>
      <c r="F4" s="1176">
        <f>IFERROR(__xludf.DUMMYFUNCTION("""COMPUTED_VALUE"""),1599.99)</f>
        <v>1599.99</v>
      </c>
      <c r="G4" s="1177">
        <f>IFERROR(__xludf.DUMMYFUNCTION("""COMPUTED_VALUE"""),577.9499999999998)</f>
        <v>577.95</v>
      </c>
      <c r="H4" s="1174" t="b">
        <f>IFERROR(__xludf.DUMMYFUNCTION("""COMPUTED_VALUE"""),FALSE)</f>
        <v>0</v>
      </c>
      <c r="I4" s="1174" t="str">
        <f>IFERROR(__xludf.DUMMYFUNCTION("""COMPUTED_VALUE"""),"FEBRERO")</f>
        <v>FEBRERO</v>
      </c>
      <c r="J4" s="1177">
        <f>IFERROR(__xludf.DUMMYFUNCTION("""COMPUTED_VALUE"""),7799.0)</f>
        <v>7799</v>
      </c>
      <c r="M4" s="1174" t="str">
        <f>IFERROR(__xludf.DUMMYFUNCTION("""COMPUTED_VALUE"""),"MAYO")</f>
        <v>MAYO</v>
      </c>
      <c r="N4" s="1174" t="str">
        <f>IFERROR(__xludf.DUMMYFUNCTION("""COMPUTED_VALUE"""),"NHU0MAA0015512B4887600")</f>
        <v>NHU0MAA0015512B4887600</v>
      </c>
      <c r="O4" s="1177"/>
      <c r="P4" s="1175">
        <f>IFERROR(__xludf.DUMMYFUNCTION("""COMPUTED_VALUE"""),46157.0)</f>
        <v>46157</v>
      </c>
      <c r="Q4" s="1177">
        <f>IFERROR(__xludf.DUMMYFUNCTION("""COMPUTED_VALUE"""),6499.0)</f>
        <v>6499</v>
      </c>
    </row>
    <row r="5">
      <c r="A5" s="1175">
        <f>IFERROR(__xludf.DUMMYFUNCTION("""COMPUTED_VALUE"""),46064.0)</f>
        <v>46064</v>
      </c>
      <c r="B5" s="1174" t="str">
        <f>IFERROR(__xludf.DUMMYFUNCTION("""COMPUTED_VALUE"""),"re-eb-03-14265-37281")</f>
        <v>re-eb-03-14265-37281</v>
      </c>
      <c r="C5" s="1174" t="str">
        <f>IFERROR(__xludf.DUMMYFUNCTION("""COMPUTED_VALUE"""),"FEBRERO")</f>
        <v>FEBRERO</v>
      </c>
      <c r="D5" s="1174" t="b">
        <f>IFERROR(__xludf.DUMMYFUNCTION("""COMPUTED_VALUE"""),TRUE)</f>
        <v>1</v>
      </c>
      <c r="E5" s="1174" t="str">
        <f>IFERROR(__xludf.DUMMYFUNCTION("""COMPUTED_VALUE"""),"Laptop")</f>
        <v>Laptop</v>
      </c>
      <c r="F5" s="1176">
        <f>IFERROR(__xludf.DUMMYFUNCTION("""COMPUTED_VALUE"""),2499.0)</f>
        <v>2499</v>
      </c>
      <c r="G5" s="1177">
        <f>IFERROR(__xludf.DUMMYFUNCTION("""COMPUTED_VALUE"""),1457.0)</f>
        <v>1457</v>
      </c>
      <c r="H5" s="1174" t="b">
        <f>IFERROR(__xludf.DUMMYFUNCTION("""COMPUTED_VALUE"""),FALSE)</f>
        <v>0</v>
      </c>
      <c r="I5" s="1174" t="str">
        <f>IFERROR(__xludf.DUMMYFUNCTION("""COMPUTED_VALUE"""),"MARZO")</f>
        <v>MARZO</v>
      </c>
      <c r="J5" s="1177">
        <f>IFERROR(__xludf.DUMMYFUNCTION("""COMPUTED_VALUE"""),11799.0)</f>
        <v>11799</v>
      </c>
      <c r="M5" s="1174" t="str">
        <f>IFERROR(__xludf.DUMMYFUNCTION("""COMPUTED_VALUE"""),"JUNIO")</f>
        <v>JUNIO</v>
      </c>
      <c r="N5" s="1174" t="str">
        <f>IFERROR(__xludf.DUMMYFUNCTION("""COMPUTED_VALUE"""),"PF669CQ2")</f>
        <v>PF669CQ2</v>
      </c>
      <c r="O5" s="1177">
        <f>IFERROR(__xludf.DUMMYFUNCTION("""COMPUTED_VALUE"""),71.0)</f>
        <v>71</v>
      </c>
      <c r="P5" s="1175">
        <f>IFERROR(__xludf.DUMMYFUNCTION("""COMPUTED_VALUE"""),46171.0)</f>
        <v>46171</v>
      </c>
      <c r="Q5" s="1177">
        <f>IFERROR(__xludf.DUMMYFUNCTION("""COMPUTED_VALUE"""),7750.0)</f>
        <v>7750</v>
      </c>
    </row>
    <row r="6">
      <c r="A6" s="1175">
        <f>IFERROR(__xludf.DUMMYFUNCTION("""COMPUTED_VALUE"""),46071.0)</f>
        <v>46071</v>
      </c>
      <c r="B6" s="1174" t="str">
        <f>IFERROR(__xludf.DUMMYFUNCTION("""COMPUTED_VALUE"""),"ga-co-1265445421")</f>
        <v>ga-co-1265445421</v>
      </c>
      <c r="C6" s="1174" t="str">
        <f>IFERROR(__xludf.DUMMYFUNCTION("""COMPUTED_VALUE"""),"FEBRERO")</f>
        <v>FEBRERO</v>
      </c>
      <c r="D6" s="1174" t="b">
        <f>IFERROR(__xludf.DUMMYFUNCTION("""COMPUTED_VALUE"""),TRUE)</f>
        <v>1</v>
      </c>
      <c r="E6" s="1174" t="str">
        <f>IFERROR(__xludf.DUMMYFUNCTION("""COMPUTED_VALUE"""),"Laptop")</f>
        <v>Laptop</v>
      </c>
      <c r="F6" s="1176">
        <f>IFERROR(__xludf.DUMMYFUNCTION("""COMPUTED_VALUE"""),2199.99)</f>
        <v>2199.99</v>
      </c>
      <c r="G6" s="1177">
        <f>IFERROR(__xludf.DUMMYFUNCTION("""COMPUTED_VALUE"""),607.1599999999999)</f>
        <v>607.16</v>
      </c>
      <c r="H6" s="1174" t="b">
        <f>IFERROR(__xludf.DUMMYFUNCTION("""COMPUTED_VALUE"""),FALSE)</f>
        <v>0</v>
      </c>
      <c r="I6" s="1174" t="str">
        <f>IFERROR(__xludf.DUMMYFUNCTION("""COMPUTED_VALUE"""),"MARZO")</f>
        <v>MARZO</v>
      </c>
      <c r="J6" s="1177">
        <f>IFERROR(__xludf.DUMMYFUNCTION("""COMPUTED_VALUE"""),10299.0)</f>
        <v>10299</v>
      </c>
      <c r="M6" s="1174" t="str">
        <f>IFERROR(__xludf.DUMMYFUNCTION("""COMPUTED_VALUE"""),"JUNIO")</f>
        <v>JUNIO</v>
      </c>
      <c r="N6" s="1174" t="str">
        <f>IFERROR(__xludf.DUMMYFUNCTION("""COMPUTED_VALUE"""),"NHU0MAA0015512EDDB7600")</f>
        <v>NHU0MAA0015512EDDB7600</v>
      </c>
      <c r="O6" s="1177">
        <f>IFERROR(__xludf.DUMMYFUNCTION("""COMPUTED_VALUE"""),0.0)</f>
        <v>0</v>
      </c>
      <c r="P6" s="1175">
        <f>IFERROR(__xludf.DUMMYFUNCTION("""COMPUTED_VALUE"""),46172.0)</f>
        <v>46172</v>
      </c>
      <c r="Q6" s="1177">
        <f>IFERROR(__xludf.DUMMYFUNCTION("""COMPUTED_VALUE"""),6399.0)</f>
        <v>6399</v>
      </c>
    </row>
    <row r="7">
      <c r="A7" s="1175">
        <f>IFERROR(__xludf.DUMMYFUNCTION("""COMPUTED_VALUE"""),46072.0)</f>
        <v>46072</v>
      </c>
      <c r="B7" s="1174" t="str">
        <f>IFERROR(__xludf.DUMMYFUNCTION("""COMPUTED_VALUE"""),"ab-eb-24-14201-15881")</f>
        <v>ab-eb-24-14201-15881</v>
      </c>
      <c r="C7" s="1174" t="str">
        <f>IFERROR(__xludf.DUMMYFUNCTION("""COMPUTED_VALUE"""),"FEBRERO")</f>
        <v>FEBRERO</v>
      </c>
      <c r="D7" s="1174" t="b">
        <f>IFERROR(__xludf.DUMMYFUNCTION("""COMPUTED_VALUE"""),TRUE)</f>
        <v>1</v>
      </c>
      <c r="E7" s="1174" t="str">
        <f>IFERROR(__xludf.DUMMYFUNCTION("""COMPUTED_VALUE"""),"Laptop")</f>
        <v>Laptop</v>
      </c>
      <c r="F7" s="1176">
        <f>IFERROR(__xludf.DUMMYFUNCTION("""COMPUTED_VALUE"""),1249.99)</f>
        <v>1249.99</v>
      </c>
      <c r="G7" s="1177">
        <f>IFERROR(__xludf.DUMMYFUNCTION("""COMPUTED_VALUE"""),569.4799999999996)</f>
        <v>569.48</v>
      </c>
      <c r="H7" s="1174" t="b">
        <f>IFERROR(__xludf.DUMMYFUNCTION("""COMPUTED_VALUE"""),FALSE)</f>
        <v>0</v>
      </c>
      <c r="I7" s="1174" t="str">
        <f>IFERROR(__xludf.DUMMYFUNCTION("""COMPUTED_VALUE"""),"FEBRERO")</f>
        <v>FEBRERO</v>
      </c>
      <c r="J7" s="1177">
        <f>IFERROR(__xludf.DUMMYFUNCTION("""COMPUTED_VALUE"""),6499.0)</f>
        <v>6499</v>
      </c>
    </row>
    <row r="8">
      <c r="A8" s="1175">
        <f>IFERROR(__xludf.DUMMYFUNCTION("""COMPUTED_VALUE"""),46078.0)</f>
        <v>46078</v>
      </c>
      <c r="B8" s="1174" t="str">
        <f>IFERROR(__xludf.DUMMYFUNCTION("""COMPUTED_VALUE"""),"ke-eb-04-14303-38801")</f>
        <v>ke-eb-04-14303-38801</v>
      </c>
      <c r="C8" s="1174" t="str">
        <f>IFERROR(__xludf.DUMMYFUNCTION("""COMPUTED_VALUE"""),"FEBRERO")</f>
        <v>FEBRERO</v>
      </c>
      <c r="D8" s="1174" t="b">
        <f>IFERROR(__xludf.DUMMYFUNCTION("""COMPUTED_VALUE"""),TRUE)</f>
        <v>1</v>
      </c>
      <c r="E8" s="1174" t="str">
        <f>IFERROR(__xludf.DUMMYFUNCTION("""COMPUTED_VALUE"""),"Laptop")</f>
        <v>Laptop</v>
      </c>
      <c r="F8" s="1176">
        <f>IFERROR(__xludf.DUMMYFUNCTION("""COMPUTED_VALUE"""),1549.99)</f>
        <v>1549.99</v>
      </c>
      <c r="G8" s="1177">
        <f>IFERROR(__xludf.DUMMYFUNCTION("""COMPUTED_VALUE"""),343.0699999999997)</f>
        <v>343.07</v>
      </c>
      <c r="H8" s="1174" t="b">
        <f>IFERROR(__xludf.DUMMYFUNCTION("""COMPUTED_VALUE"""),FALSE)</f>
        <v>0</v>
      </c>
      <c r="I8" s="1174" t="str">
        <f>IFERROR(__xludf.DUMMYFUNCTION("""COMPUTED_VALUE"""),"MARZO")</f>
        <v>MARZO</v>
      </c>
      <c r="J8" s="1177">
        <f>IFERROR(__xludf.DUMMYFUNCTION("""COMPUTED_VALUE"""),7299.0)</f>
        <v>7299</v>
      </c>
    </row>
    <row r="9">
      <c r="A9" s="1175">
        <f>IFERROR(__xludf.DUMMYFUNCTION("""COMPUTED_VALUE"""),46079.0)</f>
        <v>46079</v>
      </c>
      <c r="B9" s="1174" t="str">
        <f>IFERROR(__xludf.DUMMYFUNCTION("""COMPUTED_VALUE"""),"ga-co-1266917237")</f>
        <v>ga-co-1266917237</v>
      </c>
      <c r="C9" s="1174" t="str">
        <f>IFERROR(__xludf.DUMMYFUNCTION("""COMPUTED_VALUE"""),"MARZO")</f>
        <v>MARZO</v>
      </c>
      <c r="D9" s="1174" t="b">
        <f>IFERROR(__xludf.DUMMYFUNCTION("""COMPUTED_VALUE"""),TRUE)</f>
        <v>1</v>
      </c>
      <c r="E9" s="1174" t="str">
        <f>IFERROR(__xludf.DUMMYFUNCTION("""COMPUTED_VALUE"""),"Laptop")</f>
        <v>Laptop</v>
      </c>
      <c r="F9" s="1176">
        <f>IFERROR(__xludf.DUMMYFUNCTION("""COMPUTED_VALUE"""),1599.99)</f>
        <v>1599.99</v>
      </c>
      <c r="G9" s="1177">
        <f>IFERROR(__xludf.DUMMYFUNCTION("""COMPUTED_VALUE"""),399.9200000000001)</f>
        <v>399.92</v>
      </c>
      <c r="H9" s="1174" t="b">
        <f>IFERROR(__xludf.DUMMYFUNCTION("""COMPUTED_VALUE"""),FALSE)</f>
        <v>0</v>
      </c>
      <c r="I9" s="1174" t="str">
        <f>IFERROR(__xludf.DUMMYFUNCTION("""COMPUTED_VALUE"""),"MARZO")</f>
        <v>MARZO</v>
      </c>
      <c r="J9" s="1177">
        <f>IFERROR(__xludf.DUMMYFUNCTION("""COMPUTED_VALUE"""),7999.0)</f>
        <v>7999</v>
      </c>
    </row>
    <row r="10">
      <c r="A10" s="1175">
        <f>IFERROR(__xludf.DUMMYFUNCTION("""COMPUTED_VALUE"""),46084.0)</f>
        <v>46084</v>
      </c>
      <c r="B10" s="1174" t="str">
        <f>IFERROR(__xludf.DUMMYFUNCTION("""COMPUTED_VALUE"""),"so-eb-17-14237-99036")</f>
        <v>so-eb-17-14237-99036</v>
      </c>
      <c r="C10" s="1174" t="str">
        <f>IFERROR(__xludf.DUMMYFUNCTION("""COMPUTED_VALUE"""),"MARZO")</f>
        <v>MARZO</v>
      </c>
      <c r="D10" s="1174" t="b">
        <f>IFERROR(__xludf.DUMMYFUNCTION("""COMPUTED_VALUE"""),TRUE)</f>
        <v>1</v>
      </c>
      <c r="E10" s="1174" t="str">
        <f>IFERROR(__xludf.DUMMYFUNCTION("""COMPUTED_VALUE"""),"Laptop")</f>
        <v>Laptop</v>
      </c>
      <c r="F10" s="1176">
        <f>IFERROR(__xludf.DUMMYFUNCTION("""COMPUTED_VALUE"""),1549.99)</f>
        <v>1549.99</v>
      </c>
      <c r="G10" s="1177">
        <f>IFERROR(__xludf.DUMMYFUNCTION("""COMPUTED_VALUE"""),486.0)</f>
        <v>486</v>
      </c>
      <c r="H10" s="1174" t="b">
        <f>IFERROR(__xludf.DUMMYFUNCTION("""COMPUTED_VALUE"""),FALSE)</f>
        <v>0</v>
      </c>
      <c r="I10" s="1174" t="str">
        <f>IFERROR(__xludf.DUMMYFUNCTION("""COMPUTED_VALUE"""),"MARZO")</f>
        <v>MARZO</v>
      </c>
      <c r="J10" s="1177">
        <f>IFERROR(__xludf.DUMMYFUNCTION("""COMPUTED_VALUE"""),7199.0)</f>
        <v>7199</v>
      </c>
    </row>
    <row r="11">
      <c r="A11" s="1175">
        <f>IFERROR(__xludf.DUMMYFUNCTION("""COMPUTED_VALUE"""),46087.0)</f>
        <v>46087</v>
      </c>
      <c r="B11" s="1174" t="str">
        <f>IFERROR(__xludf.DUMMYFUNCTION("""COMPUTED_VALUE"""),"ga-co-1268813605")</f>
        <v>ga-co-1268813605</v>
      </c>
      <c r="C11" s="1174" t="str">
        <f>IFERROR(__xludf.DUMMYFUNCTION("""COMPUTED_VALUE"""),"MARZO")</f>
        <v>MARZO</v>
      </c>
      <c r="D11" s="1174" t="b">
        <f>IFERROR(__xludf.DUMMYFUNCTION("""COMPUTED_VALUE"""),TRUE)</f>
        <v>1</v>
      </c>
      <c r="E11" s="1174" t="str">
        <f>IFERROR(__xludf.DUMMYFUNCTION("""COMPUTED_VALUE"""),"Laptop")</f>
        <v>Laptop</v>
      </c>
      <c r="F11" s="1176">
        <f>IFERROR(__xludf.DUMMYFUNCTION("""COMPUTED_VALUE"""),1599.99)</f>
        <v>1599.99</v>
      </c>
      <c r="G11" s="1177">
        <f>IFERROR(__xludf.DUMMYFUNCTION("""COMPUTED_VALUE"""),203.39000000000033)</f>
        <v>203.39</v>
      </c>
      <c r="H11" s="1174" t="b">
        <f>IFERROR(__xludf.DUMMYFUNCTION("""COMPUTED_VALUE"""),FALSE)</f>
        <v>0</v>
      </c>
      <c r="I11" s="1174" t="str">
        <f>IFERROR(__xludf.DUMMYFUNCTION("""COMPUTED_VALUE"""),"MARZO")</f>
        <v>MARZO</v>
      </c>
      <c r="J11" s="1177">
        <f>IFERROR(__xludf.DUMMYFUNCTION("""COMPUTED_VALUE"""),7899.0)</f>
        <v>7899</v>
      </c>
    </row>
    <row r="12">
      <c r="A12" s="1175">
        <f>IFERROR(__xludf.DUMMYFUNCTION("""COMPUTED_VALUE"""),46090.0)</f>
        <v>46090</v>
      </c>
      <c r="B12" s="1174" t="str">
        <f>IFERROR(__xludf.DUMMYFUNCTION("""COMPUTED_VALUE"""),"k-a-113-8323167-6541850")</f>
        <v>k-a-113-8323167-6541850</v>
      </c>
      <c r="C12" s="1174" t="str">
        <f>IFERROR(__xludf.DUMMYFUNCTION("""COMPUTED_VALUE"""),"MARZO")</f>
        <v>MARZO</v>
      </c>
      <c r="D12" s="1174" t="b">
        <f>IFERROR(__xludf.DUMMYFUNCTION("""COMPUTED_VALUE"""),TRUE)</f>
        <v>1</v>
      </c>
      <c r="E12" s="1174" t="str">
        <f>IFERROR(__xludf.DUMMYFUNCTION("""COMPUTED_VALUE"""),"Laptop")</f>
        <v>Laptop</v>
      </c>
      <c r="F12" s="1176">
        <f>IFERROR(__xludf.DUMMYFUNCTION("""COMPUTED_VALUE"""),1699.99)</f>
        <v>1699.99</v>
      </c>
      <c r="G12" s="1177">
        <f>IFERROR(__xludf.DUMMYFUNCTION("""COMPUTED_VALUE"""),131.0)</f>
        <v>131</v>
      </c>
      <c r="H12" s="1174" t="b">
        <f>IFERROR(__xludf.DUMMYFUNCTION("""COMPUTED_VALUE"""),FALSE)</f>
        <v>0</v>
      </c>
      <c r="I12" s="1174" t="str">
        <f>IFERROR(__xludf.DUMMYFUNCTION("""COMPUTED_VALUE"""),"MARZO")</f>
        <v>MARZO</v>
      </c>
      <c r="J12" s="1177">
        <f>IFERROR(__xludf.DUMMYFUNCTION("""COMPUTED_VALUE"""),7599.0)</f>
        <v>7599</v>
      </c>
    </row>
    <row r="13">
      <c r="A13" s="1175">
        <f>IFERROR(__xludf.DUMMYFUNCTION("""COMPUTED_VALUE"""),46091.0)</f>
        <v>46091</v>
      </c>
      <c r="B13" s="1174" t="str">
        <f>IFERROR(__xludf.DUMMYFUNCTION("""COMPUTED_VALUE"""),"ke-bh-1127776590")</f>
        <v>ke-bh-1127776590</v>
      </c>
      <c r="C13" s="1174" t="str">
        <f>IFERROR(__xludf.DUMMYFUNCTION("""COMPUTED_VALUE"""),"MARZO")</f>
        <v>MARZO</v>
      </c>
      <c r="D13" s="1174" t="b">
        <f>IFERROR(__xludf.DUMMYFUNCTION("""COMPUTED_VALUE"""),TRUE)</f>
        <v>1</v>
      </c>
      <c r="E13" s="1174" t="str">
        <f>IFERROR(__xludf.DUMMYFUNCTION("""COMPUTED_VALUE"""),"Laptop")</f>
        <v>Laptop</v>
      </c>
      <c r="F13" s="1176">
        <f>IFERROR(__xludf.DUMMYFUNCTION("""COMPUTED_VALUE"""),1549.0)</f>
        <v>1549</v>
      </c>
      <c r="G13" s="1177">
        <f>IFERROR(__xludf.DUMMYFUNCTION("""COMPUTED_VALUE"""),133.9399999999996)</f>
        <v>133.94</v>
      </c>
      <c r="H13" s="1174" t="b">
        <f>IFERROR(__xludf.DUMMYFUNCTION("""COMPUTED_VALUE"""),FALSE)</f>
        <v>0</v>
      </c>
      <c r="I13" s="1174" t="str">
        <f>IFERROR(__xludf.DUMMYFUNCTION("""COMPUTED_VALUE"""),"MAYO")</f>
        <v>MAYO</v>
      </c>
      <c r="J13" s="1177">
        <f>IFERROR(__xludf.DUMMYFUNCTION("""COMPUTED_VALUE"""),7180.0)</f>
        <v>7180</v>
      </c>
    </row>
    <row r="14">
      <c r="A14" s="1175">
        <f>IFERROR(__xludf.DUMMYFUNCTION("""COMPUTED_VALUE"""),46093.0)</f>
        <v>46093</v>
      </c>
      <c r="B14" s="1174" t="str">
        <f>IFERROR(__xludf.DUMMYFUNCTION("""COMPUTED_VALUE"""),"li-mi-070226-3")</f>
        <v>li-mi-070226-3</v>
      </c>
      <c r="C14" s="1174" t="str">
        <f>IFERROR(__xludf.DUMMYFUNCTION("""COMPUTED_VALUE"""),"MARZO")</f>
        <v>MARZO</v>
      </c>
      <c r="D14" s="1174" t="b">
        <f>IFERROR(__xludf.DUMMYFUNCTION("""COMPUTED_VALUE"""),TRUE)</f>
        <v>1</v>
      </c>
      <c r="E14" s="1174" t="str">
        <f>IFERROR(__xludf.DUMMYFUNCTION("""COMPUTED_VALUE"""),"Laptop")</f>
        <v>Laptop</v>
      </c>
      <c r="F14" s="1176">
        <f>IFERROR(__xludf.DUMMYFUNCTION("""COMPUTED_VALUE"""),1899.99)</f>
        <v>1899.99</v>
      </c>
      <c r="G14" s="1177">
        <f>IFERROR(__xludf.DUMMYFUNCTION("""COMPUTED_VALUE"""),446.9400000000005)</f>
        <v>446.94</v>
      </c>
      <c r="H14" s="1174" t="b">
        <f>IFERROR(__xludf.DUMMYFUNCTION("""COMPUTED_VALUE"""),FALSE)</f>
        <v>0</v>
      </c>
      <c r="I14" s="1174" t="str">
        <f>IFERROR(__xludf.DUMMYFUNCTION("""COMPUTED_VALUE"""),"ABRIL")</f>
        <v>ABRIL</v>
      </c>
      <c r="J14" s="1177">
        <f>IFERROR(__xludf.DUMMYFUNCTION("""COMPUTED_VALUE"""),9299.0)</f>
        <v>9299</v>
      </c>
    </row>
    <row r="15">
      <c r="A15" s="1175">
        <f>IFERROR(__xludf.DUMMYFUNCTION("""COMPUTED_VALUE"""),46095.0)</f>
        <v>46095</v>
      </c>
      <c r="B15" s="1174" t="str">
        <f>IFERROR(__xludf.DUMMYFUNCTION("""COMPUTED_VALUE"""),"re-eb-19-14049-96174")</f>
        <v>re-eb-19-14049-96174</v>
      </c>
      <c r="C15" s="1174" t="str">
        <f>IFERROR(__xludf.DUMMYFUNCTION("""COMPUTED_VALUE"""),"MARZO")</f>
        <v>MARZO</v>
      </c>
      <c r="D15" s="1174" t="b">
        <f>IFERROR(__xludf.DUMMYFUNCTION("""COMPUTED_VALUE"""),TRUE)</f>
        <v>1</v>
      </c>
      <c r="E15" s="1174" t="str">
        <f>IFERROR(__xludf.DUMMYFUNCTION("""COMPUTED_VALUE"""),"Laptop")</f>
        <v>Laptop</v>
      </c>
      <c r="F15" s="1176">
        <f>IFERROR(__xludf.DUMMYFUNCTION("""COMPUTED_VALUE"""),1349.99)</f>
        <v>1349.99</v>
      </c>
      <c r="G15" s="1177">
        <f>IFERROR(__xludf.DUMMYFUNCTION("""COMPUTED_VALUE"""),384.0)</f>
        <v>384</v>
      </c>
      <c r="H15" s="1174" t="b">
        <f>IFERROR(__xludf.DUMMYFUNCTION("""COMPUTED_VALUE"""),FALSE)</f>
        <v>0</v>
      </c>
      <c r="I15" s="1174" t="str">
        <f>IFERROR(__xludf.DUMMYFUNCTION("""COMPUTED_VALUE"""),"MARZO")</f>
        <v>MARZO</v>
      </c>
      <c r="J15" s="1177">
        <f>IFERROR(__xludf.DUMMYFUNCTION("""COMPUTED_VALUE"""),6299.0)</f>
        <v>6299</v>
      </c>
    </row>
    <row r="16">
      <c r="A16" s="1175">
        <f>IFERROR(__xludf.DUMMYFUNCTION("""COMPUTED_VALUE"""),46098.0)</f>
        <v>46098</v>
      </c>
      <c r="B16" s="1174" t="str">
        <f>IFERROR(__xludf.DUMMYFUNCTION("""COMPUTED_VALUE"""),"yo-eb-27-14356-42846")</f>
        <v>yo-eb-27-14356-42846</v>
      </c>
      <c r="C16" s="1174" t="str">
        <f>IFERROR(__xludf.DUMMYFUNCTION("""COMPUTED_VALUE"""),"MARZO")</f>
        <v>MARZO</v>
      </c>
      <c r="D16" s="1174" t="b">
        <f>IFERROR(__xludf.DUMMYFUNCTION("""COMPUTED_VALUE"""),TRUE)</f>
        <v>1</v>
      </c>
      <c r="E16" s="1174" t="str">
        <f>IFERROR(__xludf.DUMMYFUNCTION("""COMPUTED_VALUE"""),"Laptop")</f>
        <v>Laptop</v>
      </c>
      <c r="F16" s="1176">
        <f>IFERROR(__xludf.DUMMYFUNCTION("""COMPUTED_VALUE"""),2099.99)</f>
        <v>2099.99</v>
      </c>
      <c r="G16" s="1177">
        <f>IFERROR(__xludf.DUMMYFUNCTION("""COMPUTED_VALUE"""),351.3199999999997)</f>
        <v>351.32</v>
      </c>
      <c r="H16" s="1174" t="b">
        <f>IFERROR(__xludf.DUMMYFUNCTION("""COMPUTED_VALUE"""),FALSE)</f>
        <v>0</v>
      </c>
      <c r="I16" s="1174" t="str">
        <f>IFERROR(__xludf.DUMMYFUNCTION("""COMPUTED_VALUE"""),"MARZO")</f>
        <v>MARZO</v>
      </c>
      <c r="J16" s="1177">
        <f>IFERROR(__xludf.DUMMYFUNCTION("""COMPUTED_VALUE"""),9399.0)</f>
        <v>9399</v>
      </c>
    </row>
    <row r="17">
      <c r="A17" s="1175">
        <f>IFERROR(__xludf.DUMMYFUNCTION("""COMPUTED_VALUE"""),46098.0)</f>
        <v>46098</v>
      </c>
      <c r="B17" s="1174" t="str">
        <f>IFERROR(__xludf.DUMMYFUNCTION("""COMPUTED_VALUE"""),"ga-co-1266916397")</f>
        <v>ga-co-1266916397</v>
      </c>
      <c r="C17" s="1174" t="str">
        <f>IFERROR(__xludf.DUMMYFUNCTION("""COMPUTED_VALUE"""),"MARZO")</f>
        <v>MARZO</v>
      </c>
      <c r="D17" s="1174" t="b">
        <f>IFERROR(__xludf.DUMMYFUNCTION("""COMPUTED_VALUE"""),TRUE)</f>
        <v>1</v>
      </c>
      <c r="E17" s="1174" t="str">
        <f>IFERROR(__xludf.DUMMYFUNCTION("""COMPUTED_VALUE"""),"Laptop")</f>
        <v>Laptop</v>
      </c>
      <c r="F17" s="1176"/>
      <c r="G17" s="1177">
        <f>IFERROR(__xludf.DUMMYFUNCTION("""COMPUTED_VALUE"""),495.0)</f>
        <v>495</v>
      </c>
      <c r="H17" s="1174" t="b">
        <f>IFERROR(__xludf.DUMMYFUNCTION("""COMPUTED_VALUE"""),FALSE)</f>
        <v>0</v>
      </c>
      <c r="I17" s="1174" t="str">
        <f>IFERROR(__xludf.DUMMYFUNCTION("""COMPUTED_VALUE"""),"MARZO")</f>
        <v>MARZO</v>
      </c>
      <c r="J17" s="1177">
        <f>IFERROR(__xludf.DUMMYFUNCTION("""COMPUTED_VALUE"""),8200.0)</f>
        <v>8200</v>
      </c>
    </row>
    <row r="18">
      <c r="A18" s="1175">
        <f>IFERROR(__xludf.DUMMYFUNCTION("""COMPUTED_VALUE"""),46099.0)</f>
        <v>46099</v>
      </c>
      <c r="B18" s="1174" t="str">
        <f>IFERROR(__xludf.DUMMYFUNCTION("""COMPUTED_VALUE"""),"ke-be-807155880921")</f>
        <v>ke-be-807155880921</v>
      </c>
      <c r="C18" s="1174" t="str">
        <f>IFERROR(__xludf.DUMMYFUNCTION("""COMPUTED_VALUE"""),"MARZO")</f>
        <v>MARZO</v>
      </c>
      <c r="D18" s="1174" t="b">
        <f>IFERROR(__xludf.DUMMYFUNCTION("""COMPUTED_VALUE"""),TRUE)</f>
        <v>1</v>
      </c>
      <c r="E18" s="1174" t="str">
        <f>IFERROR(__xludf.DUMMYFUNCTION("""COMPUTED_VALUE"""),"Laptop")</f>
        <v>Laptop</v>
      </c>
      <c r="F18" s="1176">
        <f>IFERROR(__xludf.DUMMYFUNCTION("""COMPUTED_VALUE"""),949.99)</f>
        <v>949.99</v>
      </c>
      <c r="G18" s="1177">
        <f>IFERROR(__xludf.DUMMYFUNCTION("""COMPUTED_VALUE"""),145.5)</f>
        <v>145.5</v>
      </c>
      <c r="H18" s="1174" t="b">
        <f>IFERROR(__xludf.DUMMYFUNCTION("""COMPUTED_VALUE"""),FALSE)</f>
        <v>0</v>
      </c>
      <c r="I18" s="1174" t="str">
        <f>IFERROR(__xludf.DUMMYFUNCTION("""COMPUTED_VALUE"""),"MARZO")</f>
        <v>MARZO</v>
      </c>
      <c r="J18" s="1177">
        <f>IFERROR(__xludf.DUMMYFUNCTION("""COMPUTED_VALUE"""),4699.0)</f>
        <v>4699</v>
      </c>
    </row>
    <row r="19">
      <c r="A19" s="1175">
        <f>IFERROR(__xludf.DUMMYFUNCTION("""COMPUTED_VALUE"""),46103.0)</f>
        <v>46103</v>
      </c>
      <c r="B19" s="1174" t="str">
        <f>IFERROR(__xludf.DUMMYFUNCTION("""COMPUTED_VALUE"""),"si-mi-230326")</f>
        <v>si-mi-230326</v>
      </c>
      <c r="C19" s="1174" t="str">
        <f>IFERROR(__xludf.DUMMYFUNCTION("""COMPUTED_VALUE"""),"MARZO")</f>
        <v>MARZO</v>
      </c>
      <c r="D19" s="1174" t="b">
        <f>IFERROR(__xludf.DUMMYFUNCTION("""COMPUTED_VALUE"""),TRUE)</f>
        <v>1</v>
      </c>
      <c r="E19" s="1174" t="str">
        <f>IFERROR(__xludf.DUMMYFUNCTION("""COMPUTED_VALUE"""),"Laptop")</f>
        <v>Laptop</v>
      </c>
      <c r="F19" s="1176">
        <f>IFERROR(__xludf.DUMMYFUNCTION("""COMPUTED_VALUE"""),3499.99)</f>
        <v>3499.99</v>
      </c>
      <c r="G19" s="1177">
        <f>IFERROR(__xludf.DUMMYFUNCTION("""COMPUTED_VALUE"""),197.70999999999913)</f>
        <v>197.71</v>
      </c>
      <c r="H19" s="1174" t="b">
        <f>IFERROR(__xludf.DUMMYFUNCTION("""COMPUTED_VALUE"""),FALSE)</f>
        <v>0</v>
      </c>
      <c r="I19" s="1174" t="str">
        <f>IFERROR(__xludf.DUMMYFUNCTION("""COMPUTED_VALUE"""),"MAYO")</f>
        <v>MAYO</v>
      </c>
      <c r="J19" s="1177">
        <f>IFERROR(__xludf.DUMMYFUNCTION("""COMPUTED_VALUE"""),15499.0)</f>
        <v>15499</v>
      </c>
    </row>
    <row r="20">
      <c r="A20" s="1175">
        <f>IFERROR(__xludf.DUMMYFUNCTION("""COMPUTED_VALUE"""),46112.0)</f>
        <v>46112</v>
      </c>
      <c r="B20" s="1174"/>
      <c r="C20" s="1174"/>
      <c r="D20" s="1174" t="b">
        <f>IFERROR(__xludf.DUMMYFUNCTION("""COMPUTED_VALUE"""),FALSE)</f>
        <v>0</v>
      </c>
      <c r="E20" s="1174" t="str">
        <f>IFERROR(__xludf.DUMMYFUNCTION("""COMPUTED_VALUE"""),"Otro")</f>
        <v>Otro</v>
      </c>
      <c r="F20" s="1176">
        <f>IFERROR(__xludf.DUMMYFUNCTION("""COMPUTED_VALUE"""),1349.99)</f>
        <v>1349.99</v>
      </c>
      <c r="G20" s="1177">
        <f>IFERROR(__xludf.DUMMYFUNCTION("""COMPUTED_VALUE"""),74.11000000000058)</f>
        <v>74.11</v>
      </c>
      <c r="H20" s="1174" t="b">
        <f>IFERROR(__xludf.DUMMYFUNCTION("""COMPUTED_VALUE"""),FALSE)</f>
        <v>0</v>
      </c>
      <c r="I20" s="1174"/>
      <c r="J20" s="1177">
        <f>IFERROR(__xludf.DUMMYFUNCTION("""COMPUTED_VALUE"""),6503.55)</f>
        <v>6503.55</v>
      </c>
    </row>
    <row r="21">
      <c r="A21" s="1175">
        <f>IFERROR(__xludf.DUMMYFUNCTION("""COMPUTED_VALUE"""),46113.0)</f>
        <v>46113</v>
      </c>
      <c r="B21" s="1174" t="str">
        <f>IFERROR(__xludf.DUMMYFUNCTION("""COMPUTED_VALUE"""),"ke-eb-06-14442-19452")</f>
        <v>ke-eb-06-14442-19452</v>
      </c>
      <c r="C21" s="1174" t="str">
        <f>IFERROR(__xludf.DUMMYFUNCTION("""COMPUTED_VALUE"""),"ABRIL")</f>
        <v>ABRIL</v>
      </c>
      <c r="D21" s="1174" t="b">
        <f>IFERROR(__xludf.DUMMYFUNCTION("""COMPUTED_VALUE"""),TRUE)</f>
        <v>1</v>
      </c>
      <c r="E21" s="1174" t="str">
        <f>IFERROR(__xludf.DUMMYFUNCTION("""COMPUTED_VALUE"""),"Laptop")</f>
        <v>Laptop</v>
      </c>
      <c r="F21" s="1176">
        <f>IFERROR(__xludf.DUMMYFUNCTION("""COMPUTED_VALUE"""),1199.99)</f>
        <v>1199.99</v>
      </c>
      <c r="G21" s="1177">
        <f>IFERROR(__xludf.DUMMYFUNCTION("""COMPUTED_VALUE"""),66.0)</f>
        <v>66</v>
      </c>
      <c r="H21" s="1174" t="b">
        <f>IFERROR(__xludf.DUMMYFUNCTION("""COMPUTED_VALUE"""),FALSE)</f>
        <v>0</v>
      </c>
      <c r="I21" s="1174" t="str">
        <f>IFERROR(__xludf.DUMMYFUNCTION("""COMPUTED_VALUE"""),"ABRIL")</f>
        <v>ABRIL</v>
      </c>
      <c r="J21" s="1177">
        <f>IFERROR(__xludf.DUMMYFUNCTION("""COMPUTED_VALUE"""),5599.0)</f>
        <v>5599</v>
      </c>
    </row>
    <row r="22">
      <c r="A22" s="1175">
        <f>IFERROR(__xludf.DUMMYFUNCTION("""COMPUTED_VALUE"""),46113.0)</f>
        <v>46113</v>
      </c>
      <c r="B22" s="1174" t="str">
        <f>IFERROR(__xludf.DUMMYFUNCTION("""COMPUTED_VALUE"""),"ke-eb-21-14420-00997")</f>
        <v>ke-eb-21-14420-00997</v>
      </c>
      <c r="C22" s="1174" t="str">
        <f>IFERROR(__xludf.DUMMYFUNCTION("""COMPUTED_VALUE"""),"ABRIL")</f>
        <v>ABRIL</v>
      </c>
      <c r="D22" s="1174" t="b">
        <f>IFERROR(__xludf.DUMMYFUNCTION("""COMPUTED_VALUE"""),TRUE)</f>
        <v>1</v>
      </c>
      <c r="E22" s="1174" t="str">
        <f>IFERROR(__xludf.DUMMYFUNCTION("""COMPUTED_VALUE"""),"Laptop")</f>
        <v>Laptop</v>
      </c>
      <c r="F22" s="1176">
        <f>IFERROR(__xludf.DUMMYFUNCTION("""COMPUTED_VALUE"""),1199.99)</f>
        <v>1199.99</v>
      </c>
      <c r="G22" s="1177">
        <f>IFERROR(__xludf.DUMMYFUNCTION("""COMPUTED_VALUE"""),66.0)</f>
        <v>66</v>
      </c>
      <c r="H22" s="1174" t="b">
        <f>IFERROR(__xludf.DUMMYFUNCTION("""COMPUTED_VALUE"""),FALSE)</f>
        <v>0</v>
      </c>
      <c r="I22" s="1174" t="str">
        <f>IFERROR(__xludf.DUMMYFUNCTION("""COMPUTED_VALUE"""),"ABRIL")</f>
        <v>ABRIL</v>
      </c>
      <c r="J22" s="1177">
        <f>IFERROR(__xludf.DUMMYFUNCTION("""COMPUTED_VALUE"""),5599.0)</f>
        <v>5599</v>
      </c>
    </row>
    <row r="23">
      <c r="A23" s="1175">
        <f>IFERROR(__xludf.DUMMYFUNCTION("""COMPUTED_VALUE"""),46116.0)</f>
        <v>46116</v>
      </c>
      <c r="B23" s="1174" t="str">
        <f>IFERROR(__xludf.DUMMYFUNCTION("""COMPUTED_VALUE"""),"yo-eb-18-14502-05930")</f>
        <v>yo-eb-18-14502-05930</v>
      </c>
      <c r="C23" s="1174" t="str">
        <f>IFERROR(__xludf.DUMMYFUNCTION("""COMPUTED_VALUE"""),"ABRIL")</f>
        <v>ABRIL</v>
      </c>
      <c r="D23" s="1174" t="b">
        <f>IFERROR(__xludf.DUMMYFUNCTION("""COMPUTED_VALUE"""),TRUE)</f>
        <v>1</v>
      </c>
      <c r="E23" s="1174" t="str">
        <f>IFERROR(__xludf.DUMMYFUNCTION("""COMPUTED_VALUE"""),"Laptop")</f>
        <v>Laptop</v>
      </c>
      <c r="F23" s="1176">
        <f>IFERROR(__xludf.DUMMYFUNCTION("""COMPUTED_VALUE"""),1924.99)</f>
        <v>1924.99</v>
      </c>
      <c r="G23" s="1177">
        <f>IFERROR(__xludf.DUMMYFUNCTION("""COMPUTED_VALUE"""),322.0)</f>
        <v>322</v>
      </c>
      <c r="H23" s="1174" t="b">
        <f>IFERROR(__xludf.DUMMYFUNCTION("""COMPUTED_VALUE"""),FALSE)</f>
        <v>0</v>
      </c>
      <c r="I23" s="1174" t="str">
        <f>IFERROR(__xludf.DUMMYFUNCTION("""COMPUTED_VALUE"""),"MAYO")</f>
        <v>MAYO</v>
      </c>
      <c r="J23" s="1177">
        <f>IFERROR(__xludf.DUMMYFUNCTION("""COMPUTED_VALUE"""),8899.0)</f>
        <v>8899</v>
      </c>
    </row>
    <row r="24">
      <c r="A24" s="1175">
        <f>IFERROR(__xludf.DUMMYFUNCTION("""COMPUTED_VALUE"""),46119.0)</f>
        <v>46119</v>
      </c>
      <c r="B24" s="1174" t="str">
        <f>IFERROR(__xludf.DUMMYFUNCTION("""COMPUTED_VALUE"""),"ke-eb-09-14475-42334")</f>
        <v>ke-eb-09-14475-42334</v>
      </c>
      <c r="C24" s="1174" t="str">
        <f>IFERROR(__xludf.DUMMYFUNCTION("""COMPUTED_VALUE"""),"ABRIL")</f>
        <v>ABRIL</v>
      </c>
      <c r="D24" s="1174" t="b">
        <f>IFERROR(__xludf.DUMMYFUNCTION("""COMPUTED_VALUE"""),TRUE)</f>
        <v>1</v>
      </c>
      <c r="E24" s="1174" t="str">
        <f>IFERROR(__xludf.DUMMYFUNCTION("""COMPUTED_VALUE"""),"Laptop")</f>
        <v>Laptop</v>
      </c>
      <c r="F24" s="1176">
        <f>IFERROR(__xludf.DUMMYFUNCTION("""COMPUTED_VALUE"""),1979.99)</f>
        <v>1979.99</v>
      </c>
      <c r="G24" s="1177">
        <f>IFERROR(__xludf.DUMMYFUNCTION("""COMPUTED_VALUE"""),107.54999999999927)</f>
        <v>107.55</v>
      </c>
      <c r="H24" s="1174" t="b">
        <f>IFERROR(__xludf.DUMMYFUNCTION("""COMPUTED_VALUE"""),FALSE)</f>
        <v>0</v>
      </c>
      <c r="I24" s="1174" t="str">
        <f>IFERROR(__xludf.DUMMYFUNCTION("""COMPUTED_VALUE"""),"MAYO")</f>
        <v>MAYO</v>
      </c>
      <c r="J24" s="1177">
        <f>IFERROR(__xludf.DUMMYFUNCTION("""COMPUTED_VALUE"""),8699.0)</f>
        <v>8699</v>
      </c>
    </row>
    <row r="25">
      <c r="A25" s="1175">
        <f>IFERROR(__xludf.DUMMYFUNCTION("""COMPUTED_VALUE"""),46119.0)</f>
        <v>46119</v>
      </c>
      <c r="B25" s="1174" t="str">
        <f>IFERROR(__xludf.DUMMYFUNCTION("""COMPUTED_VALUE"""),"ga-co-1276204583")</f>
        <v>ga-co-1276204583</v>
      </c>
      <c r="C25" s="1174" t="str">
        <f>IFERROR(__xludf.DUMMYFUNCTION("""COMPUTED_VALUE"""),"ABRIL")</f>
        <v>ABRIL</v>
      </c>
      <c r="D25" s="1174" t="b">
        <f>IFERROR(__xludf.DUMMYFUNCTION("""COMPUTED_VALUE"""),TRUE)</f>
        <v>1</v>
      </c>
      <c r="E25" s="1174" t="str">
        <f>IFERROR(__xludf.DUMMYFUNCTION("""COMPUTED_VALUE"""),"Laptop")</f>
        <v>Laptop</v>
      </c>
      <c r="F25" s="1176">
        <f>IFERROR(__xludf.DUMMYFUNCTION("""COMPUTED_VALUE"""),2599.99)</f>
        <v>2599.99</v>
      </c>
      <c r="G25" s="1177">
        <f>IFERROR(__xludf.DUMMYFUNCTION("""COMPUTED_VALUE"""),205.0)</f>
        <v>205</v>
      </c>
      <c r="H25" s="1174" t="b">
        <f>IFERROR(__xludf.DUMMYFUNCTION("""COMPUTED_VALUE"""),FALSE)</f>
        <v>0</v>
      </c>
      <c r="I25" s="1174" t="str">
        <f>IFERROR(__xludf.DUMMYFUNCTION("""COMPUTED_VALUE"""),"MAYO")</f>
        <v>MAYO</v>
      </c>
      <c r="J25" s="1177">
        <f>IFERROR(__xludf.DUMMYFUNCTION("""COMPUTED_VALUE"""),11800.0)</f>
        <v>11800</v>
      </c>
    </row>
    <row r="26">
      <c r="A26" s="1175">
        <f>IFERROR(__xludf.DUMMYFUNCTION("""COMPUTED_VALUE"""),46122.0)</f>
        <v>46122</v>
      </c>
      <c r="B26" s="1174" t="str">
        <f>IFERROR(__xludf.DUMMYFUNCTION("""COMPUTED_VALUE"""),"ga-co-1277315200")</f>
        <v>ga-co-1277315200</v>
      </c>
      <c r="C26" s="1174" t="str">
        <f>IFERROR(__xludf.DUMMYFUNCTION("""COMPUTED_VALUE"""),"ABRIL")</f>
        <v>ABRIL</v>
      </c>
      <c r="D26" s="1174" t="b">
        <f>IFERROR(__xludf.DUMMYFUNCTION("""COMPUTED_VALUE"""),TRUE)</f>
        <v>1</v>
      </c>
      <c r="E26" s="1174" t="str">
        <f>IFERROR(__xludf.DUMMYFUNCTION("""COMPUTED_VALUE"""),"Laptop")</f>
        <v>Laptop</v>
      </c>
      <c r="F26" s="1176">
        <f>IFERROR(__xludf.DUMMYFUNCTION("""COMPUTED_VALUE"""),1599.99)</f>
        <v>1599.99</v>
      </c>
      <c r="G26" s="1177">
        <f>IFERROR(__xludf.DUMMYFUNCTION("""COMPUTED_VALUE"""),311.25)</f>
        <v>311.25</v>
      </c>
      <c r="H26" s="1174" t="b">
        <f>IFERROR(__xludf.DUMMYFUNCTION("""COMPUTED_VALUE"""),FALSE)</f>
        <v>0</v>
      </c>
      <c r="I26" s="1174" t="str">
        <f>IFERROR(__xludf.DUMMYFUNCTION("""COMPUTED_VALUE"""),"MAYO")</f>
        <v>MAYO</v>
      </c>
      <c r="J26" s="1177">
        <f>IFERROR(__xludf.DUMMYFUNCTION("""COMPUTED_VALUE"""),7849.0)</f>
        <v>7849</v>
      </c>
    </row>
    <row r="27">
      <c r="A27" s="1175">
        <f>IFERROR(__xludf.DUMMYFUNCTION("""COMPUTED_VALUE"""),46122.0)</f>
        <v>46122</v>
      </c>
      <c r="B27" s="1174" t="str">
        <f>IFERROR(__xludf.DUMMYFUNCTION("""COMPUTED_VALUE"""),"ke-am-113-6407161-5997053")</f>
        <v>ke-am-113-6407161-5997053</v>
      </c>
      <c r="C27" s="1174" t="str">
        <f>IFERROR(__xludf.DUMMYFUNCTION("""COMPUTED_VALUE"""),"ABRIL")</f>
        <v>ABRIL</v>
      </c>
      <c r="D27" s="1174" t="b">
        <f>IFERROR(__xludf.DUMMYFUNCTION("""COMPUTED_VALUE"""),TRUE)</f>
        <v>1</v>
      </c>
      <c r="E27" s="1174" t="str">
        <f>IFERROR(__xludf.DUMMYFUNCTION("""COMPUTED_VALUE"""),"Laptop")</f>
        <v>Laptop</v>
      </c>
      <c r="F27" s="1176">
        <f>IFERROR(__xludf.DUMMYFUNCTION("""COMPUTED_VALUE"""),1599.0)</f>
        <v>1599</v>
      </c>
      <c r="G27" s="1177">
        <f>IFERROR(__xludf.DUMMYFUNCTION("""COMPUTED_VALUE"""),107.22999999999956)</f>
        <v>107.23</v>
      </c>
      <c r="H27" s="1174" t="b">
        <f>IFERROR(__xludf.DUMMYFUNCTION("""COMPUTED_VALUE"""),FALSE)</f>
        <v>0</v>
      </c>
      <c r="I27" s="1174" t="str">
        <f>IFERROR(__xludf.DUMMYFUNCTION("""COMPUTED_VALUE"""),"MAYO")</f>
        <v>MAYO</v>
      </c>
      <c r="J27" s="1177">
        <f>IFERROR(__xludf.DUMMYFUNCTION("""COMPUTED_VALUE"""),7099.0)</f>
        <v>7099</v>
      </c>
    </row>
    <row r="28">
      <c r="A28" s="1175">
        <f>IFERROR(__xludf.DUMMYFUNCTION("""COMPUTED_VALUE"""),46122.0)</f>
        <v>46122</v>
      </c>
      <c r="B28" s="1174" t="str">
        <f>IFERROR(__xludf.DUMMYFUNCTION("""COMPUTED_VALUE"""),"ra-mi-120426")</f>
        <v>ra-mi-120426</v>
      </c>
      <c r="C28" s="1174" t="str">
        <f>IFERROR(__xludf.DUMMYFUNCTION("""COMPUTED_VALUE"""),"ABRIL")</f>
        <v>ABRIL</v>
      </c>
      <c r="D28" s="1174" t="b">
        <f>IFERROR(__xludf.DUMMYFUNCTION("""COMPUTED_VALUE"""),TRUE)</f>
        <v>1</v>
      </c>
      <c r="E28" s="1174" t="str">
        <f>IFERROR(__xludf.DUMMYFUNCTION("""COMPUTED_VALUE"""),"Laptop")</f>
        <v>Laptop</v>
      </c>
      <c r="F28" s="1176">
        <f>IFERROR(__xludf.DUMMYFUNCTION("""COMPUTED_VALUE"""),1899.99)</f>
        <v>1899.99</v>
      </c>
      <c r="G28" s="1177">
        <f>IFERROR(__xludf.DUMMYFUNCTION("""COMPUTED_VALUE"""),268.75)</f>
        <v>268.75</v>
      </c>
      <c r="H28" s="1174" t="b">
        <f>IFERROR(__xludf.DUMMYFUNCTION("""COMPUTED_VALUE"""),FALSE)</f>
        <v>0</v>
      </c>
      <c r="I28" s="1174" t="str">
        <f>IFERROR(__xludf.DUMMYFUNCTION("""COMPUTED_VALUE"""),"ABRIL")</f>
        <v>ABRIL</v>
      </c>
      <c r="J28" s="1177">
        <f>IFERROR(__xludf.DUMMYFUNCTION("""COMPUTED_VALUE"""),8999.0)</f>
        <v>8999</v>
      </c>
    </row>
    <row r="29">
      <c r="A29" s="1175">
        <f>IFERROR(__xludf.DUMMYFUNCTION("""COMPUTED_VALUE"""),46125.0)</f>
        <v>46125</v>
      </c>
      <c r="B29" s="1174" t="str">
        <f>IFERROR(__xludf.DUMMYFUNCTION("""COMPUTED_VALUE"""),"ga-bh-1128548172")</f>
        <v>ga-bh-1128548172</v>
      </c>
      <c r="C29" s="1174" t="str">
        <f>IFERROR(__xludf.DUMMYFUNCTION("""COMPUTED_VALUE"""),"ABRIL")</f>
        <v>ABRIL</v>
      </c>
      <c r="D29" s="1174" t="b">
        <f>IFERROR(__xludf.DUMMYFUNCTION("""COMPUTED_VALUE"""),TRUE)</f>
        <v>1</v>
      </c>
      <c r="E29" s="1174" t="str">
        <f>IFERROR(__xludf.DUMMYFUNCTION("""COMPUTED_VALUE"""),"Laptop")</f>
        <v>Laptop</v>
      </c>
      <c r="F29" s="1176">
        <f>IFERROR(__xludf.DUMMYFUNCTION("""COMPUTED_VALUE"""),1599.0)</f>
        <v>1599</v>
      </c>
      <c r="G29" s="1177">
        <f>IFERROR(__xludf.DUMMYFUNCTION("""COMPUTED_VALUE"""),304.0)</f>
        <v>304</v>
      </c>
      <c r="H29" s="1174" t="b">
        <f>IFERROR(__xludf.DUMMYFUNCTION("""COMPUTED_VALUE"""),FALSE)</f>
        <v>0</v>
      </c>
      <c r="I29" s="1174" t="str">
        <f>IFERROR(__xludf.DUMMYFUNCTION("""COMPUTED_VALUE"""),"JUNIO")</f>
        <v>JUNIO</v>
      </c>
      <c r="J29" s="1177">
        <f>IFERROR(__xludf.DUMMYFUNCTION("""COMPUTED_VALUE"""),7299.0)</f>
        <v>7299</v>
      </c>
    </row>
    <row r="30">
      <c r="A30" s="1175">
        <f>IFERROR(__xludf.DUMMYFUNCTION("""COMPUTED_VALUE"""),46132.0)</f>
        <v>46132</v>
      </c>
      <c r="B30" s="1174" t="str">
        <f>IFERROR(__xludf.DUMMYFUNCTION("""COMPUTED_VALUE"""),"ga-bh-1128760619")</f>
        <v>ga-bh-1128760619</v>
      </c>
      <c r="C30" s="1174" t="str">
        <f>IFERROR(__xludf.DUMMYFUNCTION("""COMPUTED_VALUE"""),"ABRIL")</f>
        <v>ABRIL</v>
      </c>
      <c r="D30" s="1174" t="b">
        <f>IFERROR(__xludf.DUMMYFUNCTION("""COMPUTED_VALUE"""),TRUE)</f>
        <v>1</v>
      </c>
      <c r="E30" s="1174" t="str">
        <f>IFERROR(__xludf.DUMMYFUNCTION("""COMPUTED_VALUE"""),"Laptop")</f>
        <v>Laptop</v>
      </c>
      <c r="F30" s="1176">
        <f>IFERROR(__xludf.DUMMYFUNCTION("""COMPUTED_VALUE"""),2499.0)</f>
        <v>2499</v>
      </c>
      <c r="G30" s="1177">
        <f>IFERROR(__xludf.DUMMYFUNCTION("""COMPUTED_VALUE"""),379.0)</f>
        <v>379</v>
      </c>
      <c r="H30" s="1174" t="b">
        <f>IFERROR(__xludf.DUMMYFUNCTION("""COMPUTED_VALUE"""),FALSE)</f>
        <v>0</v>
      </c>
      <c r="I30" s="1174" t="str">
        <f>IFERROR(__xludf.DUMMYFUNCTION("""COMPUTED_VALUE"""),"JUNIO")</f>
        <v>JUNIO</v>
      </c>
      <c r="J30" s="1177">
        <f>IFERROR(__xludf.DUMMYFUNCTION("""COMPUTED_VALUE"""),11300.0)</f>
        <v>11300</v>
      </c>
    </row>
    <row r="31">
      <c r="A31" s="1175">
        <f>IFERROR(__xludf.DUMMYFUNCTION("""COMPUTED_VALUE"""),46133.0)</f>
        <v>46133</v>
      </c>
      <c r="B31" s="1174" t="str">
        <f>IFERROR(__xludf.DUMMYFUNCTION("""COMPUTED_VALUE"""),"jl-mi-21063742")</f>
        <v>jl-mi-21063742</v>
      </c>
      <c r="C31" s="1174" t="str">
        <f>IFERROR(__xludf.DUMMYFUNCTION("""COMPUTED_VALUE"""),"ABRIL")</f>
        <v>ABRIL</v>
      </c>
      <c r="D31" s="1174" t="b">
        <f>IFERROR(__xludf.DUMMYFUNCTION("""COMPUTED_VALUE"""),TRUE)</f>
        <v>1</v>
      </c>
      <c r="E31" s="1174" t="str">
        <f>IFERROR(__xludf.DUMMYFUNCTION("""COMPUTED_VALUE"""),"Laptop")</f>
        <v>Laptop</v>
      </c>
      <c r="F31" s="1176">
        <f>IFERROR(__xludf.DUMMYFUNCTION("""COMPUTED_VALUE"""),1899.99)</f>
        <v>1899.99</v>
      </c>
      <c r="G31" s="1177">
        <f>IFERROR(__xludf.DUMMYFUNCTION("""COMPUTED_VALUE"""),105.5)</f>
        <v>105.5</v>
      </c>
      <c r="H31" s="1174" t="b">
        <f>IFERROR(__xludf.DUMMYFUNCTION("""COMPUTED_VALUE"""),FALSE)</f>
        <v>0</v>
      </c>
      <c r="I31" s="1174" t="str">
        <f>IFERROR(__xludf.DUMMYFUNCTION("""COMPUTED_VALUE"""),"JUNIO")</f>
        <v>JUNIO</v>
      </c>
      <c r="J31" s="1177">
        <f>IFERROR(__xludf.DUMMYFUNCTION("""COMPUTED_VALUE"""),8950.0)</f>
        <v>8950</v>
      </c>
    </row>
    <row r="32">
      <c r="A32" s="1175">
        <f>IFERROR(__xludf.DUMMYFUNCTION("""COMPUTED_VALUE"""),46133.0)</f>
        <v>46133</v>
      </c>
      <c r="B32" s="1174" t="str">
        <f>IFERROR(__xludf.DUMMYFUNCTION("""COMPUTED_VALUE"""),"ke-as-10001319457")</f>
        <v>ke-as-10001319457</v>
      </c>
      <c r="C32" s="1174" t="str">
        <f>IFERROR(__xludf.DUMMYFUNCTION("""COMPUTED_VALUE"""),"ABRIL")</f>
        <v>ABRIL</v>
      </c>
      <c r="D32" s="1174" t="b">
        <f>IFERROR(__xludf.DUMMYFUNCTION("""COMPUTED_VALUE"""),TRUE)</f>
        <v>1</v>
      </c>
      <c r="E32" s="1174" t="str">
        <f>IFERROR(__xludf.DUMMYFUNCTION("""COMPUTED_VALUE"""),"Laptop")</f>
        <v>Laptop</v>
      </c>
      <c r="F32" s="1176">
        <f>IFERROR(__xludf.DUMMYFUNCTION("""COMPUTED_VALUE"""),999.99)</f>
        <v>999.99</v>
      </c>
      <c r="G32" s="1177">
        <f>IFERROR(__xludf.DUMMYFUNCTION("""COMPUTED_VALUE"""),66.0)</f>
        <v>66</v>
      </c>
      <c r="H32" s="1174" t="b">
        <f>IFERROR(__xludf.DUMMYFUNCTION("""COMPUTED_VALUE"""),FALSE)</f>
        <v>0</v>
      </c>
      <c r="I32" s="1174" t="str">
        <f>IFERROR(__xludf.DUMMYFUNCTION("""COMPUTED_VALUE"""),"MAYO")</f>
        <v>MAYO</v>
      </c>
      <c r="J32" s="1177">
        <f>IFERROR(__xludf.DUMMYFUNCTION("""COMPUTED_VALUE"""),4835.0)</f>
        <v>4835</v>
      </c>
    </row>
    <row r="33">
      <c r="A33" s="1175">
        <f>IFERROR(__xludf.DUMMYFUNCTION("""COMPUTED_VALUE"""),46135.0)</f>
        <v>46135</v>
      </c>
      <c r="B33" s="1174" t="str">
        <f>IFERROR(__xludf.DUMMYFUNCTION("""COMPUTED_VALUE"""),"jl-mi-240426")</f>
        <v>jl-mi-240426</v>
      </c>
      <c r="C33" s="1174" t="str">
        <f>IFERROR(__xludf.DUMMYFUNCTION("""COMPUTED_VALUE"""),"MAYO")</f>
        <v>MAYO</v>
      </c>
      <c r="D33" s="1174" t="b">
        <f>IFERROR(__xludf.DUMMYFUNCTION("""COMPUTED_VALUE"""),TRUE)</f>
        <v>1</v>
      </c>
      <c r="E33" s="1174" t="str">
        <f>IFERROR(__xludf.DUMMYFUNCTION("""COMPUTED_VALUE"""),"Laptop")</f>
        <v>Laptop</v>
      </c>
      <c r="F33" s="1176">
        <f>IFERROR(__xludf.DUMMYFUNCTION("""COMPUTED_VALUE"""),1999.99)</f>
        <v>1999.99</v>
      </c>
      <c r="G33" s="1177">
        <f>IFERROR(__xludf.DUMMYFUNCTION("""COMPUTED_VALUE"""),0.0)</f>
        <v>0</v>
      </c>
      <c r="H33" s="1174" t="b">
        <f>IFERROR(__xludf.DUMMYFUNCTION("""COMPUTED_VALUE"""),FALSE)</f>
        <v>0</v>
      </c>
      <c r="I33" s="1174" t="str">
        <f>IFERROR(__xludf.DUMMYFUNCTION("""COMPUTED_VALUE"""),"JUNIO")</f>
        <v>JUNIO</v>
      </c>
      <c r="J33" s="1177">
        <f>IFERROR(__xludf.DUMMYFUNCTION("""COMPUTED_VALUE"""),9499.0)</f>
        <v>9499</v>
      </c>
    </row>
    <row r="34">
      <c r="A34" s="1175">
        <f>IFERROR(__xludf.DUMMYFUNCTION("""COMPUTED_VALUE"""),46132.0)</f>
        <v>46132</v>
      </c>
      <c r="B34" s="1174"/>
      <c r="C34" s="1174"/>
      <c r="D34" s="1174" t="b">
        <f>IFERROR(__xludf.DUMMYFUNCTION("""COMPUTED_VALUE"""),FALSE)</f>
        <v>0</v>
      </c>
      <c r="E34" s="1174" t="str">
        <f>IFERROR(__xludf.DUMMYFUNCTION("""COMPUTED_VALUE"""),"Laptop")</f>
        <v>Laptop</v>
      </c>
      <c r="F34" s="1176"/>
      <c r="G34" s="1177">
        <f>IFERROR(__xludf.DUMMYFUNCTION("""COMPUTED_VALUE"""),0.0)</f>
        <v>0</v>
      </c>
      <c r="H34" s="1174" t="b">
        <f>IFERROR(__xludf.DUMMYFUNCTION("""COMPUTED_VALUE"""),FALSE)</f>
        <v>0</v>
      </c>
      <c r="I34" s="1174"/>
      <c r="J34" s="1177"/>
    </row>
    <row r="35">
      <c r="A35" s="1175">
        <f>IFERROR(__xludf.DUMMYFUNCTION("""COMPUTED_VALUE"""),46144.0)</f>
        <v>46144</v>
      </c>
      <c r="B35" s="1174" t="str">
        <f>IFERROR(__xludf.DUMMYFUNCTION("""COMPUTED_VALUE"""),"li-mi-2-040526")</f>
        <v>li-mi-2-040526</v>
      </c>
      <c r="C35" s="1174" t="str">
        <f>IFERROR(__xludf.DUMMYFUNCTION("""COMPUTED_VALUE"""),"MAYO")</f>
        <v>MAYO</v>
      </c>
      <c r="D35" s="1174" t="b">
        <f>IFERROR(__xludf.DUMMYFUNCTION("""COMPUTED_VALUE"""),TRUE)</f>
        <v>1</v>
      </c>
      <c r="E35" s="1174" t="str">
        <f>IFERROR(__xludf.DUMMYFUNCTION("""COMPUTED_VALUE"""),"Laptop")</f>
        <v>Laptop</v>
      </c>
      <c r="F35" s="1176">
        <f>IFERROR(__xludf.DUMMYFUNCTION("""COMPUTED_VALUE"""),1699.99)</f>
        <v>1699.99</v>
      </c>
      <c r="G35" s="1177">
        <f>IFERROR(__xludf.DUMMYFUNCTION("""COMPUTED_VALUE"""),47.0)</f>
        <v>47</v>
      </c>
      <c r="H35" s="1174" t="b">
        <f>IFERROR(__xludf.DUMMYFUNCTION("""COMPUTED_VALUE"""),FALSE)</f>
        <v>0</v>
      </c>
      <c r="I35" s="1174" t="str">
        <f>IFERROR(__xludf.DUMMYFUNCTION("""COMPUTED_VALUE"""),"JUNIO")</f>
        <v>JUNIO</v>
      </c>
      <c r="J35" s="1177">
        <f>IFERROR(__xludf.DUMMYFUNCTION("""COMPUTED_VALUE"""),8170.0)</f>
        <v>8170</v>
      </c>
    </row>
    <row r="36">
      <c r="A36" s="1175">
        <f>IFERROR(__xludf.DUMMYFUNCTION("""COMPUTED_VALUE"""),46144.0)</f>
        <v>46144</v>
      </c>
      <c r="B36" s="1174" t="str">
        <f>IFERROR(__xludf.DUMMYFUNCTION("""COMPUTED_VALUE"""),"jl-mi-040526")</f>
        <v>jl-mi-040526</v>
      </c>
      <c r="C36" s="1174" t="str">
        <f>IFERROR(__xludf.DUMMYFUNCTION("""COMPUTED_VALUE"""),"MAYO")</f>
        <v>MAYO</v>
      </c>
      <c r="D36" s="1174" t="b">
        <f>IFERROR(__xludf.DUMMYFUNCTION("""COMPUTED_VALUE"""),TRUE)</f>
        <v>1</v>
      </c>
      <c r="E36" s="1174" t="str">
        <f>IFERROR(__xludf.DUMMYFUNCTION("""COMPUTED_VALUE"""),"Laptop")</f>
        <v>Laptop</v>
      </c>
      <c r="F36" s="1176">
        <f>IFERROR(__xludf.DUMMYFUNCTION("""COMPUTED_VALUE"""),1699.99)</f>
        <v>1699.99</v>
      </c>
      <c r="G36" s="1177">
        <f>IFERROR(__xludf.DUMMYFUNCTION("""COMPUTED_VALUE"""),76.0)</f>
        <v>76</v>
      </c>
      <c r="H36" s="1174" t="b">
        <f>IFERROR(__xludf.DUMMYFUNCTION("""COMPUTED_VALUE"""),FALSE)</f>
        <v>0</v>
      </c>
      <c r="I36" s="1174" t="str">
        <f>IFERROR(__xludf.DUMMYFUNCTION("""COMPUTED_VALUE"""),"JUNIO")</f>
        <v>JUNIO</v>
      </c>
      <c r="J36" s="1177">
        <f>IFERROR(__xludf.DUMMYFUNCTION("""COMPUTED_VALUE"""),8199.0)</f>
        <v>8199</v>
      </c>
    </row>
    <row r="37">
      <c r="A37" s="1175">
        <f>IFERROR(__xludf.DUMMYFUNCTION("""COMPUTED_VALUE"""),46147.0)</f>
        <v>46147</v>
      </c>
      <c r="B37" s="1174" t="str">
        <f>IFERROR(__xludf.DUMMYFUNCTION("""COMPUTED_VALUE"""),"ga-bh-1128803062")</f>
        <v>ga-bh-1128803062</v>
      </c>
      <c r="C37" s="1174" t="str">
        <f>IFERROR(__xludf.DUMMYFUNCTION("""COMPUTED_VALUE"""),"MAYO")</f>
        <v>MAYO</v>
      </c>
      <c r="D37" s="1174" t="b">
        <f>IFERROR(__xludf.DUMMYFUNCTION("""COMPUTED_VALUE"""),TRUE)</f>
        <v>1</v>
      </c>
      <c r="E37" s="1174" t="str">
        <f>IFERROR(__xludf.DUMMYFUNCTION("""COMPUTED_VALUE"""),"Laptop")</f>
        <v>Laptop</v>
      </c>
      <c r="F37" s="1176">
        <f>IFERROR(__xludf.DUMMYFUNCTION("""COMPUTED_VALUE"""),1299.99)</f>
        <v>1299.99</v>
      </c>
      <c r="G37" s="1177">
        <f>IFERROR(__xludf.DUMMYFUNCTION("""COMPUTED_VALUE"""),361.0)</f>
        <v>361</v>
      </c>
      <c r="H37" s="1174" t="b">
        <f>IFERROR(__xludf.DUMMYFUNCTION("""COMPUTED_VALUE"""),FALSE)</f>
        <v>0</v>
      </c>
      <c r="I37" s="1174" t="str">
        <f>IFERROR(__xludf.DUMMYFUNCTION("""COMPUTED_VALUE"""),"JUNIO")</f>
        <v>JUNIO</v>
      </c>
      <c r="J37" s="1177">
        <f>IFERROR(__xludf.DUMMYFUNCTION("""COMPUTED_VALUE"""),6399.0)</f>
        <v>6399</v>
      </c>
    </row>
    <row r="38">
      <c r="A38" s="1175">
        <f>IFERROR(__xludf.DUMMYFUNCTION("""COMPUTED_VALUE"""),46151.0)</f>
        <v>46151</v>
      </c>
      <c r="B38" s="1174" t="str">
        <f>IFERROR(__xludf.DUMMYFUNCTION("""COMPUTED_VALUE"""),"ke-eb-10-14616-54662")</f>
        <v>ke-eb-10-14616-54662</v>
      </c>
      <c r="C38" s="1174" t="str">
        <f>IFERROR(__xludf.DUMMYFUNCTION("""COMPUTED_VALUE"""),"MAYO")</f>
        <v>MAYO</v>
      </c>
      <c r="D38" s="1174" t="b">
        <f>IFERROR(__xludf.DUMMYFUNCTION("""COMPUTED_VALUE"""),TRUE)</f>
        <v>1</v>
      </c>
      <c r="E38" s="1174" t="str">
        <f>IFERROR(__xludf.DUMMYFUNCTION("""COMPUTED_VALUE"""),"Laptop")</f>
        <v>Laptop</v>
      </c>
      <c r="F38" s="1176">
        <f>IFERROR(__xludf.DUMMYFUNCTION("""COMPUTED_VALUE"""),1549.99)</f>
        <v>1549.99</v>
      </c>
      <c r="G38" s="1177">
        <f>IFERROR(__xludf.DUMMYFUNCTION("""COMPUTED_VALUE"""),324.0)</f>
        <v>324</v>
      </c>
      <c r="H38" s="1174" t="b">
        <f>IFERROR(__xludf.DUMMYFUNCTION("""COMPUTED_VALUE"""),FALSE)</f>
        <v>0</v>
      </c>
      <c r="I38" s="1174" t="str">
        <f>IFERROR(__xludf.DUMMYFUNCTION("""COMPUTED_VALUE"""),"JUNIO")</f>
        <v>JUNIO</v>
      </c>
      <c r="J38" s="1177">
        <f>IFERROR(__xludf.DUMMYFUNCTION("""COMPUTED_VALUE"""),7199.0)</f>
        <v>7199</v>
      </c>
    </row>
    <row r="39">
      <c r="A39" s="1175">
        <f>IFERROR(__xludf.DUMMYFUNCTION("""COMPUTED_VALUE"""),46153.0)</f>
        <v>46153</v>
      </c>
      <c r="B39" s="1174" t="str">
        <f>IFERROR(__xludf.DUMMYFUNCTION("""COMPUTED_VALUE"""),"so-eb-19-14593-48657")</f>
        <v>so-eb-19-14593-48657</v>
      </c>
      <c r="C39" s="1174" t="str">
        <f>IFERROR(__xludf.DUMMYFUNCTION("""COMPUTED_VALUE"""),"MAYO")</f>
        <v>MAYO</v>
      </c>
      <c r="D39" s="1174" t="b">
        <f>IFERROR(__xludf.DUMMYFUNCTION("""COMPUTED_VALUE"""),TRUE)</f>
        <v>1</v>
      </c>
      <c r="E39" s="1174" t="str">
        <f>IFERROR(__xludf.DUMMYFUNCTION("""COMPUTED_VALUE"""),"Laptop")</f>
        <v>Laptop</v>
      </c>
      <c r="F39" s="1176">
        <f>IFERROR(__xludf.DUMMYFUNCTION("""COMPUTED_VALUE"""),1299.0)</f>
        <v>1299</v>
      </c>
      <c r="G39" s="1177">
        <f>IFERROR(__xludf.DUMMYFUNCTION("""COMPUTED_VALUE"""),89.0)</f>
        <v>89</v>
      </c>
      <c r="H39" s="1174" t="b">
        <f>IFERROR(__xludf.DUMMYFUNCTION("""COMPUTED_VALUE"""),FALSE)</f>
        <v>0</v>
      </c>
      <c r="I39" s="1174" t="str">
        <f>IFERROR(__xludf.DUMMYFUNCTION("""COMPUTED_VALUE"""),"JUNIO")</f>
        <v>JUNIO</v>
      </c>
      <c r="J39" s="1177">
        <f>IFERROR(__xludf.DUMMYFUNCTION("""COMPUTED_VALUE"""),6000.0)</f>
        <v>6000</v>
      </c>
    </row>
    <row r="40">
      <c r="A40" s="1175">
        <f>IFERROR(__xludf.DUMMYFUNCTION("""COMPUTED_VALUE"""),46154.0)</f>
        <v>46154</v>
      </c>
      <c r="B40" s="1174" t="str">
        <f>IFERROR(__xludf.DUMMYFUNCTION("""COMPUTED_VALUE"""),"ga-bh-1129021639")</f>
        <v>ga-bh-1129021639</v>
      </c>
      <c r="C40" s="1174" t="str">
        <f>IFERROR(__xludf.DUMMYFUNCTION("""COMPUTED_VALUE"""),"MAYO")</f>
        <v>MAYO</v>
      </c>
      <c r="D40" s="1174" t="b">
        <f>IFERROR(__xludf.DUMMYFUNCTION("""COMPUTED_VALUE"""),TRUE)</f>
        <v>1</v>
      </c>
      <c r="E40" s="1174" t="str">
        <f>IFERROR(__xludf.DUMMYFUNCTION("""COMPUTED_VALUE"""),"Laptop")</f>
        <v>Laptop</v>
      </c>
      <c r="F40" s="1176">
        <f>IFERROR(__xludf.DUMMYFUNCTION("""COMPUTED_VALUE"""),2999.99)</f>
        <v>2999.99</v>
      </c>
      <c r="G40" s="1177">
        <f>IFERROR(__xludf.DUMMYFUNCTION("""COMPUTED_VALUE"""),2479.0)</f>
        <v>2479</v>
      </c>
      <c r="H40" s="1174" t="b">
        <f>IFERROR(__xludf.DUMMYFUNCTION("""COMPUTED_VALUE"""),FALSE)</f>
        <v>0</v>
      </c>
      <c r="I40" s="1174" t="str">
        <f>IFERROR(__xludf.DUMMYFUNCTION("""COMPUTED_VALUE"""),"JUNIO")</f>
        <v>JUNIO</v>
      </c>
      <c r="J40" s="1177">
        <f>IFERROR(__xludf.DUMMYFUNCTION("""COMPUTED_VALUE"""),15399.0)</f>
        <v>15399</v>
      </c>
    </row>
    <row r="41">
      <c r="A41" s="1175">
        <f>IFERROR(__xludf.DUMMYFUNCTION("""COMPUTED_VALUE"""),46161.0)</f>
        <v>46161</v>
      </c>
      <c r="B41" s="1174" t="str">
        <f>IFERROR(__xludf.DUMMYFUNCTION("""COMPUTED_VALUE"""),"ga-co-1286585485")</f>
        <v>ga-co-1286585485</v>
      </c>
      <c r="C41" s="1174" t="str">
        <f>IFERROR(__xludf.DUMMYFUNCTION("""COMPUTED_VALUE"""),"JUNIO")</f>
        <v>JUNIO</v>
      </c>
      <c r="D41" s="1174" t="b">
        <f>IFERROR(__xludf.DUMMYFUNCTION("""COMPUTED_VALUE"""),TRUE)</f>
        <v>1</v>
      </c>
      <c r="E41" s="1174" t="str">
        <f>IFERROR(__xludf.DUMMYFUNCTION("""COMPUTED_VALUE"""),"Laptop")</f>
        <v>Laptop</v>
      </c>
      <c r="F41" s="1176">
        <f>IFERROR(__xludf.DUMMYFUNCTION("""COMPUTED_VALUE"""),1549.99)</f>
        <v>1549.99</v>
      </c>
      <c r="G41" s="1177">
        <f>IFERROR(__xludf.DUMMYFUNCTION("""COMPUTED_VALUE"""),309.0)</f>
        <v>309</v>
      </c>
      <c r="H41" s="1174" t="b">
        <f>IFERROR(__xludf.DUMMYFUNCTION("""COMPUTED_VALUE"""),FALSE)</f>
        <v>0</v>
      </c>
      <c r="I41" s="1174"/>
      <c r="J41" s="1177">
        <f>IFERROR(__xludf.DUMMYFUNCTION("""COMPUTED_VALUE"""),7799.0)</f>
        <v>7799</v>
      </c>
    </row>
    <row r="42">
      <c r="A42" s="1175">
        <f>IFERROR(__xludf.DUMMYFUNCTION("""COMPUTED_VALUE"""),46162.0)</f>
        <v>46162</v>
      </c>
      <c r="B42" s="1174" t="str">
        <f>IFERROR(__xludf.DUMMYFUNCTION("""COMPUTED_VALUE"""),"ke-eb-24-14658-23545")</f>
        <v>ke-eb-24-14658-23545</v>
      </c>
      <c r="C42" s="1174" t="str">
        <f>IFERROR(__xludf.DUMMYFUNCTION("""COMPUTED_VALUE"""),"JUNIO")</f>
        <v>JUNIO</v>
      </c>
      <c r="D42" s="1174" t="b">
        <f>IFERROR(__xludf.DUMMYFUNCTION("""COMPUTED_VALUE"""),TRUE)</f>
        <v>1</v>
      </c>
      <c r="E42" s="1174" t="str">
        <f>IFERROR(__xludf.DUMMYFUNCTION("""COMPUTED_VALUE"""),"Laptop")</f>
        <v>Laptop</v>
      </c>
      <c r="F42" s="1176">
        <f>IFERROR(__xludf.DUMMYFUNCTION("""COMPUTED_VALUE"""),2599.99)</f>
        <v>2599.99</v>
      </c>
      <c r="G42" s="1177">
        <f>IFERROR(__xludf.DUMMYFUNCTION("""COMPUTED_VALUE"""),183.0)</f>
        <v>183</v>
      </c>
      <c r="H42" s="1174" t="b">
        <f>IFERROR(__xludf.DUMMYFUNCTION("""COMPUTED_VALUE"""),FALSE)</f>
        <v>0</v>
      </c>
      <c r="I42" s="1174"/>
      <c r="J42" s="1177">
        <f>IFERROR(__xludf.DUMMYFUNCTION("""COMPUTED_VALUE"""),11299.0)</f>
        <v>11299</v>
      </c>
    </row>
    <row r="43">
      <c r="A43" s="1175">
        <f>IFERROR(__xludf.DUMMYFUNCTION("""COMPUTED_VALUE"""),46163.0)</f>
        <v>46163</v>
      </c>
      <c r="B43" s="1174" t="str">
        <f>IFERROR(__xludf.DUMMYFUNCTION("""COMPUTED_VALUE"""),"ke-eb-10-14669-74703")</f>
        <v>ke-eb-10-14669-74703</v>
      </c>
      <c r="C43" s="1174" t="str">
        <f>IFERROR(__xludf.DUMMYFUNCTION("""COMPUTED_VALUE"""),"JUNIO")</f>
        <v>JUNIO</v>
      </c>
      <c r="D43" s="1174" t="b">
        <f>IFERROR(__xludf.DUMMYFUNCTION("""COMPUTED_VALUE"""),TRUE)</f>
        <v>1</v>
      </c>
      <c r="E43" s="1174" t="str">
        <f>IFERROR(__xludf.DUMMYFUNCTION("""COMPUTED_VALUE"""),"Laptop")</f>
        <v>Laptop</v>
      </c>
      <c r="F43" s="1176">
        <f>IFERROR(__xludf.DUMMYFUNCTION("""COMPUTED_VALUE"""),1699.99)</f>
        <v>1699.99</v>
      </c>
      <c r="G43" s="1177">
        <f>IFERROR(__xludf.DUMMYFUNCTION("""COMPUTED_VALUE"""),184.0)</f>
        <v>184</v>
      </c>
      <c r="H43" s="1174" t="b">
        <f>IFERROR(__xludf.DUMMYFUNCTION("""COMPUTED_VALUE"""),FALSE)</f>
        <v>0</v>
      </c>
      <c r="I43" s="1174" t="str">
        <f>IFERROR(__xludf.DUMMYFUNCTION("""COMPUTED_VALUE"""),"JUNIO")</f>
        <v>JUNIO</v>
      </c>
      <c r="J43" s="1177">
        <f>IFERROR(__xludf.DUMMYFUNCTION("""COMPUTED_VALUE"""),7499.0)</f>
        <v>7499</v>
      </c>
    </row>
    <row r="44">
      <c r="A44" s="1175">
        <f>IFERROR(__xludf.DUMMYFUNCTION("""COMPUTED_VALUE"""),46164.0)</f>
        <v>46164</v>
      </c>
      <c r="B44" s="1174" t="str">
        <f>IFERROR(__xludf.DUMMYFUNCTION("""COMPUTED_VALUE"""),"ga-as-10001363185")</f>
        <v>ga-as-10001363185</v>
      </c>
      <c r="C44" s="1174" t="str">
        <f>IFERROR(__xludf.DUMMYFUNCTION("""COMPUTED_VALUE"""),"JUNIO")</f>
        <v>JUNIO</v>
      </c>
      <c r="D44" s="1174" t="b">
        <f>IFERROR(__xludf.DUMMYFUNCTION("""COMPUTED_VALUE"""),TRUE)</f>
        <v>1</v>
      </c>
      <c r="E44" s="1174" t="str">
        <f>IFERROR(__xludf.DUMMYFUNCTION("""COMPUTED_VALUE"""),"Laptop")</f>
        <v>Laptop</v>
      </c>
      <c r="F44" s="1176">
        <f>IFERROR(__xludf.DUMMYFUNCTION("""COMPUTED_VALUE"""),1399.0)</f>
        <v>1399</v>
      </c>
      <c r="G44" s="1177">
        <f>IFERROR(__xludf.DUMMYFUNCTION("""COMPUTED_VALUE"""),348.04)</f>
        <v>348.04</v>
      </c>
      <c r="H44" s="1174" t="b">
        <f>IFERROR(__xludf.DUMMYFUNCTION("""COMPUTED_VALUE"""),FALSE)</f>
        <v>0</v>
      </c>
      <c r="I44" s="1174"/>
      <c r="J44" s="1177">
        <f>IFERROR(__xludf.DUMMYFUNCTION("""COMPUTED_VALUE"""),6499.0)</f>
        <v>6499</v>
      </c>
    </row>
    <row r="45">
      <c r="A45" s="1175">
        <f>IFERROR(__xludf.DUMMYFUNCTION("""COMPUTED_VALUE"""),46165.0)</f>
        <v>46165</v>
      </c>
      <c r="B45" s="1174" t="str">
        <f>IFERROR(__xludf.DUMMYFUNCTION("""COMPUTED_VALUE"""),"yo-am-114-1835466-4543408")</f>
        <v>yo-am-114-1835466-4543408</v>
      </c>
      <c r="C45" s="1174" t="str">
        <f>IFERROR(__xludf.DUMMYFUNCTION("""COMPUTED_VALUE"""),"JUNIO")</f>
        <v>JUNIO</v>
      </c>
      <c r="D45" s="1174" t="b">
        <f>IFERROR(__xludf.DUMMYFUNCTION("""COMPUTED_VALUE"""),TRUE)</f>
        <v>1</v>
      </c>
      <c r="E45" s="1174" t="str">
        <f>IFERROR(__xludf.DUMMYFUNCTION("""COMPUTED_VALUE"""),"Laptop")</f>
        <v>Laptop</v>
      </c>
      <c r="F45" s="1176">
        <f>IFERROR(__xludf.DUMMYFUNCTION("""COMPUTED_VALUE"""),3254.99)</f>
        <v>3254.99</v>
      </c>
      <c r="G45" s="1177">
        <f>IFERROR(__xludf.DUMMYFUNCTION("""COMPUTED_VALUE"""),189.0)</f>
        <v>189</v>
      </c>
      <c r="H45" s="1174" t="b">
        <f>IFERROR(__xludf.DUMMYFUNCTION("""COMPUTED_VALUE"""),FALSE)</f>
        <v>0</v>
      </c>
      <c r="I45" s="1174" t="str">
        <f>IFERROR(__xludf.DUMMYFUNCTION("""COMPUTED_VALUE"""),"JUNIO")</f>
        <v>JUNIO</v>
      </c>
      <c r="J45" s="1177">
        <f>IFERROR(__xludf.DUMMYFUNCTION("""COMPUTED_VALUE"""),13759.0)</f>
        <v>13759</v>
      </c>
    </row>
    <row r="46">
      <c r="A46" s="1175">
        <f>IFERROR(__xludf.DUMMYFUNCTION("""COMPUTED_VALUE"""),46171.0)</f>
        <v>46171</v>
      </c>
      <c r="B46" s="1174" t="str">
        <f>IFERROR(__xludf.DUMMYFUNCTION("""COMPUTED_VALUE"""),"ke-am-113-4659188-9454620")</f>
        <v>ke-am-113-4659188-9454620</v>
      </c>
      <c r="C46" s="1174" t="str">
        <f>IFERROR(__xludf.DUMMYFUNCTION("""COMPUTED_VALUE"""),"JUNIO")</f>
        <v>JUNIO</v>
      </c>
      <c r="D46" s="1174" t="b">
        <f>IFERROR(__xludf.DUMMYFUNCTION("""COMPUTED_VALUE"""),TRUE)</f>
        <v>1</v>
      </c>
      <c r="E46" s="1174" t="str">
        <f>IFERROR(__xludf.DUMMYFUNCTION("""COMPUTED_VALUE"""),"Laptop")</f>
        <v>Laptop</v>
      </c>
      <c r="F46" s="1176">
        <f>IFERROR(__xludf.DUMMYFUNCTION("""COMPUTED_VALUE"""),1099.99)</f>
        <v>1099.99</v>
      </c>
      <c r="G46" s="1177">
        <f>IFERROR(__xludf.DUMMYFUNCTION("""COMPUTED_VALUE"""),167.0)</f>
        <v>167</v>
      </c>
      <c r="H46" s="1174" t="b">
        <f>IFERROR(__xludf.DUMMYFUNCTION("""COMPUTED_VALUE"""),FALSE)</f>
        <v>0</v>
      </c>
      <c r="I46" s="1174" t="str">
        <f>IFERROR(__xludf.DUMMYFUNCTION("""COMPUTED_VALUE"""),"JUNIO")</f>
        <v>JUNIO</v>
      </c>
      <c r="J46" s="1177">
        <f>IFERROR(__xludf.DUMMYFUNCTION("""COMPUTED_VALUE"""),5050.0)</f>
        <v>5050</v>
      </c>
    </row>
    <row r="47">
      <c r="A47" s="1175">
        <f>IFERROR(__xludf.DUMMYFUNCTION("""COMPUTED_VALUE"""),46181.0)</f>
        <v>46181</v>
      </c>
      <c r="B47" s="1174" t="str">
        <f>IFERROR(__xludf.DUMMYFUNCTION("""COMPUTED_VALUE"""),"ke-eb-27-14718-63472")</f>
        <v>ke-eb-27-14718-63472</v>
      </c>
      <c r="C47" s="1174" t="str">
        <f>IFERROR(__xludf.DUMMYFUNCTION("""COMPUTED_VALUE"""),"JUNIO")</f>
        <v>JUNIO</v>
      </c>
      <c r="D47" s="1174" t="b">
        <f>IFERROR(__xludf.DUMMYFUNCTION("""COMPUTED_VALUE"""),TRUE)</f>
        <v>1</v>
      </c>
      <c r="E47" s="1174" t="str">
        <f>IFERROR(__xludf.DUMMYFUNCTION("""COMPUTED_VALUE"""),"Laptop")</f>
        <v>Laptop</v>
      </c>
      <c r="F47" s="1176">
        <f>IFERROR(__xludf.DUMMYFUNCTION("""COMPUTED_VALUE"""),2949.99)</f>
        <v>2949.99</v>
      </c>
      <c r="G47" s="1177">
        <f>IFERROR(__xludf.DUMMYFUNCTION("""COMPUTED_VALUE"""),627.0)</f>
        <v>627</v>
      </c>
      <c r="H47" s="1174" t="b">
        <f>IFERROR(__xludf.DUMMYFUNCTION("""COMPUTED_VALUE"""),FALSE)</f>
        <v>0</v>
      </c>
      <c r="I47" s="1174"/>
      <c r="J47" s="1177">
        <f>IFERROR(__xludf.DUMMYFUNCTION("""COMPUTED_VALUE"""),13299.0)</f>
        <v>13299</v>
      </c>
    </row>
    <row r="48">
      <c r="A48" s="1175">
        <f>IFERROR(__xludf.DUMMYFUNCTION("""COMPUTED_VALUE"""),46182.0)</f>
        <v>46182</v>
      </c>
      <c r="B48" s="1174" t="str">
        <f>IFERROR(__xludf.DUMMYFUNCTION("""COMPUTED_VALUE"""),"ga-co-1291471476")</f>
        <v>ga-co-1291471476</v>
      </c>
      <c r="C48" s="1174" t="str">
        <f>IFERROR(__xludf.DUMMYFUNCTION("""COMPUTED_VALUE"""),"JUNIO")</f>
        <v>JUNIO</v>
      </c>
      <c r="D48" s="1174" t="b">
        <f>IFERROR(__xludf.DUMMYFUNCTION("""COMPUTED_VALUE"""),TRUE)</f>
        <v>1</v>
      </c>
      <c r="E48" s="1174" t="str">
        <f>IFERROR(__xludf.DUMMYFUNCTION("""COMPUTED_VALUE"""),"Laptop")</f>
        <v>Laptop</v>
      </c>
      <c r="F48" s="1176">
        <f>IFERROR(__xludf.DUMMYFUNCTION("""COMPUTED_VALUE"""),1799.99)</f>
        <v>1799.99</v>
      </c>
      <c r="G48" s="1177">
        <f>IFERROR(__xludf.DUMMYFUNCTION("""COMPUTED_VALUE"""),66.0)</f>
        <v>66</v>
      </c>
      <c r="H48" s="1174" t="b">
        <f>IFERROR(__xludf.DUMMYFUNCTION("""COMPUTED_VALUE"""),FALSE)</f>
        <v>0</v>
      </c>
      <c r="I48" s="1174"/>
      <c r="J48" s="1177">
        <f>IFERROR(__xludf.DUMMYFUNCTION("""COMPUTED_VALUE"""),8299.0)</f>
        <v>8299</v>
      </c>
    </row>
    <row r="49">
      <c r="A49" s="1175">
        <f>IFERROR(__xludf.DUMMYFUNCTION("""COMPUTED_VALUE"""),46185.0)</f>
        <v>46185</v>
      </c>
      <c r="B49" s="1174" t="str">
        <f>IFERROR(__xludf.DUMMYFUNCTION("""COMPUTED_VALUE"""),"yo-eb-02-14771-53645")</f>
        <v>yo-eb-02-14771-53645</v>
      </c>
      <c r="C49" s="1174" t="str">
        <f>IFERROR(__xludf.DUMMYFUNCTION("""COMPUTED_VALUE"""),"JUNIO")</f>
        <v>JUNIO</v>
      </c>
      <c r="D49" s="1174" t="b">
        <f>IFERROR(__xludf.DUMMYFUNCTION("""COMPUTED_VALUE"""),TRUE)</f>
        <v>1</v>
      </c>
      <c r="E49" s="1174" t="str">
        <f>IFERROR(__xludf.DUMMYFUNCTION("""COMPUTED_VALUE"""),"Laptop")</f>
        <v>Laptop</v>
      </c>
      <c r="F49" s="1176">
        <f>IFERROR(__xludf.DUMMYFUNCTION("""COMPUTED_VALUE"""),1574.99)</f>
        <v>1574.99</v>
      </c>
      <c r="G49" s="1177">
        <f>IFERROR(__xludf.DUMMYFUNCTION("""COMPUTED_VALUE"""),342.0)</f>
        <v>342</v>
      </c>
      <c r="H49" s="1174" t="b">
        <f>IFERROR(__xludf.DUMMYFUNCTION("""COMPUTED_VALUE"""),FALSE)</f>
        <v>0</v>
      </c>
      <c r="I49" s="1174"/>
      <c r="J49" s="1177">
        <f>IFERROR(__xludf.DUMMYFUNCTION("""COMPUTED_VALUE"""),7199.0)</f>
        <v>7199</v>
      </c>
    </row>
    <row r="50">
      <c r="A50" s="1175">
        <f>IFERROR(__xludf.DUMMYFUNCTION("""COMPUTED_VALUE"""),46185.0)</f>
        <v>46185</v>
      </c>
      <c r="B50" s="1174" t="str">
        <f>IFERROR(__xludf.DUMMYFUNCTION("""COMPUTED_VALUE"""),"ga-co-1280613748")</f>
        <v>ga-co-1280613748</v>
      </c>
      <c r="C50" s="1174" t="str">
        <f>IFERROR(__xludf.DUMMYFUNCTION("""COMPUTED_VALUE"""),"JUNIO")</f>
        <v>JUNIO</v>
      </c>
      <c r="D50" s="1174" t="b">
        <f>IFERROR(__xludf.DUMMYFUNCTION("""COMPUTED_VALUE"""),TRUE)</f>
        <v>1</v>
      </c>
      <c r="E50" s="1174" t="str">
        <f>IFERROR(__xludf.DUMMYFUNCTION("""COMPUTED_VALUE"""),"Laptop")</f>
        <v>Laptop</v>
      </c>
      <c r="F50" s="1176">
        <f>IFERROR(__xludf.DUMMYFUNCTION("""COMPUTED_VALUE"""),2299.99)</f>
        <v>2299.99</v>
      </c>
      <c r="G50" s="1177">
        <f>IFERROR(__xludf.DUMMYFUNCTION("""COMPUTED_VALUE"""),252.0)</f>
        <v>252</v>
      </c>
      <c r="H50" s="1174" t="b">
        <f>IFERROR(__xludf.DUMMYFUNCTION("""COMPUTED_VALUE"""),FALSE)</f>
        <v>0</v>
      </c>
      <c r="I50" s="1174"/>
      <c r="J50" s="1177">
        <f>IFERROR(__xludf.DUMMYFUNCTION("""COMPUTED_VALUE"""),10799.0)</f>
        <v>10799</v>
      </c>
    </row>
    <row r="51">
      <c r="A51" s="1175">
        <f>IFERROR(__xludf.DUMMYFUNCTION("""COMPUTED_VALUE"""),46189.0)</f>
        <v>46189</v>
      </c>
      <c r="B51" s="1174" t="str">
        <f>IFERROR(__xludf.DUMMYFUNCTION("""COMPUTED_VALUE"""),"ke-as-10001333656")</f>
        <v>ke-as-10001333656</v>
      </c>
      <c r="C51" s="1174" t="str">
        <f>IFERROR(__xludf.DUMMYFUNCTION("""COMPUTED_VALUE"""),"JUNIO")</f>
        <v>JUNIO</v>
      </c>
      <c r="D51" s="1174" t="b">
        <f>IFERROR(__xludf.DUMMYFUNCTION("""COMPUTED_VALUE"""),TRUE)</f>
        <v>1</v>
      </c>
      <c r="E51" s="1174" t="str">
        <f>IFERROR(__xludf.DUMMYFUNCTION("""COMPUTED_VALUE"""),"Laptop")</f>
        <v>Laptop</v>
      </c>
      <c r="F51" s="1176">
        <f>IFERROR(__xludf.DUMMYFUNCTION("""COMPUTED_VALUE"""),1399.0)</f>
        <v>1399</v>
      </c>
      <c r="G51" s="1177">
        <f>IFERROR(__xludf.DUMMYFUNCTION("""COMPUTED_VALUE"""),55.0)</f>
        <v>55</v>
      </c>
      <c r="H51" s="1174" t="b">
        <f>IFERROR(__xludf.DUMMYFUNCTION("""COMPUTED_VALUE"""),FALSE)</f>
        <v>0</v>
      </c>
      <c r="I51" s="1174" t="str">
        <f>IFERROR(__xludf.DUMMYFUNCTION("""COMPUTED_VALUE"""),"JUNIO")</f>
        <v>JUNIO</v>
      </c>
      <c r="J51" s="1177">
        <f>IFERROR(__xludf.DUMMYFUNCTION("""COMPUTED_VALUE"""),6485.0)</f>
        <v>6485</v>
      </c>
    </row>
    <row r="52">
      <c r="A52" s="1175">
        <f>IFERROR(__xludf.DUMMYFUNCTION("""COMPUTED_VALUE"""),46189.0)</f>
        <v>46189</v>
      </c>
      <c r="B52" s="1174" t="str">
        <f>IFERROR(__xludf.DUMMYFUNCTION("""COMPUTED_VALUE"""),"so-eb-27-14542-61210")</f>
        <v>so-eb-27-14542-61210</v>
      </c>
      <c r="C52" s="1174" t="str">
        <f>IFERROR(__xludf.DUMMYFUNCTION("""COMPUTED_VALUE"""),"JUNIO")</f>
        <v>JUNIO</v>
      </c>
      <c r="D52" s="1174" t="b">
        <f>IFERROR(__xludf.DUMMYFUNCTION("""COMPUTED_VALUE"""),TRUE)</f>
        <v>1</v>
      </c>
      <c r="E52" s="1174" t="str">
        <f>IFERROR(__xludf.DUMMYFUNCTION("""COMPUTED_VALUE"""),"Laptop")</f>
        <v>Laptop</v>
      </c>
      <c r="F52" s="1176">
        <f>IFERROR(__xludf.DUMMYFUNCTION("""COMPUTED_VALUE"""),1299.0)</f>
        <v>1299</v>
      </c>
      <c r="G52" s="1177">
        <f>IFERROR(__xludf.DUMMYFUNCTION("""COMPUTED_VALUE"""),-26.0)</f>
        <v>-26</v>
      </c>
      <c r="H52" s="1174" t="b">
        <f>IFERROR(__xludf.DUMMYFUNCTION("""COMPUTED_VALUE"""),FALSE)</f>
        <v>0</v>
      </c>
      <c r="I52" s="1174" t="str">
        <f>IFERROR(__xludf.DUMMYFUNCTION("""COMPUTED_VALUE"""),"JUNIO")</f>
        <v>JUNIO</v>
      </c>
      <c r="J52" s="1177">
        <f>IFERROR(__xludf.DUMMYFUNCTION("""COMPUTED_VALUE"""),5900.0)</f>
        <v>5900</v>
      </c>
    </row>
    <row r="53">
      <c r="A53" s="1175">
        <f>IFERROR(__xludf.DUMMYFUNCTION("""COMPUTED_VALUE"""),46196.0)</f>
        <v>46196</v>
      </c>
      <c r="B53" s="1174" t="str">
        <f>IFERROR(__xludf.DUMMYFUNCTION("""COMPUTED_VALUE"""),"ke-am-113-2881863-1945823")</f>
        <v>ke-am-113-2881863-1945823</v>
      </c>
      <c r="C53" s="1174"/>
      <c r="D53" s="1174" t="b">
        <f>IFERROR(__xludf.DUMMYFUNCTION("""COMPUTED_VALUE"""),FALSE)</f>
        <v>0</v>
      </c>
      <c r="E53" s="1174" t="str">
        <f>IFERROR(__xludf.DUMMYFUNCTION("""COMPUTED_VALUE"""),"Laptop")</f>
        <v>Laptop</v>
      </c>
      <c r="F53" s="1176">
        <f>IFERROR(__xludf.DUMMYFUNCTION("""COMPUTED_VALUE"""),2039.0)</f>
        <v>2039</v>
      </c>
      <c r="G53" s="1177">
        <f>IFERROR(__xludf.DUMMYFUNCTION("""COMPUTED_VALUE"""),280.0)</f>
        <v>280</v>
      </c>
      <c r="H53" s="1174" t="b">
        <f>IFERROR(__xludf.DUMMYFUNCTION("""COMPUTED_VALUE"""),FALSE)</f>
        <v>0</v>
      </c>
      <c r="I53" s="1174"/>
      <c r="J53" s="1177">
        <f>IFERROR(__xludf.DUMMYFUNCTION("""COMPUTED_VALUE"""),8950.0)</f>
        <v>8950</v>
      </c>
    </row>
    <row r="54">
      <c r="A54" s="1175">
        <f>IFERROR(__xludf.DUMMYFUNCTION("""COMPUTED_VALUE"""),46203.0)</f>
        <v>46203</v>
      </c>
      <c r="B54" s="1174" t="str">
        <f>IFERROR(__xludf.DUMMYFUNCTION("""COMPUTED_VALUE"""),"ke-as-10001374788")</f>
        <v>ke-as-10001374788</v>
      </c>
      <c r="C54" s="1174"/>
      <c r="D54" s="1174" t="b">
        <f>IFERROR(__xludf.DUMMYFUNCTION("""COMPUTED_VALUE"""),FALSE)</f>
        <v>0</v>
      </c>
      <c r="E54" s="1174" t="str">
        <f>IFERROR(__xludf.DUMMYFUNCTION("""COMPUTED_VALUE"""),"Laptop")</f>
        <v>Laptop</v>
      </c>
      <c r="F54" s="1176">
        <f>IFERROR(__xludf.DUMMYFUNCTION("""COMPUTED_VALUE"""),1599.0)</f>
        <v>1599</v>
      </c>
      <c r="G54" s="1177">
        <f>IFERROR(__xludf.DUMMYFUNCTION("""COMPUTED_VALUE"""),231.0)</f>
        <v>231</v>
      </c>
      <c r="H54" s="1174" t="b">
        <f>IFERROR(__xludf.DUMMYFUNCTION("""COMPUTED_VALUE"""),FALSE)</f>
        <v>0</v>
      </c>
      <c r="I54" s="1174"/>
      <c r="J54" s="1177">
        <f>IFERROR(__xludf.DUMMYFUNCTION("""COMPUTED_VALUE"""),7200.0)</f>
        <v>7200</v>
      </c>
    </row>
    <row r="55">
      <c r="A55" s="1175">
        <f>IFERROR(__xludf.DUMMYFUNCTION("""COMPUTED_VALUE"""),46204.0)</f>
        <v>46204</v>
      </c>
      <c r="B55" s="1174"/>
      <c r="C55" s="1174"/>
      <c r="D55" s="1174" t="b">
        <f>IFERROR(__xludf.DUMMYFUNCTION("""COMPUTED_VALUE"""),FALSE)</f>
        <v>0</v>
      </c>
      <c r="E55" s="1174" t="str">
        <f>IFERROR(__xludf.DUMMYFUNCTION("""COMPUTED_VALUE"""),"Laptop")</f>
        <v>Laptop</v>
      </c>
      <c r="F55" s="1176">
        <f>IFERROR(__xludf.DUMMYFUNCTION("""COMPUTED_VALUE"""),2499.0)</f>
        <v>2499</v>
      </c>
      <c r="G55" s="1177">
        <f>IFERROR(__xludf.DUMMYFUNCTION("""COMPUTED_VALUE"""),150.0)</f>
        <v>150</v>
      </c>
      <c r="H55" s="1174" t="b">
        <f>IFERROR(__xludf.DUMMYFUNCTION("""COMPUTED_VALUE"""),FALSE)</f>
        <v>0</v>
      </c>
      <c r="I55" s="1174"/>
      <c r="J55" s="1177">
        <f>IFERROR(__xludf.DUMMYFUNCTION("""COMPUTED_VALUE"""),11150.0)</f>
        <v>11150</v>
      </c>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5"/>
    <col customWidth="1" min="7" max="7" width="14.25"/>
    <col customWidth="1" min="12" max="12" width="13.75"/>
    <col customWidth="1" min="13" max="13" width="16.13"/>
  </cols>
  <sheetData>
    <row r="1">
      <c r="A1" s="1171" t="str">
        <f>IFERROR(__xludf.DUMMYFUNCTION("QUERY(importaciones[#ALL], ""SELECT B, F, AE, AF, H, N, P, R, AG, L WHERE A = 'KATIUSKA'"", 1)"),"FECHA DE PEDIDO / VENTA")</f>
        <v>FECHA DE PEDIDO / VENTA</v>
      </c>
      <c r="B1" s="1172" t="str">
        <f>IFERROR(__xludf.DUMMYFUNCTION("""COMPUTED_VALUE"""),"ORDEN DE COMPRA/ código interno")</f>
        <v>ORDEN DE COMPRA/ código interno</v>
      </c>
      <c r="C1" s="1172" t="str">
        <f>IFERROR(__xludf.DUMMYFUNCTION("""COMPUTED_VALUE"""),"COMISIÓN PARA LAPTOP")</f>
        <v>COMISIÓN PARA LAPTOP</v>
      </c>
      <c r="D1" s="1172" t="str">
        <f>IFERROR(__xludf.DUMMYFUNCTION("""COMPUTED_VALUE"""),"COMISIÓN VALIDADA")</f>
        <v>COMISIÓN VALIDADA</v>
      </c>
      <c r="E1" s="1172" t="str">
        <f>IFERROR(__xludf.DUMMYFUNCTION("""COMPUTED_VALUE"""),"Tipo de producto")</f>
        <v>Tipo de producto</v>
      </c>
      <c r="F1" s="1172" t="str">
        <f>IFERROR(__xludf.DUMMYFUNCTION("""COMPUTED_VALUE"""),"PPRECIO EN DOLARES (EEUU)")</f>
        <v>PPRECIO EN DOLARES (EEUU)</v>
      </c>
      <c r="G1" s="1172" t="str">
        <f>IFERROR(__xludf.DUMMYFUNCTION("""COMPUTED_VALUE"""),"(FÓRMULA)
TOTAL EXCEDENTE NETO")</f>
        <v>(FÓRMULA)
TOTAL EXCEDENTE NETO</v>
      </c>
      <c r="H1" s="1172" t="str">
        <f>IFERROR(__xludf.DUMMYFUNCTION("""COMPUTED_VALUE"""),"GARANTIA EXPRESS")</f>
        <v>GARANTIA EXPRESS</v>
      </c>
      <c r="I1" s="1172" t="str">
        <f>IFERROR(__xludf.DUMMYFUNCTION("""COMPUTED_VALUE"""),"COMISIÓN PARA EXCEDENTES")</f>
        <v>COMISIÓN PARA EXCEDENTES</v>
      </c>
      <c r="J1" s="1172" t="str">
        <f>IFERROR(__xludf.DUMMYFUNCTION("""COMPUTED_VALUE"""),"TOTAL COBRADO")</f>
        <v>TOTAL COBRADO</v>
      </c>
      <c r="M1" s="1172" t="str">
        <f>IFERROR(__xludf.DUMMYFUNCTION("QUERY(locales[#ALL], ""SELECT G,D,Q,C,M where A = 'KATIUSKA' AND H = TRUE"", 1)"),"COMISIÓN PARA EL MES")</f>
        <v>COMISIÓN PARA EL MES</v>
      </c>
      <c r="N1" s="1172" t="str">
        <f>IFERROR(__xludf.DUMMYFUNCTION("""COMPUTED_VALUE"""),"SN")</f>
        <v>SN</v>
      </c>
      <c r="O1" s="1172" t="str">
        <f>IFERROR(__xludf.DUMMYFUNCTION("""COMPUTED_VALUE"""),"EXCEDENTE PARA PORLLES")</f>
        <v>EXCEDENTE PARA PORLLES</v>
      </c>
      <c r="P1" s="1172" t="str">
        <f>IFERROR(__xludf.DUMMYFUNCTION("""COMPUTED_VALUE"""),"FECHA DE PEDIDO / VENTA")</f>
        <v>FECHA DE PEDIDO / VENTA</v>
      </c>
      <c r="Q1" s="1172" t="str">
        <f>IFERROR(__xludf.DUMMYFUNCTION("""COMPUTED_VALUE"""),"TOTAL COBRADO")</f>
        <v>TOTAL COBRADO</v>
      </c>
    </row>
    <row r="2">
      <c r="A2" s="1175">
        <f>IFERROR(__xludf.DUMMYFUNCTION("""COMPUTED_VALUE"""),46053.0)</f>
        <v>46053</v>
      </c>
      <c r="B2" s="1174" t="str">
        <f>IFERROR(__xludf.DUMMYFUNCTION("""COMPUTED_VALUE"""),"ga-co-1261420079")</f>
        <v>ga-co-1261420079</v>
      </c>
      <c r="C2" s="1174" t="str">
        <f>IFERROR(__xludf.DUMMYFUNCTION("""COMPUTED_VALUE"""),"FEBRERO")</f>
        <v>FEBRERO</v>
      </c>
      <c r="D2" s="1174" t="b">
        <f>IFERROR(__xludf.DUMMYFUNCTION("""COMPUTED_VALUE"""),TRUE)</f>
        <v>1</v>
      </c>
      <c r="E2" s="1174" t="str">
        <f>IFERROR(__xludf.DUMMYFUNCTION("""COMPUTED_VALUE"""),"Laptop")</f>
        <v>Laptop</v>
      </c>
      <c r="F2" s="1176">
        <f>IFERROR(__xludf.DUMMYFUNCTION("""COMPUTED_VALUE"""),2199.0)</f>
        <v>2199</v>
      </c>
      <c r="G2" s="1177">
        <f>IFERROR(__xludf.DUMMYFUNCTION("""COMPUTED_VALUE"""),754.0)</f>
        <v>754</v>
      </c>
      <c r="H2" s="1174" t="b">
        <f>IFERROR(__xludf.DUMMYFUNCTION("""COMPUTED_VALUE"""),FALSE)</f>
        <v>0</v>
      </c>
      <c r="I2" s="1174" t="str">
        <f>IFERROR(__xludf.DUMMYFUNCTION("""COMPUTED_VALUE"""),"FEBRERO")</f>
        <v>FEBRERO</v>
      </c>
      <c r="J2" s="1177">
        <f>IFERROR(__xludf.DUMMYFUNCTION("""COMPUTED_VALUE"""),10599.0)</f>
        <v>10599</v>
      </c>
      <c r="M2" s="1174" t="str">
        <f>IFERROR(__xludf.DUMMYFUNCTION("""COMPUTED_VALUE"""),"FEBRERO")</f>
        <v>FEBRERO</v>
      </c>
      <c r="N2" s="1174" t="str">
        <f>IFERROR(__xludf.DUMMYFUNCTION("""COMPUTED_VALUE"""),"NHU0KAA001540115D47600")</f>
        <v>NHU0KAA001540115D47600</v>
      </c>
      <c r="O2" s="1177">
        <f>IFERROR(__xludf.DUMMYFUNCTION("""COMPUTED_VALUE"""),30.0)</f>
        <v>30</v>
      </c>
      <c r="P2" s="1175">
        <f>IFERROR(__xludf.DUMMYFUNCTION("""COMPUTED_VALUE"""),46051.0)</f>
        <v>46051</v>
      </c>
      <c r="Q2" s="1177">
        <f>IFERROR(__xludf.DUMMYFUNCTION("""COMPUTED_VALUE"""),8699.0)</f>
        <v>8699</v>
      </c>
    </row>
    <row r="3">
      <c r="A3" s="1175">
        <f>IFERROR(__xludf.DUMMYFUNCTION("""COMPUTED_VALUE"""),46059.0)</f>
        <v>46059</v>
      </c>
      <c r="B3" s="1174" t="str">
        <f>IFERROR(__xludf.DUMMYFUNCTION("""COMPUTED_VALUE"""),"ga-co-1262710473")</f>
        <v>ga-co-1262710473</v>
      </c>
      <c r="C3" s="1174" t="str">
        <f>IFERROR(__xludf.DUMMYFUNCTION("""COMPUTED_VALUE"""),"FEBRERO")</f>
        <v>FEBRERO</v>
      </c>
      <c r="D3" s="1174" t="b">
        <f>IFERROR(__xludf.DUMMYFUNCTION("""COMPUTED_VALUE"""),TRUE)</f>
        <v>1</v>
      </c>
      <c r="E3" s="1174" t="str">
        <f>IFERROR(__xludf.DUMMYFUNCTION("""COMPUTED_VALUE"""),"Laptop")</f>
        <v>Laptop</v>
      </c>
      <c r="F3" s="1176">
        <f>IFERROR(__xludf.DUMMYFUNCTION("""COMPUTED_VALUE"""),1599.0)</f>
        <v>1599</v>
      </c>
      <c r="G3" s="1177">
        <f>IFERROR(__xludf.DUMMYFUNCTION("""COMPUTED_VALUE"""),856.0)</f>
        <v>856</v>
      </c>
      <c r="H3" s="1174" t="b">
        <f>IFERROR(__xludf.DUMMYFUNCTION("""COMPUTED_VALUE"""),FALSE)</f>
        <v>0</v>
      </c>
      <c r="I3" s="1174" t="str">
        <f>IFERROR(__xludf.DUMMYFUNCTION("""COMPUTED_VALUE"""),"MARZO")</f>
        <v>MARZO</v>
      </c>
      <c r="J3" s="1177">
        <f>IFERROR(__xludf.DUMMYFUNCTION("""COMPUTED_VALUE"""),8299.0)</f>
        <v>8299</v>
      </c>
      <c r="M3" s="1174" t="str">
        <f>IFERROR(__xludf.DUMMYFUNCTION("""COMPUTED_VALUE"""),"MAYO")</f>
        <v>MAYO</v>
      </c>
      <c r="N3" s="1174" t="str">
        <f>IFERROR(__xludf.DUMMYFUNCTION("""COMPUTED_VALUE"""),"NHU0MAA0015502AF657600")</f>
        <v>NHU0MAA0015502AF657600</v>
      </c>
      <c r="O3" s="1177">
        <f>IFERROR(__xludf.DUMMYFUNCTION("""COMPUTED_VALUE"""),170.0)</f>
        <v>170</v>
      </c>
      <c r="P3" s="1175">
        <f>IFERROR(__xludf.DUMMYFUNCTION("""COMPUTED_VALUE"""),46160.0)</f>
        <v>46160</v>
      </c>
      <c r="Q3" s="1177">
        <f>IFERROR(__xludf.DUMMYFUNCTION("""COMPUTED_VALUE"""),6729.0)</f>
        <v>6729</v>
      </c>
    </row>
    <row r="4">
      <c r="A4" s="1175">
        <f>IFERROR(__xludf.DUMMYFUNCTION("""COMPUTED_VALUE"""),46060.0)</f>
        <v>46060</v>
      </c>
      <c r="B4" s="1174" t="str">
        <f>IFERROR(__xludf.DUMMYFUNCTION("""COMPUTED_VALUE"""),"ke-be-BBY01-807143456089")</f>
        <v>ke-be-BBY01-807143456089</v>
      </c>
      <c r="C4" s="1174" t="str">
        <f>IFERROR(__xludf.DUMMYFUNCTION("""COMPUTED_VALUE"""),"FEBRERO")</f>
        <v>FEBRERO</v>
      </c>
      <c r="D4" s="1174" t="b">
        <f>IFERROR(__xludf.DUMMYFUNCTION("""COMPUTED_VALUE"""),TRUE)</f>
        <v>1</v>
      </c>
      <c r="E4" s="1174" t="str">
        <f>IFERROR(__xludf.DUMMYFUNCTION("""COMPUTED_VALUE"""),"Laptop")</f>
        <v>Laptop</v>
      </c>
      <c r="F4" s="1176">
        <f>IFERROR(__xludf.DUMMYFUNCTION("""COMPUTED_VALUE"""),1799.99)</f>
        <v>1799.99</v>
      </c>
      <c r="G4" s="1177">
        <f>IFERROR(__xludf.DUMMYFUNCTION("""COMPUTED_VALUE"""),-18.0)</f>
        <v>-18</v>
      </c>
      <c r="H4" s="1174" t="b">
        <f>IFERROR(__xludf.DUMMYFUNCTION("""COMPUTED_VALUE"""),FALSE)</f>
        <v>0</v>
      </c>
      <c r="I4" s="1174" t="str">
        <f>IFERROR(__xludf.DUMMYFUNCTION("""COMPUTED_VALUE"""),"FEBRERO")</f>
        <v>FEBRERO</v>
      </c>
      <c r="J4" s="1177">
        <f>IFERROR(__xludf.DUMMYFUNCTION("""COMPUTED_VALUE"""),7699.0)</f>
        <v>7699</v>
      </c>
      <c r="M4" s="1174" t="str">
        <f>IFERROR(__xludf.DUMMYFUNCTION("""COMPUTED_VALUE"""),"JUNIO")</f>
        <v>JUNIO</v>
      </c>
      <c r="N4" s="1174" t="str">
        <f>IFERROR(__xludf.DUMMYFUNCTION("""COMPUTED_VALUE"""),"T7NRKD00174628C")</f>
        <v>T7NRKD00174628C</v>
      </c>
      <c r="O4" s="1177">
        <f>IFERROR(__xludf.DUMMYFUNCTION("""COMPUTED_VALUE"""),0.0)</f>
        <v>0</v>
      </c>
      <c r="P4" s="1175">
        <f>IFERROR(__xludf.DUMMYFUNCTION("""COMPUTED_VALUE"""),46171.0)</f>
        <v>46171</v>
      </c>
      <c r="Q4" s="1177">
        <f>IFERROR(__xludf.DUMMYFUNCTION("""COMPUTED_VALUE"""),21029.0)</f>
        <v>21029</v>
      </c>
    </row>
    <row r="5">
      <c r="A5" s="1175">
        <f>IFERROR(__xludf.DUMMYFUNCTION("""COMPUTED_VALUE"""),46066.0)</f>
        <v>46066</v>
      </c>
      <c r="B5" s="1174" t="str">
        <f>IFERROR(__xludf.DUMMYFUNCTION("""COMPUTED_VALUE"""),"ke-eb-27-14209-31209")</f>
        <v>ke-eb-27-14209-31209</v>
      </c>
      <c r="C5" s="1174" t="str">
        <f>IFERROR(__xludf.DUMMYFUNCTION("""COMPUTED_VALUE"""),"FEBRERO")</f>
        <v>FEBRERO</v>
      </c>
      <c r="D5" s="1174" t="b">
        <f>IFERROR(__xludf.DUMMYFUNCTION("""COMPUTED_VALUE"""),TRUE)</f>
        <v>1</v>
      </c>
      <c r="E5" s="1174" t="str">
        <f>IFERROR(__xludf.DUMMYFUNCTION("""COMPUTED_VALUE"""),"Laptop")</f>
        <v>Laptop</v>
      </c>
      <c r="F5" s="1176">
        <f>IFERROR(__xludf.DUMMYFUNCTION("""COMPUTED_VALUE"""),2579.99)</f>
        <v>2579.99</v>
      </c>
      <c r="G5" s="1177">
        <f>IFERROR(__xludf.DUMMYFUNCTION("""COMPUTED_VALUE"""),624.6599999999999)</f>
        <v>624.66</v>
      </c>
      <c r="H5" s="1174" t="b">
        <f>IFERROR(__xludf.DUMMYFUNCTION("""COMPUTED_VALUE"""),FALSE)</f>
        <v>0</v>
      </c>
      <c r="I5" s="1174" t="str">
        <f>IFERROR(__xludf.DUMMYFUNCTION("""COMPUTED_VALUE"""),"MARZO")</f>
        <v>MARZO</v>
      </c>
      <c r="J5" s="1177">
        <f>IFERROR(__xludf.DUMMYFUNCTION("""COMPUTED_VALUE"""),11399.0)</f>
        <v>11399</v>
      </c>
      <c r="M5" s="1174" t="str">
        <f>IFERROR(__xludf.DUMMYFUNCTION("""COMPUTED_VALUE"""),"JUNIO")</f>
        <v>JUNIO</v>
      </c>
      <c r="N5" s="1174" t="str">
        <f>IFERROR(__xludf.DUMMYFUNCTION("""COMPUTED_VALUE"""),"PF669MHX")</f>
        <v>PF669MHX</v>
      </c>
      <c r="O5" s="1177">
        <f>IFERROR(__xludf.DUMMYFUNCTION("""COMPUTED_VALUE"""),16.0)</f>
        <v>16</v>
      </c>
      <c r="P5" s="1175">
        <f>IFERROR(__xludf.DUMMYFUNCTION("""COMPUTED_VALUE"""),46183.0)</f>
        <v>46183</v>
      </c>
      <c r="Q5" s="1177">
        <f>IFERROR(__xludf.DUMMYFUNCTION("""COMPUTED_VALUE"""),7850.0)</f>
        <v>7850</v>
      </c>
    </row>
    <row r="6">
      <c r="A6" s="1175">
        <f>IFERROR(__xludf.DUMMYFUNCTION("""COMPUTED_VALUE"""),46066.0)</f>
        <v>46066</v>
      </c>
      <c r="B6" s="1174" t="str">
        <f>IFERROR(__xludf.DUMMYFUNCTION("""COMPUTED_VALUE"""),"yo-eb-11-14224-43066")</f>
        <v>yo-eb-11-14224-43066</v>
      </c>
      <c r="C6" s="1174" t="str">
        <f>IFERROR(__xludf.DUMMYFUNCTION("""COMPUTED_VALUE"""),"FEBRERO")</f>
        <v>FEBRERO</v>
      </c>
      <c r="D6" s="1174" t="b">
        <f>IFERROR(__xludf.DUMMYFUNCTION("""COMPUTED_VALUE"""),TRUE)</f>
        <v>1</v>
      </c>
      <c r="E6" s="1174" t="str">
        <f>IFERROR(__xludf.DUMMYFUNCTION("""COMPUTED_VALUE"""),"Laptop")</f>
        <v>Laptop</v>
      </c>
      <c r="F6" s="1176">
        <f>IFERROR(__xludf.DUMMYFUNCTION("""COMPUTED_VALUE"""),1549.99)</f>
        <v>1549.99</v>
      </c>
      <c r="G6" s="1177">
        <f>IFERROR(__xludf.DUMMYFUNCTION("""COMPUTED_VALUE"""),451.90999999999985)</f>
        <v>451.91</v>
      </c>
      <c r="H6" s="1174" t="b">
        <f>IFERROR(__xludf.DUMMYFUNCTION("""COMPUTED_VALUE"""),FALSE)</f>
        <v>0</v>
      </c>
      <c r="I6" s="1174" t="str">
        <f>IFERROR(__xludf.DUMMYFUNCTION("""COMPUTED_VALUE"""),"MARZO")</f>
        <v>MARZO</v>
      </c>
      <c r="J6" s="1177">
        <f>IFERROR(__xludf.DUMMYFUNCTION("""COMPUTED_VALUE"""),7199.0)</f>
        <v>7199</v>
      </c>
      <c r="M6" s="1174" t="str">
        <f>IFERROR(__xludf.DUMMYFUNCTION("""COMPUTED_VALUE"""),"JUNIO")</f>
        <v>JUNIO</v>
      </c>
      <c r="N6" s="1174" t="str">
        <f>IFERROR(__xludf.DUMMYFUNCTION("""COMPUTED_VALUE"""),"T8NRPX00E193327")</f>
        <v>T8NRPX00E193327</v>
      </c>
      <c r="O6" s="1177">
        <f>IFERROR(__xludf.DUMMYFUNCTION("""COMPUTED_VALUE"""),56.0)</f>
        <v>56</v>
      </c>
      <c r="P6" s="1175">
        <f>IFERROR(__xludf.DUMMYFUNCTION("""COMPUTED_VALUE"""),46183.0)</f>
        <v>46183</v>
      </c>
      <c r="Q6" s="1177">
        <f>IFERROR(__xludf.DUMMYFUNCTION("""COMPUTED_VALUE"""),7780.0)</f>
        <v>7780</v>
      </c>
    </row>
    <row r="7">
      <c r="A7" s="1175">
        <f>IFERROR(__xludf.DUMMYFUNCTION("""COMPUTED_VALUE"""),46067.0)</f>
        <v>46067</v>
      </c>
      <c r="B7" s="1174" t="str">
        <f>IFERROR(__xludf.DUMMYFUNCTION("""COMPUTED_VALUE"""),"ke-ne-567296512")</f>
        <v>ke-ne-567296512</v>
      </c>
      <c r="C7" s="1174" t="str">
        <f>IFERROR(__xludf.DUMMYFUNCTION("""COMPUTED_VALUE"""),"FEBRERO")</f>
        <v>FEBRERO</v>
      </c>
      <c r="D7" s="1174" t="b">
        <f>IFERROR(__xludf.DUMMYFUNCTION("""COMPUTED_VALUE"""),TRUE)</f>
        <v>1</v>
      </c>
      <c r="E7" s="1174" t="str">
        <f>IFERROR(__xludf.DUMMYFUNCTION("""COMPUTED_VALUE"""),"Laptop")</f>
        <v>Laptop</v>
      </c>
      <c r="F7" s="1176">
        <f>IFERROR(__xludf.DUMMYFUNCTION("""COMPUTED_VALUE"""),1039.99)</f>
        <v>1039.99</v>
      </c>
      <c r="G7" s="1177">
        <f>IFERROR(__xludf.DUMMYFUNCTION("""COMPUTED_VALUE"""),57.0)</f>
        <v>57</v>
      </c>
      <c r="H7" s="1174" t="b">
        <f>IFERROR(__xludf.DUMMYFUNCTION("""COMPUTED_VALUE"""),FALSE)</f>
        <v>0</v>
      </c>
      <c r="I7" s="1174" t="str">
        <f>IFERROR(__xludf.DUMMYFUNCTION("""COMPUTED_VALUE"""),"FEBRERO")</f>
        <v>FEBRERO</v>
      </c>
      <c r="J7" s="1177">
        <f>IFERROR(__xludf.DUMMYFUNCTION("""COMPUTED_VALUE"""),4899.0)</f>
        <v>4899</v>
      </c>
    </row>
    <row r="8">
      <c r="A8" s="1175">
        <f>IFERROR(__xludf.DUMMYFUNCTION("""COMPUTED_VALUE"""),46067.0)</f>
        <v>46067</v>
      </c>
      <c r="B8" s="1174" t="str">
        <f>IFERROR(__xludf.DUMMYFUNCTION("""COMPUTED_VALUE"""),"ga-eb-150226")</f>
        <v>ga-eb-150226</v>
      </c>
      <c r="C8" s="1174" t="str">
        <f>IFERROR(__xludf.DUMMYFUNCTION("""COMPUTED_VALUE"""),"FEBRERO")</f>
        <v>FEBRERO</v>
      </c>
      <c r="D8" s="1174" t="b">
        <f>IFERROR(__xludf.DUMMYFUNCTION("""COMPUTED_VALUE"""),TRUE)</f>
        <v>1</v>
      </c>
      <c r="E8" s="1174" t="str">
        <f>IFERROR(__xludf.DUMMYFUNCTION("""COMPUTED_VALUE"""),"Laptop")</f>
        <v>Laptop</v>
      </c>
      <c r="F8" s="1176">
        <f>IFERROR(__xludf.DUMMYFUNCTION("""COMPUTED_VALUE"""),1549.99)</f>
        <v>1549.99</v>
      </c>
      <c r="G8" s="1177">
        <f>IFERROR(__xludf.DUMMYFUNCTION("""COMPUTED_VALUE"""),522.0)</f>
        <v>522</v>
      </c>
      <c r="H8" s="1174" t="b">
        <f>IFERROR(__xludf.DUMMYFUNCTION("""COMPUTED_VALUE"""),FALSE)</f>
        <v>0</v>
      </c>
      <c r="I8" s="1174" t="str">
        <f>IFERROR(__xludf.DUMMYFUNCTION("""COMPUTED_VALUE"""),"MARZO")</f>
        <v>MARZO</v>
      </c>
      <c r="J8" s="1177">
        <f>IFERROR(__xludf.DUMMYFUNCTION("""COMPUTED_VALUE"""),7199.0)</f>
        <v>7199</v>
      </c>
    </row>
    <row r="9">
      <c r="A9" s="1175">
        <f>IFERROR(__xludf.DUMMYFUNCTION("""COMPUTED_VALUE"""),46067.0)</f>
        <v>46067</v>
      </c>
      <c r="B9" s="1174" t="str">
        <f>IFERROR(__xludf.DUMMYFUNCTION("""COMPUTED_VALUE"""),"ke-am-114-8809415-8474614")</f>
        <v>ke-am-114-8809415-8474614</v>
      </c>
      <c r="C9" s="1174" t="str">
        <f>IFERROR(__xludf.DUMMYFUNCTION("""COMPUTED_VALUE"""),"FEBRERO")</f>
        <v>FEBRERO</v>
      </c>
      <c r="D9" s="1174" t="b">
        <f>IFERROR(__xludf.DUMMYFUNCTION("""COMPUTED_VALUE"""),TRUE)</f>
        <v>1</v>
      </c>
      <c r="E9" s="1174" t="str">
        <f>IFERROR(__xludf.DUMMYFUNCTION("""COMPUTED_VALUE"""),"Laptop")</f>
        <v>Laptop</v>
      </c>
      <c r="F9" s="1176">
        <f>IFERROR(__xludf.DUMMYFUNCTION("""COMPUTED_VALUE"""),849.0)</f>
        <v>849</v>
      </c>
      <c r="G9" s="1177">
        <f>IFERROR(__xludf.DUMMYFUNCTION("""COMPUTED_VALUE"""),-64.0)</f>
        <v>-64</v>
      </c>
      <c r="H9" s="1174" t="b">
        <f>IFERROR(__xludf.DUMMYFUNCTION("""COMPUTED_VALUE"""),FALSE)</f>
        <v>0</v>
      </c>
      <c r="I9" s="1174" t="str">
        <f>IFERROR(__xludf.DUMMYFUNCTION("""COMPUTED_VALUE"""),"MARZO")</f>
        <v>MARZO</v>
      </c>
      <c r="J9" s="1177">
        <f>IFERROR(__xludf.DUMMYFUNCTION("""COMPUTED_VALUE"""),3889.0)</f>
        <v>3889</v>
      </c>
    </row>
    <row r="10">
      <c r="A10" s="1175">
        <f>IFERROR(__xludf.DUMMYFUNCTION("""COMPUTED_VALUE"""),46067.0)</f>
        <v>46067</v>
      </c>
      <c r="B10" s="1174" t="str">
        <f>IFERROR(__xludf.DUMMYFUNCTION("""COMPUTED_VALUE"""),"ke-eb-27-14214-74446")</f>
        <v>ke-eb-27-14214-74446</v>
      </c>
      <c r="C10" s="1174" t="str">
        <f>IFERROR(__xludf.DUMMYFUNCTION("""COMPUTED_VALUE"""),"FEBRERO")</f>
        <v>FEBRERO</v>
      </c>
      <c r="D10" s="1174" t="b">
        <f>IFERROR(__xludf.DUMMYFUNCTION("""COMPUTED_VALUE"""),TRUE)</f>
        <v>1</v>
      </c>
      <c r="E10" s="1174" t="str">
        <f>IFERROR(__xludf.DUMMYFUNCTION("""COMPUTED_VALUE"""),"Laptop")</f>
        <v>Laptop</v>
      </c>
      <c r="F10" s="1176">
        <f>IFERROR(__xludf.DUMMYFUNCTION("""COMPUTED_VALUE"""),1849.0)</f>
        <v>1849</v>
      </c>
      <c r="G10" s="1177">
        <f>IFERROR(__xludf.DUMMYFUNCTION("""COMPUTED_VALUE"""),271.0)</f>
        <v>271</v>
      </c>
      <c r="H10" s="1174" t="b">
        <f>IFERROR(__xludf.DUMMYFUNCTION("""COMPUTED_VALUE"""),FALSE)</f>
        <v>0</v>
      </c>
      <c r="I10" s="1174" t="str">
        <f>IFERROR(__xludf.DUMMYFUNCTION("""COMPUTED_VALUE"""),"MARZO")</f>
        <v>MARZO</v>
      </c>
      <c r="J10" s="1177">
        <f>IFERROR(__xludf.DUMMYFUNCTION("""COMPUTED_VALUE"""),8099.0)</f>
        <v>8099</v>
      </c>
    </row>
    <row r="11">
      <c r="A11" s="1175">
        <f>IFERROR(__xludf.DUMMYFUNCTION("""COMPUTED_VALUE"""),46069.0)</f>
        <v>46069</v>
      </c>
      <c r="B11" s="1174" t="str">
        <f>IFERROR(__xludf.DUMMYFUNCTION("""COMPUTED_VALUE"""),"ke-eb-07-14251-99194")</f>
        <v>ke-eb-07-14251-99194</v>
      </c>
      <c r="C11" s="1174" t="str">
        <f>IFERROR(__xludf.DUMMYFUNCTION("""COMPUTED_VALUE"""),"FEBRERO")</f>
        <v>FEBRERO</v>
      </c>
      <c r="D11" s="1174" t="b">
        <f>IFERROR(__xludf.DUMMYFUNCTION("""COMPUTED_VALUE"""),TRUE)</f>
        <v>1</v>
      </c>
      <c r="E11" s="1174" t="str">
        <f>IFERROR(__xludf.DUMMYFUNCTION("""COMPUTED_VALUE"""),"Laptop")</f>
        <v>Laptop</v>
      </c>
      <c r="F11" s="1176">
        <f>IFERROR(__xludf.DUMMYFUNCTION("""COMPUTED_VALUE"""),799.0)</f>
        <v>799</v>
      </c>
      <c r="G11" s="1177">
        <f>IFERROR(__xludf.DUMMYFUNCTION("""COMPUTED_VALUE"""),426.0)</f>
        <v>426</v>
      </c>
      <c r="H11" s="1174" t="b">
        <f>IFERROR(__xludf.DUMMYFUNCTION("""COMPUTED_VALUE"""),FALSE)</f>
        <v>0</v>
      </c>
      <c r="I11" s="1174" t="str">
        <f>IFERROR(__xludf.DUMMYFUNCTION("""COMPUTED_VALUE"""),"MARZO")</f>
        <v>MARZO</v>
      </c>
      <c r="J11" s="1177">
        <f>IFERROR(__xludf.DUMMYFUNCTION("""COMPUTED_VALUE"""),4299.0)</f>
        <v>4299</v>
      </c>
    </row>
    <row r="12">
      <c r="A12" s="1175">
        <f>IFERROR(__xludf.DUMMYFUNCTION("""COMPUTED_VALUE"""),46072.0)</f>
        <v>46072</v>
      </c>
      <c r="B12" s="1174" t="str">
        <f>IFERROR(__xludf.DUMMYFUNCTION("""COMPUTED_VALUE"""),"ab-eb-13-14256-68868")</f>
        <v>ab-eb-13-14256-68868</v>
      </c>
      <c r="C12" s="1174" t="str">
        <f>IFERROR(__xludf.DUMMYFUNCTION("""COMPUTED_VALUE"""),"FEBRERO")</f>
        <v>FEBRERO</v>
      </c>
      <c r="D12" s="1174" t="b">
        <f>IFERROR(__xludf.DUMMYFUNCTION("""COMPUTED_VALUE"""),TRUE)</f>
        <v>1</v>
      </c>
      <c r="E12" s="1174" t="str">
        <f>IFERROR(__xludf.DUMMYFUNCTION("""COMPUTED_VALUE"""),"Laptop")</f>
        <v>Laptop</v>
      </c>
      <c r="F12" s="1176">
        <f>IFERROR(__xludf.DUMMYFUNCTION("""COMPUTED_VALUE"""),1179.99)</f>
        <v>1179.99</v>
      </c>
      <c r="G12" s="1177">
        <f>IFERROR(__xludf.DUMMYFUNCTION("""COMPUTED_VALUE"""),135.75)</f>
        <v>135.75</v>
      </c>
      <c r="H12" s="1174" t="b">
        <f>IFERROR(__xludf.DUMMYFUNCTION("""COMPUTED_VALUE"""),FALSE)</f>
        <v>0</v>
      </c>
      <c r="I12" s="1174" t="str">
        <f>IFERROR(__xludf.DUMMYFUNCTION("""COMPUTED_VALUE"""),"MARZO")</f>
        <v>MARZO</v>
      </c>
      <c r="J12" s="1177">
        <f>IFERROR(__xludf.DUMMYFUNCTION("""COMPUTED_VALUE"""),5399.0)</f>
        <v>5399</v>
      </c>
    </row>
    <row r="13">
      <c r="A13" s="1175">
        <f>IFERROR(__xludf.DUMMYFUNCTION("""COMPUTED_VALUE"""),46074.0)</f>
        <v>46074</v>
      </c>
      <c r="B13" s="1174" t="str">
        <f>IFERROR(__xludf.DUMMYFUNCTION("""COMPUTED_VALUE"""),"ke-eb-27-14245-05567")</f>
        <v>ke-eb-27-14245-05567</v>
      </c>
      <c r="C13" s="1174" t="str">
        <f>IFERROR(__xludf.DUMMYFUNCTION("""COMPUTED_VALUE"""),"FEBRERO")</f>
        <v>FEBRERO</v>
      </c>
      <c r="D13" s="1174" t="b">
        <f>IFERROR(__xludf.DUMMYFUNCTION("""COMPUTED_VALUE"""),TRUE)</f>
        <v>1</v>
      </c>
      <c r="E13" s="1174" t="str">
        <f>IFERROR(__xludf.DUMMYFUNCTION("""COMPUTED_VALUE"""),"Laptop")</f>
        <v>Laptop</v>
      </c>
      <c r="F13" s="1176">
        <f>IFERROR(__xludf.DUMMYFUNCTION("""COMPUTED_VALUE"""),1429.99)</f>
        <v>1429.99</v>
      </c>
      <c r="G13" s="1177">
        <f>IFERROR(__xludf.DUMMYFUNCTION("""COMPUTED_VALUE"""),-85.25)</f>
        <v>-85.25</v>
      </c>
      <c r="H13" s="1174" t="b">
        <f>IFERROR(__xludf.DUMMYFUNCTION("""COMPUTED_VALUE"""),FALSE)</f>
        <v>0</v>
      </c>
      <c r="I13" s="1174" t="str">
        <f>IFERROR(__xludf.DUMMYFUNCTION("""COMPUTED_VALUE"""),"MARZO")</f>
        <v>MARZO</v>
      </c>
      <c r="J13" s="1177">
        <f>IFERROR(__xludf.DUMMYFUNCTION("""COMPUTED_VALUE"""),6199.0)</f>
        <v>6199</v>
      </c>
    </row>
    <row r="14">
      <c r="A14" s="1175">
        <f>IFERROR(__xludf.DUMMYFUNCTION("""COMPUTED_VALUE"""),46076.0)</f>
        <v>46076</v>
      </c>
      <c r="B14" s="1174" t="str">
        <f>IFERROR(__xludf.DUMMYFUNCTION("""COMPUTED_VALUE"""),"ke-eb-27-14261-30062")</f>
        <v>ke-eb-27-14261-30062</v>
      </c>
      <c r="C14" s="1174" t="str">
        <f>IFERROR(__xludf.DUMMYFUNCTION("""COMPUTED_VALUE"""),"FEBRERO")</f>
        <v>FEBRERO</v>
      </c>
      <c r="D14" s="1174" t="b">
        <f>IFERROR(__xludf.DUMMYFUNCTION("""COMPUTED_VALUE"""),TRUE)</f>
        <v>1</v>
      </c>
      <c r="E14" s="1174" t="str">
        <f>IFERROR(__xludf.DUMMYFUNCTION("""COMPUTED_VALUE"""),"Laptop")</f>
        <v>Laptop</v>
      </c>
      <c r="F14" s="1176">
        <f>IFERROR(__xludf.DUMMYFUNCTION("""COMPUTED_VALUE"""),2699.99)</f>
        <v>2699.99</v>
      </c>
      <c r="G14" s="1177">
        <f>IFERROR(__xludf.DUMMYFUNCTION("""COMPUTED_VALUE"""),302.0)</f>
        <v>302</v>
      </c>
      <c r="H14" s="1174" t="b">
        <f>IFERROR(__xludf.DUMMYFUNCTION("""COMPUTED_VALUE"""),FALSE)</f>
        <v>0</v>
      </c>
      <c r="I14" s="1174" t="str">
        <f>IFERROR(__xludf.DUMMYFUNCTION("""COMPUTED_VALUE"""),"MARZO")</f>
        <v>MARZO</v>
      </c>
      <c r="J14" s="1177">
        <f>IFERROR(__xludf.DUMMYFUNCTION("""COMPUTED_VALUE"""),11399.0)</f>
        <v>11399</v>
      </c>
    </row>
    <row r="15">
      <c r="A15" s="1175">
        <f>IFERROR(__xludf.DUMMYFUNCTION("""COMPUTED_VALUE"""),46079.0)</f>
        <v>46079</v>
      </c>
      <c r="B15" s="1174" t="str">
        <f>IFERROR(__xludf.DUMMYFUNCTION("""COMPUTED_VALUE"""),"ke-eb-06-14253-74405")</f>
        <v>ke-eb-06-14253-74405</v>
      </c>
      <c r="C15" s="1174" t="str">
        <f>IFERROR(__xludf.DUMMYFUNCTION("""COMPUTED_VALUE"""),"FEBRERO")</f>
        <v>FEBRERO</v>
      </c>
      <c r="D15" s="1174" t="b">
        <f>IFERROR(__xludf.DUMMYFUNCTION("""COMPUTED_VALUE"""),TRUE)</f>
        <v>1</v>
      </c>
      <c r="E15" s="1174" t="str">
        <f>IFERROR(__xludf.DUMMYFUNCTION("""COMPUTED_VALUE"""),"Laptop")</f>
        <v>Laptop</v>
      </c>
      <c r="F15" s="1176">
        <f>IFERROR(__xludf.DUMMYFUNCTION("""COMPUTED_VALUE"""),1549.99)</f>
        <v>1549.99</v>
      </c>
      <c r="G15" s="1177">
        <f>IFERROR(__xludf.DUMMYFUNCTION("""COMPUTED_VALUE"""),348.34000000000015)</f>
        <v>348.34</v>
      </c>
      <c r="H15" s="1174" t="b">
        <f>IFERROR(__xludf.DUMMYFUNCTION("""COMPUTED_VALUE"""),FALSE)</f>
        <v>0</v>
      </c>
      <c r="I15" s="1174" t="str">
        <f>IFERROR(__xludf.DUMMYFUNCTION("""COMPUTED_VALUE"""),"MARZO")</f>
        <v>MARZO</v>
      </c>
      <c r="J15" s="1177">
        <f>IFERROR(__xludf.DUMMYFUNCTION("""COMPUTED_VALUE"""),7099.0)</f>
        <v>7099</v>
      </c>
    </row>
    <row r="16">
      <c r="A16" s="1175">
        <f>IFERROR(__xludf.DUMMYFUNCTION("""COMPUTED_VALUE"""),46080.0)</f>
        <v>46080</v>
      </c>
      <c r="B16" s="1174" t="str">
        <f>IFERROR(__xludf.DUMMYFUNCTION("""COMPUTED_VALUE"""),"so-eb-01-14261-47121")</f>
        <v>so-eb-01-14261-47121</v>
      </c>
      <c r="C16" s="1174" t="str">
        <f>IFERROR(__xludf.DUMMYFUNCTION("""COMPUTED_VALUE"""),"FEBRERO")</f>
        <v>FEBRERO</v>
      </c>
      <c r="D16" s="1174" t="b">
        <f>IFERROR(__xludf.DUMMYFUNCTION("""COMPUTED_VALUE"""),TRUE)</f>
        <v>1</v>
      </c>
      <c r="E16" s="1174" t="str">
        <f>IFERROR(__xludf.DUMMYFUNCTION("""COMPUTED_VALUE"""),"Laptop")</f>
        <v>Laptop</v>
      </c>
      <c r="F16" s="1176">
        <f>IFERROR(__xludf.DUMMYFUNCTION("""COMPUTED_VALUE"""),1549.99)</f>
        <v>1549.99</v>
      </c>
      <c r="G16" s="1177">
        <f>IFERROR(__xludf.DUMMYFUNCTION("""COMPUTED_VALUE"""),418.34000000000015)</f>
        <v>418.34</v>
      </c>
      <c r="H16" s="1174" t="b">
        <f>IFERROR(__xludf.DUMMYFUNCTION("""COMPUTED_VALUE"""),FALSE)</f>
        <v>0</v>
      </c>
      <c r="I16" s="1174" t="str">
        <f>IFERROR(__xludf.DUMMYFUNCTION("""COMPUTED_VALUE"""),"MARZO")</f>
        <v>MARZO</v>
      </c>
      <c r="J16" s="1177">
        <f>IFERROR(__xludf.DUMMYFUNCTION("""COMPUTED_VALUE"""),7099.0)</f>
        <v>7099</v>
      </c>
    </row>
    <row r="17">
      <c r="A17" s="1175">
        <f>IFERROR(__xludf.DUMMYFUNCTION("""COMPUTED_VALUE"""),46087.0)</f>
        <v>46087</v>
      </c>
      <c r="B17" s="1174" t="str">
        <f>IFERROR(__xludf.DUMMYFUNCTION("""COMPUTED_VALUE"""),"ab-eb-02-14218-58780")</f>
        <v>ab-eb-02-14218-58780</v>
      </c>
      <c r="C17" s="1174" t="str">
        <f>IFERROR(__xludf.DUMMYFUNCTION("""COMPUTED_VALUE"""),"MARZO")</f>
        <v>MARZO</v>
      </c>
      <c r="D17" s="1174" t="b">
        <f>IFERROR(__xludf.DUMMYFUNCTION("""COMPUTED_VALUE"""),TRUE)</f>
        <v>1</v>
      </c>
      <c r="E17" s="1174" t="str">
        <f>IFERROR(__xludf.DUMMYFUNCTION("""COMPUTED_VALUE"""),"Laptop")</f>
        <v>Laptop</v>
      </c>
      <c r="F17" s="1176">
        <f>IFERROR(__xludf.DUMMYFUNCTION("""COMPUTED_VALUE"""),1599.99)</f>
        <v>1599.99</v>
      </c>
      <c r="G17" s="1177">
        <f>IFERROR(__xludf.DUMMYFUNCTION("""COMPUTED_VALUE"""),606.0)</f>
        <v>606</v>
      </c>
      <c r="H17" s="1174" t="b">
        <f>IFERROR(__xludf.DUMMYFUNCTION("""COMPUTED_VALUE"""),FALSE)</f>
        <v>0</v>
      </c>
      <c r="I17" s="1174" t="str">
        <f>IFERROR(__xludf.DUMMYFUNCTION("""COMPUTED_VALUE"""),"MARZO")</f>
        <v>MARZO</v>
      </c>
      <c r="J17" s="1177">
        <f>IFERROR(__xludf.DUMMYFUNCTION("""COMPUTED_VALUE"""),7399.0)</f>
        <v>7399</v>
      </c>
    </row>
    <row r="18">
      <c r="A18" s="1175">
        <f>IFERROR(__xludf.DUMMYFUNCTION("""COMPUTED_VALUE"""),46087.0)</f>
        <v>46087</v>
      </c>
      <c r="B18" s="1174" t="str">
        <f>IFERROR(__xludf.DUMMYFUNCTION("""COMPUTED_VALUE"""),"li-mi-070226-2")</f>
        <v>li-mi-070226-2</v>
      </c>
      <c r="C18" s="1174" t="str">
        <f>IFERROR(__xludf.DUMMYFUNCTION("""COMPUTED_VALUE"""),"MARZO")</f>
        <v>MARZO</v>
      </c>
      <c r="D18" s="1174" t="b">
        <f>IFERROR(__xludf.DUMMYFUNCTION("""COMPUTED_VALUE"""),TRUE)</f>
        <v>1</v>
      </c>
      <c r="E18" s="1174" t="str">
        <f>IFERROR(__xludf.DUMMYFUNCTION("""COMPUTED_VALUE"""),"Laptop")</f>
        <v>Laptop</v>
      </c>
      <c r="F18" s="1176">
        <f>IFERROR(__xludf.DUMMYFUNCTION("""COMPUTED_VALUE"""),1899.99)</f>
        <v>1899.99</v>
      </c>
      <c r="G18" s="1177">
        <f>IFERROR(__xludf.DUMMYFUNCTION("""COMPUTED_VALUE"""),865.3299999999999)</f>
        <v>865.33</v>
      </c>
      <c r="H18" s="1174" t="b">
        <f>IFERROR(__xludf.DUMMYFUNCTION("""COMPUTED_VALUE"""),TRUE)</f>
        <v>1</v>
      </c>
      <c r="I18" s="1174" t="str">
        <f>IFERROR(__xludf.DUMMYFUNCTION("""COMPUTED_VALUE"""),"MARZO")</f>
        <v>MARZO</v>
      </c>
      <c r="J18" s="1177">
        <f>IFERROR(__xludf.DUMMYFUNCTION("""COMPUTED_VALUE"""),9779.0)</f>
        <v>9779</v>
      </c>
    </row>
    <row r="19">
      <c r="A19" s="1175">
        <f>IFERROR(__xludf.DUMMYFUNCTION("""COMPUTED_VALUE"""),46092.0)</f>
        <v>46092</v>
      </c>
      <c r="B19" s="1174" t="str">
        <f>IFERROR(__xludf.DUMMYFUNCTION("""COMPUTED_VALUE"""),"ke-eb-19-14339-54327")</f>
        <v>ke-eb-19-14339-54327</v>
      </c>
      <c r="C19" s="1174" t="str">
        <f>IFERROR(__xludf.DUMMYFUNCTION("""COMPUTED_VALUE"""),"MARZO")</f>
        <v>MARZO</v>
      </c>
      <c r="D19" s="1174" t="b">
        <f>IFERROR(__xludf.DUMMYFUNCTION("""COMPUTED_VALUE"""),TRUE)</f>
        <v>1</v>
      </c>
      <c r="E19" s="1174" t="str">
        <f>IFERROR(__xludf.DUMMYFUNCTION("""COMPUTED_VALUE"""),"Laptop")</f>
        <v>Laptop</v>
      </c>
      <c r="F19" s="1176">
        <f>IFERROR(__xludf.DUMMYFUNCTION("""COMPUTED_VALUE"""),1274.99)</f>
        <v>1274.99</v>
      </c>
      <c r="G19" s="1177">
        <f>IFERROR(__xludf.DUMMYFUNCTION("""COMPUTED_VALUE"""),310.71000000000004)</f>
        <v>310.71</v>
      </c>
      <c r="H19" s="1174" t="b">
        <f>IFERROR(__xludf.DUMMYFUNCTION("""COMPUTED_VALUE"""),FALSE)</f>
        <v>0</v>
      </c>
      <c r="I19" s="1174" t="str">
        <f>IFERROR(__xludf.DUMMYFUNCTION("""COMPUTED_VALUE"""),"MARZO")</f>
        <v>MARZO</v>
      </c>
      <c r="J19" s="1177">
        <f>IFERROR(__xludf.DUMMYFUNCTION("""COMPUTED_VALUE"""),5999.0)</f>
        <v>5999</v>
      </c>
    </row>
    <row r="20">
      <c r="A20" s="1175">
        <f>IFERROR(__xludf.DUMMYFUNCTION("""COMPUTED_VALUE"""),46093.0)</f>
        <v>46093</v>
      </c>
      <c r="B20" s="1174" t="str">
        <f>IFERROR(__xludf.DUMMYFUNCTION("""COMPUTED_VALUE"""),"si-mi-160326")</f>
        <v>si-mi-160326</v>
      </c>
      <c r="C20" s="1174" t="str">
        <f>IFERROR(__xludf.DUMMYFUNCTION("""COMPUTED_VALUE"""),"MARZO")</f>
        <v>MARZO</v>
      </c>
      <c r="D20" s="1174" t="b">
        <f>IFERROR(__xludf.DUMMYFUNCTION("""COMPUTED_VALUE"""),TRUE)</f>
        <v>1</v>
      </c>
      <c r="E20" s="1174" t="str">
        <f>IFERROR(__xludf.DUMMYFUNCTION("""COMPUTED_VALUE"""),"Laptop")</f>
        <v>Laptop</v>
      </c>
      <c r="F20" s="1176">
        <f>IFERROR(__xludf.DUMMYFUNCTION("""COMPUTED_VALUE"""),949.99)</f>
        <v>949.99</v>
      </c>
      <c r="G20" s="1177">
        <f>IFERROR(__xludf.DUMMYFUNCTION("""COMPUTED_VALUE"""),19.56999999999971)</f>
        <v>19.57</v>
      </c>
      <c r="H20" s="1174" t="b">
        <f>IFERROR(__xludf.DUMMYFUNCTION("""COMPUTED_VALUE"""),FALSE)</f>
        <v>0</v>
      </c>
      <c r="I20" s="1174" t="str">
        <f>IFERROR(__xludf.DUMMYFUNCTION("""COMPUTED_VALUE"""),"ABRIL")</f>
        <v>ABRIL</v>
      </c>
      <c r="J20" s="1177">
        <f>IFERROR(__xludf.DUMMYFUNCTION("""COMPUTED_VALUE"""),4899.0)</f>
        <v>4899</v>
      </c>
    </row>
    <row r="21">
      <c r="A21" s="1175">
        <f>IFERROR(__xludf.DUMMYFUNCTION("""COMPUTED_VALUE"""),46098.0)</f>
        <v>46098</v>
      </c>
      <c r="B21" s="1174" t="str">
        <f>IFERROR(__xludf.DUMMYFUNCTION("""COMPUTED_VALUE"""),"ke-ne-560710754")</f>
        <v>ke-ne-560710754</v>
      </c>
      <c r="C21" s="1174"/>
      <c r="D21" s="1174" t="b">
        <f>IFERROR(__xludf.DUMMYFUNCTION("""COMPUTED_VALUE"""),FALSE)</f>
        <v>0</v>
      </c>
      <c r="E21" s="1174" t="str">
        <f>IFERROR(__xludf.DUMMYFUNCTION("""COMPUTED_VALUE"""),"Laptop")</f>
        <v>Laptop</v>
      </c>
      <c r="F21" s="1176">
        <f>IFERROR(__xludf.DUMMYFUNCTION("""COMPUTED_VALUE"""),6636.0)</f>
        <v>6636</v>
      </c>
      <c r="G21" s="1177">
        <f>IFERROR(__xludf.DUMMYFUNCTION("""COMPUTED_VALUE"""),3348.2000000000007)</f>
        <v>3348.2</v>
      </c>
      <c r="H21" s="1174" t="b">
        <f>IFERROR(__xludf.DUMMYFUNCTION("""COMPUTED_VALUE"""),FALSE)</f>
        <v>0</v>
      </c>
      <c r="I21" s="1174"/>
      <c r="J21" s="1177">
        <f>IFERROR(__xludf.DUMMYFUNCTION("""COMPUTED_VALUE"""),29999.0)</f>
        <v>29999</v>
      </c>
    </row>
    <row r="22">
      <c r="A22" s="1175">
        <f>IFERROR(__xludf.DUMMYFUNCTION("""COMPUTED_VALUE"""),46098.0)</f>
        <v>46098</v>
      </c>
      <c r="B22" s="1174" t="str">
        <f>IFERROR(__xludf.DUMMYFUNCTION("""COMPUTED_VALUE"""),"yo-eb-11-14379-28859")</f>
        <v>yo-eb-11-14379-28859</v>
      </c>
      <c r="C22" s="1174" t="str">
        <f>IFERROR(__xludf.DUMMYFUNCTION("""COMPUTED_VALUE"""),"MARZO")</f>
        <v>MARZO</v>
      </c>
      <c r="D22" s="1174" t="b">
        <f>IFERROR(__xludf.DUMMYFUNCTION("""COMPUTED_VALUE"""),TRUE)</f>
        <v>1</v>
      </c>
      <c r="E22" s="1174" t="str">
        <f>IFERROR(__xludf.DUMMYFUNCTION("""COMPUTED_VALUE"""),"Laptop")</f>
        <v>Laptop</v>
      </c>
      <c r="F22" s="1176">
        <f>IFERROR(__xludf.DUMMYFUNCTION("""COMPUTED_VALUE"""),1219.99)</f>
        <v>1219.99</v>
      </c>
      <c r="G22" s="1177">
        <f>IFERROR(__xludf.DUMMYFUNCTION("""COMPUTED_VALUE"""),25.289999999999964)</f>
        <v>25.29</v>
      </c>
      <c r="H22" s="1174" t="b">
        <f>IFERROR(__xludf.DUMMYFUNCTION("""COMPUTED_VALUE"""),FALSE)</f>
        <v>0</v>
      </c>
      <c r="I22" s="1174" t="str">
        <f>IFERROR(__xludf.DUMMYFUNCTION("""COMPUTED_VALUE"""),"ABRIL")</f>
        <v>ABRIL</v>
      </c>
      <c r="J22" s="1177">
        <f>IFERROR(__xludf.DUMMYFUNCTION("""COMPUTED_VALUE"""),5599.0)</f>
        <v>5599</v>
      </c>
    </row>
    <row r="23">
      <c r="A23" s="1175">
        <f>IFERROR(__xludf.DUMMYFUNCTION("""COMPUTED_VALUE"""),46098.0)</f>
        <v>46098</v>
      </c>
      <c r="B23" s="1174" t="str">
        <f>IFERROR(__xludf.DUMMYFUNCTION("""COMPUTED_VALUE"""),"re-eb-03-14390-93759")</f>
        <v>re-eb-03-14390-93759</v>
      </c>
      <c r="C23" s="1174" t="str">
        <f>IFERROR(__xludf.DUMMYFUNCTION("""COMPUTED_VALUE"""),"MARZO")</f>
        <v>MARZO</v>
      </c>
      <c r="D23" s="1174" t="b">
        <f>IFERROR(__xludf.DUMMYFUNCTION("""COMPUTED_VALUE"""),TRUE)</f>
        <v>1</v>
      </c>
      <c r="E23" s="1174" t="str">
        <f>IFERROR(__xludf.DUMMYFUNCTION("""COMPUTED_VALUE"""),"Laptop")</f>
        <v>Laptop</v>
      </c>
      <c r="F23" s="1176">
        <f>IFERROR(__xludf.DUMMYFUNCTION("""COMPUTED_VALUE"""),1549.99)</f>
        <v>1549.99</v>
      </c>
      <c r="G23" s="1177">
        <f>IFERROR(__xludf.DUMMYFUNCTION("""COMPUTED_VALUE"""),132.97000000000025)</f>
        <v>132.97</v>
      </c>
      <c r="H23" s="1174" t="b">
        <f>IFERROR(__xludf.DUMMYFUNCTION("""COMPUTED_VALUE"""),FALSE)</f>
        <v>0</v>
      </c>
      <c r="I23" s="1174" t="str">
        <f>IFERROR(__xludf.DUMMYFUNCTION("""COMPUTED_VALUE"""),"ABRIL")</f>
        <v>ABRIL</v>
      </c>
      <c r="J23" s="1177">
        <f>IFERROR(__xludf.DUMMYFUNCTION("""COMPUTED_VALUE"""),7099.0)</f>
        <v>7099</v>
      </c>
    </row>
    <row r="24">
      <c r="A24" s="1175">
        <f>IFERROR(__xludf.DUMMYFUNCTION("""COMPUTED_VALUE"""),46098.0)</f>
        <v>46098</v>
      </c>
      <c r="B24" s="1174" t="str">
        <f>IFERROR(__xludf.DUMMYFUNCTION("""COMPUTED_VALUE"""),"ke-eb-08-14383-28027")</f>
        <v>ke-eb-08-14383-28027</v>
      </c>
      <c r="C24" s="1174" t="str">
        <f>IFERROR(__xludf.DUMMYFUNCTION("""COMPUTED_VALUE"""),"MARZO")</f>
        <v>MARZO</v>
      </c>
      <c r="D24" s="1174" t="b">
        <f>IFERROR(__xludf.DUMMYFUNCTION("""COMPUTED_VALUE"""),TRUE)</f>
        <v>1</v>
      </c>
      <c r="E24" s="1174" t="str">
        <f>IFERROR(__xludf.DUMMYFUNCTION("""COMPUTED_VALUE"""),"Laptop")</f>
        <v>Laptop</v>
      </c>
      <c r="F24" s="1176">
        <f>IFERROR(__xludf.DUMMYFUNCTION("""COMPUTED_VALUE"""),1849.99)</f>
        <v>1849.99</v>
      </c>
      <c r="G24" s="1177">
        <f>IFERROR(__xludf.DUMMYFUNCTION("""COMPUTED_VALUE"""),143.1300000000001)</f>
        <v>143.13</v>
      </c>
      <c r="H24" s="1174" t="b">
        <f>IFERROR(__xludf.DUMMYFUNCTION("""COMPUTED_VALUE"""),FALSE)</f>
        <v>0</v>
      </c>
      <c r="I24" s="1174" t="str">
        <f>IFERROR(__xludf.DUMMYFUNCTION("""COMPUTED_VALUE"""),"ABRIL")</f>
        <v>ABRIL</v>
      </c>
      <c r="J24" s="1177">
        <f>IFERROR(__xludf.DUMMYFUNCTION("""COMPUTED_VALUE"""),8568.0)</f>
        <v>8568</v>
      </c>
    </row>
    <row r="25">
      <c r="A25" s="1175">
        <f>IFERROR(__xludf.DUMMYFUNCTION("""COMPUTED_VALUE"""),46100.0)</f>
        <v>46100</v>
      </c>
      <c r="B25" s="1174" t="str">
        <f>IFERROR(__xludf.DUMMYFUNCTION("""COMPUTED_VALUE"""),"li-mi-010226-3")</f>
        <v>li-mi-010226-3</v>
      </c>
      <c r="C25" s="1174" t="str">
        <f>IFERROR(__xludf.DUMMYFUNCTION("""COMPUTED_VALUE"""),"MARZO")</f>
        <v>MARZO</v>
      </c>
      <c r="D25" s="1174" t="b">
        <f>IFERROR(__xludf.DUMMYFUNCTION("""COMPUTED_VALUE"""),TRUE)</f>
        <v>1</v>
      </c>
      <c r="E25" s="1174" t="str">
        <f>IFERROR(__xludf.DUMMYFUNCTION("""COMPUTED_VALUE"""),"Laptop")</f>
        <v>Laptop</v>
      </c>
      <c r="F25" s="1176">
        <f>IFERROR(__xludf.DUMMYFUNCTION("""COMPUTED_VALUE"""),1999.99)</f>
        <v>1999.99</v>
      </c>
      <c r="G25" s="1177">
        <f>IFERROR(__xludf.DUMMYFUNCTION("""COMPUTED_VALUE"""),578.0)</f>
        <v>578</v>
      </c>
      <c r="H25" s="1174" t="b">
        <f>IFERROR(__xludf.DUMMYFUNCTION("""COMPUTED_VALUE"""),FALSE)</f>
        <v>0</v>
      </c>
      <c r="I25" s="1174" t="str">
        <f>IFERROR(__xludf.DUMMYFUNCTION("""COMPUTED_VALUE"""),"MARZO")</f>
        <v>MARZO</v>
      </c>
      <c r="J25" s="1177">
        <f>IFERROR(__xludf.DUMMYFUNCTION("""COMPUTED_VALUE"""),8799.0)</f>
        <v>8799</v>
      </c>
    </row>
    <row r="26">
      <c r="A26" s="1175">
        <f>IFERROR(__xludf.DUMMYFUNCTION("""COMPUTED_VALUE"""),46102.0)</f>
        <v>46102</v>
      </c>
      <c r="B26" s="1174" t="str">
        <f>IFERROR(__xludf.DUMMYFUNCTION("""COMPUTED_VALUE"""),"ke-as-10001304797")</f>
        <v>ke-as-10001304797</v>
      </c>
      <c r="C26" s="1174" t="str">
        <f>IFERROR(__xludf.DUMMYFUNCTION("""COMPUTED_VALUE"""),"MARZO")</f>
        <v>MARZO</v>
      </c>
      <c r="D26" s="1174" t="b">
        <f>IFERROR(__xludf.DUMMYFUNCTION("""COMPUTED_VALUE"""),TRUE)</f>
        <v>1</v>
      </c>
      <c r="E26" s="1174" t="str">
        <f>IFERROR(__xludf.DUMMYFUNCTION("""COMPUTED_VALUE"""),"Laptop")</f>
        <v>Laptop</v>
      </c>
      <c r="F26" s="1176">
        <f>IFERROR(__xludf.DUMMYFUNCTION("""COMPUTED_VALUE"""),1799.99)</f>
        <v>1799.99</v>
      </c>
      <c r="G26" s="1177">
        <f>IFERROR(__xludf.DUMMYFUNCTION("""COMPUTED_VALUE"""),118.25)</f>
        <v>118.25</v>
      </c>
      <c r="H26" s="1174" t="b">
        <f>IFERROR(__xludf.DUMMYFUNCTION("""COMPUTED_VALUE"""),FALSE)</f>
        <v>0</v>
      </c>
      <c r="I26" s="1174" t="str">
        <f>IFERROR(__xludf.DUMMYFUNCTION("""COMPUTED_VALUE"""),"ABRIL")</f>
        <v>ABRIL</v>
      </c>
      <c r="J26" s="1177">
        <f>IFERROR(__xludf.DUMMYFUNCTION("""COMPUTED_VALUE"""),8000.0)</f>
        <v>8000</v>
      </c>
    </row>
    <row r="27">
      <c r="A27" s="1175">
        <f>IFERROR(__xludf.DUMMYFUNCTION("""COMPUTED_VALUE"""),46104.0)</f>
        <v>46104</v>
      </c>
      <c r="B27" s="1174" t="str">
        <f>IFERROR(__xludf.DUMMYFUNCTION("""COMPUTED_VALUE"""),"ga-co-1272702884")</f>
        <v>ga-co-1272702884</v>
      </c>
      <c r="C27" s="1174" t="str">
        <f>IFERROR(__xludf.DUMMYFUNCTION("""COMPUTED_VALUE"""),"MARZO")</f>
        <v>MARZO</v>
      </c>
      <c r="D27" s="1174" t="b">
        <f>IFERROR(__xludf.DUMMYFUNCTION("""COMPUTED_VALUE"""),TRUE)</f>
        <v>1</v>
      </c>
      <c r="E27" s="1174" t="str">
        <f>IFERROR(__xludf.DUMMYFUNCTION("""COMPUTED_VALUE"""),"Laptop")</f>
        <v>Laptop</v>
      </c>
      <c r="F27" s="1176">
        <f>IFERROR(__xludf.DUMMYFUNCTION("""COMPUTED_VALUE"""),1299.99)</f>
        <v>1299.99</v>
      </c>
      <c r="G27" s="1177">
        <f>IFERROR(__xludf.DUMMYFUNCTION("""COMPUTED_VALUE"""),86.0)</f>
        <v>86</v>
      </c>
      <c r="H27" s="1174" t="b">
        <f>IFERROR(__xludf.DUMMYFUNCTION("""COMPUTED_VALUE"""),FALSE)</f>
        <v>0</v>
      </c>
      <c r="I27" s="1174" t="str">
        <f>IFERROR(__xludf.DUMMYFUNCTION("""COMPUTED_VALUE"""),"ABRIL")</f>
        <v>ABRIL</v>
      </c>
      <c r="J27" s="1177">
        <f>IFERROR(__xludf.DUMMYFUNCTION("""COMPUTED_VALUE"""),6599.0)</f>
        <v>6599</v>
      </c>
    </row>
    <row r="28">
      <c r="A28" s="1175">
        <f>IFERROR(__xludf.DUMMYFUNCTION("""COMPUTED_VALUE"""),46105.0)</f>
        <v>46105</v>
      </c>
      <c r="B28" s="1174" t="str">
        <f>IFERROR(__xludf.DUMMYFUNCTION("""COMPUTED_VALUE"""),"ga-co-1273156798")</f>
        <v>ga-co-1273156798</v>
      </c>
      <c r="C28" s="1174" t="str">
        <f>IFERROR(__xludf.DUMMYFUNCTION("""COMPUTED_VALUE"""),"MARZO")</f>
        <v>MARZO</v>
      </c>
      <c r="D28" s="1174" t="b">
        <f>IFERROR(__xludf.DUMMYFUNCTION("""COMPUTED_VALUE"""),TRUE)</f>
        <v>1</v>
      </c>
      <c r="E28" s="1174" t="str">
        <f>IFERROR(__xludf.DUMMYFUNCTION("""COMPUTED_VALUE"""),"Laptop")</f>
        <v>Laptop</v>
      </c>
      <c r="F28" s="1176">
        <f>IFERROR(__xludf.DUMMYFUNCTION("""COMPUTED_VALUE"""),1299.99)</f>
        <v>1299.99</v>
      </c>
      <c r="G28" s="1177">
        <f>IFERROR(__xludf.DUMMYFUNCTION("""COMPUTED_VALUE"""),0.0)</f>
        <v>0</v>
      </c>
      <c r="H28" s="1174" t="b">
        <f>IFERROR(__xludf.DUMMYFUNCTION("""COMPUTED_VALUE"""),FALSE)</f>
        <v>0</v>
      </c>
      <c r="I28" s="1174" t="str">
        <f>IFERROR(__xludf.DUMMYFUNCTION("""COMPUTED_VALUE"""),"ABRIL")</f>
        <v>ABRIL</v>
      </c>
      <c r="J28" s="1177">
        <f>IFERROR(__xludf.DUMMYFUNCTION("""COMPUTED_VALUE"""),7104.02)</f>
        <v>7104.02</v>
      </c>
    </row>
    <row r="29">
      <c r="A29" s="1175">
        <f>IFERROR(__xludf.DUMMYFUNCTION("""COMPUTED_VALUE"""),46105.0)</f>
        <v>46105</v>
      </c>
      <c r="B29" s="1174" t="str">
        <f>IFERROR(__xludf.DUMMYFUNCTION("""COMPUTED_VALUE"""),"jl-mi-250326-3")</f>
        <v>jl-mi-250326-3</v>
      </c>
      <c r="C29" s="1174" t="str">
        <f>IFERROR(__xludf.DUMMYFUNCTION("""COMPUTED_VALUE"""),"MARZO")</f>
        <v>MARZO</v>
      </c>
      <c r="D29" s="1174" t="b">
        <f>IFERROR(__xludf.DUMMYFUNCTION("""COMPUTED_VALUE"""),TRUE)</f>
        <v>1</v>
      </c>
      <c r="E29" s="1174" t="str">
        <f>IFERROR(__xludf.DUMMYFUNCTION("""COMPUTED_VALUE"""),"Laptop")</f>
        <v>Laptop</v>
      </c>
      <c r="F29" s="1176">
        <f>IFERROR(__xludf.DUMMYFUNCTION("""COMPUTED_VALUE"""),1999.99)</f>
        <v>1999.99</v>
      </c>
      <c r="G29" s="1177">
        <f>IFERROR(__xludf.DUMMYFUNCTION("""COMPUTED_VALUE"""),164.0)</f>
        <v>164</v>
      </c>
      <c r="H29" s="1174" t="b">
        <f>IFERROR(__xludf.DUMMYFUNCTION("""COMPUTED_VALUE"""),FALSE)</f>
        <v>0</v>
      </c>
      <c r="I29" s="1174" t="str">
        <f>IFERROR(__xludf.DUMMYFUNCTION("""COMPUTED_VALUE"""),"ABRIL")</f>
        <v>ABRIL</v>
      </c>
      <c r="J29" s="1177">
        <f>IFERROR(__xludf.DUMMYFUNCTION("""COMPUTED_VALUE"""),9399.0)</f>
        <v>9399</v>
      </c>
    </row>
    <row r="30">
      <c r="A30" s="1175">
        <f>IFERROR(__xludf.DUMMYFUNCTION("""COMPUTED_VALUE"""),46106.0)</f>
        <v>46106</v>
      </c>
      <c r="B30" s="1174" t="str">
        <f>IFERROR(__xludf.DUMMYFUNCTION("""COMPUTED_VALUE"""),"ke-ex-32325686")</f>
        <v>ke-ex-32325686</v>
      </c>
      <c r="C30" s="1174" t="str">
        <f>IFERROR(__xludf.DUMMYFUNCTION("""COMPUTED_VALUE"""),"ABRIL")</f>
        <v>ABRIL</v>
      </c>
      <c r="D30" s="1174" t="b">
        <f>IFERROR(__xludf.DUMMYFUNCTION("""COMPUTED_VALUE"""),TRUE)</f>
        <v>1</v>
      </c>
      <c r="E30" s="1174" t="str">
        <f>IFERROR(__xludf.DUMMYFUNCTION("""COMPUTED_VALUE"""),"Laptop")</f>
        <v>Laptop</v>
      </c>
      <c r="F30" s="1176">
        <f>IFERROR(__xludf.DUMMYFUNCTION("""COMPUTED_VALUE"""),1099.0)</f>
        <v>1099</v>
      </c>
      <c r="G30" s="1177">
        <f>IFERROR(__xludf.DUMMYFUNCTION("""COMPUTED_VALUE"""),367.0)</f>
        <v>367</v>
      </c>
      <c r="H30" s="1174" t="b">
        <f>IFERROR(__xludf.DUMMYFUNCTION("""COMPUTED_VALUE"""),FALSE)</f>
        <v>0</v>
      </c>
      <c r="I30" s="1174" t="str">
        <f>IFERROR(__xludf.DUMMYFUNCTION("""COMPUTED_VALUE"""),"MAYO")</f>
        <v>MAYO</v>
      </c>
      <c r="J30" s="1177">
        <f>IFERROR(__xludf.DUMMYFUNCTION("""COMPUTED_VALUE"""),5499.0)</f>
        <v>5499</v>
      </c>
    </row>
    <row r="31">
      <c r="A31" s="1175">
        <f>IFERROR(__xludf.DUMMYFUNCTION("""COMPUTED_VALUE"""),46107.0)</f>
        <v>46107</v>
      </c>
      <c r="B31" s="1174" t="str">
        <f>IFERROR(__xludf.DUMMYFUNCTION("""COMPUTED_VALUE"""),"ga-co-1269944754")</f>
        <v>ga-co-1269944754</v>
      </c>
      <c r="C31" s="1174" t="str">
        <f>IFERROR(__xludf.DUMMYFUNCTION("""COMPUTED_VALUE"""),"MARZO")</f>
        <v>MARZO</v>
      </c>
      <c r="D31" s="1174" t="b">
        <f>IFERROR(__xludf.DUMMYFUNCTION("""COMPUTED_VALUE"""),TRUE)</f>
        <v>1</v>
      </c>
      <c r="E31" s="1174" t="str">
        <f>IFERROR(__xludf.DUMMYFUNCTION("""COMPUTED_VALUE"""),"Laptop")</f>
        <v>Laptop</v>
      </c>
      <c r="F31" s="1176">
        <f>IFERROR(__xludf.DUMMYFUNCTION("""COMPUTED_VALUE"""),1499.99)</f>
        <v>1499.99</v>
      </c>
      <c r="G31" s="1177">
        <f>IFERROR(__xludf.DUMMYFUNCTION("""COMPUTED_VALUE"""),205.0)</f>
        <v>205</v>
      </c>
      <c r="H31" s="1174" t="b">
        <f>IFERROR(__xludf.DUMMYFUNCTION("""COMPUTED_VALUE"""),FALSE)</f>
        <v>0</v>
      </c>
      <c r="I31" s="1174" t="str">
        <f>IFERROR(__xludf.DUMMYFUNCTION("""COMPUTED_VALUE"""),"MAYO")</f>
        <v>MAYO</v>
      </c>
      <c r="J31" s="1177">
        <f>IFERROR(__xludf.DUMMYFUNCTION("""COMPUTED_VALUE"""),7948.0)</f>
        <v>7948</v>
      </c>
    </row>
    <row r="32">
      <c r="A32" s="1175">
        <f>IFERROR(__xludf.DUMMYFUNCTION("""COMPUTED_VALUE"""),46108.0)</f>
        <v>46108</v>
      </c>
      <c r="B32" s="1174" t="str">
        <f>IFERROR(__xludf.DUMMYFUNCTION("""COMPUTED_VALUE"""),"ga-co-1273699380")</f>
        <v>ga-co-1273699380</v>
      </c>
      <c r="C32" s="1174" t="str">
        <f>IFERROR(__xludf.DUMMYFUNCTION("""COMPUTED_VALUE"""),"ABRIL")</f>
        <v>ABRIL</v>
      </c>
      <c r="D32" s="1174" t="b">
        <f>IFERROR(__xludf.DUMMYFUNCTION("""COMPUTED_VALUE"""),TRUE)</f>
        <v>1</v>
      </c>
      <c r="E32" s="1174" t="str">
        <f>IFERROR(__xludf.DUMMYFUNCTION("""COMPUTED_VALUE"""),"Laptop")</f>
        <v>Laptop</v>
      </c>
      <c r="F32" s="1176">
        <f>IFERROR(__xludf.DUMMYFUNCTION("""COMPUTED_VALUE"""),1499.99)</f>
        <v>1499.99</v>
      </c>
      <c r="G32" s="1177">
        <f>IFERROR(__xludf.DUMMYFUNCTION("""COMPUTED_VALUE"""),80.10999999999967)</f>
        <v>80.11</v>
      </c>
      <c r="H32" s="1174" t="b">
        <f>IFERROR(__xludf.DUMMYFUNCTION("""COMPUTED_VALUE"""),FALSE)</f>
        <v>0</v>
      </c>
      <c r="I32" s="1174" t="str">
        <f>IFERROR(__xludf.DUMMYFUNCTION("""COMPUTED_VALUE"""),"MAYO")</f>
        <v>MAYO</v>
      </c>
      <c r="J32" s="1177">
        <f>IFERROR(__xludf.DUMMYFUNCTION("""COMPUTED_VALUE"""),7499.0)</f>
        <v>7499</v>
      </c>
    </row>
    <row r="33">
      <c r="A33" s="1175">
        <f>IFERROR(__xludf.DUMMYFUNCTION("""COMPUTED_VALUE"""),46112.0)</f>
        <v>46112</v>
      </c>
      <c r="B33" s="1174" t="str">
        <f>IFERROR(__xludf.DUMMYFUNCTION("""COMPUTED_VALUE"""),"so-eb-24-14437-14211")</f>
        <v>so-eb-24-14437-14211</v>
      </c>
      <c r="C33" s="1174" t="str">
        <f>IFERROR(__xludf.DUMMYFUNCTION("""COMPUTED_VALUE"""),"ABRIL")</f>
        <v>ABRIL</v>
      </c>
      <c r="D33" s="1174" t="b">
        <f>IFERROR(__xludf.DUMMYFUNCTION("""COMPUTED_VALUE"""),TRUE)</f>
        <v>1</v>
      </c>
      <c r="E33" s="1174" t="str">
        <f>IFERROR(__xludf.DUMMYFUNCTION("""COMPUTED_VALUE"""),"Laptop")</f>
        <v>Laptop</v>
      </c>
      <c r="F33" s="1176">
        <f>IFERROR(__xludf.DUMMYFUNCTION("""COMPUTED_VALUE"""),1299.99)</f>
        <v>1299.99</v>
      </c>
      <c r="G33" s="1177">
        <f>IFERROR(__xludf.DUMMYFUNCTION("""COMPUTED_VALUE"""),-342.52000000000044)</f>
        <v>-342.52</v>
      </c>
      <c r="H33" s="1174" t="b">
        <f>IFERROR(__xludf.DUMMYFUNCTION("""COMPUTED_VALUE"""),FALSE)</f>
        <v>0</v>
      </c>
      <c r="I33" s="1174" t="str">
        <f>IFERROR(__xludf.DUMMYFUNCTION("""COMPUTED_VALUE"""),"MAYO")</f>
        <v>MAYO</v>
      </c>
      <c r="J33" s="1177">
        <f>IFERROR(__xludf.DUMMYFUNCTION("""COMPUTED_VALUE"""),5849.0)</f>
        <v>5849</v>
      </c>
    </row>
    <row r="34">
      <c r="A34" s="1175">
        <f>IFERROR(__xludf.DUMMYFUNCTION("""COMPUTED_VALUE"""),46116.0)</f>
        <v>46116</v>
      </c>
      <c r="B34" s="1174" t="str">
        <f>IFERROR(__xludf.DUMMYFUNCTION("""COMPUTED_VALUE"""),"ke-am-112-7043675-0812269")</f>
        <v>ke-am-112-7043675-0812269</v>
      </c>
      <c r="C34" s="1174" t="str">
        <f>IFERROR(__xludf.DUMMYFUNCTION("""COMPUTED_VALUE"""),"ABRIL")</f>
        <v>ABRIL</v>
      </c>
      <c r="D34" s="1174" t="b">
        <f>IFERROR(__xludf.DUMMYFUNCTION("""COMPUTED_VALUE"""),TRUE)</f>
        <v>1</v>
      </c>
      <c r="E34" s="1174" t="str">
        <f>IFERROR(__xludf.DUMMYFUNCTION("""COMPUTED_VALUE"""),"Laptop")</f>
        <v>Laptop</v>
      </c>
      <c r="F34" s="1176">
        <f>IFERROR(__xludf.DUMMYFUNCTION("""COMPUTED_VALUE"""),1549.0)</f>
        <v>1549</v>
      </c>
      <c r="G34" s="1177">
        <f>IFERROR(__xludf.DUMMYFUNCTION("""COMPUTED_VALUE"""),110.85000000000036)</f>
        <v>110.85</v>
      </c>
      <c r="H34" s="1174" t="b">
        <f>IFERROR(__xludf.DUMMYFUNCTION("""COMPUTED_VALUE"""),FALSE)</f>
        <v>0</v>
      </c>
      <c r="I34" s="1174" t="str">
        <f>IFERROR(__xludf.DUMMYFUNCTION("""COMPUTED_VALUE"""),"MAYO")</f>
        <v>MAYO</v>
      </c>
      <c r="J34" s="1177">
        <f>IFERROR(__xludf.DUMMYFUNCTION("""COMPUTED_VALUE"""),7055.18)</f>
        <v>7055.18</v>
      </c>
    </row>
    <row r="35">
      <c r="A35" s="1175">
        <f>IFERROR(__xludf.DUMMYFUNCTION("""COMPUTED_VALUE"""),46116.0)</f>
        <v>46116</v>
      </c>
      <c r="B35" s="1174" t="str">
        <f>IFERROR(__xludf.DUMMYFUNCTION("""COMPUTED_VALUE"""),"ke-am-112-5650722-5057045")</f>
        <v>ke-am-112-5650722-5057045</v>
      </c>
      <c r="C35" s="1174" t="str">
        <f>IFERROR(__xludf.DUMMYFUNCTION("""COMPUTED_VALUE"""),"ABRIL")</f>
        <v>ABRIL</v>
      </c>
      <c r="D35" s="1174" t="b">
        <f>IFERROR(__xludf.DUMMYFUNCTION("""COMPUTED_VALUE"""),TRUE)</f>
        <v>1</v>
      </c>
      <c r="E35" s="1174" t="str">
        <f>IFERROR(__xludf.DUMMYFUNCTION("""COMPUTED_VALUE"""),"Otro")</f>
        <v>Otro</v>
      </c>
      <c r="F35" s="1176">
        <f>IFERROR(__xludf.DUMMYFUNCTION("""COMPUTED_VALUE"""),94.0)</f>
        <v>94</v>
      </c>
      <c r="G35" s="1177">
        <f>IFERROR(__xludf.DUMMYFUNCTION("""COMPUTED_VALUE"""),0.0)</f>
        <v>0</v>
      </c>
      <c r="H35" s="1174" t="b">
        <f>IFERROR(__xludf.DUMMYFUNCTION("""COMPUTED_VALUE"""),FALSE)</f>
        <v>0</v>
      </c>
      <c r="I35" s="1174"/>
      <c r="J35" s="1177">
        <f>IFERROR(__xludf.DUMMYFUNCTION("""COMPUTED_VALUE"""),443.82)</f>
        <v>443.82</v>
      </c>
    </row>
    <row r="36">
      <c r="A36" s="1175">
        <f>IFERROR(__xludf.DUMMYFUNCTION("""COMPUTED_VALUE"""),46116.0)</f>
        <v>46116</v>
      </c>
      <c r="B36" s="1174" t="str">
        <f>IFERROR(__xludf.DUMMYFUNCTION("""COMPUTED_VALUE"""),"ab-eb-19-14363-36402")</f>
        <v>ab-eb-19-14363-36402</v>
      </c>
      <c r="C36" s="1174" t="str">
        <f>IFERROR(__xludf.DUMMYFUNCTION("""COMPUTED_VALUE"""),"ABRIL")</f>
        <v>ABRIL</v>
      </c>
      <c r="D36" s="1174" t="b">
        <f>IFERROR(__xludf.DUMMYFUNCTION("""COMPUTED_VALUE"""),TRUE)</f>
        <v>1</v>
      </c>
      <c r="E36" s="1174" t="str">
        <f>IFERROR(__xludf.DUMMYFUNCTION("""COMPUTED_VALUE"""),"Laptop")</f>
        <v>Laptop</v>
      </c>
      <c r="F36" s="1176">
        <f>IFERROR(__xludf.DUMMYFUNCTION("""COMPUTED_VALUE"""),1549.99)</f>
        <v>1549.99</v>
      </c>
      <c r="G36" s="1177">
        <f>IFERROR(__xludf.DUMMYFUNCTION("""COMPUTED_VALUE"""),110.0)</f>
        <v>110</v>
      </c>
      <c r="H36" s="1174" t="b">
        <f>IFERROR(__xludf.DUMMYFUNCTION("""COMPUTED_VALUE"""),FALSE)</f>
        <v>0</v>
      </c>
      <c r="I36" s="1174" t="str">
        <f>IFERROR(__xludf.DUMMYFUNCTION("""COMPUTED_VALUE"""),"ABRIL")</f>
        <v>ABRIL</v>
      </c>
      <c r="J36" s="1177">
        <f>IFERROR(__xludf.DUMMYFUNCTION("""COMPUTED_VALUE"""),7000.0)</f>
        <v>7000</v>
      </c>
    </row>
    <row r="37">
      <c r="A37" s="1175">
        <f>IFERROR(__xludf.DUMMYFUNCTION("""COMPUTED_VALUE"""),46118.0)</f>
        <v>46118</v>
      </c>
      <c r="B37" s="1174" t="str">
        <f>IFERROR(__xludf.DUMMYFUNCTION("""COMPUTED_VALUE"""),"li-mi-070426")</f>
        <v>li-mi-070426</v>
      </c>
      <c r="C37" s="1174" t="str">
        <f>IFERROR(__xludf.DUMMYFUNCTION("""COMPUTED_VALUE"""),"ABRIL")</f>
        <v>ABRIL</v>
      </c>
      <c r="D37" s="1174" t="b">
        <f>IFERROR(__xludf.DUMMYFUNCTION("""COMPUTED_VALUE"""),TRUE)</f>
        <v>1</v>
      </c>
      <c r="E37" s="1174" t="str">
        <f>IFERROR(__xludf.DUMMYFUNCTION("""COMPUTED_VALUE"""),"Laptop")</f>
        <v>Laptop</v>
      </c>
      <c r="F37" s="1176">
        <f>IFERROR(__xludf.DUMMYFUNCTION("""COMPUTED_VALUE"""),1899.99)</f>
        <v>1899.99</v>
      </c>
      <c r="G37" s="1177">
        <f>IFERROR(__xludf.DUMMYFUNCTION("""COMPUTED_VALUE"""),326.8899999999994)</f>
        <v>326.89</v>
      </c>
      <c r="H37" s="1174" t="b">
        <f>IFERROR(__xludf.DUMMYFUNCTION("""COMPUTED_VALUE"""),FALSE)</f>
        <v>0</v>
      </c>
      <c r="I37" s="1174" t="str">
        <f>IFERROR(__xludf.DUMMYFUNCTION("""COMPUTED_VALUE"""),"MAYO")</f>
        <v>MAYO</v>
      </c>
      <c r="J37" s="1177">
        <f>IFERROR(__xludf.DUMMYFUNCTION("""COMPUTED_VALUE"""),9099.0)</f>
        <v>9099</v>
      </c>
    </row>
    <row r="38">
      <c r="A38" s="1175">
        <f>IFERROR(__xludf.DUMMYFUNCTION("""COMPUTED_VALUE"""),46122.0)</f>
        <v>46122</v>
      </c>
      <c r="B38" s="1174" t="str">
        <f>IFERROR(__xludf.DUMMYFUNCTION("""COMPUTED_VALUE"""),"ga-co-1277315650")</f>
        <v>ga-co-1277315650</v>
      </c>
      <c r="C38" s="1174" t="str">
        <f>IFERROR(__xludf.DUMMYFUNCTION("""COMPUTED_VALUE"""),"MAYO")</f>
        <v>MAYO</v>
      </c>
      <c r="D38" s="1174" t="b">
        <f>IFERROR(__xludf.DUMMYFUNCTION("""COMPUTED_VALUE"""),TRUE)</f>
        <v>1</v>
      </c>
      <c r="E38" s="1174" t="str">
        <f>IFERROR(__xludf.DUMMYFUNCTION("""COMPUTED_VALUE"""),"Laptop")</f>
        <v>Laptop</v>
      </c>
      <c r="F38" s="1176">
        <f>IFERROR(__xludf.DUMMYFUNCTION("""COMPUTED_VALUE"""),1599.99)</f>
        <v>1599.99</v>
      </c>
      <c r="G38" s="1177">
        <f>IFERROR(__xludf.DUMMYFUNCTION("""COMPUTED_VALUE"""),596.25)</f>
        <v>596.25</v>
      </c>
      <c r="H38" s="1174" t="b">
        <f>IFERROR(__xludf.DUMMYFUNCTION("""COMPUTED_VALUE"""),FALSE)</f>
        <v>0</v>
      </c>
      <c r="I38" s="1174" t="str">
        <f>IFERROR(__xludf.DUMMYFUNCTION("""COMPUTED_VALUE"""),"MAYO")</f>
        <v>MAYO</v>
      </c>
      <c r="J38" s="1177">
        <f>IFERROR(__xludf.DUMMYFUNCTION("""COMPUTED_VALUE"""),8448.0)</f>
        <v>8448</v>
      </c>
    </row>
    <row r="39">
      <c r="A39" s="1175">
        <f>IFERROR(__xludf.DUMMYFUNCTION("""COMPUTED_VALUE"""),46142.0)</f>
        <v>46142</v>
      </c>
      <c r="B39" s="1174" t="str">
        <f>IFERROR(__xludf.DUMMYFUNCTION("""COMPUTED_VALUE"""),"li-mi-220426")</f>
        <v>li-mi-220426</v>
      </c>
      <c r="C39" s="1174" t="str">
        <f>IFERROR(__xludf.DUMMYFUNCTION("""COMPUTED_VALUE"""),"MAYO")</f>
        <v>MAYO</v>
      </c>
      <c r="D39" s="1174" t="b">
        <f>IFERROR(__xludf.DUMMYFUNCTION("""COMPUTED_VALUE"""),TRUE)</f>
        <v>1</v>
      </c>
      <c r="E39" s="1174" t="str">
        <f>IFERROR(__xludf.DUMMYFUNCTION("""COMPUTED_VALUE"""),"Laptop")</f>
        <v>Laptop</v>
      </c>
      <c r="F39" s="1176">
        <f>IFERROR(__xludf.DUMMYFUNCTION("""COMPUTED_VALUE"""),1899.99)</f>
        <v>1899.99</v>
      </c>
      <c r="G39" s="1177"/>
      <c r="H39" s="1174" t="b">
        <f>IFERROR(__xludf.DUMMYFUNCTION("""COMPUTED_VALUE"""),FALSE)</f>
        <v>0</v>
      </c>
      <c r="I39" s="1174"/>
      <c r="J39" s="1177">
        <f>IFERROR(__xludf.DUMMYFUNCTION("""COMPUTED_VALUE"""),9398.0)</f>
        <v>9398</v>
      </c>
    </row>
    <row r="40">
      <c r="A40" s="1175">
        <f>IFERROR(__xludf.DUMMYFUNCTION("""COMPUTED_VALUE"""),46144.0)</f>
        <v>46144</v>
      </c>
      <c r="B40" s="1174" t="str">
        <f>IFERROR(__xludf.DUMMYFUNCTION("""COMPUTED_VALUE"""),"ra-mi-040526")</f>
        <v>ra-mi-040526</v>
      </c>
      <c r="C40" s="1174" t="str">
        <f>IFERROR(__xludf.DUMMYFUNCTION("""COMPUTED_VALUE"""),"MAYO")</f>
        <v>MAYO</v>
      </c>
      <c r="D40" s="1174" t="b">
        <f>IFERROR(__xludf.DUMMYFUNCTION("""COMPUTED_VALUE"""),TRUE)</f>
        <v>1</v>
      </c>
      <c r="E40" s="1174" t="str">
        <f>IFERROR(__xludf.DUMMYFUNCTION("""COMPUTED_VALUE"""),"Laptop")</f>
        <v>Laptop</v>
      </c>
      <c r="F40" s="1176">
        <f>IFERROR(__xludf.DUMMYFUNCTION("""COMPUTED_VALUE"""),1599.99)</f>
        <v>1599.99</v>
      </c>
      <c r="G40" s="1177">
        <f>IFERROR(__xludf.DUMMYFUNCTION("""COMPUTED_VALUE"""),286.0500000000002)</f>
        <v>286.05</v>
      </c>
      <c r="H40" s="1174" t="b">
        <f>IFERROR(__xludf.DUMMYFUNCTION("""COMPUTED_VALUE"""),FALSE)</f>
        <v>0</v>
      </c>
      <c r="I40" s="1174" t="str">
        <f>IFERROR(__xludf.DUMMYFUNCTION("""COMPUTED_VALUE"""),"JUNIO")</f>
        <v>JUNIO</v>
      </c>
      <c r="J40" s="1177">
        <f>IFERROR(__xludf.DUMMYFUNCTION("""COMPUTED_VALUE"""),7999.0)</f>
        <v>7999</v>
      </c>
    </row>
    <row r="41">
      <c r="A41" s="1175">
        <f>IFERROR(__xludf.DUMMYFUNCTION("""COMPUTED_VALUE"""),46144.0)</f>
        <v>46144</v>
      </c>
      <c r="B41" s="1174" t="str">
        <f>IFERROR(__xludf.DUMMYFUNCTION("""COMPUTED_VALUE"""),"ga-co-1273633558")</f>
        <v>ga-co-1273633558</v>
      </c>
      <c r="C41" s="1174" t="str">
        <f>IFERROR(__xludf.DUMMYFUNCTION("""COMPUTED_VALUE"""),"MAYO")</f>
        <v>MAYO</v>
      </c>
      <c r="D41" s="1174" t="b">
        <f>IFERROR(__xludf.DUMMYFUNCTION("""COMPUTED_VALUE"""),TRUE)</f>
        <v>1</v>
      </c>
      <c r="E41" s="1174" t="str">
        <f>IFERROR(__xludf.DUMMYFUNCTION("""COMPUTED_VALUE"""),"Laptop")</f>
        <v>Laptop</v>
      </c>
      <c r="F41" s="1176">
        <f>IFERROR(__xludf.DUMMYFUNCTION("""COMPUTED_VALUE"""),1299.99)</f>
        <v>1299.99</v>
      </c>
      <c r="G41" s="1177">
        <f>IFERROR(__xludf.DUMMYFUNCTION("""COMPUTED_VALUE"""),74.25)</f>
        <v>74.25</v>
      </c>
      <c r="H41" s="1174" t="b">
        <f>IFERROR(__xludf.DUMMYFUNCTION("""COMPUTED_VALUE"""),FALSE)</f>
        <v>0</v>
      </c>
      <c r="I41" s="1174" t="str">
        <f>IFERROR(__xludf.DUMMYFUNCTION("""COMPUTED_VALUE"""),"MAYO")</f>
        <v>MAYO</v>
      </c>
      <c r="J41" s="1177">
        <f>IFERROR(__xludf.DUMMYFUNCTION("""COMPUTED_VALUE"""),6499.0)</f>
        <v>6499</v>
      </c>
    </row>
    <row r="42">
      <c r="A42" s="1175">
        <f>IFERROR(__xludf.DUMMYFUNCTION("""COMPUTED_VALUE"""),46146.0)</f>
        <v>46146</v>
      </c>
      <c r="B42" s="1174" t="str">
        <f>IFERROR(__xludf.DUMMYFUNCTION("""COMPUTED_VALUE"""),"yo-eb-03-14564-68442")</f>
        <v>yo-eb-03-14564-68442</v>
      </c>
      <c r="C42" s="1174" t="str">
        <f>IFERROR(__xludf.DUMMYFUNCTION("""COMPUTED_VALUE"""),"MAYO")</f>
        <v>MAYO</v>
      </c>
      <c r="D42" s="1174" t="b">
        <f>IFERROR(__xludf.DUMMYFUNCTION("""COMPUTED_VALUE"""),TRUE)</f>
        <v>1</v>
      </c>
      <c r="E42" s="1174" t="str">
        <f>IFERROR(__xludf.DUMMYFUNCTION("""COMPUTED_VALUE"""),"Laptop")</f>
        <v>Laptop</v>
      </c>
      <c r="F42" s="1176">
        <f>IFERROR(__xludf.DUMMYFUNCTION("""COMPUTED_VALUE"""),1399.99)</f>
        <v>1399.99</v>
      </c>
      <c r="G42" s="1177">
        <f>IFERROR(__xludf.DUMMYFUNCTION("""COMPUTED_VALUE"""),251.0)</f>
        <v>251</v>
      </c>
      <c r="H42" s="1174" t="b">
        <f>IFERROR(__xludf.DUMMYFUNCTION("""COMPUTED_VALUE"""),FALSE)</f>
        <v>0</v>
      </c>
      <c r="I42" s="1174" t="str">
        <f>IFERROR(__xludf.DUMMYFUNCTION("""COMPUTED_VALUE"""),"MAYO")</f>
        <v>MAYO</v>
      </c>
      <c r="J42" s="1177">
        <f>IFERROR(__xludf.DUMMYFUNCTION("""COMPUTED_VALUE"""),6499.0)</f>
        <v>6499</v>
      </c>
    </row>
    <row r="43">
      <c r="A43" s="1175">
        <f>IFERROR(__xludf.DUMMYFUNCTION("""COMPUTED_VALUE"""),46146.0)</f>
        <v>46146</v>
      </c>
      <c r="B43" s="1174" t="str">
        <f>IFERROR(__xludf.DUMMYFUNCTION("""COMPUTED_VALUE"""),"ga-bh-1128798257")</f>
        <v>ga-bh-1128798257</v>
      </c>
      <c r="C43" s="1174" t="str">
        <f>IFERROR(__xludf.DUMMYFUNCTION("""COMPUTED_VALUE"""),"MAYO")</f>
        <v>MAYO</v>
      </c>
      <c r="D43" s="1174" t="b">
        <f>IFERROR(__xludf.DUMMYFUNCTION("""COMPUTED_VALUE"""),TRUE)</f>
        <v>1</v>
      </c>
      <c r="E43" s="1174" t="str">
        <f>IFERROR(__xludf.DUMMYFUNCTION("""COMPUTED_VALUE"""),"Laptop")</f>
        <v>Laptop</v>
      </c>
      <c r="F43" s="1176">
        <f>IFERROR(__xludf.DUMMYFUNCTION("""COMPUTED_VALUE"""),1299.0)</f>
        <v>1299</v>
      </c>
      <c r="G43" s="1177">
        <f>IFERROR(__xludf.DUMMYFUNCTION("""COMPUTED_VALUE"""),964.1099999999997)</f>
        <v>964.11</v>
      </c>
      <c r="H43" s="1174" t="b">
        <f>IFERROR(__xludf.DUMMYFUNCTION("""COMPUTED_VALUE"""),FALSE)</f>
        <v>0</v>
      </c>
      <c r="I43" s="1174" t="str">
        <f>IFERROR(__xludf.DUMMYFUNCTION("""COMPUTED_VALUE"""),"JUNIO")</f>
        <v>JUNIO</v>
      </c>
      <c r="J43" s="1177">
        <f>IFERROR(__xludf.DUMMYFUNCTION("""COMPUTED_VALUE"""),7039.0)</f>
        <v>7039</v>
      </c>
    </row>
    <row r="44">
      <c r="A44" s="1175">
        <f>IFERROR(__xludf.DUMMYFUNCTION("""COMPUTED_VALUE"""),46146.0)</f>
        <v>46146</v>
      </c>
      <c r="B44" s="1174" t="str">
        <f>IFERROR(__xludf.DUMMYFUNCTION("""COMPUTED_VALUE"""),"ke-ne-589234253")</f>
        <v>ke-ne-589234253</v>
      </c>
      <c r="C44" s="1174" t="str">
        <f>IFERROR(__xludf.DUMMYFUNCTION("""COMPUTED_VALUE"""),"MAYO")</f>
        <v>MAYO</v>
      </c>
      <c r="D44" s="1174" t="b">
        <f>IFERROR(__xludf.DUMMYFUNCTION("""COMPUTED_VALUE"""),TRUE)</f>
        <v>1</v>
      </c>
      <c r="E44" s="1174" t="str">
        <f>IFERROR(__xludf.DUMMYFUNCTION("""COMPUTED_VALUE"""),"Laptop")</f>
        <v>Laptop</v>
      </c>
      <c r="F44" s="1176">
        <f>IFERROR(__xludf.DUMMYFUNCTION("""COMPUTED_VALUE"""),1299.99)</f>
        <v>1299.99</v>
      </c>
      <c r="G44" s="1177">
        <f>IFERROR(__xludf.DUMMYFUNCTION("""COMPUTED_VALUE"""),-4.459999999999855)</f>
        <v>-4.46</v>
      </c>
      <c r="H44" s="1174" t="b">
        <f>IFERROR(__xludf.DUMMYFUNCTION("""COMPUTED_VALUE"""),FALSE)</f>
        <v>0</v>
      </c>
      <c r="I44" s="1174" t="str">
        <f>IFERROR(__xludf.DUMMYFUNCTION("""COMPUTED_VALUE"""),"JUNIO")</f>
        <v>JUNIO</v>
      </c>
      <c r="J44" s="1177">
        <f>IFERROR(__xludf.DUMMYFUNCTION("""COMPUTED_VALUE"""),6099.0)</f>
        <v>6099</v>
      </c>
    </row>
    <row r="45">
      <c r="A45" s="1175">
        <f>IFERROR(__xludf.DUMMYFUNCTION("""COMPUTED_VALUE"""),46148.0)</f>
        <v>46148</v>
      </c>
      <c r="B45" s="1174" t="str">
        <f>IFERROR(__xludf.DUMMYFUNCTION("""COMPUTED_VALUE"""),"so-eb-06-14610-64505")</f>
        <v>so-eb-06-14610-64505</v>
      </c>
      <c r="C45" s="1174" t="str">
        <f>IFERROR(__xludf.DUMMYFUNCTION("""COMPUTED_VALUE"""),"MAYO")</f>
        <v>MAYO</v>
      </c>
      <c r="D45" s="1174" t="b">
        <f>IFERROR(__xludf.DUMMYFUNCTION("""COMPUTED_VALUE"""),TRUE)</f>
        <v>1</v>
      </c>
      <c r="E45" s="1174" t="str">
        <f>IFERROR(__xludf.DUMMYFUNCTION("""COMPUTED_VALUE"""),"Laptop")</f>
        <v>Laptop</v>
      </c>
      <c r="F45" s="1176">
        <f>IFERROR(__xludf.DUMMYFUNCTION("""COMPUTED_VALUE"""),1299.99)</f>
        <v>1299.99</v>
      </c>
      <c r="G45" s="1177">
        <f>IFERROR(__xludf.DUMMYFUNCTION("""COMPUTED_VALUE"""),93.75)</f>
        <v>93.75</v>
      </c>
      <c r="H45" s="1174" t="b">
        <f>IFERROR(__xludf.DUMMYFUNCTION("""COMPUTED_VALUE"""),FALSE)</f>
        <v>0</v>
      </c>
      <c r="I45" s="1174" t="str">
        <f>IFERROR(__xludf.DUMMYFUNCTION("""COMPUTED_VALUE"""),"JUNIO")</f>
        <v>JUNIO</v>
      </c>
      <c r="J45" s="1177">
        <f>IFERROR(__xludf.DUMMYFUNCTION("""COMPUTED_VALUE"""),6099.0)</f>
        <v>6099</v>
      </c>
    </row>
    <row r="46">
      <c r="A46" s="1175">
        <f>IFERROR(__xludf.DUMMYFUNCTION("""COMPUTED_VALUE"""),46149.0)</f>
        <v>46149</v>
      </c>
      <c r="B46" s="1174" t="str">
        <f>IFERROR(__xludf.DUMMYFUNCTION("""COMPUTED_VALUE"""),"ga-co-1273703447")</f>
        <v>ga-co-1273703447</v>
      </c>
      <c r="C46" s="1174" t="str">
        <f>IFERROR(__xludf.DUMMYFUNCTION("""COMPUTED_VALUE"""),"MAYO")</f>
        <v>MAYO</v>
      </c>
      <c r="D46" s="1174" t="b">
        <f>IFERROR(__xludf.DUMMYFUNCTION("""COMPUTED_VALUE"""),TRUE)</f>
        <v>1</v>
      </c>
      <c r="E46" s="1174" t="str">
        <f>IFERROR(__xludf.DUMMYFUNCTION("""COMPUTED_VALUE"""),"Laptop")</f>
        <v>Laptop</v>
      </c>
      <c r="F46" s="1176">
        <f>IFERROR(__xludf.DUMMYFUNCTION("""COMPUTED_VALUE"""),1407.03)</f>
        <v>1407.03</v>
      </c>
      <c r="G46" s="1177">
        <f>IFERROR(__xludf.DUMMYFUNCTION("""COMPUTED_VALUE"""),47.0)</f>
        <v>47</v>
      </c>
      <c r="H46" s="1174" t="b">
        <f>IFERROR(__xludf.DUMMYFUNCTION("""COMPUTED_VALUE"""),FALSE)</f>
        <v>0</v>
      </c>
      <c r="I46" s="1174" t="str">
        <f>IFERROR(__xludf.DUMMYFUNCTION("""COMPUTED_VALUE"""),"MAYO")</f>
        <v>MAYO</v>
      </c>
      <c r="J46" s="1177">
        <f>IFERROR(__xludf.DUMMYFUNCTION("""COMPUTED_VALUE"""),6600.0)</f>
        <v>6600</v>
      </c>
    </row>
    <row r="47">
      <c r="A47" s="1175">
        <f>IFERROR(__xludf.DUMMYFUNCTION("""COMPUTED_VALUE"""),46150.0)</f>
        <v>46150</v>
      </c>
      <c r="B47" s="1174" t="str">
        <f>IFERROR(__xludf.DUMMYFUNCTION("""COMPUTED_VALUE"""),"li-mi-190426")</f>
        <v>li-mi-190426</v>
      </c>
      <c r="C47" s="1174" t="str">
        <f>IFERROR(__xludf.DUMMYFUNCTION("""COMPUTED_VALUE"""),"MAYO")</f>
        <v>MAYO</v>
      </c>
      <c r="D47" s="1174" t="b">
        <f>IFERROR(__xludf.DUMMYFUNCTION("""COMPUTED_VALUE"""),TRUE)</f>
        <v>1</v>
      </c>
      <c r="E47" s="1174" t="str">
        <f>IFERROR(__xludf.DUMMYFUNCTION("""COMPUTED_VALUE"""),"Laptop")</f>
        <v>Laptop</v>
      </c>
      <c r="F47" s="1176">
        <f>IFERROR(__xludf.DUMMYFUNCTION("""COMPUTED_VALUE"""),1899.0)</f>
        <v>1899</v>
      </c>
      <c r="G47" s="1177">
        <f>IFERROR(__xludf.DUMMYFUNCTION("""COMPUTED_VALUE"""),269.0)</f>
        <v>269</v>
      </c>
      <c r="H47" s="1174" t="b">
        <f>IFERROR(__xludf.DUMMYFUNCTION("""COMPUTED_VALUE"""),FALSE)</f>
        <v>0</v>
      </c>
      <c r="I47" s="1174"/>
      <c r="J47" s="1177">
        <f>IFERROR(__xludf.DUMMYFUNCTION("""COMPUTED_VALUE"""),9224.0)</f>
        <v>9224</v>
      </c>
    </row>
    <row r="48">
      <c r="A48" s="1175">
        <f>IFERROR(__xludf.DUMMYFUNCTION("""COMPUTED_VALUE"""),46150.0)</f>
        <v>46150</v>
      </c>
      <c r="B48" s="1174" t="str">
        <f>IFERROR(__xludf.DUMMYFUNCTION("""COMPUTED_VALUE"""),"li-mi-100526")</f>
        <v>li-mi-100526</v>
      </c>
      <c r="C48" s="1174" t="str">
        <f>IFERROR(__xludf.DUMMYFUNCTION("""COMPUTED_VALUE"""),"MAYO")</f>
        <v>MAYO</v>
      </c>
      <c r="D48" s="1174" t="b">
        <f>IFERROR(__xludf.DUMMYFUNCTION("""COMPUTED_VALUE"""),TRUE)</f>
        <v>1</v>
      </c>
      <c r="E48" s="1174" t="str">
        <f>IFERROR(__xludf.DUMMYFUNCTION("""COMPUTED_VALUE"""),"Laptop")</f>
        <v>Laptop</v>
      </c>
      <c r="F48" s="1176">
        <f>IFERROR(__xludf.DUMMYFUNCTION("""COMPUTED_VALUE"""),1899.99)</f>
        <v>1899.99</v>
      </c>
      <c r="G48" s="1177">
        <f>IFERROR(__xludf.DUMMYFUNCTION("""COMPUTED_VALUE"""),187.34000000000015)</f>
        <v>187.34</v>
      </c>
      <c r="H48" s="1174" t="b">
        <f>IFERROR(__xludf.DUMMYFUNCTION("""COMPUTED_VALUE"""),FALSE)</f>
        <v>0</v>
      </c>
      <c r="I48" s="1174" t="str">
        <f>IFERROR(__xludf.DUMMYFUNCTION("""COMPUTED_VALUE"""),"JUNIO")</f>
        <v>JUNIO</v>
      </c>
      <c r="J48" s="1177">
        <f>IFERROR(__xludf.DUMMYFUNCTION("""COMPUTED_VALUE"""),9199.0)</f>
        <v>9199</v>
      </c>
    </row>
    <row r="49">
      <c r="A49" s="1175">
        <f>IFERROR(__xludf.DUMMYFUNCTION("""COMPUTED_VALUE"""),46154.0)</f>
        <v>46154</v>
      </c>
      <c r="B49" s="1174" t="str">
        <f>IFERROR(__xludf.DUMMYFUNCTION("""COMPUTED_VALUE"""),"ga-co-1284807681")</f>
        <v>ga-co-1284807681</v>
      </c>
      <c r="C49" s="1174" t="str">
        <f>IFERROR(__xludf.DUMMYFUNCTION("""COMPUTED_VALUE"""),"MAYO")</f>
        <v>MAYO</v>
      </c>
      <c r="D49" s="1174" t="b">
        <f>IFERROR(__xludf.DUMMYFUNCTION("""COMPUTED_VALUE"""),TRUE)</f>
        <v>1</v>
      </c>
      <c r="E49" s="1174" t="str">
        <f>IFERROR(__xludf.DUMMYFUNCTION("""COMPUTED_VALUE"""),"Laptop")</f>
        <v>Laptop</v>
      </c>
      <c r="F49" s="1176">
        <f>IFERROR(__xludf.DUMMYFUNCTION("""COMPUTED_VALUE"""),1599.99)</f>
        <v>1599.99</v>
      </c>
      <c r="G49" s="1177">
        <f>IFERROR(__xludf.DUMMYFUNCTION("""COMPUTED_VALUE"""),377.85000000000036)</f>
        <v>377.85</v>
      </c>
      <c r="H49" s="1174" t="b">
        <f>IFERROR(__xludf.DUMMYFUNCTION("""COMPUTED_VALUE"""),FALSE)</f>
        <v>0</v>
      </c>
      <c r="I49" s="1174" t="str">
        <f>IFERROR(__xludf.DUMMYFUNCTION("""COMPUTED_VALUE"""),"JUNIO")</f>
        <v>JUNIO</v>
      </c>
      <c r="J49" s="1177">
        <f>IFERROR(__xludf.DUMMYFUNCTION("""COMPUTED_VALUE"""),8099.0)</f>
        <v>8099</v>
      </c>
    </row>
    <row r="50">
      <c r="A50" s="1175">
        <f>IFERROR(__xludf.DUMMYFUNCTION("""COMPUTED_VALUE"""),46158.0)</f>
        <v>46158</v>
      </c>
      <c r="B50" s="1174" t="str">
        <f>IFERROR(__xludf.DUMMYFUNCTION("""COMPUTED_VALUE"""),"ke-as-10001333644")</f>
        <v>ke-as-10001333644</v>
      </c>
      <c r="C50" s="1174" t="str">
        <f>IFERROR(__xludf.DUMMYFUNCTION("""COMPUTED_VALUE"""),"MAYO")</f>
        <v>MAYO</v>
      </c>
      <c r="D50" s="1174" t="b">
        <f>IFERROR(__xludf.DUMMYFUNCTION("""COMPUTED_VALUE"""),TRUE)</f>
        <v>1</v>
      </c>
      <c r="E50" s="1174" t="str">
        <f>IFERROR(__xludf.DUMMYFUNCTION("""COMPUTED_VALUE"""),"Laptop")</f>
        <v>Laptop</v>
      </c>
      <c r="F50" s="1176">
        <f>IFERROR(__xludf.DUMMYFUNCTION("""COMPUTED_VALUE"""),1399.99)</f>
        <v>1399.99</v>
      </c>
      <c r="G50" s="1177">
        <f>IFERROR(__xludf.DUMMYFUNCTION("""COMPUTED_VALUE"""),179.0)</f>
        <v>179</v>
      </c>
      <c r="H50" s="1174" t="b">
        <f>IFERROR(__xludf.DUMMYFUNCTION("""COMPUTED_VALUE"""),FALSE)</f>
        <v>0</v>
      </c>
      <c r="I50" s="1174" t="str">
        <f>IFERROR(__xludf.DUMMYFUNCTION("""COMPUTED_VALUE"""),"JUNIO")</f>
        <v>JUNIO</v>
      </c>
      <c r="J50" s="1177">
        <f>IFERROR(__xludf.DUMMYFUNCTION("""COMPUTED_VALUE"""),6499.0)</f>
        <v>6499</v>
      </c>
    </row>
    <row r="51">
      <c r="A51" s="1175">
        <f>IFERROR(__xludf.DUMMYFUNCTION("""COMPUTED_VALUE"""),46158.0)</f>
        <v>46158</v>
      </c>
      <c r="B51" s="1174" t="str">
        <f>IFERROR(__xludf.DUMMYFUNCTION("""COMPUTED_VALUE"""),"yo-eb-08-14650-43140")</f>
        <v>yo-eb-08-14650-43140</v>
      </c>
      <c r="C51" s="1174" t="str">
        <f>IFERROR(__xludf.DUMMYFUNCTION("""COMPUTED_VALUE"""),"JUNIO")</f>
        <v>JUNIO</v>
      </c>
      <c r="D51" s="1174" t="b">
        <f>IFERROR(__xludf.DUMMYFUNCTION("""COMPUTED_VALUE"""),TRUE)</f>
        <v>1</v>
      </c>
      <c r="E51" s="1174" t="str">
        <f>IFERROR(__xludf.DUMMYFUNCTION("""COMPUTED_VALUE"""),"Laptop")</f>
        <v>Laptop</v>
      </c>
      <c r="F51" s="1176">
        <f>IFERROR(__xludf.DUMMYFUNCTION("""COMPUTED_VALUE"""),1150.0)</f>
        <v>1150</v>
      </c>
      <c r="G51" s="1177">
        <f>IFERROR(__xludf.DUMMYFUNCTION("""COMPUTED_VALUE"""),191.96000000000004)</f>
        <v>191.96</v>
      </c>
      <c r="H51" s="1174" t="b">
        <f>IFERROR(__xludf.DUMMYFUNCTION("""COMPUTED_VALUE"""),FALSE)</f>
        <v>0</v>
      </c>
      <c r="I51" s="1174"/>
      <c r="J51" s="1177">
        <f>IFERROR(__xludf.DUMMYFUNCTION("""COMPUTED_VALUE"""),5999.0)</f>
        <v>5999</v>
      </c>
    </row>
    <row r="52">
      <c r="A52" s="1175">
        <f>IFERROR(__xludf.DUMMYFUNCTION("""COMPUTED_VALUE"""),46161.0)</f>
        <v>46161</v>
      </c>
      <c r="B52" s="1174" t="str">
        <f>IFERROR(__xludf.DUMMYFUNCTION("""COMPUTED_VALUE"""),"ke-eb-10-14563-48577")</f>
        <v>ke-eb-10-14563-48577</v>
      </c>
      <c r="C52" s="1174" t="str">
        <f>IFERROR(__xludf.DUMMYFUNCTION("""COMPUTED_VALUE"""),"MAYO")</f>
        <v>MAYO</v>
      </c>
      <c r="D52" s="1174" t="b">
        <f>IFERROR(__xludf.DUMMYFUNCTION("""COMPUTED_VALUE"""),TRUE)</f>
        <v>1</v>
      </c>
      <c r="E52" s="1174" t="str">
        <f>IFERROR(__xludf.DUMMYFUNCTION("""COMPUTED_VALUE"""),"Laptop")</f>
        <v>Laptop</v>
      </c>
      <c r="F52" s="1176">
        <f>IFERROR(__xludf.DUMMYFUNCTION("""COMPUTED_VALUE"""),1299.99)</f>
        <v>1299.99</v>
      </c>
      <c r="G52" s="1177">
        <f>IFERROR(__xludf.DUMMYFUNCTION("""COMPUTED_VALUE"""),133.0)</f>
        <v>133</v>
      </c>
      <c r="H52" s="1174" t="b">
        <f>IFERROR(__xludf.DUMMYFUNCTION("""COMPUTED_VALUE"""),FALSE)</f>
        <v>0</v>
      </c>
      <c r="I52" s="1174" t="str">
        <f>IFERROR(__xludf.DUMMYFUNCTION("""COMPUTED_VALUE"""),"MAYO")</f>
        <v>MAYO</v>
      </c>
      <c r="J52" s="1177">
        <f>IFERROR(__xludf.DUMMYFUNCTION("""COMPUTED_VALUE"""),6099.0)</f>
        <v>6099</v>
      </c>
    </row>
    <row r="53">
      <c r="A53" s="1175"/>
      <c r="B53" s="1174"/>
      <c r="C53" s="1174"/>
      <c r="D53" s="1174" t="b">
        <f>IFERROR(__xludf.DUMMYFUNCTION("""COMPUTED_VALUE"""),FALSE)</f>
        <v>0</v>
      </c>
      <c r="E53" s="1174"/>
      <c r="F53" s="1176"/>
      <c r="G53" s="1177">
        <f>IFERROR(__xludf.DUMMYFUNCTION("""COMPUTED_VALUE"""),0.0)</f>
        <v>0</v>
      </c>
      <c r="H53" s="1174" t="b">
        <f>IFERROR(__xludf.DUMMYFUNCTION("""COMPUTED_VALUE"""),FALSE)</f>
        <v>0</v>
      </c>
      <c r="I53" s="1174"/>
      <c r="J53" s="1177"/>
    </row>
    <row r="54">
      <c r="A54" s="1175">
        <f>IFERROR(__xludf.DUMMYFUNCTION("""COMPUTED_VALUE"""),46167.0)</f>
        <v>46167</v>
      </c>
      <c r="B54" s="1174" t="str">
        <f>IFERROR(__xludf.DUMMYFUNCTION("""COMPUTED_VALUE"""),"li-mi-270526")</f>
        <v>li-mi-270526</v>
      </c>
      <c r="C54" s="1174"/>
      <c r="D54" s="1174" t="b">
        <f>IFERROR(__xludf.DUMMYFUNCTION("""COMPUTED_VALUE"""),FALSE)</f>
        <v>0</v>
      </c>
      <c r="E54" s="1174" t="str">
        <f>IFERROR(__xludf.DUMMYFUNCTION("""COMPUTED_VALUE"""),"Laptop")</f>
        <v>Laptop</v>
      </c>
      <c r="F54" s="1176">
        <f>IFERROR(__xludf.DUMMYFUNCTION("""COMPUTED_VALUE"""),2199.99)</f>
        <v>2199.99</v>
      </c>
      <c r="G54" s="1177">
        <f>IFERROR(__xludf.DUMMYFUNCTION("""COMPUTED_VALUE"""),162.1900000000005)</f>
        <v>162.19</v>
      </c>
      <c r="H54" s="1174" t="b">
        <f>IFERROR(__xludf.DUMMYFUNCTION("""COMPUTED_VALUE"""),FALSE)</f>
        <v>0</v>
      </c>
      <c r="I54" s="1174"/>
      <c r="J54" s="1177">
        <f>IFERROR(__xludf.DUMMYFUNCTION("""COMPUTED_VALUE"""),9870.0)</f>
        <v>9870</v>
      </c>
      <c r="N54" s="1174" t="str">
        <f t="shared" ref="N54:N1000" si="1">IF(M54="","",YEAR(M54))</f>
        <v/>
      </c>
    </row>
    <row r="55">
      <c r="A55" s="1175">
        <f>IFERROR(__xludf.DUMMYFUNCTION("""COMPUTED_VALUE"""),46168.0)</f>
        <v>46168</v>
      </c>
      <c r="B55" s="1174" t="str">
        <f>IFERROR(__xludf.DUMMYFUNCTION("""COMPUTED_VALUE"""),"yo-eb-04-14730-06406")</f>
        <v>yo-eb-04-14730-06406</v>
      </c>
      <c r="C55" s="1174" t="str">
        <f>IFERROR(__xludf.DUMMYFUNCTION("""COMPUTED_VALUE"""),"JUNIO")</f>
        <v>JUNIO</v>
      </c>
      <c r="D55" s="1174" t="b">
        <f>IFERROR(__xludf.DUMMYFUNCTION("""COMPUTED_VALUE"""),TRUE)</f>
        <v>1</v>
      </c>
      <c r="E55" s="1174" t="str">
        <f>IFERROR(__xludf.DUMMYFUNCTION("""COMPUTED_VALUE"""),"Laptop")</f>
        <v>Laptop</v>
      </c>
      <c r="F55" s="1176">
        <f>IFERROR(__xludf.DUMMYFUNCTION("""COMPUTED_VALUE"""),1574.99)</f>
        <v>1574.99</v>
      </c>
      <c r="G55" s="1177">
        <f>IFERROR(__xludf.DUMMYFUNCTION("""COMPUTED_VALUE"""),142.07999999999993)</f>
        <v>142.08</v>
      </c>
      <c r="H55" s="1174" t="b">
        <f>IFERROR(__xludf.DUMMYFUNCTION("""COMPUTED_VALUE"""),FALSE)</f>
        <v>0</v>
      </c>
      <c r="I55" s="1174" t="str">
        <f>IFERROR(__xludf.DUMMYFUNCTION("""COMPUTED_VALUE"""),"JUNIO")</f>
        <v>JUNIO</v>
      </c>
      <c r="J55" s="1177">
        <f>IFERROR(__xludf.DUMMYFUNCTION("""COMPUTED_VALUE"""),7000.0)</f>
        <v>7000</v>
      </c>
      <c r="N55" s="1174" t="str">
        <f t="shared" si="1"/>
        <v/>
      </c>
    </row>
    <row r="56">
      <c r="A56" s="1175">
        <f>IFERROR(__xludf.DUMMYFUNCTION("""COMPUTED_VALUE"""),46168.0)</f>
        <v>46168</v>
      </c>
      <c r="B56" s="1174"/>
      <c r="C56" s="1174"/>
      <c r="D56" s="1174" t="b">
        <f>IFERROR(__xludf.DUMMYFUNCTION("""COMPUTED_VALUE"""),FALSE)</f>
        <v>0</v>
      </c>
      <c r="E56" s="1174" t="str">
        <f>IFERROR(__xludf.DUMMYFUNCTION("""COMPUTED_VALUE"""),"Laptop")</f>
        <v>Laptop</v>
      </c>
      <c r="F56" s="1176">
        <f>IFERROR(__xludf.DUMMYFUNCTION("""COMPUTED_VALUE"""),1349.99)</f>
        <v>1349.99</v>
      </c>
      <c r="G56" s="1177">
        <f>IFERROR(__xludf.DUMMYFUNCTION("""COMPUTED_VALUE"""),335.4399999999996)</f>
        <v>335.44</v>
      </c>
      <c r="H56" s="1174" t="b">
        <f>IFERROR(__xludf.DUMMYFUNCTION("""COMPUTED_VALUE"""),FALSE)</f>
        <v>0</v>
      </c>
      <c r="I56" s="1174"/>
      <c r="J56" s="1177">
        <f>IFERROR(__xludf.DUMMYFUNCTION("""COMPUTED_VALUE"""),6199.0)</f>
        <v>6199</v>
      </c>
      <c r="N56" s="1174" t="str">
        <f t="shared" si="1"/>
        <v/>
      </c>
    </row>
    <row r="57">
      <c r="A57" s="1175">
        <f>IFERROR(__xludf.DUMMYFUNCTION("""COMPUTED_VALUE"""),46173.0)</f>
        <v>46173</v>
      </c>
      <c r="B57" s="1174" t="str">
        <f>IFERROR(__xludf.DUMMYFUNCTION("""COMPUTED_VALUE"""),"re-eb-06-14613-55509")</f>
        <v>re-eb-06-14613-55509</v>
      </c>
      <c r="C57" s="1174" t="str">
        <f>IFERROR(__xludf.DUMMYFUNCTION("""COMPUTED_VALUE"""),"JUNIO")</f>
        <v>JUNIO</v>
      </c>
      <c r="D57" s="1174" t="b">
        <f>IFERROR(__xludf.DUMMYFUNCTION("""COMPUTED_VALUE"""),TRUE)</f>
        <v>1</v>
      </c>
      <c r="E57" s="1174" t="str">
        <f>IFERROR(__xludf.DUMMYFUNCTION("""COMPUTED_VALUE"""),"Laptop")</f>
        <v>Laptop</v>
      </c>
      <c r="F57" s="1176">
        <f>IFERROR(__xludf.DUMMYFUNCTION("""COMPUTED_VALUE"""),1299.99)</f>
        <v>1299.99</v>
      </c>
      <c r="G57" s="1177">
        <f>IFERROR(__xludf.DUMMYFUNCTION("""COMPUTED_VALUE"""),183.0)</f>
        <v>183</v>
      </c>
      <c r="H57" s="1174" t="b">
        <f>IFERROR(__xludf.DUMMYFUNCTION("""COMPUTED_VALUE"""),TRUE)</f>
        <v>1</v>
      </c>
      <c r="I57" s="1174" t="str">
        <f>IFERROR(__xludf.DUMMYFUNCTION("""COMPUTED_VALUE"""),"JUNIO")</f>
        <v>JUNIO</v>
      </c>
      <c r="J57" s="1177">
        <f>IFERROR(__xludf.DUMMYFUNCTION("""COMPUTED_VALUE"""),6234.0)</f>
        <v>6234</v>
      </c>
      <c r="N57" s="1174" t="str">
        <f t="shared" si="1"/>
        <v/>
      </c>
    </row>
    <row r="58">
      <c r="A58" s="1175">
        <f>IFERROR(__xludf.DUMMYFUNCTION("""COMPUTED_VALUE"""),46174.0)</f>
        <v>46174</v>
      </c>
      <c r="B58" s="1174" t="str">
        <f>IFERROR(__xludf.DUMMYFUNCTION("""COMPUTED_VALUE"""),"ke-eb-04-14726-03224")</f>
        <v>ke-eb-04-14726-03224</v>
      </c>
      <c r="C58" s="1174" t="str">
        <f>IFERROR(__xludf.DUMMYFUNCTION("""COMPUTED_VALUE"""),"JUNIO")</f>
        <v>JUNIO</v>
      </c>
      <c r="D58" s="1174" t="b">
        <f>IFERROR(__xludf.DUMMYFUNCTION("""COMPUTED_VALUE"""),TRUE)</f>
        <v>1</v>
      </c>
      <c r="E58" s="1174" t="str">
        <f>IFERROR(__xludf.DUMMYFUNCTION("""COMPUTED_VALUE"""),"Laptop")</f>
        <v>Laptop</v>
      </c>
      <c r="F58" s="1176">
        <f>IFERROR(__xludf.DUMMYFUNCTION("""COMPUTED_VALUE"""),1579.0)</f>
        <v>1579</v>
      </c>
      <c r="G58" s="1177">
        <f>IFERROR(__xludf.DUMMYFUNCTION("""COMPUTED_VALUE"""),7.4099999999998545)</f>
        <v>7.41</v>
      </c>
      <c r="H58" s="1174" t="b">
        <f>IFERROR(__xludf.DUMMYFUNCTION("""COMPUTED_VALUE"""),FALSE)</f>
        <v>0</v>
      </c>
      <c r="I58" s="1174" t="str">
        <f>IFERROR(__xludf.DUMMYFUNCTION("""COMPUTED_VALUE"""),"JUNIO")</f>
        <v>JUNIO</v>
      </c>
      <c r="J58" s="1177">
        <f>IFERROR(__xludf.DUMMYFUNCTION("""COMPUTED_VALUE"""),6980.0)</f>
        <v>6980</v>
      </c>
      <c r="N58" s="1174" t="str">
        <f t="shared" si="1"/>
        <v/>
      </c>
    </row>
    <row r="59">
      <c r="A59" s="1175">
        <f>IFERROR(__xludf.DUMMYFUNCTION("""COMPUTED_VALUE"""),46175.0)</f>
        <v>46175</v>
      </c>
      <c r="B59" s="1174" t="str">
        <f>IFERROR(__xludf.DUMMYFUNCTION("""COMPUTED_VALUE"""),"ke-as-10001336158")</f>
        <v>ke-as-10001336158</v>
      </c>
      <c r="C59" s="1174" t="str">
        <f>IFERROR(__xludf.DUMMYFUNCTION("""COMPUTED_VALUE"""),"JUNIO")</f>
        <v>JUNIO</v>
      </c>
      <c r="D59" s="1174" t="b">
        <f>IFERROR(__xludf.DUMMYFUNCTION("""COMPUTED_VALUE"""),TRUE)</f>
        <v>1</v>
      </c>
      <c r="E59" s="1174" t="str">
        <f>IFERROR(__xludf.DUMMYFUNCTION("""COMPUTED_VALUE"""),"Laptop")</f>
        <v>Laptop</v>
      </c>
      <c r="F59" s="1176">
        <f>IFERROR(__xludf.DUMMYFUNCTION("""COMPUTED_VALUE"""),1399.99)</f>
        <v>1399.99</v>
      </c>
      <c r="G59" s="1177">
        <f>IFERROR(__xludf.DUMMYFUNCTION("""COMPUTED_VALUE"""),179.0)</f>
        <v>179</v>
      </c>
      <c r="H59" s="1174" t="b">
        <f>IFERROR(__xludf.DUMMYFUNCTION("""COMPUTED_VALUE"""),FALSE)</f>
        <v>0</v>
      </c>
      <c r="I59" s="1174"/>
      <c r="J59" s="1177">
        <f>IFERROR(__xludf.DUMMYFUNCTION("""COMPUTED_VALUE"""),6499.0)</f>
        <v>6499</v>
      </c>
      <c r="N59" s="1174" t="str">
        <f t="shared" si="1"/>
        <v/>
      </c>
    </row>
    <row r="60">
      <c r="A60" s="1175">
        <f>IFERROR(__xludf.DUMMYFUNCTION("""COMPUTED_VALUE"""),46178.0)</f>
        <v>46178</v>
      </c>
      <c r="B60" s="1174" t="str">
        <f>IFERROR(__xludf.DUMMYFUNCTION("""COMPUTED_VALUE"""),"ke-am-113-3604353-8273831")</f>
        <v>ke-am-113-3604353-8273831</v>
      </c>
      <c r="C60" s="1174" t="str">
        <f>IFERROR(__xludf.DUMMYFUNCTION("""COMPUTED_VALUE"""),"JUNIO")</f>
        <v>JUNIO</v>
      </c>
      <c r="D60" s="1174" t="b">
        <f>IFERROR(__xludf.DUMMYFUNCTION("""COMPUTED_VALUE"""),TRUE)</f>
        <v>1</v>
      </c>
      <c r="E60" s="1174" t="str">
        <f>IFERROR(__xludf.DUMMYFUNCTION("""COMPUTED_VALUE"""),"Laptop")</f>
        <v>Laptop</v>
      </c>
      <c r="F60" s="1176"/>
      <c r="G60" s="1177">
        <f>IFERROR(__xludf.DUMMYFUNCTION("""COMPUTED_VALUE"""),91.0)</f>
        <v>91</v>
      </c>
      <c r="H60" s="1174" t="b">
        <f>IFERROR(__xludf.DUMMYFUNCTION("""COMPUTED_VALUE"""),FALSE)</f>
        <v>0</v>
      </c>
      <c r="I60" s="1174" t="str">
        <f>IFERROR(__xludf.DUMMYFUNCTION("""COMPUTED_VALUE"""),"JUNIO")</f>
        <v>JUNIO</v>
      </c>
      <c r="J60" s="1177">
        <f>IFERROR(__xludf.DUMMYFUNCTION("""COMPUTED_VALUE"""),6899.0)</f>
        <v>6899</v>
      </c>
      <c r="N60" s="1174" t="str">
        <f t="shared" si="1"/>
        <v/>
      </c>
    </row>
    <row r="61">
      <c r="A61" s="1175">
        <f>IFERROR(__xludf.DUMMYFUNCTION("""COMPUTED_VALUE"""),46184.0)</f>
        <v>46184</v>
      </c>
      <c r="B61" s="1174" t="str">
        <f>IFERROR(__xludf.DUMMYFUNCTION("""COMPUTED_VALUE"""),"es-mi-120626")</f>
        <v>es-mi-120626</v>
      </c>
      <c r="C61" s="1174" t="str">
        <f>IFERROR(__xludf.DUMMYFUNCTION("""COMPUTED_VALUE"""),"JUNIO")</f>
        <v>JUNIO</v>
      </c>
      <c r="D61" s="1174" t="b">
        <f>IFERROR(__xludf.DUMMYFUNCTION("""COMPUTED_VALUE"""),TRUE)</f>
        <v>1</v>
      </c>
      <c r="E61" s="1174" t="str">
        <f>IFERROR(__xludf.DUMMYFUNCTION("""COMPUTED_VALUE"""),"Laptop")</f>
        <v>Laptop</v>
      </c>
      <c r="F61" s="1176">
        <f>IFERROR(__xludf.DUMMYFUNCTION("""COMPUTED_VALUE"""),1599.99)</f>
        <v>1599.99</v>
      </c>
      <c r="G61" s="1177">
        <f>IFERROR(__xludf.DUMMYFUNCTION("""COMPUTED_VALUE"""),116.1899999999996)</f>
        <v>116.19</v>
      </c>
      <c r="H61" s="1174" t="b">
        <f>IFERROR(__xludf.DUMMYFUNCTION("""COMPUTED_VALUE"""),FALSE)</f>
        <v>0</v>
      </c>
      <c r="I61" s="1174"/>
      <c r="J61" s="1177">
        <f>IFERROR(__xludf.DUMMYFUNCTION("""COMPUTED_VALUE"""),7699.0)</f>
        <v>7699</v>
      </c>
      <c r="N61" s="1174" t="str">
        <f t="shared" si="1"/>
        <v/>
      </c>
    </row>
    <row r="62">
      <c r="A62" s="1175">
        <f>IFERROR(__xludf.DUMMYFUNCTION("""COMPUTED_VALUE"""),46185.0)</f>
        <v>46185</v>
      </c>
      <c r="B62" s="1174" t="str">
        <f>IFERROR(__xludf.DUMMYFUNCTION("""COMPUTED_VALUE"""),"ga-bh-1129835428")</f>
        <v>ga-bh-1129835428</v>
      </c>
      <c r="C62" s="1174" t="str">
        <f>IFERROR(__xludf.DUMMYFUNCTION("""COMPUTED_VALUE"""),"JUNIO")</f>
        <v>JUNIO</v>
      </c>
      <c r="D62" s="1174" t="b">
        <f>IFERROR(__xludf.DUMMYFUNCTION("""COMPUTED_VALUE"""),TRUE)</f>
        <v>1</v>
      </c>
      <c r="E62" s="1174" t="str">
        <f>IFERROR(__xludf.DUMMYFUNCTION("""COMPUTED_VALUE"""),"Laptop")</f>
        <v>Laptop</v>
      </c>
      <c r="F62" s="1176">
        <f>IFERROR(__xludf.DUMMYFUNCTION("""COMPUTED_VALUE"""),2549.0)</f>
        <v>2549</v>
      </c>
      <c r="G62" s="1177">
        <f>IFERROR(__xludf.DUMMYFUNCTION("""COMPUTED_VALUE"""),161.17000000000007)</f>
        <v>161.17</v>
      </c>
      <c r="H62" s="1174" t="b">
        <f>IFERROR(__xludf.DUMMYFUNCTION("""COMPUTED_VALUE"""),FALSE)</f>
        <v>0</v>
      </c>
      <c r="I62" s="1174"/>
      <c r="J62" s="1177">
        <f>IFERROR(__xludf.DUMMYFUNCTION("""COMPUTED_VALUE"""),11000.0)</f>
        <v>11000</v>
      </c>
      <c r="N62" s="1174" t="str">
        <f t="shared" si="1"/>
        <v/>
      </c>
    </row>
    <row r="63">
      <c r="A63" s="1175">
        <f>IFERROR(__xludf.DUMMYFUNCTION("""COMPUTED_VALUE"""),46188.0)</f>
        <v>46188</v>
      </c>
      <c r="B63" s="1174" t="str">
        <f>IFERROR(__xludf.DUMMYFUNCTION("""COMPUTED_VALUE"""),"ke-eb-26-14750-56744")</f>
        <v>ke-eb-26-14750-56744</v>
      </c>
      <c r="C63" s="1174" t="str">
        <f>IFERROR(__xludf.DUMMYFUNCTION("""COMPUTED_VALUE"""),"JULIO")</f>
        <v>JULIO</v>
      </c>
      <c r="D63" s="1174" t="b">
        <f>IFERROR(__xludf.DUMMYFUNCTION("""COMPUTED_VALUE"""),FALSE)</f>
        <v>0</v>
      </c>
      <c r="E63" s="1174" t="str">
        <f>IFERROR(__xludf.DUMMYFUNCTION("""COMPUTED_VALUE"""),"Laptop")</f>
        <v>Laptop</v>
      </c>
      <c r="F63" s="1176">
        <f>IFERROR(__xludf.DUMMYFUNCTION("""COMPUTED_VALUE"""),1699.99)</f>
        <v>1699.99</v>
      </c>
      <c r="G63" s="1177">
        <f>IFERROR(__xludf.DUMMYFUNCTION("""COMPUTED_VALUE"""),264.64999999999964)</f>
        <v>264.65</v>
      </c>
      <c r="H63" s="1174" t="b">
        <f>IFERROR(__xludf.DUMMYFUNCTION("""COMPUTED_VALUE"""),FALSE)</f>
        <v>0</v>
      </c>
      <c r="I63" s="1174"/>
      <c r="J63" s="1177">
        <f>IFERROR(__xludf.DUMMYFUNCTION("""COMPUTED_VALUE"""),7580.0)</f>
        <v>7580</v>
      </c>
      <c r="N63" s="1174" t="str">
        <f t="shared" si="1"/>
        <v/>
      </c>
    </row>
    <row r="64">
      <c r="A64" s="1175">
        <f>IFERROR(__xludf.DUMMYFUNCTION("""COMPUTED_VALUE"""),46190.0)</f>
        <v>46190</v>
      </c>
      <c r="B64" s="1174" t="str">
        <f>IFERROR(__xludf.DUMMYFUNCTION("""COMPUTED_VALUE"""),"ke-as-10001365630")</f>
        <v>ke-as-10001365630</v>
      </c>
      <c r="C64" s="1174" t="str">
        <f>IFERROR(__xludf.DUMMYFUNCTION("""COMPUTED_VALUE"""),"JULIO")</f>
        <v>JULIO</v>
      </c>
      <c r="D64" s="1174" t="b">
        <f>IFERROR(__xludf.DUMMYFUNCTION("""COMPUTED_VALUE"""),FALSE)</f>
        <v>0</v>
      </c>
      <c r="E64" s="1174" t="str">
        <f>IFERROR(__xludf.DUMMYFUNCTION("""COMPUTED_VALUE"""),"Laptop")</f>
        <v>Laptop</v>
      </c>
      <c r="F64" s="1176">
        <f>IFERROR(__xludf.DUMMYFUNCTION("""COMPUTED_VALUE"""),1399.99)</f>
        <v>1399.99</v>
      </c>
      <c r="G64" s="1177">
        <f>IFERROR(__xludf.DUMMYFUNCTION("""COMPUTED_VALUE"""),434.78999999999996)</f>
        <v>434.79</v>
      </c>
      <c r="H64" s="1174" t="b">
        <f>IFERROR(__xludf.DUMMYFUNCTION("""COMPUTED_VALUE"""),FALSE)</f>
        <v>0</v>
      </c>
      <c r="I64" s="1174"/>
      <c r="J64" s="1177">
        <f>IFERROR(__xludf.DUMMYFUNCTION("""COMPUTED_VALUE"""),6499.0)</f>
        <v>6499</v>
      </c>
      <c r="N64" s="1174" t="str">
        <f t="shared" si="1"/>
        <v/>
      </c>
    </row>
    <row r="65">
      <c r="A65" s="1175">
        <f>IFERROR(__xludf.DUMMYFUNCTION("""COMPUTED_VALUE"""),46191.0)</f>
        <v>46191</v>
      </c>
      <c r="B65" s="1174" t="str">
        <f>IFERROR(__xludf.DUMMYFUNCTION("""COMPUTED_VALUE"""),"ga-as-10001365978")</f>
        <v>ga-as-10001365978</v>
      </c>
      <c r="C65" s="1174" t="str">
        <f>IFERROR(__xludf.DUMMYFUNCTION("""COMPUTED_VALUE"""),"JULIO")</f>
        <v>JULIO</v>
      </c>
      <c r="D65" s="1174" t="b">
        <f>IFERROR(__xludf.DUMMYFUNCTION("""COMPUTED_VALUE"""),FALSE)</f>
        <v>0</v>
      </c>
      <c r="E65" s="1174" t="str">
        <f>IFERROR(__xludf.DUMMYFUNCTION("""COMPUTED_VALUE"""),"Laptop")</f>
        <v>Laptop</v>
      </c>
      <c r="F65" s="1176">
        <f>IFERROR(__xludf.DUMMYFUNCTION("""COMPUTED_VALUE"""),1499.99)</f>
        <v>1499.99</v>
      </c>
      <c r="G65" s="1177">
        <f>IFERROR(__xludf.DUMMYFUNCTION("""COMPUTED_VALUE"""),488.02999999999975)</f>
        <v>488.03</v>
      </c>
      <c r="H65" s="1174" t="b">
        <f>IFERROR(__xludf.DUMMYFUNCTION("""COMPUTED_VALUE"""),FALSE)</f>
        <v>0</v>
      </c>
      <c r="I65" s="1174"/>
      <c r="J65" s="1177">
        <f>IFERROR(__xludf.DUMMYFUNCTION("""COMPUTED_VALUE"""),6999.0)</f>
        <v>6999</v>
      </c>
      <c r="N65" s="1174" t="str">
        <f t="shared" si="1"/>
        <v/>
      </c>
    </row>
    <row r="66">
      <c r="A66" s="1175">
        <f>IFERROR(__xludf.DUMMYFUNCTION("""COMPUTED_VALUE"""),46196.0)</f>
        <v>46196</v>
      </c>
      <c r="B66" s="1174" t="str">
        <f>IFERROR(__xludf.DUMMYFUNCTION("""COMPUTED_VALUE"""),"ga-co-1294491322")</f>
        <v>ga-co-1294491322</v>
      </c>
      <c r="C66" s="1174"/>
      <c r="D66" s="1174" t="b">
        <f>IFERROR(__xludf.DUMMYFUNCTION("""COMPUTED_VALUE"""),FALSE)</f>
        <v>0</v>
      </c>
      <c r="E66" s="1174" t="str">
        <f>IFERROR(__xludf.DUMMYFUNCTION("""COMPUTED_VALUE"""),"Laptop")</f>
        <v>Laptop</v>
      </c>
      <c r="F66" s="1176">
        <f>IFERROR(__xludf.DUMMYFUNCTION("""COMPUTED_VALUE"""),2299.99)</f>
        <v>2299.99</v>
      </c>
      <c r="G66" s="1177">
        <f>IFERROR(__xludf.DUMMYFUNCTION("""COMPUTED_VALUE"""),735.2299999999996)</f>
        <v>735.23</v>
      </c>
      <c r="H66" s="1174" t="b">
        <f>IFERROR(__xludf.DUMMYFUNCTION("""COMPUTED_VALUE"""),FALSE)</f>
        <v>0</v>
      </c>
      <c r="I66" s="1174"/>
      <c r="J66" s="1177">
        <f>IFERROR(__xludf.DUMMYFUNCTION("""COMPUTED_VALUE"""),10999.0)</f>
        <v>10999</v>
      </c>
      <c r="N66" s="1174" t="str">
        <f t="shared" si="1"/>
        <v/>
      </c>
    </row>
    <row r="67">
      <c r="A67" s="1175">
        <f>IFERROR(__xludf.DUMMYFUNCTION("""COMPUTED_VALUE"""),46204.0)</f>
        <v>46204</v>
      </c>
      <c r="B67" s="1174"/>
      <c r="C67" s="1174"/>
      <c r="D67" s="1174" t="b">
        <f>IFERROR(__xludf.DUMMYFUNCTION("""COMPUTED_VALUE"""),FALSE)</f>
        <v>0</v>
      </c>
      <c r="E67" s="1174" t="str">
        <f>IFERROR(__xludf.DUMMYFUNCTION("""COMPUTED_VALUE"""),"Laptop")</f>
        <v>Laptop</v>
      </c>
      <c r="F67" s="1176">
        <f>IFERROR(__xludf.DUMMYFUNCTION("""COMPUTED_VALUE"""),2499.99)</f>
        <v>2499.99</v>
      </c>
      <c r="G67" s="1177">
        <f>IFERROR(__xludf.DUMMYFUNCTION("""COMPUTED_VALUE"""),3141.08)</f>
        <v>3141.08</v>
      </c>
      <c r="H67" s="1174" t="b">
        <f>IFERROR(__xludf.DUMMYFUNCTION("""COMPUTED_VALUE"""),FALSE)</f>
        <v>0</v>
      </c>
      <c r="I67" s="1174"/>
      <c r="J67" s="1177">
        <f>IFERROR(__xludf.DUMMYFUNCTION("""COMPUTED_VALUE"""),14864.0)</f>
        <v>14864</v>
      </c>
      <c r="N67" s="1174" t="str">
        <f t="shared" si="1"/>
        <v/>
      </c>
    </row>
    <row r="68">
      <c r="N68" s="1174" t="str">
        <f t="shared" si="1"/>
        <v/>
      </c>
    </row>
    <row r="69">
      <c r="N69" s="1174" t="str">
        <f t="shared" si="1"/>
        <v/>
      </c>
    </row>
    <row r="70">
      <c r="N70" s="1174" t="str">
        <f t="shared" si="1"/>
        <v/>
      </c>
    </row>
    <row r="71">
      <c r="N71" s="1174" t="str">
        <f t="shared" si="1"/>
        <v/>
      </c>
    </row>
    <row r="72">
      <c r="N72" s="1174" t="str">
        <f t="shared" si="1"/>
        <v/>
      </c>
    </row>
    <row r="73">
      <c r="N73" s="1174" t="str">
        <f t="shared" si="1"/>
        <v/>
      </c>
    </row>
    <row r="74">
      <c r="N74" s="1174" t="str">
        <f t="shared" si="1"/>
        <v/>
      </c>
    </row>
    <row r="75">
      <c r="N75" s="1174" t="str">
        <f t="shared" si="1"/>
        <v/>
      </c>
    </row>
    <row r="76">
      <c r="N76" s="1174" t="str">
        <f t="shared" si="1"/>
        <v/>
      </c>
    </row>
    <row r="77">
      <c r="N77" s="1174" t="str">
        <f t="shared" si="1"/>
        <v/>
      </c>
    </row>
    <row r="78">
      <c r="N78" s="1174" t="str">
        <f t="shared" si="1"/>
        <v/>
      </c>
    </row>
    <row r="79">
      <c r="N79" s="1174" t="str">
        <f t="shared" si="1"/>
        <v/>
      </c>
    </row>
    <row r="80">
      <c r="N80" s="1174" t="str">
        <f t="shared" si="1"/>
        <v/>
      </c>
    </row>
    <row r="81">
      <c r="N81" s="1174" t="str">
        <f t="shared" si="1"/>
        <v/>
      </c>
    </row>
    <row r="82">
      <c r="N82" s="1174" t="str">
        <f t="shared" si="1"/>
        <v/>
      </c>
    </row>
    <row r="83">
      <c r="N83" s="1174" t="str">
        <f t="shared" si="1"/>
        <v/>
      </c>
    </row>
    <row r="84">
      <c r="N84" s="1174" t="str">
        <f t="shared" si="1"/>
        <v/>
      </c>
    </row>
    <row r="85">
      <c r="N85" s="1174" t="str">
        <f t="shared" si="1"/>
        <v/>
      </c>
    </row>
    <row r="86">
      <c r="N86" s="1174" t="str">
        <f t="shared" si="1"/>
        <v/>
      </c>
    </row>
    <row r="87">
      <c r="N87" s="1174" t="str">
        <f t="shared" si="1"/>
        <v/>
      </c>
    </row>
    <row r="88">
      <c r="N88" s="1174" t="str">
        <f t="shared" si="1"/>
        <v/>
      </c>
    </row>
    <row r="89">
      <c r="N89" s="1174" t="str">
        <f t="shared" si="1"/>
        <v/>
      </c>
    </row>
    <row r="90">
      <c r="N90" s="1174" t="str">
        <f t="shared" si="1"/>
        <v/>
      </c>
    </row>
    <row r="91">
      <c r="N91" s="1174" t="str">
        <f t="shared" si="1"/>
        <v/>
      </c>
    </row>
    <row r="92">
      <c r="N92" s="1174" t="str">
        <f t="shared" si="1"/>
        <v/>
      </c>
    </row>
    <row r="93">
      <c r="N93" s="1174" t="str">
        <f t="shared" si="1"/>
        <v/>
      </c>
    </row>
    <row r="94">
      <c r="N94" s="1174" t="str">
        <f t="shared" si="1"/>
        <v/>
      </c>
    </row>
    <row r="95">
      <c r="N95" s="1174" t="str">
        <f t="shared" si="1"/>
        <v/>
      </c>
    </row>
    <row r="96">
      <c r="N96" s="1174" t="str">
        <f t="shared" si="1"/>
        <v/>
      </c>
    </row>
    <row r="97">
      <c r="N97" s="1174" t="str">
        <f t="shared" si="1"/>
        <v/>
      </c>
    </row>
    <row r="98">
      <c r="N98" s="1174" t="str">
        <f t="shared" si="1"/>
        <v/>
      </c>
    </row>
    <row r="99">
      <c r="N99" s="1174" t="str">
        <f t="shared" si="1"/>
        <v/>
      </c>
    </row>
    <row r="100">
      <c r="N100" s="1174" t="str">
        <f t="shared" si="1"/>
        <v/>
      </c>
    </row>
    <row r="101">
      <c r="N101" s="1174" t="str">
        <f t="shared" si="1"/>
        <v/>
      </c>
    </row>
    <row r="102">
      <c r="N102" s="1174" t="str">
        <f t="shared" si="1"/>
        <v/>
      </c>
    </row>
    <row r="103">
      <c r="N103" s="1174" t="str">
        <f t="shared" si="1"/>
        <v/>
      </c>
    </row>
    <row r="104">
      <c r="N104" s="1174" t="str">
        <f t="shared" si="1"/>
        <v/>
      </c>
    </row>
    <row r="105">
      <c r="N105" s="1174" t="str">
        <f t="shared" si="1"/>
        <v/>
      </c>
    </row>
    <row r="106">
      <c r="N106" s="1174" t="str">
        <f t="shared" si="1"/>
        <v/>
      </c>
    </row>
    <row r="107">
      <c r="N107" s="1174" t="str">
        <f t="shared" si="1"/>
        <v/>
      </c>
    </row>
    <row r="108">
      <c r="N108" s="1174" t="str">
        <f t="shared" si="1"/>
        <v/>
      </c>
    </row>
    <row r="109">
      <c r="N109" s="1174" t="str">
        <f t="shared" si="1"/>
        <v/>
      </c>
    </row>
    <row r="110">
      <c r="N110" s="1174" t="str">
        <f t="shared" si="1"/>
        <v/>
      </c>
    </row>
    <row r="111">
      <c r="N111" s="1174" t="str">
        <f t="shared" si="1"/>
        <v/>
      </c>
    </row>
    <row r="112">
      <c r="N112" s="1174" t="str">
        <f t="shared" si="1"/>
        <v/>
      </c>
    </row>
    <row r="113">
      <c r="N113" s="1174" t="str">
        <f t="shared" si="1"/>
        <v/>
      </c>
    </row>
    <row r="114">
      <c r="N114" s="1174" t="str">
        <f t="shared" si="1"/>
        <v/>
      </c>
    </row>
    <row r="115">
      <c r="N115" s="1174" t="str">
        <f t="shared" si="1"/>
        <v/>
      </c>
    </row>
    <row r="116">
      <c r="N116" s="1174" t="str">
        <f t="shared" si="1"/>
        <v/>
      </c>
    </row>
    <row r="117">
      <c r="N117" s="1174" t="str">
        <f t="shared" si="1"/>
        <v/>
      </c>
    </row>
    <row r="118">
      <c r="N118" s="1174" t="str">
        <f t="shared" si="1"/>
        <v/>
      </c>
    </row>
    <row r="119">
      <c r="N119" s="1174" t="str">
        <f t="shared" si="1"/>
        <v/>
      </c>
    </row>
    <row r="120">
      <c r="N120" s="1174" t="str">
        <f t="shared" si="1"/>
        <v/>
      </c>
    </row>
    <row r="121">
      <c r="N121" s="1174" t="str">
        <f t="shared" si="1"/>
        <v/>
      </c>
    </row>
    <row r="122">
      <c r="N122" s="1174" t="str">
        <f t="shared" si="1"/>
        <v/>
      </c>
    </row>
    <row r="123">
      <c r="N123" s="1174" t="str">
        <f t="shared" si="1"/>
        <v/>
      </c>
    </row>
    <row r="124">
      <c r="N124" s="1174" t="str">
        <f t="shared" si="1"/>
        <v/>
      </c>
    </row>
    <row r="125">
      <c r="N125" s="1174" t="str">
        <f t="shared" si="1"/>
        <v/>
      </c>
    </row>
    <row r="126">
      <c r="N126" s="1174" t="str">
        <f t="shared" si="1"/>
        <v/>
      </c>
    </row>
    <row r="127">
      <c r="N127" s="1174" t="str">
        <f t="shared" si="1"/>
        <v/>
      </c>
    </row>
    <row r="128">
      <c r="N128" s="1174" t="str">
        <f t="shared" si="1"/>
        <v/>
      </c>
    </row>
    <row r="129">
      <c r="N129" s="1174" t="str">
        <f t="shared" si="1"/>
        <v/>
      </c>
    </row>
    <row r="130">
      <c r="N130" s="1174" t="str">
        <f t="shared" si="1"/>
        <v/>
      </c>
    </row>
    <row r="131">
      <c r="N131" s="1174" t="str">
        <f t="shared" si="1"/>
        <v/>
      </c>
    </row>
    <row r="132">
      <c r="N132" s="1174" t="str">
        <f t="shared" si="1"/>
        <v/>
      </c>
    </row>
    <row r="133">
      <c r="N133" s="1174" t="str">
        <f t="shared" si="1"/>
        <v/>
      </c>
    </row>
    <row r="134">
      <c r="N134" s="1174" t="str">
        <f t="shared" si="1"/>
        <v/>
      </c>
    </row>
    <row r="135">
      <c r="N135" s="1174" t="str">
        <f t="shared" si="1"/>
        <v/>
      </c>
    </row>
    <row r="136">
      <c r="N136" s="1174" t="str">
        <f t="shared" si="1"/>
        <v/>
      </c>
    </row>
    <row r="137">
      <c r="N137" s="1174" t="str">
        <f t="shared" si="1"/>
        <v/>
      </c>
    </row>
    <row r="138">
      <c r="N138" s="1174" t="str">
        <f t="shared" si="1"/>
        <v/>
      </c>
    </row>
    <row r="139">
      <c r="N139" s="1174" t="str">
        <f t="shared" si="1"/>
        <v/>
      </c>
    </row>
    <row r="140">
      <c r="N140" s="1174" t="str">
        <f t="shared" si="1"/>
        <v/>
      </c>
    </row>
    <row r="141">
      <c r="N141" s="1174" t="str">
        <f t="shared" si="1"/>
        <v/>
      </c>
    </row>
    <row r="142">
      <c r="N142" s="1174" t="str">
        <f t="shared" si="1"/>
        <v/>
      </c>
    </row>
    <row r="143">
      <c r="N143" s="1174" t="str">
        <f t="shared" si="1"/>
        <v/>
      </c>
    </row>
    <row r="144">
      <c r="N144" s="1174" t="str">
        <f t="shared" si="1"/>
        <v/>
      </c>
    </row>
    <row r="145">
      <c r="N145" s="1174" t="str">
        <f t="shared" si="1"/>
        <v/>
      </c>
    </row>
    <row r="146">
      <c r="N146" s="1174" t="str">
        <f t="shared" si="1"/>
        <v/>
      </c>
    </row>
    <row r="147">
      <c r="N147" s="1174" t="str">
        <f t="shared" si="1"/>
        <v/>
      </c>
    </row>
    <row r="148">
      <c r="N148" s="1174" t="str">
        <f t="shared" si="1"/>
        <v/>
      </c>
    </row>
    <row r="149">
      <c r="N149" s="1174" t="str">
        <f t="shared" si="1"/>
        <v/>
      </c>
    </row>
    <row r="150">
      <c r="N150" s="1174" t="str">
        <f t="shared" si="1"/>
        <v/>
      </c>
    </row>
    <row r="151">
      <c r="N151" s="1174" t="str">
        <f t="shared" si="1"/>
        <v/>
      </c>
    </row>
    <row r="152">
      <c r="N152" s="1174" t="str">
        <f t="shared" si="1"/>
        <v/>
      </c>
    </row>
    <row r="153">
      <c r="N153" s="1174" t="str">
        <f t="shared" si="1"/>
        <v/>
      </c>
    </row>
    <row r="154">
      <c r="N154" s="1174" t="str">
        <f t="shared" si="1"/>
        <v/>
      </c>
    </row>
    <row r="155">
      <c r="N155" s="1174" t="str">
        <f t="shared" si="1"/>
        <v/>
      </c>
    </row>
    <row r="156">
      <c r="N156" s="1174" t="str">
        <f t="shared" si="1"/>
        <v/>
      </c>
    </row>
    <row r="157">
      <c r="N157" s="1174" t="str">
        <f t="shared" si="1"/>
        <v/>
      </c>
    </row>
    <row r="158">
      <c r="N158" s="1174" t="str">
        <f t="shared" si="1"/>
        <v/>
      </c>
    </row>
    <row r="159">
      <c r="N159" s="1174" t="str">
        <f t="shared" si="1"/>
        <v/>
      </c>
    </row>
    <row r="160">
      <c r="N160" s="1174" t="str">
        <f t="shared" si="1"/>
        <v/>
      </c>
    </row>
    <row r="161">
      <c r="N161" s="1174" t="str">
        <f t="shared" si="1"/>
        <v/>
      </c>
    </row>
    <row r="162">
      <c r="N162" s="1174" t="str">
        <f t="shared" si="1"/>
        <v/>
      </c>
    </row>
    <row r="163">
      <c r="N163" s="1174" t="str">
        <f t="shared" si="1"/>
        <v/>
      </c>
    </row>
    <row r="164">
      <c r="N164" s="1174" t="str">
        <f t="shared" si="1"/>
        <v/>
      </c>
    </row>
    <row r="165">
      <c r="N165" s="1174" t="str">
        <f t="shared" si="1"/>
        <v/>
      </c>
    </row>
    <row r="166">
      <c r="N166" s="1174" t="str">
        <f t="shared" si="1"/>
        <v/>
      </c>
    </row>
    <row r="167">
      <c r="N167" s="1174" t="str">
        <f t="shared" si="1"/>
        <v/>
      </c>
    </row>
    <row r="168">
      <c r="N168" s="1174" t="str">
        <f t="shared" si="1"/>
        <v/>
      </c>
    </row>
    <row r="169">
      <c r="N169" s="1174" t="str">
        <f t="shared" si="1"/>
        <v/>
      </c>
    </row>
    <row r="170">
      <c r="N170" s="1174" t="str">
        <f t="shared" si="1"/>
        <v/>
      </c>
    </row>
    <row r="171">
      <c r="N171" s="1174" t="str">
        <f t="shared" si="1"/>
        <v/>
      </c>
    </row>
    <row r="172">
      <c r="N172" s="1174" t="str">
        <f t="shared" si="1"/>
        <v/>
      </c>
    </row>
    <row r="173">
      <c r="N173" s="1174" t="str">
        <f t="shared" si="1"/>
        <v/>
      </c>
    </row>
    <row r="174">
      <c r="N174" s="1174" t="str">
        <f t="shared" si="1"/>
        <v/>
      </c>
    </row>
    <row r="175">
      <c r="N175" s="1174" t="str">
        <f t="shared" si="1"/>
        <v/>
      </c>
    </row>
    <row r="176">
      <c r="N176" s="1174" t="str">
        <f t="shared" si="1"/>
        <v/>
      </c>
    </row>
    <row r="177">
      <c r="N177" s="1174" t="str">
        <f t="shared" si="1"/>
        <v/>
      </c>
    </row>
    <row r="178">
      <c r="N178" s="1174" t="str">
        <f t="shared" si="1"/>
        <v/>
      </c>
    </row>
    <row r="179">
      <c r="N179" s="1174" t="str">
        <f t="shared" si="1"/>
        <v/>
      </c>
    </row>
    <row r="180">
      <c r="N180" s="1174" t="str">
        <f t="shared" si="1"/>
        <v/>
      </c>
    </row>
    <row r="181">
      <c r="N181" s="1174" t="str">
        <f t="shared" si="1"/>
        <v/>
      </c>
    </row>
    <row r="182">
      <c r="N182" s="1174" t="str">
        <f t="shared" si="1"/>
        <v/>
      </c>
    </row>
    <row r="183">
      <c r="N183" s="1174" t="str">
        <f t="shared" si="1"/>
        <v/>
      </c>
    </row>
    <row r="184">
      <c r="N184" s="1174" t="str">
        <f t="shared" si="1"/>
        <v/>
      </c>
    </row>
    <row r="185">
      <c r="N185" s="1174" t="str">
        <f t="shared" si="1"/>
        <v/>
      </c>
    </row>
    <row r="186">
      <c r="N186" s="1174" t="str">
        <f t="shared" si="1"/>
        <v/>
      </c>
    </row>
    <row r="187">
      <c r="N187" s="1174" t="str">
        <f t="shared" si="1"/>
        <v/>
      </c>
    </row>
    <row r="188">
      <c r="N188" s="1174" t="str">
        <f t="shared" si="1"/>
        <v/>
      </c>
    </row>
    <row r="189">
      <c r="N189" s="1174" t="str">
        <f t="shared" si="1"/>
        <v/>
      </c>
    </row>
    <row r="190">
      <c r="N190" s="1174" t="str">
        <f t="shared" si="1"/>
        <v/>
      </c>
    </row>
    <row r="191">
      <c r="N191" s="1174" t="str">
        <f t="shared" si="1"/>
        <v/>
      </c>
    </row>
    <row r="192">
      <c r="N192" s="1174" t="str">
        <f t="shared" si="1"/>
        <v/>
      </c>
    </row>
    <row r="193">
      <c r="N193" s="1174" t="str">
        <f t="shared" si="1"/>
        <v/>
      </c>
    </row>
    <row r="194">
      <c r="N194" s="1174" t="str">
        <f t="shared" si="1"/>
        <v/>
      </c>
    </row>
    <row r="195">
      <c r="N195" s="1174" t="str">
        <f t="shared" si="1"/>
        <v/>
      </c>
    </row>
    <row r="196">
      <c r="N196" s="1174" t="str">
        <f t="shared" si="1"/>
        <v/>
      </c>
    </row>
    <row r="197">
      <c r="N197" s="1174" t="str">
        <f t="shared" si="1"/>
        <v/>
      </c>
    </row>
    <row r="198">
      <c r="N198" s="1174" t="str">
        <f t="shared" si="1"/>
        <v/>
      </c>
    </row>
    <row r="199">
      <c r="N199" s="1174" t="str">
        <f t="shared" si="1"/>
        <v/>
      </c>
    </row>
    <row r="200">
      <c r="N200" s="1174" t="str">
        <f t="shared" si="1"/>
        <v/>
      </c>
    </row>
    <row r="201">
      <c r="N201" s="1174" t="str">
        <f t="shared" si="1"/>
        <v/>
      </c>
    </row>
    <row r="202">
      <c r="N202" s="1174" t="str">
        <f t="shared" si="1"/>
        <v/>
      </c>
    </row>
    <row r="203">
      <c r="N203" s="1174" t="str">
        <f t="shared" si="1"/>
        <v/>
      </c>
    </row>
    <row r="204">
      <c r="N204" s="1174" t="str">
        <f t="shared" si="1"/>
        <v/>
      </c>
    </row>
    <row r="205">
      <c r="N205" s="1174" t="str">
        <f t="shared" si="1"/>
        <v/>
      </c>
    </row>
    <row r="206">
      <c r="N206" s="1174" t="str">
        <f t="shared" si="1"/>
        <v/>
      </c>
    </row>
    <row r="207">
      <c r="N207" s="1174" t="str">
        <f t="shared" si="1"/>
        <v/>
      </c>
    </row>
    <row r="208">
      <c r="N208" s="1174" t="str">
        <f t="shared" si="1"/>
        <v/>
      </c>
    </row>
    <row r="209">
      <c r="N209" s="1174" t="str">
        <f t="shared" si="1"/>
        <v/>
      </c>
    </row>
    <row r="210">
      <c r="N210" s="1174" t="str">
        <f t="shared" si="1"/>
        <v/>
      </c>
    </row>
    <row r="211">
      <c r="N211" s="1174" t="str">
        <f t="shared" si="1"/>
        <v/>
      </c>
    </row>
    <row r="212">
      <c r="N212" s="1174" t="str">
        <f t="shared" si="1"/>
        <v/>
      </c>
    </row>
    <row r="213">
      <c r="N213" s="1174" t="str">
        <f t="shared" si="1"/>
        <v/>
      </c>
    </row>
    <row r="214">
      <c r="N214" s="1174" t="str">
        <f t="shared" si="1"/>
        <v/>
      </c>
    </row>
    <row r="215">
      <c r="N215" s="1174" t="str">
        <f t="shared" si="1"/>
        <v/>
      </c>
    </row>
    <row r="216">
      <c r="N216" s="1174" t="str">
        <f t="shared" si="1"/>
        <v/>
      </c>
    </row>
    <row r="217">
      <c r="N217" s="1174" t="str">
        <f t="shared" si="1"/>
        <v/>
      </c>
    </row>
    <row r="218">
      <c r="N218" s="1174" t="str">
        <f t="shared" si="1"/>
        <v/>
      </c>
    </row>
    <row r="219">
      <c r="N219" s="1174" t="str">
        <f t="shared" si="1"/>
        <v/>
      </c>
    </row>
    <row r="220">
      <c r="N220" s="1174" t="str">
        <f t="shared" si="1"/>
        <v/>
      </c>
    </row>
    <row r="221">
      <c r="N221" s="1174" t="str">
        <f t="shared" si="1"/>
        <v/>
      </c>
    </row>
    <row r="222">
      <c r="N222" s="1174" t="str">
        <f t="shared" si="1"/>
        <v/>
      </c>
    </row>
    <row r="223">
      <c r="N223" s="1174" t="str">
        <f t="shared" si="1"/>
        <v/>
      </c>
    </row>
    <row r="224">
      <c r="N224" s="1174" t="str">
        <f t="shared" si="1"/>
        <v/>
      </c>
    </row>
    <row r="225">
      <c r="N225" s="1174" t="str">
        <f t="shared" si="1"/>
        <v/>
      </c>
    </row>
    <row r="226">
      <c r="N226" s="1174" t="str">
        <f t="shared" si="1"/>
        <v/>
      </c>
    </row>
    <row r="227">
      <c r="N227" s="1174" t="str">
        <f t="shared" si="1"/>
        <v/>
      </c>
    </row>
    <row r="228">
      <c r="N228" s="1174" t="str">
        <f t="shared" si="1"/>
        <v/>
      </c>
    </row>
    <row r="229">
      <c r="N229" s="1174" t="str">
        <f t="shared" si="1"/>
        <v/>
      </c>
    </row>
    <row r="230">
      <c r="N230" s="1174" t="str">
        <f t="shared" si="1"/>
        <v/>
      </c>
    </row>
    <row r="231">
      <c r="N231" s="1174" t="str">
        <f t="shared" si="1"/>
        <v/>
      </c>
    </row>
    <row r="232">
      <c r="N232" s="1174" t="str">
        <f t="shared" si="1"/>
        <v/>
      </c>
    </row>
    <row r="233">
      <c r="N233" s="1174" t="str">
        <f t="shared" si="1"/>
        <v/>
      </c>
    </row>
    <row r="234">
      <c r="N234" s="1174" t="str">
        <f t="shared" si="1"/>
        <v/>
      </c>
    </row>
    <row r="235">
      <c r="N235" s="1174" t="str">
        <f t="shared" si="1"/>
        <v/>
      </c>
    </row>
    <row r="236">
      <c r="N236" s="1174" t="str">
        <f t="shared" si="1"/>
        <v/>
      </c>
    </row>
    <row r="237">
      <c r="N237" s="1174" t="str">
        <f t="shared" si="1"/>
        <v/>
      </c>
    </row>
    <row r="238">
      <c r="N238" s="1174" t="str">
        <f t="shared" si="1"/>
        <v/>
      </c>
    </row>
    <row r="239">
      <c r="N239" s="1174" t="str">
        <f t="shared" si="1"/>
        <v/>
      </c>
    </row>
    <row r="240">
      <c r="N240" s="1174" t="str">
        <f t="shared" si="1"/>
        <v/>
      </c>
    </row>
    <row r="241">
      <c r="N241" s="1174" t="str">
        <f t="shared" si="1"/>
        <v/>
      </c>
    </row>
    <row r="242">
      <c r="N242" s="1174" t="str">
        <f t="shared" si="1"/>
        <v/>
      </c>
    </row>
    <row r="243">
      <c r="N243" s="1174" t="str">
        <f t="shared" si="1"/>
        <v/>
      </c>
    </row>
    <row r="244">
      <c r="N244" s="1174" t="str">
        <f t="shared" si="1"/>
        <v/>
      </c>
    </row>
    <row r="245">
      <c r="N245" s="1174" t="str">
        <f t="shared" si="1"/>
        <v/>
      </c>
    </row>
    <row r="246">
      <c r="N246" s="1174" t="str">
        <f t="shared" si="1"/>
        <v/>
      </c>
    </row>
    <row r="247">
      <c r="N247" s="1174" t="str">
        <f t="shared" si="1"/>
        <v/>
      </c>
    </row>
    <row r="248">
      <c r="N248" s="1174" t="str">
        <f t="shared" si="1"/>
        <v/>
      </c>
    </row>
    <row r="249">
      <c r="N249" s="1174" t="str">
        <f t="shared" si="1"/>
        <v/>
      </c>
    </row>
    <row r="250">
      <c r="N250" s="1174" t="str">
        <f t="shared" si="1"/>
        <v/>
      </c>
    </row>
    <row r="251">
      <c r="N251" s="1174" t="str">
        <f t="shared" si="1"/>
        <v/>
      </c>
    </row>
    <row r="252">
      <c r="N252" s="1174" t="str">
        <f t="shared" si="1"/>
        <v/>
      </c>
    </row>
    <row r="253">
      <c r="N253" s="1174" t="str">
        <f t="shared" si="1"/>
        <v/>
      </c>
    </row>
    <row r="254">
      <c r="N254" s="1174" t="str">
        <f t="shared" si="1"/>
        <v/>
      </c>
    </row>
    <row r="255">
      <c r="N255" s="1174" t="str">
        <f t="shared" si="1"/>
        <v/>
      </c>
    </row>
    <row r="256">
      <c r="N256" s="1174" t="str">
        <f t="shared" si="1"/>
        <v/>
      </c>
    </row>
    <row r="257">
      <c r="N257" s="1174" t="str">
        <f t="shared" si="1"/>
        <v/>
      </c>
    </row>
    <row r="258">
      <c r="N258" s="1174" t="str">
        <f t="shared" si="1"/>
        <v/>
      </c>
    </row>
    <row r="259">
      <c r="N259" s="1174" t="str">
        <f t="shared" si="1"/>
        <v/>
      </c>
    </row>
    <row r="260">
      <c r="N260" s="1174" t="str">
        <f t="shared" si="1"/>
        <v/>
      </c>
    </row>
    <row r="261">
      <c r="N261" s="1174" t="str">
        <f t="shared" si="1"/>
        <v/>
      </c>
    </row>
    <row r="262">
      <c r="N262" s="1174" t="str">
        <f t="shared" si="1"/>
        <v/>
      </c>
    </row>
    <row r="263">
      <c r="N263" s="1174" t="str">
        <f t="shared" si="1"/>
        <v/>
      </c>
    </row>
    <row r="264">
      <c r="N264" s="1174" t="str">
        <f t="shared" si="1"/>
        <v/>
      </c>
    </row>
    <row r="265">
      <c r="N265" s="1174" t="str">
        <f t="shared" si="1"/>
        <v/>
      </c>
    </row>
    <row r="266">
      <c r="N266" s="1174" t="str">
        <f t="shared" si="1"/>
        <v/>
      </c>
    </row>
    <row r="267">
      <c r="N267" s="1174" t="str">
        <f t="shared" si="1"/>
        <v/>
      </c>
    </row>
    <row r="268">
      <c r="N268" s="1174" t="str">
        <f t="shared" si="1"/>
        <v/>
      </c>
    </row>
    <row r="269">
      <c r="N269" s="1174" t="str">
        <f t="shared" si="1"/>
        <v/>
      </c>
    </row>
    <row r="270">
      <c r="N270" s="1174" t="str">
        <f t="shared" si="1"/>
        <v/>
      </c>
    </row>
    <row r="271">
      <c r="N271" s="1174" t="str">
        <f t="shared" si="1"/>
        <v/>
      </c>
    </row>
    <row r="272">
      <c r="N272" s="1174" t="str">
        <f t="shared" si="1"/>
        <v/>
      </c>
    </row>
    <row r="273">
      <c r="N273" s="1174" t="str">
        <f t="shared" si="1"/>
        <v/>
      </c>
    </row>
    <row r="274">
      <c r="N274" s="1174" t="str">
        <f t="shared" si="1"/>
        <v/>
      </c>
    </row>
    <row r="275">
      <c r="N275" s="1174" t="str">
        <f t="shared" si="1"/>
        <v/>
      </c>
    </row>
    <row r="276">
      <c r="N276" s="1174" t="str">
        <f t="shared" si="1"/>
        <v/>
      </c>
    </row>
    <row r="277">
      <c r="N277" s="1174" t="str">
        <f t="shared" si="1"/>
        <v/>
      </c>
    </row>
    <row r="278">
      <c r="N278" s="1174" t="str">
        <f t="shared" si="1"/>
        <v/>
      </c>
    </row>
    <row r="279">
      <c r="N279" s="1174" t="str">
        <f t="shared" si="1"/>
        <v/>
      </c>
    </row>
    <row r="280">
      <c r="N280" s="1174" t="str">
        <f t="shared" si="1"/>
        <v/>
      </c>
    </row>
    <row r="281">
      <c r="N281" s="1174" t="str">
        <f t="shared" si="1"/>
        <v/>
      </c>
    </row>
    <row r="282">
      <c r="N282" s="1174" t="str">
        <f t="shared" si="1"/>
        <v/>
      </c>
    </row>
    <row r="283">
      <c r="N283" s="1174" t="str">
        <f t="shared" si="1"/>
        <v/>
      </c>
    </row>
    <row r="284">
      <c r="N284" s="1174" t="str">
        <f t="shared" si="1"/>
        <v/>
      </c>
    </row>
    <row r="285">
      <c r="N285" s="1174" t="str">
        <f t="shared" si="1"/>
        <v/>
      </c>
    </row>
    <row r="286">
      <c r="N286" s="1174" t="str">
        <f t="shared" si="1"/>
        <v/>
      </c>
    </row>
    <row r="287">
      <c r="N287" s="1174" t="str">
        <f t="shared" si="1"/>
        <v/>
      </c>
    </row>
    <row r="288">
      <c r="N288" s="1174" t="str">
        <f t="shared" si="1"/>
        <v/>
      </c>
    </row>
    <row r="289">
      <c r="N289" s="1174" t="str">
        <f t="shared" si="1"/>
        <v/>
      </c>
    </row>
    <row r="290">
      <c r="N290" s="1174" t="str">
        <f t="shared" si="1"/>
        <v/>
      </c>
    </row>
    <row r="291">
      <c r="N291" s="1174" t="str">
        <f t="shared" si="1"/>
        <v/>
      </c>
    </row>
    <row r="292">
      <c r="N292" s="1174" t="str">
        <f t="shared" si="1"/>
        <v/>
      </c>
    </row>
    <row r="293">
      <c r="N293" s="1174" t="str">
        <f t="shared" si="1"/>
        <v/>
      </c>
    </row>
    <row r="294">
      <c r="N294" s="1174" t="str">
        <f t="shared" si="1"/>
        <v/>
      </c>
    </row>
    <row r="295">
      <c r="N295" s="1174" t="str">
        <f t="shared" si="1"/>
        <v/>
      </c>
    </row>
    <row r="296">
      <c r="N296" s="1174" t="str">
        <f t="shared" si="1"/>
        <v/>
      </c>
    </row>
    <row r="297">
      <c r="N297" s="1174" t="str">
        <f t="shared" si="1"/>
        <v/>
      </c>
    </row>
    <row r="298">
      <c r="N298" s="1174" t="str">
        <f t="shared" si="1"/>
        <v/>
      </c>
    </row>
    <row r="299">
      <c r="N299" s="1174" t="str">
        <f t="shared" si="1"/>
        <v/>
      </c>
    </row>
    <row r="300">
      <c r="N300" s="1174" t="str">
        <f t="shared" si="1"/>
        <v/>
      </c>
    </row>
    <row r="301">
      <c r="N301" s="1174" t="str">
        <f t="shared" si="1"/>
        <v/>
      </c>
    </row>
    <row r="302">
      <c r="N302" s="1174" t="str">
        <f t="shared" si="1"/>
        <v/>
      </c>
    </row>
    <row r="303">
      <c r="N303" s="1174" t="str">
        <f t="shared" si="1"/>
        <v/>
      </c>
    </row>
    <row r="304">
      <c r="N304" s="1174" t="str">
        <f t="shared" si="1"/>
        <v/>
      </c>
    </row>
    <row r="305">
      <c r="N305" s="1174" t="str">
        <f t="shared" si="1"/>
        <v/>
      </c>
    </row>
    <row r="306">
      <c r="N306" s="1174" t="str">
        <f t="shared" si="1"/>
        <v/>
      </c>
    </row>
    <row r="307">
      <c r="N307" s="1174" t="str">
        <f t="shared" si="1"/>
        <v/>
      </c>
    </row>
    <row r="308">
      <c r="N308" s="1174" t="str">
        <f t="shared" si="1"/>
        <v/>
      </c>
    </row>
    <row r="309">
      <c r="N309" s="1174" t="str">
        <f t="shared" si="1"/>
        <v/>
      </c>
    </row>
    <row r="310">
      <c r="N310" s="1174" t="str">
        <f t="shared" si="1"/>
        <v/>
      </c>
    </row>
    <row r="311">
      <c r="N311" s="1174" t="str">
        <f t="shared" si="1"/>
        <v/>
      </c>
    </row>
    <row r="312">
      <c r="N312" s="1174" t="str">
        <f t="shared" si="1"/>
        <v/>
      </c>
    </row>
    <row r="313">
      <c r="N313" s="1174" t="str">
        <f t="shared" si="1"/>
        <v/>
      </c>
    </row>
    <row r="314">
      <c r="N314" s="1174" t="str">
        <f t="shared" si="1"/>
        <v/>
      </c>
    </row>
    <row r="315">
      <c r="N315" s="1174" t="str">
        <f t="shared" si="1"/>
        <v/>
      </c>
    </row>
    <row r="316">
      <c r="N316" s="1174" t="str">
        <f t="shared" si="1"/>
        <v/>
      </c>
    </row>
    <row r="317">
      <c r="N317" s="1174" t="str">
        <f t="shared" si="1"/>
        <v/>
      </c>
    </row>
    <row r="318">
      <c r="N318" s="1174" t="str">
        <f t="shared" si="1"/>
        <v/>
      </c>
    </row>
    <row r="319">
      <c r="N319" s="1174" t="str">
        <f t="shared" si="1"/>
        <v/>
      </c>
    </row>
    <row r="320">
      <c r="N320" s="1174" t="str">
        <f t="shared" si="1"/>
        <v/>
      </c>
    </row>
    <row r="321">
      <c r="N321" s="1174" t="str">
        <f t="shared" si="1"/>
        <v/>
      </c>
    </row>
    <row r="322">
      <c r="N322" s="1174" t="str">
        <f t="shared" si="1"/>
        <v/>
      </c>
    </row>
    <row r="323">
      <c r="N323" s="1174" t="str">
        <f t="shared" si="1"/>
        <v/>
      </c>
    </row>
    <row r="324">
      <c r="N324" s="1174" t="str">
        <f t="shared" si="1"/>
        <v/>
      </c>
    </row>
    <row r="325">
      <c r="N325" s="1174" t="str">
        <f t="shared" si="1"/>
        <v/>
      </c>
    </row>
    <row r="326">
      <c r="N326" s="1174" t="str">
        <f t="shared" si="1"/>
        <v/>
      </c>
    </row>
    <row r="327">
      <c r="N327" s="1174" t="str">
        <f t="shared" si="1"/>
        <v/>
      </c>
    </row>
    <row r="328">
      <c r="N328" s="1174" t="str">
        <f t="shared" si="1"/>
        <v/>
      </c>
    </row>
    <row r="329">
      <c r="N329" s="1174" t="str">
        <f t="shared" si="1"/>
        <v/>
      </c>
    </row>
    <row r="330">
      <c r="N330" s="1174" t="str">
        <f t="shared" si="1"/>
        <v/>
      </c>
    </row>
    <row r="331">
      <c r="N331" s="1174" t="str">
        <f t="shared" si="1"/>
        <v/>
      </c>
    </row>
    <row r="332">
      <c r="N332" s="1174" t="str">
        <f t="shared" si="1"/>
        <v/>
      </c>
    </row>
    <row r="333">
      <c r="N333" s="1174" t="str">
        <f t="shared" si="1"/>
        <v/>
      </c>
    </row>
    <row r="334">
      <c r="N334" s="1174" t="str">
        <f t="shared" si="1"/>
        <v/>
      </c>
    </row>
    <row r="335">
      <c r="N335" s="1174" t="str">
        <f t="shared" si="1"/>
        <v/>
      </c>
    </row>
    <row r="336">
      <c r="N336" s="1174" t="str">
        <f t="shared" si="1"/>
        <v/>
      </c>
    </row>
    <row r="337">
      <c r="N337" s="1174" t="str">
        <f t="shared" si="1"/>
        <v/>
      </c>
    </row>
    <row r="338">
      <c r="N338" s="1174" t="str">
        <f t="shared" si="1"/>
        <v/>
      </c>
    </row>
    <row r="339">
      <c r="N339" s="1174" t="str">
        <f t="shared" si="1"/>
        <v/>
      </c>
    </row>
    <row r="340">
      <c r="N340" s="1174" t="str">
        <f t="shared" si="1"/>
        <v/>
      </c>
    </row>
    <row r="341">
      <c r="N341" s="1174" t="str">
        <f t="shared" si="1"/>
        <v/>
      </c>
    </row>
    <row r="342">
      <c r="N342" s="1174" t="str">
        <f t="shared" si="1"/>
        <v/>
      </c>
    </row>
    <row r="343">
      <c r="N343" s="1174" t="str">
        <f t="shared" si="1"/>
        <v/>
      </c>
    </row>
    <row r="344">
      <c r="N344" s="1174" t="str">
        <f t="shared" si="1"/>
        <v/>
      </c>
    </row>
    <row r="345">
      <c r="N345" s="1174" t="str">
        <f t="shared" si="1"/>
        <v/>
      </c>
    </row>
    <row r="346">
      <c r="N346" s="1174" t="str">
        <f t="shared" si="1"/>
        <v/>
      </c>
    </row>
    <row r="347">
      <c r="N347" s="1174" t="str">
        <f t="shared" si="1"/>
        <v/>
      </c>
    </row>
    <row r="348">
      <c r="N348" s="1174" t="str">
        <f t="shared" si="1"/>
        <v/>
      </c>
    </row>
    <row r="349">
      <c r="N349" s="1174" t="str">
        <f t="shared" si="1"/>
        <v/>
      </c>
    </row>
    <row r="350">
      <c r="N350" s="1174" t="str">
        <f t="shared" si="1"/>
        <v/>
      </c>
    </row>
    <row r="351">
      <c r="N351" s="1174" t="str">
        <f t="shared" si="1"/>
        <v/>
      </c>
    </row>
    <row r="352">
      <c r="N352" s="1174" t="str">
        <f t="shared" si="1"/>
        <v/>
      </c>
    </row>
    <row r="353">
      <c r="N353" s="1174" t="str">
        <f t="shared" si="1"/>
        <v/>
      </c>
    </row>
    <row r="354">
      <c r="N354" s="1174" t="str">
        <f t="shared" si="1"/>
        <v/>
      </c>
    </row>
    <row r="355">
      <c r="N355" s="1174" t="str">
        <f t="shared" si="1"/>
        <v/>
      </c>
    </row>
    <row r="356">
      <c r="N356" s="1174" t="str">
        <f t="shared" si="1"/>
        <v/>
      </c>
    </row>
    <row r="357">
      <c r="N357" s="1174" t="str">
        <f t="shared" si="1"/>
        <v/>
      </c>
    </row>
    <row r="358">
      <c r="N358" s="1174" t="str">
        <f t="shared" si="1"/>
        <v/>
      </c>
    </row>
    <row r="359">
      <c r="N359" s="1174" t="str">
        <f t="shared" si="1"/>
        <v/>
      </c>
    </row>
    <row r="360">
      <c r="N360" s="1174" t="str">
        <f t="shared" si="1"/>
        <v/>
      </c>
    </row>
    <row r="361">
      <c r="N361" s="1174" t="str">
        <f t="shared" si="1"/>
        <v/>
      </c>
    </row>
    <row r="362">
      <c r="N362" s="1174" t="str">
        <f t="shared" si="1"/>
        <v/>
      </c>
    </row>
    <row r="363">
      <c r="N363" s="1174" t="str">
        <f t="shared" si="1"/>
        <v/>
      </c>
    </row>
    <row r="364">
      <c r="N364" s="1174" t="str">
        <f t="shared" si="1"/>
        <v/>
      </c>
    </row>
    <row r="365">
      <c r="N365" s="1174" t="str">
        <f t="shared" si="1"/>
        <v/>
      </c>
    </row>
    <row r="366">
      <c r="N366" s="1174" t="str">
        <f t="shared" si="1"/>
        <v/>
      </c>
    </row>
    <row r="367">
      <c r="N367" s="1174" t="str">
        <f t="shared" si="1"/>
        <v/>
      </c>
    </row>
    <row r="368">
      <c r="N368" s="1174" t="str">
        <f t="shared" si="1"/>
        <v/>
      </c>
    </row>
    <row r="369">
      <c r="N369" s="1174" t="str">
        <f t="shared" si="1"/>
        <v/>
      </c>
    </row>
    <row r="370">
      <c r="N370" s="1174" t="str">
        <f t="shared" si="1"/>
        <v/>
      </c>
    </row>
    <row r="371">
      <c r="N371" s="1174" t="str">
        <f t="shared" si="1"/>
        <v/>
      </c>
    </row>
    <row r="372">
      <c r="N372" s="1174" t="str">
        <f t="shared" si="1"/>
        <v/>
      </c>
    </row>
    <row r="373">
      <c r="N373" s="1174" t="str">
        <f t="shared" si="1"/>
        <v/>
      </c>
    </row>
    <row r="374">
      <c r="N374" s="1174" t="str">
        <f t="shared" si="1"/>
        <v/>
      </c>
    </row>
    <row r="375">
      <c r="N375" s="1174" t="str">
        <f t="shared" si="1"/>
        <v/>
      </c>
    </row>
    <row r="376">
      <c r="N376" s="1174" t="str">
        <f t="shared" si="1"/>
        <v/>
      </c>
    </row>
    <row r="377">
      <c r="N377" s="1174" t="str">
        <f t="shared" si="1"/>
        <v/>
      </c>
    </row>
    <row r="378">
      <c r="N378" s="1174" t="str">
        <f t="shared" si="1"/>
        <v/>
      </c>
    </row>
    <row r="379">
      <c r="N379" s="1174" t="str">
        <f t="shared" si="1"/>
        <v/>
      </c>
    </row>
    <row r="380">
      <c r="N380" s="1174" t="str">
        <f t="shared" si="1"/>
        <v/>
      </c>
    </row>
    <row r="381">
      <c r="N381" s="1174" t="str">
        <f t="shared" si="1"/>
        <v/>
      </c>
    </row>
    <row r="382">
      <c r="N382" s="1174" t="str">
        <f t="shared" si="1"/>
        <v/>
      </c>
    </row>
    <row r="383">
      <c r="N383" s="1174" t="str">
        <f t="shared" si="1"/>
        <v/>
      </c>
    </row>
    <row r="384">
      <c r="N384" s="1174" t="str">
        <f t="shared" si="1"/>
        <v/>
      </c>
    </row>
    <row r="385">
      <c r="N385" s="1174" t="str">
        <f t="shared" si="1"/>
        <v/>
      </c>
    </row>
    <row r="386">
      <c r="N386" s="1174" t="str">
        <f t="shared" si="1"/>
        <v/>
      </c>
    </row>
    <row r="387">
      <c r="N387" s="1174" t="str">
        <f t="shared" si="1"/>
        <v/>
      </c>
    </row>
    <row r="388">
      <c r="N388" s="1174" t="str">
        <f t="shared" si="1"/>
        <v/>
      </c>
    </row>
    <row r="389">
      <c r="N389" s="1174" t="str">
        <f t="shared" si="1"/>
        <v/>
      </c>
    </row>
    <row r="390">
      <c r="N390" s="1174" t="str">
        <f t="shared" si="1"/>
        <v/>
      </c>
    </row>
    <row r="391">
      <c r="N391" s="1174" t="str">
        <f t="shared" si="1"/>
        <v/>
      </c>
    </row>
    <row r="392">
      <c r="N392" s="1174" t="str">
        <f t="shared" si="1"/>
        <v/>
      </c>
    </row>
    <row r="393">
      <c r="N393" s="1174" t="str">
        <f t="shared" si="1"/>
        <v/>
      </c>
    </row>
    <row r="394">
      <c r="N394" s="1174" t="str">
        <f t="shared" si="1"/>
        <v/>
      </c>
    </row>
    <row r="395">
      <c r="N395" s="1174" t="str">
        <f t="shared" si="1"/>
        <v/>
      </c>
    </row>
    <row r="396">
      <c r="N396" s="1174" t="str">
        <f t="shared" si="1"/>
        <v/>
      </c>
    </row>
    <row r="397">
      <c r="N397" s="1174" t="str">
        <f t="shared" si="1"/>
        <v/>
      </c>
    </row>
    <row r="398">
      <c r="N398" s="1174" t="str">
        <f t="shared" si="1"/>
        <v/>
      </c>
    </row>
    <row r="399">
      <c r="N399" s="1174" t="str">
        <f t="shared" si="1"/>
        <v/>
      </c>
    </row>
    <row r="400">
      <c r="N400" s="1174" t="str">
        <f t="shared" si="1"/>
        <v/>
      </c>
    </row>
    <row r="401">
      <c r="N401" s="1174" t="str">
        <f t="shared" si="1"/>
        <v/>
      </c>
    </row>
    <row r="402">
      <c r="N402" s="1174" t="str">
        <f t="shared" si="1"/>
        <v/>
      </c>
    </row>
    <row r="403">
      <c r="N403" s="1174" t="str">
        <f t="shared" si="1"/>
        <v/>
      </c>
    </row>
    <row r="404">
      <c r="N404" s="1174" t="str">
        <f t="shared" si="1"/>
        <v/>
      </c>
    </row>
    <row r="405">
      <c r="N405" s="1174" t="str">
        <f t="shared" si="1"/>
        <v/>
      </c>
    </row>
    <row r="406">
      <c r="N406" s="1174" t="str">
        <f t="shared" si="1"/>
        <v/>
      </c>
    </row>
    <row r="407">
      <c r="N407" s="1174" t="str">
        <f t="shared" si="1"/>
        <v/>
      </c>
    </row>
    <row r="408">
      <c r="N408" s="1174" t="str">
        <f t="shared" si="1"/>
        <v/>
      </c>
    </row>
    <row r="409">
      <c r="N409" s="1174" t="str">
        <f t="shared" si="1"/>
        <v/>
      </c>
    </row>
    <row r="410">
      <c r="N410" s="1174" t="str">
        <f t="shared" si="1"/>
        <v/>
      </c>
    </row>
    <row r="411">
      <c r="N411" s="1174" t="str">
        <f t="shared" si="1"/>
        <v/>
      </c>
    </row>
    <row r="412">
      <c r="N412" s="1174" t="str">
        <f t="shared" si="1"/>
        <v/>
      </c>
    </row>
    <row r="413">
      <c r="N413" s="1174" t="str">
        <f t="shared" si="1"/>
        <v/>
      </c>
    </row>
    <row r="414">
      <c r="N414" s="1174" t="str">
        <f t="shared" si="1"/>
        <v/>
      </c>
    </row>
    <row r="415">
      <c r="N415" s="1174" t="str">
        <f t="shared" si="1"/>
        <v/>
      </c>
    </row>
    <row r="416">
      <c r="N416" s="1174" t="str">
        <f t="shared" si="1"/>
        <v/>
      </c>
    </row>
    <row r="417">
      <c r="N417" s="1174" t="str">
        <f t="shared" si="1"/>
        <v/>
      </c>
    </row>
    <row r="418">
      <c r="N418" s="1174" t="str">
        <f t="shared" si="1"/>
        <v/>
      </c>
    </row>
    <row r="419">
      <c r="N419" s="1174" t="str">
        <f t="shared" si="1"/>
        <v/>
      </c>
    </row>
    <row r="420">
      <c r="N420" s="1174" t="str">
        <f t="shared" si="1"/>
        <v/>
      </c>
    </row>
    <row r="421">
      <c r="N421" s="1174" t="str">
        <f t="shared" si="1"/>
        <v/>
      </c>
    </row>
    <row r="422">
      <c r="N422" s="1174" t="str">
        <f t="shared" si="1"/>
        <v/>
      </c>
    </row>
    <row r="423">
      <c r="N423" s="1174" t="str">
        <f t="shared" si="1"/>
        <v/>
      </c>
    </row>
    <row r="424">
      <c r="N424" s="1174" t="str">
        <f t="shared" si="1"/>
        <v/>
      </c>
    </row>
    <row r="425">
      <c r="N425" s="1174" t="str">
        <f t="shared" si="1"/>
        <v/>
      </c>
    </row>
    <row r="426">
      <c r="N426" s="1174" t="str">
        <f t="shared" si="1"/>
        <v/>
      </c>
    </row>
    <row r="427">
      <c r="N427" s="1174" t="str">
        <f t="shared" si="1"/>
        <v/>
      </c>
    </row>
    <row r="428">
      <c r="N428" s="1174" t="str">
        <f t="shared" si="1"/>
        <v/>
      </c>
    </row>
    <row r="429">
      <c r="N429" s="1174" t="str">
        <f t="shared" si="1"/>
        <v/>
      </c>
    </row>
    <row r="430">
      <c r="N430" s="1174" t="str">
        <f t="shared" si="1"/>
        <v/>
      </c>
    </row>
    <row r="431">
      <c r="N431" s="1174" t="str">
        <f t="shared" si="1"/>
        <v/>
      </c>
    </row>
    <row r="432">
      <c r="N432" s="1174" t="str">
        <f t="shared" si="1"/>
        <v/>
      </c>
    </row>
    <row r="433">
      <c r="N433" s="1174" t="str">
        <f t="shared" si="1"/>
        <v/>
      </c>
    </row>
    <row r="434">
      <c r="N434" s="1174" t="str">
        <f t="shared" si="1"/>
        <v/>
      </c>
    </row>
    <row r="435">
      <c r="N435" s="1174" t="str">
        <f t="shared" si="1"/>
        <v/>
      </c>
    </row>
    <row r="436">
      <c r="N436" s="1174" t="str">
        <f t="shared" si="1"/>
        <v/>
      </c>
    </row>
    <row r="437">
      <c r="N437" s="1174" t="str">
        <f t="shared" si="1"/>
        <v/>
      </c>
    </row>
    <row r="438">
      <c r="N438" s="1174" t="str">
        <f t="shared" si="1"/>
        <v/>
      </c>
    </row>
    <row r="439">
      <c r="N439" s="1174" t="str">
        <f t="shared" si="1"/>
        <v/>
      </c>
    </row>
    <row r="440">
      <c r="N440" s="1174" t="str">
        <f t="shared" si="1"/>
        <v/>
      </c>
    </row>
    <row r="441">
      <c r="N441" s="1174" t="str">
        <f t="shared" si="1"/>
        <v/>
      </c>
    </row>
    <row r="442">
      <c r="N442" s="1174" t="str">
        <f t="shared" si="1"/>
        <v/>
      </c>
    </row>
    <row r="443">
      <c r="N443" s="1174" t="str">
        <f t="shared" si="1"/>
        <v/>
      </c>
    </row>
    <row r="444">
      <c r="N444" s="1174" t="str">
        <f t="shared" si="1"/>
        <v/>
      </c>
    </row>
    <row r="445">
      <c r="N445" s="1174" t="str">
        <f t="shared" si="1"/>
        <v/>
      </c>
    </row>
    <row r="446">
      <c r="N446" s="1174" t="str">
        <f t="shared" si="1"/>
        <v/>
      </c>
    </row>
    <row r="447">
      <c r="N447" s="1174" t="str">
        <f t="shared" si="1"/>
        <v/>
      </c>
    </row>
    <row r="448">
      <c r="N448" s="1174" t="str">
        <f t="shared" si="1"/>
        <v/>
      </c>
    </row>
    <row r="449">
      <c r="N449" s="1174" t="str">
        <f t="shared" si="1"/>
        <v/>
      </c>
    </row>
    <row r="450">
      <c r="N450" s="1174" t="str">
        <f t="shared" si="1"/>
        <v/>
      </c>
    </row>
    <row r="451">
      <c r="N451" s="1174" t="str">
        <f t="shared" si="1"/>
        <v/>
      </c>
    </row>
    <row r="452">
      <c r="N452" s="1174" t="str">
        <f t="shared" si="1"/>
        <v/>
      </c>
    </row>
    <row r="453">
      <c r="N453" s="1174" t="str">
        <f t="shared" si="1"/>
        <v/>
      </c>
    </row>
    <row r="454">
      <c r="N454" s="1174" t="str">
        <f t="shared" si="1"/>
        <v/>
      </c>
    </row>
    <row r="455">
      <c r="N455" s="1174" t="str">
        <f t="shared" si="1"/>
        <v/>
      </c>
    </row>
    <row r="456">
      <c r="N456" s="1174" t="str">
        <f t="shared" si="1"/>
        <v/>
      </c>
    </row>
    <row r="457">
      <c r="N457" s="1174" t="str">
        <f t="shared" si="1"/>
        <v/>
      </c>
    </row>
    <row r="458">
      <c r="N458" s="1174" t="str">
        <f t="shared" si="1"/>
        <v/>
      </c>
    </row>
    <row r="459">
      <c r="N459" s="1174" t="str">
        <f t="shared" si="1"/>
        <v/>
      </c>
    </row>
    <row r="460">
      <c r="N460" s="1174" t="str">
        <f t="shared" si="1"/>
        <v/>
      </c>
    </row>
    <row r="461">
      <c r="N461" s="1174" t="str">
        <f t="shared" si="1"/>
        <v/>
      </c>
    </row>
    <row r="462">
      <c r="N462" s="1174" t="str">
        <f t="shared" si="1"/>
        <v/>
      </c>
    </row>
    <row r="463">
      <c r="N463" s="1174" t="str">
        <f t="shared" si="1"/>
        <v/>
      </c>
    </row>
    <row r="464">
      <c r="N464" s="1174" t="str">
        <f t="shared" si="1"/>
        <v/>
      </c>
    </row>
    <row r="465">
      <c r="N465" s="1174" t="str">
        <f t="shared" si="1"/>
        <v/>
      </c>
    </row>
    <row r="466">
      <c r="N466" s="1174" t="str">
        <f t="shared" si="1"/>
        <v/>
      </c>
    </row>
    <row r="467">
      <c r="N467" s="1174" t="str">
        <f t="shared" si="1"/>
        <v/>
      </c>
    </row>
    <row r="468">
      <c r="N468" s="1174" t="str">
        <f t="shared" si="1"/>
        <v/>
      </c>
    </row>
    <row r="469">
      <c r="N469" s="1174" t="str">
        <f t="shared" si="1"/>
        <v/>
      </c>
    </row>
    <row r="470">
      <c r="N470" s="1174" t="str">
        <f t="shared" si="1"/>
        <v/>
      </c>
    </row>
    <row r="471">
      <c r="N471" s="1174" t="str">
        <f t="shared" si="1"/>
        <v/>
      </c>
    </row>
    <row r="472">
      <c r="N472" s="1174" t="str">
        <f t="shared" si="1"/>
        <v/>
      </c>
    </row>
    <row r="473">
      <c r="N473" s="1174" t="str">
        <f t="shared" si="1"/>
        <v/>
      </c>
    </row>
    <row r="474">
      <c r="N474" s="1174" t="str">
        <f t="shared" si="1"/>
        <v/>
      </c>
    </row>
    <row r="475">
      <c r="N475" s="1174" t="str">
        <f t="shared" si="1"/>
        <v/>
      </c>
    </row>
    <row r="476">
      <c r="N476" s="1174" t="str">
        <f t="shared" si="1"/>
        <v/>
      </c>
    </row>
    <row r="477">
      <c r="N477" s="1174" t="str">
        <f t="shared" si="1"/>
        <v/>
      </c>
    </row>
    <row r="478">
      <c r="N478" s="1174" t="str">
        <f t="shared" si="1"/>
        <v/>
      </c>
    </row>
    <row r="479">
      <c r="N479" s="1174" t="str">
        <f t="shared" si="1"/>
        <v/>
      </c>
    </row>
    <row r="480">
      <c r="N480" s="1174" t="str">
        <f t="shared" si="1"/>
        <v/>
      </c>
    </row>
    <row r="481">
      <c r="N481" s="1174" t="str">
        <f t="shared" si="1"/>
        <v/>
      </c>
    </row>
    <row r="482">
      <c r="N482" s="1174" t="str">
        <f t="shared" si="1"/>
        <v/>
      </c>
    </row>
    <row r="483">
      <c r="N483" s="1174" t="str">
        <f t="shared" si="1"/>
        <v/>
      </c>
    </row>
    <row r="484">
      <c r="N484" s="1174" t="str">
        <f t="shared" si="1"/>
        <v/>
      </c>
    </row>
    <row r="485">
      <c r="N485" s="1174" t="str">
        <f t="shared" si="1"/>
        <v/>
      </c>
    </row>
    <row r="486">
      <c r="N486" s="1174" t="str">
        <f t="shared" si="1"/>
        <v/>
      </c>
    </row>
    <row r="487">
      <c r="N487" s="1174" t="str">
        <f t="shared" si="1"/>
        <v/>
      </c>
    </row>
    <row r="488">
      <c r="N488" s="1174" t="str">
        <f t="shared" si="1"/>
        <v/>
      </c>
    </row>
    <row r="489">
      <c r="N489" s="1174" t="str">
        <f t="shared" si="1"/>
        <v/>
      </c>
    </row>
    <row r="490">
      <c r="N490" s="1174" t="str">
        <f t="shared" si="1"/>
        <v/>
      </c>
    </row>
    <row r="491">
      <c r="N491" s="1174" t="str">
        <f t="shared" si="1"/>
        <v/>
      </c>
    </row>
    <row r="492">
      <c r="N492" s="1174" t="str">
        <f t="shared" si="1"/>
        <v/>
      </c>
    </row>
    <row r="493">
      <c r="N493" s="1174" t="str">
        <f t="shared" si="1"/>
        <v/>
      </c>
    </row>
    <row r="494">
      <c r="N494" s="1174" t="str">
        <f t="shared" si="1"/>
        <v/>
      </c>
    </row>
    <row r="495">
      <c r="N495" s="1174" t="str">
        <f t="shared" si="1"/>
        <v/>
      </c>
    </row>
    <row r="496">
      <c r="N496" s="1174" t="str">
        <f t="shared" si="1"/>
        <v/>
      </c>
    </row>
    <row r="497">
      <c r="N497" s="1174" t="str">
        <f t="shared" si="1"/>
        <v/>
      </c>
    </row>
    <row r="498">
      <c r="N498" s="1174" t="str">
        <f t="shared" si="1"/>
        <v/>
      </c>
    </row>
    <row r="499">
      <c r="N499" s="1174" t="str">
        <f t="shared" si="1"/>
        <v/>
      </c>
    </row>
    <row r="500">
      <c r="N500" s="1174" t="str">
        <f t="shared" si="1"/>
        <v/>
      </c>
    </row>
    <row r="501">
      <c r="N501" s="1174" t="str">
        <f t="shared" si="1"/>
        <v/>
      </c>
    </row>
    <row r="502">
      <c r="N502" s="1174" t="str">
        <f t="shared" si="1"/>
        <v/>
      </c>
    </row>
    <row r="503">
      <c r="N503" s="1174" t="str">
        <f t="shared" si="1"/>
        <v/>
      </c>
    </row>
    <row r="504">
      <c r="N504" s="1174" t="str">
        <f t="shared" si="1"/>
        <v/>
      </c>
    </row>
    <row r="505">
      <c r="N505" s="1174" t="str">
        <f t="shared" si="1"/>
        <v/>
      </c>
    </row>
    <row r="506">
      <c r="N506" s="1174" t="str">
        <f t="shared" si="1"/>
        <v/>
      </c>
    </row>
    <row r="507">
      <c r="N507" s="1174" t="str">
        <f t="shared" si="1"/>
        <v/>
      </c>
    </row>
    <row r="508">
      <c r="N508" s="1174" t="str">
        <f t="shared" si="1"/>
        <v/>
      </c>
    </row>
    <row r="509">
      <c r="N509" s="1174" t="str">
        <f t="shared" si="1"/>
        <v/>
      </c>
    </row>
    <row r="510">
      <c r="N510" s="1174" t="str">
        <f t="shared" si="1"/>
        <v/>
      </c>
    </row>
    <row r="511">
      <c r="N511" s="1174" t="str">
        <f t="shared" si="1"/>
        <v/>
      </c>
    </row>
    <row r="512">
      <c r="N512" s="1174" t="str">
        <f t="shared" si="1"/>
        <v/>
      </c>
    </row>
    <row r="513">
      <c r="N513" s="1174" t="str">
        <f t="shared" si="1"/>
        <v/>
      </c>
    </row>
    <row r="514">
      <c r="N514" s="1174" t="str">
        <f t="shared" si="1"/>
        <v/>
      </c>
    </row>
    <row r="515">
      <c r="N515" s="1174" t="str">
        <f t="shared" si="1"/>
        <v/>
      </c>
    </row>
    <row r="516">
      <c r="N516" s="1174" t="str">
        <f t="shared" si="1"/>
        <v/>
      </c>
    </row>
    <row r="517">
      <c r="N517" s="1174" t="str">
        <f t="shared" si="1"/>
        <v/>
      </c>
    </row>
    <row r="518">
      <c r="N518" s="1174" t="str">
        <f t="shared" si="1"/>
        <v/>
      </c>
    </row>
    <row r="519">
      <c r="N519" s="1174" t="str">
        <f t="shared" si="1"/>
        <v/>
      </c>
    </row>
    <row r="520">
      <c r="N520" s="1174" t="str">
        <f t="shared" si="1"/>
        <v/>
      </c>
    </row>
    <row r="521">
      <c r="N521" s="1174" t="str">
        <f t="shared" si="1"/>
        <v/>
      </c>
    </row>
    <row r="522">
      <c r="N522" s="1174" t="str">
        <f t="shared" si="1"/>
        <v/>
      </c>
    </row>
    <row r="523">
      <c r="N523" s="1174" t="str">
        <f t="shared" si="1"/>
        <v/>
      </c>
    </row>
    <row r="524">
      <c r="N524" s="1174" t="str">
        <f t="shared" si="1"/>
        <v/>
      </c>
    </row>
    <row r="525">
      <c r="N525" s="1174" t="str">
        <f t="shared" si="1"/>
        <v/>
      </c>
    </row>
    <row r="526">
      <c r="N526" s="1174" t="str">
        <f t="shared" si="1"/>
        <v/>
      </c>
    </row>
    <row r="527">
      <c r="N527" s="1174" t="str">
        <f t="shared" si="1"/>
        <v/>
      </c>
    </row>
    <row r="528">
      <c r="N528" s="1174" t="str">
        <f t="shared" si="1"/>
        <v/>
      </c>
    </row>
    <row r="529">
      <c r="N529" s="1174" t="str">
        <f t="shared" si="1"/>
        <v/>
      </c>
    </row>
    <row r="530">
      <c r="N530" s="1174" t="str">
        <f t="shared" si="1"/>
        <v/>
      </c>
    </row>
    <row r="531">
      <c r="N531" s="1174" t="str">
        <f t="shared" si="1"/>
        <v/>
      </c>
    </row>
    <row r="532">
      <c r="N532" s="1174" t="str">
        <f t="shared" si="1"/>
        <v/>
      </c>
    </row>
    <row r="533">
      <c r="N533" s="1174" t="str">
        <f t="shared" si="1"/>
        <v/>
      </c>
    </row>
    <row r="534">
      <c r="N534" s="1174" t="str">
        <f t="shared" si="1"/>
        <v/>
      </c>
    </row>
    <row r="535">
      <c r="N535" s="1174" t="str">
        <f t="shared" si="1"/>
        <v/>
      </c>
    </row>
    <row r="536">
      <c r="N536" s="1174" t="str">
        <f t="shared" si="1"/>
        <v/>
      </c>
    </row>
    <row r="537">
      <c r="N537" s="1174" t="str">
        <f t="shared" si="1"/>
        <v/>
      </c>
    </row>
    <row r="538">
      <c r="N538" s="1174" t="str">
        <f t="shared" si="1"/>
        <v/>
      </c>
    </row>
    <row r="539">
      <c r="N539" s="1174" t="str">
        <f t="shared" si="1"/>
        <v/>
      </c>
    </row>
    <row r="540">
      <c r="N540" s="1174" t="str">
        <f t="shared" si="1"/>
        <v/>
      </c>
    </row>
    <row r="541">
      <c r="N541" s="1174" t="str">
        <f t="shared" si="1"/>
        <v/>
      </c>
    </row>
    <row r="542">
      <c r="N542" s="1174" t="str">
        <f t="shared" si="1"/>
        <v/>
      </c>
    </row>
    <row r="543">
      <c r="N543" s="1174" t="str">
        <f t="shared" si="1"/>
        <v/>
      </c>
    </row>
    <row r="544">
      <c r="N544" s="1174" t="str">
        <f t="shared" si="1"/>
        <v/>
      </c>
    </row>
    <row r="545">
      <c r="N545" s="1174" t="str">
        <f t="shared" si="1"/>
        <v/>
      </c>
    </row>
    <row r="546">
      <c r="N546" s="1174" t="str">
        <f t="shared" si="1"/>
        <v/>
      </c>
    </row>
    <row r="547">
      <c r="N547" s="1174" t="str">
        <f t="shared" si="1"/>
        <v/>
      </c>
    </row>
    <row r="548">
      <c r="N548" s="1174" t="str">
        <f t="shared" si="1"/>
        <v/>
      </c>
    </row>
    <row r="549">
      <c r="N549" s="1174" t="str">
        <f t="shared" si="1"/>
        <v/>
      </c>
    </row>
    <row r="550">
      <c r="N550" s="1174" t="str">
        <f t="shared" si="1"/>
        <v/>
      </c>
    </row>
    <row r="551">
      <c r="N551" s="1174" t="str">
        <f t="shared" si="1"/>
        <v/>
      </c>
    </row>
    <row r="552">
      <c r="N552" s="1174" t="str">
        <f t="shared" si="1"/>
        <v/>
      </c>
    </row>
    <row r="553">
      <c r="N553" s="1174" t="str">
        <f t="shared" si="1"/>
        <v/>
      </c>
    </row>
    <row r="554">
      <c r="N554" s="1174" t="str">
        <f t="shared" si="1"/>
        <v/>
      </c>
    </row>
    <row r="555">
      <c r="N555" s="1174" t="str">
        <f t="shared" si="1"/>
        <v/>
      </c>
    </row>
    <row r="556">
      <c r="N556" s="1174" t="str">
        <f t="shared" si="1"/>
        <v/>
      </c>
    </row>
    <row r="557">
      <c r="N557" s="1174" t="str">
        <f t="shared" si="1"/>
        <v/>
      </c>
    </row>
    <row r="558">
      <c r="N558" s="1174" t="str">
        <f t="shared" si="1"/>
        <v/>
      </c>
    </row>
    <row r="559">
      <c r="N559" s="1174" t="str">
        <f t="shared" si="1"/>
        <v/>
      </c>
    </row>
    <row r="560">
      <c r="N560" s="1174" t="str">
        <f t="shared" si="1"/>
        <v/>
      </c>
    </row>
    <row r="561">
      <c r="N561" s="1174" t="str">
        <f t="shared" si="1"/>
        <v/>
      </c>
    </row>
    <row r="562">
      <c r="N562" s="1174" t="str">
        <f t="shared" si="1"/>
        <v/>
      </c>
    </row>
    <row r="563">
      <c r="N563" s="1174" t="str">
        <f t="shared" si="1"/>
        <v/>
      </c>
    </row>
    <row r="564">
      <c r="N564" s="1174" t="str">
        <f t="shared" si="1"/>
        <v/>
      </c>
    </row>
    <row r="565">
      <c r="N565" s="1174" t="str">
        <f t="shared" si="1"/>
        <v/>
      </c>
    </row>
    <row r="566">
      <c r="N566" s="1174" t="str">
        <f t="shared" si="1"/>
        <v/>
      </c>
    </row>
    <row r="567">
      <c r="N567" s="1174" t="str">
        <f t="shared" si="1"/>
        <v/>
      </c>
    </row>
    <row r="568">
      <c r="N568" s="1174" t="str">
        <f t="shared" si="1"/>
        <v/>
      </c>
    </row>
    <row r="569">
      <c r="N569" s="1174" t="str">
        <f t="shared" si="1"/>
        <v/>
      </c>
    </row>
    <row r="570">
      <c r="N570" s="1174" t="str">
        <f t="shared" si="1"/>
        <v/>
      </c>
    </row>
    <row r="571">
      <c r="N571" s="1174" t="str">
        <f t="shared" si="1"/>
        <v/>
      </c>
    </row>
    <row r="572">
      <c r="N572" s="1174" t="str">
        <f t="shared" si="1"/>
        <v/>
      </c>
    </row>
    <row r="573">
      <c r="N573" s="1174" t="str">
        <f t="shared" si="1"/>
        <v/>
      </c>
    </row>
    <row r="574">
      <c r="N574" s="1174" t="str">
        <f t="shared" si="1"/>
        <v/>
      </c>
    </row>
    <row r="575">
      <c r="N575" s="1174" t="str">
        <f t="shared" si="1"/>
        <v/>
      </c>
    </row>
    <row r="576">
      <c r="N576" s="1174" t="str">
        <f t="shared" si="1"/>
        <v/>
      </c>
    </row>
    <row r="577">
      <c r="N577" s="1174" t="str">
        <f t="shared" si="1"/>
        <v/>
      </c>
    </row>
    <row r="578">
      <c r="N578" s="1174" t="str">
        <f t="shared" si="1"/>
        <v/>
      </c>
    </row>
    <row r="579">
      <c r="N579" s="1174" t="str">
        <f t="shared" si="1"/>
        <v/>
      </c>
    </row>
    <row r="580">
      <c r="N580" s="1174" t="str">
        <f t="shared" si="1"/>
        <v/>
      </c>
    </row>
    <row r="581">
      <c r="N581" s="1174" t="str">
        <f t="shared" si="1"/>
        <v/>
      </c>
    </row>
    <row r="582">
      <c r="N582" s="1174" t="str">
        <f t="shared" si="1"/>
        <v/>
      </c>
    </row>
    <row r="583">
      <c r="N583" s="1174" t="str">
        <f t="shared" si="1"/>
        <v/>
      </c>
    </row>
    <row r="584">
      <c r="N584" s="1174" t="str">
        <f t="shared" si="1"/>
        <v/>
      </c>
    </row>
    <row r="585">
      <c r="N585" s="1174" t="str">
        <f t="shared" si="1"/>
        <v/>
      </c>
    </row>
    <row r="586">
      <c r="N586" s="1174" t="str">
        <f t="shared" si="1"/>
        <v/>
      </c>
    </row>
    <row r="587">
      <c r="N587" s="1174" t="str">
        <f t="shared" si="1"/>
        <v/>
      </c>
    </row>
    <row r="588">
      <c r="N588" s="1174" t="str">
        <f t="shared" si="1"/>
        <v/>
      </c>
    </row>
    <row r="589">
      <c r="N589" s="1174" t="str">
        <f t="shared" si="1"/>
        <v/>
      </c>
    </row>
    <row r="590">
      <c r="N590" s="1174" t="str">
        <f t="shared" si="1"/>
        <v/>
      </c>
    </row>
    <row r="591">
      <c r="N591" s="1174" t="str">
        <f t="shared" si="1"/>
        <v/>
      </c>
    </row>
    <row r="592">
      <c r="N592" s="1174" t="str">
        <f t="shared" si="1"/>
        <v/>
      </c>
    </row>
    <row r="593">
      <c r="N593" s="1174" t="str">
        <f t="shared" si="1"/>
        <v/>
      </c>
    </row>
    <row r="594">
      <c r="N594" s="1174" t="str">
        <f t="shared" si="1"/>
        <v/>
      </c>
    </row>
    <row r="595">
      <c r="N595" s="1174" t="str">
        <f t="shared" si="1"/>
        <v/>
      </c>
    </row>
    <row r="596">
      <c r="N596" s="1174" t="str">
        <f t="shared" si="1"/>
        <v/>
      </c>
    </row>
    <row r="597">
      <c r="N597" s="1174" t="str">
        <f t="shared" si="1"/>
        <v/>
      </c>
    </row>
    <row r="598">
      <c r="N598" s="1174" t="str">
        <f t="shared" si="1"/>
        <v/>
      </c>
    </row>
    <row r="599">
      <c r="N599" s="1174" t="str">
        <f t="shared" si="1"/>
        <v/>
      </c>
    </row>
    <row r="600">
      <c r="N600" s="1174" t="str">
        <f t="shared" si="1"/>
        <v/>
      </c>
    </row>
    <row r="601">
      <c r="N601" s="1174" t="str">
        <f t="shared" si="1"/>
        <v/>
      </c>
    </row>
    <row r="602">
      <c r="N602" s="1174" t="str">
        <f t="shared" si="1"/>
        <v/>
      </c>
    </row>
    <row r="603">
      <c r="N603" s="1174" t="str">
        <f t="shared" si="1"/>
        <v/>
      </c>
    </row>
    <row r="604">
      <c r="N604" s="1174" t="str">
        <f t="shared" si="1"/>
        <v/>
      </c>
    </row>
    <row r="605">
      <c r="N605" s="1174" t="str">
        <f t="shared" si="1"/>
        <v/>
      </c>
    </row>
    <row r="606">
      <c r="N606" s="1174" t="str">
        <f t="shared" si="1"/>
        <v/>
      </c>
    </row>
    <row r="607">
      <c r="N607" s="1174" t="str">
        <f t="shared" si="1"/>
        <v/>
      </c>
    </row>
    <row r="608">
      <c r="N608" s="1174" t="str">
        <f t="shared" si="1"/>
        <v/>
      </c>
    </row>
    <row r="609">
      <c r="N609" s="1174" t="str">
        <f t="shared" si="1"/>
        <v/>
      </c>
    </row>
    <row r="610">
      <c r="N610" s="1174" t="str">
        <f t="shared" si="1"/>
        <v/>
      </c>
    </row>
    <row r="611">
      <c r="N611" s="1174" t="str">
        <f t="shared" si="1"/>
        <v/>
      </c>
    </row>
    <row r="612">
      <c r="N612" s="1174" t="str">
        <f t="shared" si="1"/>
        <v/>
      </c>
    </row>
    <row r="613">
      <c r="N613" s="1174" t="str">
        <f t="shared" si="1"/>
        <v/>
      </c>
    </row>
    <row r="614">
      <c r="N614" s="1174" t="str">
        <f t="shared" si="1"/>
        <v/>
      </c>
    </row>
    <row r="615">
      <c r="N615" s="1174" t="str">
        <f t="shared" si="1"/>
        <v/>
      </c>
    </row>
    <row r="616">
      <c r="N616" s="1174" t="str">
        <f t="shared" si="1"/>
        <v/>
      </c>
    </row>
    <row r="617">
      <c r="N617" s="1174" t="str">
        <f t="shared" si="1"/>
        <v/>
      </c>
    </row>
    <row r="618">
      <c r="N618" s="1174" t="str">
        <f t="shared" si="1"/>
        <v/>
      </c>
    </row>
    <row r="619">
      <c r="N619" s="1174" t="str">
        <f t="shared" si="1"/>
        <v/>
      </c>
    </row>
    <row r="620">
      <c r="N620" s="1174" t="str">
        <f t="shared" si="1"/>
        <v/>
      </c>
    </row>
    <row r="621">
      <c r="N621" s="1174" t="str">
        <f t="shared" si="1"/>
        <v/>
      </c>
    </row>
    <row r="622">
      <c r="N622" s="1174" t="str">
        <f t="shared" si="1"/>
        <v/>
      </c>
    </row>
    <row r="623">
      <c r="N623" s="1174" t="str">
        <f t="shared" si="1"/>
        <v/>
      </c>
    </row>
    <row r="624">
      <c r="N624" s="1174" t="str">
        <f t="shared" si="1"/>
        <v/>
      </c>
    </row>
    <row r="625">
      <c r="N625" s="1174" t="str">
        <f t="shared" si="1"/>
        <v/>
      </c>
    </row>
    <row r="626">
      <c r="N626" s="1174" t="str">
        <f t="shared" si="1"/>
        <v/>
      </c>
    </row>
    <row r="627">
      <c r="N627" s="1174" t="str">
        <f t="shared" si="1"/>
        <v/>
      </c>
    </row>
    <row r="628">
      <c r="N628" s="1174" t="str">
        <f t="shared" si="1"/>
        <v/>
      </c>
    </row>
    <row r="629">
      <c r="N629" s="1174" t="str">
        <f t="shared" si="1"/>
        <v/>
      </c>
    </row>
    <row r="630">
      <c r="N630" s="1174" t="str">
        <f t="shared" si="1"/>
        <v/>
      </c>
    </row>
    <row r="631">
      <c r="N631" s="1174" t="str">
        <f t="shared" si="1"/>
        <v/>
      </c>
    </row>
    <row r="632">
      <c r="N632" s="1174" t="str">
        <f t="shared" si="1"/>
        <v/>
      </c>
    </row>
    <row r="633">
      <c r="N633" s="1174" t="str">
        <f t="shared" si="1"/>
        <v/>
      </c>
    </row>
    <row r="634">
      <c r="N634" s="1174" t="str">
        <f t="shared" si="1"/>
        <v/>
      </c>
    </row>
    <row r="635">
      <c r="N635" s="1174" t="str">
        <f t="shared" si="1"/>
        <v/>
      </c>
    </row>
    <row r="636">
      <c r="N636" s="1174" t="str">
        <f t="shared" si="1"/>
        <v/>
      </c>
    </row>
    <row r="637">
      <c r="N637" s="1174" t="str">
        <f t="shared" si="1"/>
        <v/>
      </c>
    </row>
    <row r="638">
      <c r="N638" s="1174" t="str">
        <f t="shared" si="1"/>
        <v/>
      </c>
    </row>
    <row r="639">
      <c r="N639" s="1174" t="str">
        <f t="shared" si="1"/>
        <v/>
      </c>
    </row>
    <row r="640">
      <c r="N640" s="1174" t="str">
        <f t="shared" si="1"/>
        <v/>
      </c>
    </row>
    <row r="641">
      <c r="N641" s="1174" t="str">
        <f t="shared" si="1"/>
        <v/>
      </c>
    </row>
    <row r="642">
      <c r="N642" s="1174" t="str">
        <f t="shared" si="1"/>
        <v/>
      </c>
    </row>
    <row r="643">
      <c r="N643" s="1174" t="str">
        <f t="shared" si="1"/>
        <v/>
      </c>
    </row>
    <row r="644">
      <c r="N644" s="1174" t="str">
        <f t="shared" si="1"/>
        <v/>
      </c>
    </row>
    <row r="645">
      <c r="N645" s="1174" t="str">
        <f t="shared" si="1"/>
        <v/>
      </c>
    </row>
    <row r="646">
      <c r="N646" s="1174" t="str">
        <f t="shared" si="1"/>
        <v/>
      </c>
    </row>
    <row r="647">
      <c r="N647" s="1174" t="str">
        <f t="shared" si="1"/>
        <v/>
      </c>
    </row>
    <row r="648">
      <c r="N648" s="1174" t="str">
        <f t="shared" si="1"/>
        <v/>
      </c>
    </row>
    <row r="649">
      <c r="N649" s="1174" t="str">
        <f t="shared" si="1"/>
        <v/>
      </c>
    </row>
    <row r="650">
      <c r="N650" s="1174" t="str">
        <f t="shared" si="1"/>
        <v/>
      </c>
    </row>
    <row r="651">
      <c r="N651" s="1174" t="str">
        <f t="shared" si="1"/>
        <v/>
      </c>
    </row>
    <row r="652">
      <c r="N652" s="1174" t="str">
        <f t="shared" si="1"/>
        <v/>
      </c>
    </row>
    <row r="653">
      <c r="N653" s="1174" t="str">
        <f t="shared" si="1"/>
        <v/>
      </c>
    </row>
    <row r="654">
      <c r="N654" s="1174" t="str">
        <f t="shared" si="1"/>
        <v/>
      </c>
    </row>
    <row r="655">
      <c r="N655" s="1174" t="str">
        <f t="shared" si="1"/>
        <v/>
      </c>
    </row>
    <row r="656">
      <c r="N656" s="1174" t="str">
        <f t="shared" si="1"/>
        <v/>
      </c>
    </row>
    <row r="657">
      <c r="N657" s="1174" t="str">
        <f t="shared" si="1"/>
        <v/>
      </c>
    </row>
    <row r="658">
      <c r="N658" s="1174" t="str">
        <f t="shared" si="1"/>
        <v/>
      </c>
    </row>
    <row r="659">
      <c r="N659" s="1174" t="str">
        <f t="shared" si="1"/>
        <v/>
      </c>
    </row>
    <row r="660">
      <c r="N660" s="1174" t="str">
        <f t="shared" si="1"/>
        <v/>
      </c>
    </row>
    <row r="661">
      <c r="N661" s="1174" t="str">
        <f t="shared" si="1"/>
        <v/>
      </c>
    </row>
    <row r="662">
      <c r="N662" s="1174" t="str">
        <f t="shared" si="1"/>
        <v/>
      </c>
    </row>
    <row r="663">
      <c r="N663" s="1174" t="str">
        <f t="shared" si="1"/>
        <v/>
      </c>
    </row>
    <row r="664">
      <c r="N664" s="1174" t="str">
        <f t="shared" si="1"/>
        <v/>
      </c>
    </row>
    <row r="665">
      <c r="N665" s="1174" t="str">
        <f t="shared" si="1"/>
        <v/>
      </c>
    </row>
    <row r="666">
      <c r="N666" s="1174" t="str">
        <f t="shared" si="1"/>
        <v/>
      </c>
    </row>
    <row r="667">
      <c r="N667" s="1174" t="str">
        <f t="shared" si="1"/>
        <v/>
      </c>
    </row>
    <row r="668">
      <c r="N668" s="1174" t="str">
        <f t="shared" si="1"/>
        <v/>
      </c>
    </row>
    <row r="669">
      <c r="N669" s="1174" t="str">
        <f t="shared" si="1"/>
        <v/>
      </c>
    </row>
    <row r="670">
      <c r="N670" s="1174" t="str">
        <f t="shared" si="1"/>
        <v/>
      </c>
    </row>
    <row r="671">
      <c r="N671" s="1174" t="str">
        <f t="shared" si="1"/>
        <v/>
      </c>
    </row>
    <row r="672">
      <c r="N672" s="1174" t="str">
        <f t="shared" si="1"/>
        <v/>
      </c>
    </row>
    <row r="673">
      <c r="N673" s="1174" t="str">
        <f t="shared" si="1"/>
        <v/>
      </c>
    </row>
    <row r="674">
      <c r="N674" s="1174" t="str">
        <f t="shared" si="1"/>
        <v/>
      </c>
    </row>
    <row r="675">
      <c r="N675" s="1174" t="str">
        <f t="shared" si="1"/>
        <v/>
      </c>
    </row>
    <row r="676">
      <c r="N676" s="1174" t="str">
        <f t="shared" si="1"/>
        <v/>
      </c>
    </row>
    <row r="677">
      <c r="N677" s="1174" t="str">
        <f t="shared" si="1"/>
        <v/>
      </c>
    </row>
    <row r="678">
      <c r="N678" s="1174" t="str">
        <f t="shared" si="1"/>
        <v/>
      </c>
    </row>
    <row r="679">
      <c r="N679" s="1174" t="str">
        <f t="shared" si="1"/>
        <v/>
      </c>
    </row>
    <row r="680">
      <c r="N680" s="1174" t="str">
        <f t="shared" si="1"/>
        <v/>
      </c>
    </row>
    <row r="681">
      <c r="N681" s="1174" t="str">
        <f t="shared" si="1"/>
        <v/>
      </c>
    </row>
    <row r="682">
      <c r="N682" s="1174" t="str">
        <f t="shared" si="1"/>
        <v/>
      </c>
    </row>
    <row r="683">
      <c r="N683" s="1174" t="str">
        <f t="shared" si="1"/>
        <v/>
      </c>
    </row>
    <row r="684">
      <c r="N684" s="1174" t="str">
        <f t="shared" si="1"/>
        <v/>
      </c>
    </row>
    <row r="685">
      <c r="N685" s="1174" t="str">
        <f t="shared" si="1"/>
        <v/>
      </c>
    </row>
    <row r="686">
      <c r="N686" s="1174" t="str">
        <f t="shared" si="1"/>
        <v/>
      </c>
    </row>
    <row r="687">
      <c r="N687" s="1174" t="str">
        <f t="shared" si="1"/>
        <v/>
      </c>
    </row>
    <row r="688">
      <c r="N688" s="1174" t="str">
        <f t="shared" si="1"/>
        <v/>
      </c>
    </row>
    <row r="689">
      <c r="N689" s="1174" t="str">
        <f t="shared" si="1"/>
        <v/>
      </c>
    </row>
    <row r="690">
      <c r="N690" s="1174" t="str">
        <f t="shared" si="1"/>
        <v/>
      </c>
    </row>
    <row r="691">
      <c r="N691" s="1174" t="str">
        <f t="shared" si="1"/>
        <v/>
      </c>
    </row>
    <row r="692">
      <c r="N692" s="1174" t="str">
        <f t="shared" si="1"/>
        <v/>
      </c>
    </row>
    <row r="693">
      <c r="N693" s="1174" t="str">
        <f t="shared" si="1"/>
        <v/>
      </c>
    </row>
    <row r="694">
      <c r="N694" s="1174" t="str">
        <f t="shared" si="1"/>
        <v/>
      </c>
    </row>
    <row r="695">
      <c r="N695" s="1174" t="str">
        <f t="shared" si="1"/>
        <v/>
      </c>
    </row>
    <row r="696">
      <c r="N696" s="1174" t="str">
        <f t="shared" si="1"/>
        <v/>
      </c>
    </row>
    <row r="697">
      <c r="N697" s="1174" t="str">
        <f t="shared" si="1"/>
        <v/>
      </c>
    </row>
    <row r="698">
      <c r="N698" s="1174" t="str">
        <f t="shared" si="1"/>
        <v/>
      </c>
    </row>
    <row r="699">
      <c r="N699" s="1174" t="str">
        <f t="shared" si="1"/>
        <v/>
      </c>
    </row>
    <row r="700">
      <c r="N700" s="1174" t="str">
        <f t="shared" si="1"/>
        <v/>
      </c>
    </row>
    <row r="701">
      <c r="N701" s="1174" t="str">
        <f t="shared" si="1"/>
        <v/>
      </c>
    </row>
    <row r="702">
      <c r="N702" s="1174" t="str">
        <f t="shared" si="1"/>
        <v/>
      </c>
    </row>
    <row r="703">
      <c r="N703" s="1174" t="str">
        <f t="shared" si="1"/>
        <v/>
      </c>
    </row>
    <row r="704">
      <c r="N704" s="1174" t="str">
        <f t="shared" si="1"/>
        <v/>
      </c>
    </row>
    <row r="705">
      <c r="N705" s="1174" t="str">
        <f t="shared" si="1"/>
        <v/>
      </c>
    </row>
    <row r="706">
      <c r="N706" s="1174" t="str">
        <f t="shared" si="1"/>
        <v/>
      </c>
    </row>
    <row r="707">
      <c r="N707" s="1174" t="str">
        <f t="shared" si="1"/>
        <v/>
      </c>
    </row>
    <row r="708">
      <c r="N708" s="1174" t="str">
        <f t="shared" si="1"/>
        <v/>
      </c>
    </row>
    <row r="709">
      <c r="N709" s="1174" t="str">
        <f t="shared" si="1"/>
        <v/>
      </c>
    </row>
    <row r="710">
      <c r="N710" s="1174" t="str">
        <f t="shared" si="1"/>
        <v/>
      </c>
    </row>
    <row r="711">
      <c r="N711" s="1174" t="str">
        <f t="shared" si="1"/>
        <v/>
      </c>
    </row>
    <row r="712">
      <c r="N712" s="1174" t="str">
        <f t="shared" si="1"/>
        <v/>
      </c>
    </row>
    <row r="713">
      <c r="N713" s="1174" t="str">
        <f t="shared" si="1"/>
        <v/>
      </c>
    </row>
    <row r="714">
      <c r="N714" s="1174" t="str">
        <f t="shared" si="1"/>
        <v/>
      </c>
    </row>
    <row r="715">
      <c r="N715" s="1174" t="str">
        <f t="shared" si="1"/>
        <v/>
      </c>
    </row>
    <row r="716">
      <c r="N716" s="1174" t="str">
        <f t="shared" si="1"/>
        <v/>
      </c>
    </row>
    <row r="717">
      <c r="N717" s="1174" t="str">
        <f t="shared" si="1"/>
        <v/>
      </c>
    </row>
    <row r="718">
      <c r="N718" s="1174" t="str">
        <f t="shared" si="1"/>
        <v/>
      </c>
    </row>
    <row r="719">
      <c r="N719" s="1174" t="str">
        <f t="shared" si="1"/>
        <v/>
      </c>
    </row>
    <row r="720">
      <c r="N720" s="1174" t="str">
        <f t="shared" si="1"/>
        <v/>
      </c>
    </row>
    <row r="721">
      <c r="N721" s="1174" t="str">
        <f t="shared" si="1"/>
        <v/>
      </c>
    </row>
    <row r="722">
      <c r="N722" s="1174" t="str">
        <f t="shared" si="1"/>
        <v/>
      </c>
    </row>
    <row r="723">
      <c r="N723" s="1174" t="str">
        <f t="shared" si="1"/>
        <v/>
      </c>
    </row>
    <row r="724">
      <c r="N724" s="1174" t="str">
        <f t="shared" si="1"/>
        <v/>
      </c>
    </row>
    <row r="725">
      <c r="N725" s="1174" t="str">
        <f t="shared" si="1"/>
        <v/>
      </c>
    </row>
    <row r="726">
      <c r="N726" s="1174" t="str">
        <f t="shared" si="1"/>
        <v/>
      </c>
    </row>
    <row r="727">
      <c r="N727" s="1174" t="str">
        <f t="shared" si="1"/>
        <v/>
      </c>
    </row>
    <row r="728">
      <c r="N728" s="1174" t="str">
        <f t="shared" si="1"/>
        <v/>
      </c>
    </row>
    <row r="729">
      <c r="N729" s="1174" t="str">
        <f t="shared" si="1"/>
        <v/>
      </c>
    </row>
    <row r="730">
      <c r="N730" s="1174" t="str">
        <f t="shared" si="1"/>
        <v/>
      </c>
    </row>
    <row r="731">
      <c r="N731" s="1174" t="str">
        <f t="shared" si="1"/>
        <v/>
      </c>
    </row>
    <row r="732">
      <c r="N732" s="1174" t="str">
        <f t="shared" si="1"/>
        <v/>
      </c>
    </row>
    <row r="733">
      <c r="N733" s="1174" t="str">
        <f t="shared" si="1"/>
        <v/>
      </c>
    </row>
    <row r="734">
      <c r="N734" s="1174" t="str">
        <f t="shared" si="1"/>
        <v/>
      </c>
    </row>
    <row r="735">
      <c r="N735" s="1174" t="str">
        <f t="shared" si="1"/>
        <v/>
      </c>
    </row>
    <row r="736">
      <c r="N736" s="1174" t="str">
        <f t="shared" si="1"/>
        <v/>
      </c>
    </row>
    <row r="737">
      <c r="N737" s="1174" t="str">
        <f t="shared" si="1"/>
        <v/>
      </c>
    </row>
    <row r="738">
      <c r="N738" s="1174" t="str">
        <f t="shared" si="1"/>
        <v/>
      </c>
    </row>
    <row r="739">
      <c r="N739" s="1174" t="str">
        <f t="shared" si="1"/>
        <v/>
      </c>
    </row>
    <row r="740">
      <c r="N740" s="1174" t="str">
        <f t="shared" si="1"/>
        <v/>
      </c>
    </row>
    <row r="741">
      <c r="N741" s="1174" t="str">
        <f t="shared" si="1"/>
        <v/>
      </c>
    </row>
    <row r="742">
      <c r="N742" s="1174" t="str">
        <f t="shared" si="1"/>
        <v/>
      </c>
    </row>
    <row r="743">
      <c r="N743" s="1174" t="str">
        <f t="shared" si="1"/>
        <v/>
      </c>
    </row>
    <row r="744">
      <c r="N744" s="1174" t="str">
        <f t="shared" si="1"/>
        <v/>
      </c>
    </row>
    <row r="745">
      <c r="N745" s="1174" t="str">
        <f t="shared" si="1"/>
        <v/>
      </c>
    </row>
    <row r="746">
      <c r="N746" s="1174" t="str">
        <f t="shared" si="1"/>
        <v/>
      </c>
    </row>
    <row r="747">
      <c r="N747" s="1174" t="str">
        <f t="shared" si="1"/>
        <v/>
      </c>
    </row>
    <row r="748">
      <c r="N748" s="1174" t="str">
        <f t="shared" si="1"/>
        <v/>
      </c>
    </row>
    <row r="749">
      <c r="N749" s="1174" t="str">
        <f t="shared" si="1"/>
        <v/>
      </c>
    </row>
    <row r="750">
      <c r="N750" s="1174" t="str">
        <f t="shared" si="1"/>
        <v/>
      </c>
    </row>
    <row r="751">
      <c r="N751" s="1174" t="str">
        <f t="shared" si="1"/>
        <v/>
      </c>
    </row>
    <row r="752">
      <c r="N752" s="1174" t="str">
        <f t="shared" si="1"/>
        <v/>
      </c>
    </row>
    <row r="753">
      <c r="N753" s="1174" t="str">
        <f t="shared" si="1"/>
        <v/>
      </c>
    </row>
    <row r="754">
      <c r="N754" s="1174" t="str">
        <f t="shared" si="1"/>
        <v/>
      </c>
    </row>
    <row r="755">
      <c r="N755" s="1174" t="str">
        <f t="shared" si="1"/>
        <v/>
      </c>
    </row>
    <row r="756">
      <c r="N756" s="1174" t="str">
        <f t="shared" si="1"/>
        <v/>
      </c>
    </row>
    <row r="757">
      <c r="N757" s="1174" t="str">
        <f t="shared" si="1"/>
        <v/>
      </c>
    </row>
    <row r="758">
      <c r="N758" s="1174" t="str">
        <f t="shared" si="1"/>
        <v/>
      </c>
    </row>
    <row r="759">
      <c r="N759" s="1174" t="str">
        <f t="shared" si="1"/>
        <v/>
      </c>
    </row>
    <row r="760">
      <c r="N760" s="1174" t="str">
        <f t="shared" si="1"/>
        <v/>
      </c>
    </row>
    <row r="761">
      <c r="N761" s="1174" t="str">
        <f t="shared" si="1"/>
        <v/>
      </c>
    </row>
    <row r="762">
      <c r="N762" s="1174" t="str">
        <f t="shared" si="1"/>
        <v/>
      </c>
    </row>
    <row r="763">
      <c r="N763" s="1174" t="str">
        <f t="shared" si="1"/>
        <v/>
      </c>
    </row>
    <row r="764">
      <c r="N764" s="1174" t="str">
        <f t="shared" si="1"/>
        <v/>
      </c>
    </row>
    <row r="765">
      <c r="N765" s="1174" t="str">
        <f t="shared" si="1"/>
        <v/>
      </c>
    </row>
    <row r="766">
      <c r="N766" s="1174" t="str">
        <f t="shared" si="1"/>
        <v/>
      </c>
    </row>
    <row r="767">
      <c r="N767" s="1174" t="str">
        <f t="shared" si="1"/>
        <v/>
      </c>
    </row>
    <row r="768">
      <c r="N768" s="1174" t="str">
        <f t="shared" si="1"/>
        <v/>
      </c>
    </row>
    <row r="769">
      <c r="N769" s="1174" t="str">
        <f t="shared" si="1"/>
        <v/>
      </c>
    </row>
    <row r="770">
      <c r="N770" s="1174" t="str">
        <f t="shared" si="1"/>
        <v/>
      </c>
    </row>
    <row r="771">
      <c r="N771" s="1174" t="str">
        <f t="shared" si="1"/>
        <v/>
      </c>
    </row>
    <row r="772">
      <c r="N772" s="1174" t="str">
        <f t="shared" si="1"/>
        <v/>
      </c>
    </row>
    <row r="773">
      <c r="N773" s="1174" t="str">
        <f t="shared" si="1"/>
        <v/>
      </c>
    </row>
    <row r="774">
      <c r="N774" s="1174" t="str">
        <f t="shared" si="1"/>
        <v/>
      </c>
    </row>
    <row r="775">
      <c r="N775" s="1174" t="str">
        <f t="shared" si="1"/>
        <v/>
      </c>
    </row>
    <row r="776">
      <c r="N776" s="1174" t="str">
        <f t="shared" si="1"/>
        <v/>
      </c>
    </row>
    <row r="777">
      <c r="N777" s="1174" t="str">
        <f t="shared" si="1"/>
        <v/>
      </c>
    </row>
    <row r="778">
      <c r="N778" s="1174" t="str">
        <f t="shared" si="1"/>
        <v/>
      </c>
    </row>
    <row r="779">
      <c r="N779" s="1174" t="str">
        <f t="shared" si="1"/>
        <v/>
      </c>
    </row>
    <row r="780">
      <c r="N780" s="1174" t="str">
        <f t="shared" si="1"/>
        <v/>
      </c>
    </row>
    <row r="781">
      <c r="N781" s="1174" t="str">
        <f t="shared" si="1"/>
        <v/>
      </c>
    </row>
    <row r="782">
      <c r="N782" s="1174" t="str">
        <f t="shared" si="1"/>
        <v/>
      </c>
    </row>
    <row r="783">
      <c r="N783" s="1174" t="str">
        <f t="shared" si="1"/>
        <v/>
      </c>
    </row>
    <row r="784">
      <c r="N784" s="1174" t="str">
        <f t="shared" si="1"/>
        <v/>
      </c>
    </row>
    <row r="785">
      <c r="N785" s="1174" t="str">
        <f t="shared" si="1"/>
        <v/>
      </c>
    </row>
    <row r="786">
      <c r="N786" s="1174" t="str">
        <f t="shared" si="1"/>
        <v/>
      </c>
    </row>
    <row r="787">
      <c r="N787" s="1174" t="str">
        <f t="shared" si="1"/>
        <v/>
      </c>
    </row>
    <row r="788">
      <c r="N788" s="1174" t="str">
        <f t="shared" si="1"/>
        <v/>
      </c>
    </row>
    <row r="789">
      <c r="N789" s="1174" t="str">
        <f t="shared" si="1"/>
        <v/>
      </c>
    </row>
    <row r="790">
      <c r="N790" s="1174" t="str">
        <f t="shared" si="1"/>
        <v/>
      </c>
    </row>
    <row r="791">
      <c r="N791" s="1174" t="str">
        <f t="shared" si="1"/>
        <v/>
      </c>
    </row>
    <row r="792">
      <c r="N792" s="1174" t="str">
        <f t="shared" si="1"/>
        <v/>
      </c>
    </row>
    <row r="793">
      <c r="N793" s="1174" t="str">
        <f t="shared" si="1"/>
        <v/>
      </c>
    </row>
    <row r="794">
      <c r="N794" s="1174" t="str">
        <f t="shared" si="1"/>
        <v/>
      </c>
    </row>
    <row r="795">
      <c r="N795" s="1174" t="str">
        <f t="shared" si="1"/>
        <v/>
      </c>
    </row>
    <row r="796">
      <c r="N796" s="1174" t="str">
        <f t="shared" si="1"/>
        <v/>
      </c>
    </row>
    <row r="797">
      <c r="N797" s="1174" t="str">
        <f t="shared" si="1"/>
        <v/>
      </c>
    </row>
    <row r="798">
      <c r="N798" s="1174" t="str">
        <f t="shared" si="1"/>
        <v/>
      </c>
    </row>
    <row r="799">
      <c r="N799" s="1174" t="str">
        <f t="shared" si="1"/>
        <v/>
      </c>
    </row>
    <row r="800">
      <c r="N800" s="1174" t="str">
        <f t="shared" si="1"/>
        <v/>
      </c>
    </row>
    <row r="801">
      <c r="N801" s="1174" t="str">
        <f t="shared" si="1"/>
        <v/>
      </c>
    </row>
    <row r="802">
      <c r="N802" s="1174" t="str">
        <f t="shared" si="1"/>
        <v/>
      </c>
    </row>
    <row r="803">
      <c r="N803" s="1174" t="str">
        <f t="shared" si="1"/>
        <v/>
      </c>
    </row>
    <row r="804">
      <c r="N804" s="1174" t="str">
        <f t="shared" si="1"/>
        <v/>
      </c>
    </row>
    <row r="805">
      <c r="N805" s="1174" t="str">
        <f t="shared" si="1"/>
        <v/>
      </c>
    </row>
    <row r="806">
      <c r="N806" s="1174" t="str">
        <f t="shared" si="1"/>
        <v/>
      </c>
    </row>
    <row r="807">
      <c r="N807" s="1174" t="str">
        <f t="shared" si="1"/>
        <v/>
      </c>
    </row>
    <row r="808">
      <c r="N808" s="1174" t="str">
        <f t="shared" si="1"/>
        <v/>
      </c>
    </row>
    <row r="809">
      <c r="N809" s="1174" t="str">
        <f t="shared" si="1"/>
        <v/>
      </c>
    </row>
    <row r="810">
      <c r="N810" s="1174" t="str">
        <f t="shared" si="1"/>
        <v/>
      </c>
    </row>
    <row r="811">
      <c r="N811" s="1174" t="str">
        <f t="shared" si="1"/>
        <v/>
      </c>
    </row>
    <row r="812">
      <c r="N812" s="1174" t="str">
        <f t="shared" si="1"/>
        <v/>
      </c>
    </row>
    <row r="813">
      <c r="N813" s="1174" t="str">
        <f t="shared" si="1"/>
        <v/>
      </c>
    </row>
    <row r="814">
      <c r="N814" s="1174" t="str">
        <f t="shared" si="1"/>
        <v/>
      </c>
    </row>
    <row r="815">
      <c r="N815" s="1174" t="str">
        <f t="shared" si="1"/>
        <v/>
      </c>
    </row>
    <row r="816">
      <c r="N816" s="1174" t="str">
        <f t="shared" si="1"/>
        <v/>
      </c>
    </row>
    <row r="817">
      <c r="N817" s="1174" t="str">
        <f t="shared" si="1"/>
        <v/>
      </c>
    </row>
    <row r="818">
      <c r="N818" s="1174" t="str">
        <f t="shared" si="1"/>
        <v/>
      </c>
    </row>
    <row r="819">
      <c r="N819" s="1174" t="str">
        <f t="shared" si="1"/>
        <v/>
      </c>
    </row>
    <row r="820">
      <c r="N820" s="1174" t="str">
        <f t="shared" si="1"/>
        <v/>
      </c>
    </row>
    <row r="821">
      <c r="N821" s="1174" t="str">
        <f t="shared" si="1"/>
        <v/>
      </c>
    </row>
    <row r="822">
      <c r="N822" s="1174" t="str">
        <f t="shared" si="1"/>
        <v/>
      </c>
    </row>
    <row r="823">
      <c r="N823" s="1174" t="str">
        <f t="shared" si="1"/>
        <v/>
      </c>
    </row>
    <row r="824">
      <c r="N824" s="1174" t="str">
        <f t="shared" si="1"/>
        <v/>
      </c>
    </row>
    <row r="825">
      <c r="N825" s="1174" t="str">
        <f t="shared" si="1"/>
        <v/>
      </c>
    </row>
    <row r="826">
      <c r="N826" s="1174" t="str">
        <f t="shared" si="1"/>
        <v/>
      </c>
    </row>
    <row r="827">
      <c r="N827" s="1174" t="str">
        <f t="shared" si="1"/>
        <v/>
      </c>
    </row>
    <row r="828">
      <c r="N828" s="1174" t="str">
        <f t="shared" si="1"/>
        <v/>
      </c>
    </row>
    <row r="829">
      <c r="N829" s="1174" t="str">
        <f t="shared" si="1"/>
        <v/>
      </c>
    </row>
    <row r="830">
      <c r="N830" s="1174" t="str">
        <f t="shared" si="1"/>
        <v/>
      </c>
    </row>
    <row r="831">
      <c r="N831" s="1174" t="str">
        <f t="shared" si="1"/>
        <v/>
      </c>
    </row>
    <row r="832">
      <c r="N832" s="1174" t="str">
        <f t="shared" si="1"/>
        <v/>
      </c>
    </row>
    <row r="833">
      <c r="N833" s="1174" t="str">
        <f t="shared" si="1"/>
        <v/>
      </c>
    </row>
    <row r="834">
      <c r="N834" s="1174" t="str">
        <f t="shared" si="1"/>
        <v/>
      </c>
    </row>
    <row r="835">
      <c r="N835" s="1174" t="str">
        <f t="shared" si="1"/>
        <v/>
      </c>
    </row>
    <row r="836">
      <c r="N836" s="1174" t="str">
        <f t="shared" si="1"/>
        <v/>
      </c>
    </row>
    <row r="837">
      <c r="N837" s="1174" t="str">
        <f t="shared" si="1"/>
        <v/>
      </c>
    </row>
    <row r="838">
      <c r="N838" s="1174" t="str">
        <f t="shared" si="1"/>
        <v/>
      </c>
    </row>
    <row r="839">
      <c r="N839" s="1174" t="str">
        <f t="shared" si="1"/>
        <v/>
      </c>
    </row>
    <row r="840">
      <c r="N840" s="1174" t="str">
        <f t="shared" si="1"/>
        <v/>
      </c>
    </row>
    <row r="841">
      <c r="N841" s="1174" t="str">
        <f t="shared" si="1"/>
        <v/>
      </c>
    </row>
    <row r="842">
      <c r="N842" s="1174" t="str">
        <f t="shared" si="1"/>
        <v/>
      </c>
    </row>
    <row r="843">
      <c r="N843" s="1174" t="str">
        <f t="shared" si="1"/>
        <v/>
      </c>
    </row>
    <row r="844">
      <c r="N844" s="1174" t="str">
        <f t="shared" si="1"/>
        <v/>
      </c>
    </row>
    <row r="845">
      <c r="N845" s="1174" t="str">
        <f t="shared" si="1"/>
        <v/>
      </c>
    </row>
    <row r="846">
      <c r="N846" s="1174" t="str">
        <f t="shared" si="1"/>
        <v/>
      </c>
    </row>
    <row r="847">
      <c r="N847" s="1174" t="str">
        <f t="shared" si="1"/>
        <v/>
      </c>
    </row>
    <row r="848">
      <c r="N848" s="1174" t="str">
        <f t="shared" si="1"/>
        <v/>
      </c>
    </row>
    <row r="849">
      <c r="N849" s="1174" t="str">
        <f t="shared" si="1"/>
        <v/>
      </c>
    </row>
    <row r="850">
      <c r="N850" s="1174" t="str">
        <f t="shared" si="1"/>
        <v/>
      </c>
    </row>
    <row r="851">
      <c r="N851" s="1174" t="str">
        <f t="shared" si="1"/>
        <v/>
      </c>
    </row>
    <row r="852">
      <c r="N852" s="1174" t="str">
        <f t="shared" si="1"/>
        <v/>
      </c>
    </row>
    <row r="853">
      <c r="N853" s="1174" t="str">
        <f t="shared" si="1"/>
        <v/>
      </c>
    </row>
    <row r="854">
      <c r="N854" s="1174" t="str">
        <f t="shared" si="1"/>
        <v/>
      </c>
    </row>
    <row r="855">
      <c r="N855" s="1174" t="str">
        <f t="shared" si="1"/>
        <v/>
      </c>
    </row>
    <row r="856">
      <c r="N856" s="1174" t="str">
        <f t="shared" si="1"/>
        <v/>
      </c>
    </row>
    <row r="857">
      <c r="N857" s="1174" t="str">
        <f t="shared" si="1"/>
        <v/>
      </c>
    </row>
    <row r="858">
      <c r="N858" s="1174" t="str">
        <f t="shared" si="1"/>
        <v/>
      </c>
    </row>
    <row r="859">
      <c r="N859" s="1174" t="str">
        <f t="shared" si="1"/>
        <v/>
      </c>
    </row>
    <row r="860">
      <c r="N860" s="1174" t="str">
        <f t="shared" si="1"/>
        <v/>
      </c>
    </row>
    <row r="861">
      <c r="N861" s="1174" t="str">
        <f t="shared" si="1"/>
        <v/>
      </c>
    </row>
    <row r="862">
      <c r="N862" s="1174" t="str">
        <f t="shared" si="1"/>
        <v/>
      </c>
    </row>
    <row r="863">
      <c r="N863" s="1174" t="str">
        <f t="shared" si="1"/>
        <v/>
      </c>
    </row>
    <row r="864">
      <c r="N864" s="1174" t="str">
        <f t="shared" si="1"/>
        <v/>
      </c>
    </row>
    <row r="865">
      <c r="N865" s="1174" t="str">
        <f t="shared" si="1"/>
        <v/>
      </c>
    </row>
    <row r="866">
      <c r="N866" s="1174" t="str">
        <f t="shared" si="1"/>
        <v/>
      </c>
    </row>
    <row r="867">
      <c r="N867" s="1174" t="str">
        <f t="shared" si="1"/>
        <v/>
      </c>
    </row>
    <row r="868">
      <c r="N868" s="1174" t="str">
        <f t="shared" si="1"/>
        <v/>
      </c>
    </row>
    <row r="869">
      <c r="N869" s="1174" t="str">
        <f t="shared" si="1"/>
        <v/>
      </c>
    </row>
    <row r="870">
      <c r="N870" s="1174" t="str">
        <f t="shared" si="1"/>
        <v/>
      </c>
    </row>
    <row r="871">
      <c r="N871" s="1174" t="str">
        <f t="shared" si="1"/>
        <v/>
      </c>
    </row>
    <row r="872">
      <c r="N872" s="1174" t="str">
        <f t="shared" si="1"/>
        <v/>
      </c>
    </row>
    <row r="873">
      <c r="N873" s="1174" t="str">
        <f t="shared" si="1"/>
        <v/>
      </c>
    </row>
    <row r="874">
      <c r="N874" s="1174" t="str">
        <f t="shared" si="1"/>
        <v/>
      </c>
    </row>
    <row r="875">
      <c r="N875" s="1174" t="str">
        <f t="shared" si="1"/>
        <v/>
      </c>
    </row>
    <row r="876">
      <c r="N876" s="1174" t="str">
        <f t="shared" si="1"/>
        <v/>
      </c>
    </row>
    <row r="877">
      <c r="N877" s="1174" t="str">
        <f t="shared" si="1"/>
        <v/>
      </c>
    </row>
    <row r="878">
      <c r="N878" s="1174" t="str">
        <f t="shared" si="1"/>
        <v/>
      </c>
    </row>
    <row r="879">
      <c r="N879" s="1174" t="str">
        <f t="shared" si="1"/>
        <v/>
      </c>
    </row>
    <row r="880">
      <c r="N880" s="1174" t="str">
        <f t="shared" si="1"/>
        <v/>
      </c>
    </row>
    <row r="881">
      <c r="N881" s="1174" t="str">
        <f t="shared" si="1"/>
        <v/>
      </c>
    </row>
    <row r="882">
      <c r="N882" s="1174" t="str">
        <f t="shared" si="1"/>
        <v/>
      </c>
    </row>
    <row r="883">
      <c r="N883" s="1174" t="str">
        <f t="shared" si="1"/>
        <v/>
      </c>
    </row>
    <row r="884">
      <c r="N884" s="1174" t="str">
        <f t="shared" si="1"/>
        <v/>
      </c>
    </row>
    <row r="885">
      <c r="N885" s="1174" t="str">
        <f t="shared" si="1"/>
        <v/>
      </c>
    </row>
    <row r="886">
      <c r="N886" s="1174" t="str">
        <f t="shared" si="1"/>
        <v/>
      </c>
    </row>
    <row r="887">
      <c r="N887" s="1174" t="str">
        <f t="shared" si="1"/>
        <v/>
      </c>
    </row>
    <row r="888">
      <c r="N888" s="1174" t="str">
        <f t="shared" si="1"/>
        <v/>
      </c>
    </row>
    <row r="889">
      <c r="N889" s="1174" t="str">
        <f t="shared" si="1"/>
        <v/>
      </c>
    </row>
    <row r="890">
      <c r="N890" s="1174" t="str">
        <f t="shared" si="1"/>
        <v/>
      </c>
    </row>
    <row r="891">
      <c r="N891" s="1174" t="str">
        <f t="shared" si="1"/>
        <v/>
      </c>
    </row>
    <row r="892">
      <c r="N892" s="1174" t="str">
        <f t="shared" si="1"/>
        <v/>
      </c>
    </row>
    <row r="893">
      <c r="N893" s="1174" t="str">
        <f t="shared" si="1"/>
        <v/>
      </c>
    </row>
    <row r="894">
      <c r="N894" s="1174" t="str">
        <f t="shared" si="1"/>
        <v/>
      </c>
    </row>
    <row r="895">
      <c r="N895" s="1174" t="str">
        <f t="shared" si="1"/>
        <v/>
      </c>
    </row>
    <row r="896">
      <c r="N896" s="1174" t="str">
        <f t="shared" si="1"/>
        <v/>
      </c>
    </row>
    <row r="897">
      <c r="N897" s="1174" t="str">
        <f t="shared" si="1"/>
        <v/>
      </c>
    </row>
    <row r="898">
      <c r="N898" s="1174" t="str">
        <f t="shared" si="1"/>
        <v/>
      </c>
    </row>
    <row r="899">
      <c r="N899" s="1174" t="str">
        <f t="shared" si="1"/>
        <v/>
      </c>
    </row>
    <row r="900">
      <c r="N900" s="1174" t="str">
        <f t="shared" si="1"/>
        <v/>
      </c>
    </row>
    <row r="901">
      <c r="N901" s="1174" t="str">
        <f t="shared" si="1"/>
        <v/>
      </c>
    </row>
    <row r="902">
      <c r="N902" s="1174" t="str">
        <f t="shared" si="1"/>
        <v/>
      </c>
    </row>
    <row r="903">
      <c r="N903" s="1174" t="str">
        <f t="shared" si="1"/>
        <v/>
      </c>
    </row>
    <row r="904">
      <c r="N904" s="1174" t="str">
        <f t="shared" si="1"/>
        <v/>
      </c>
    </row>
    <row r="905">
      <c r="N905" s="1174" t="str">
        <f t="shared" si="1"/>
        <v/>
      </c>
    </row>
    <row r="906">
      <c r="N906" s="1174" t="str">
        <f t="shared" si="1"/>
        <v/>
      </c>
    </row>
    <row r="907">
      <c r="N907" s="1174" t="str">
        <f t="shared" si="1"/>
        <v/>
      </c>
    </row>
    <row r="908">
      <c r="N908" s="1174" t="str">
        <f t="shared" si="1"/>
        <v/>
      </c>
    </row>
    <row r="909">
      <c r="N909" s="1174" t="str">
        <f t="shared" si="1"/>
        <v/>
      </c>
    </row>
    <row r="910">
      <c r="N910" s="1174" t="str">
        <f t="shared" si="1"/>
        <v/>
      </c>
    </row>
    <row r="911">
      <c r="N911" s="1174" t="str">
        <f t="shared" si="1"/>
        <v/>
      </c>
    </row>
    <row r="912">
      <c r="N912" s="1174" t="str">
        <f t="shared" si="1"/>
        <v/>
      </c>
    </row>
    <row r="913">
      <c r="N913" s="1174" t="str">
        <f t="shared" si="1"/>
        <v/>
      </c>
    </row>
    <row r="914">
      <c r="N914" s="1174" t="str">
        <f t="shared" si="1"/>
        <v/>
      </c>
    </row>
    <row r="915">
      <c r="N915" s="1174" t="str">
        <f t="shared" si="1"/>
        <v/>
      </c>
    </row>
    <row r="916">
      <c r="N916" s="1174" t="str">
        <f t="shared" si="1"/>
        <v/>
      </c>
    </row>
    <row r="917">
      <c r="N917" s="1174" t="str">
        <f t="shared" si="1"/>
        <v/>
      </c>
    </row>
    <row r="918">
      <c r="N918" s="1174" t="str">
        <f t="shared" si="1"/>
        <v/>
      </c>
    </row>
    <row r="919">
      <c r="N919" s="1174" t="str">
        <f t="shared" si="1"/>
        <v/>
      </c>
    </row>
    <row r="920">
      <c r="N920" s="1174" t="str">
        <f t="shared" si="1"/>
        <v/>
      </c>
    </row>
    <row r="921">
      <c r="N921" s="1174" t="str">
        <f t="shared" si="1"/>
        <v/>
      </c>
    </row>
    <row r="922">
      <c r="N922" s="1174" t="str">
        <f t="shared" si="1"/>
        <v/>
      </c>
    </row>
    <row r="923">
      <c r="N923" s="1174" t="str">
        <f t="shared" si="1"/>
        <v/>
      </c>
    </row>
    <row r="924">
      <c r="N924" s="1174" t="str">
        <f t="shared" si="1"/>
        <v/>
      </c>
    </row>
    <row r="925">
      <c r="N925" s="1174" t="str">
        <f t="shared" si="1"/>
        <v/>
      </c>
    </row>
    <row r="926">
      <c r="N926" s="1174" t="str">
        <f t="shared" si="1"/>
        <v/>
      </c>
    </row>
    <row r="927">
      <c r="N927" s="1174" t="str">
        <f t="shared" si="1"/>
        <v/>
      </c>
    </row>
    <row r="928">
      <c r="N928" s="1174" t="str">
        <f t="shared" si="1"/>
        <v/>
      </c>
    </row>
    <row r="929">
      <c r="N929" s="1174" t="str">
        <f t="shared" si="1"/>
        <v/>
      </c>
    </row>
    <row r="930">
      <c r="N930" s="1174" t="str">
        <f t="shared" si="1"/>
        <v/>
      </c>
    </row>
    <row r="931">
      <c r="N931" s="1174" t="str">
        <f t="shared" si="1"/>
        <v/>
      </c>
    </row>
    <row r="932">
      <c r="N932" s="1174" t="str">
        <f t="shared" si="1"/>
        <v/>
      </c>
    </row>
    <row r="933">
      <c r="N933" s="1174" t="str">
        <f t="shared" si="1"/>
        <v/>
      </c>
    </row>
    <row r="934">
      <c r="N934" s="1174" t="str">
        <f t="shared" si="1"/>
        <v/>
      </c>
    </row>
    <row r="935">
      <c r="N935" s="1174" t="str">
        <f t="shared" si="1"/>
        <v/>
      </c>
    </row>
    <row r="936">
      <c r="N936" s="1174" t="str">
        <f t="shared" si="1"/>
        <v/>
      </c>
    </row>
    <row r="937">
      <c r="N937" s="1174" t="str">
        <f t="shared" si="1"/>
        <v/>
      </c>
    </row>
    <row r="938">
      <c r="N938" s="1174" t="str">
        <f t="shared" si="1"/>
        <v/>
      </c>
    </row>
    <row r="939">
      <c r="N939" s="1174" t="str">
        <f t="shared" si="1"/>
        <v/>
      </c>
    </row>
    <row r="940">
      <c r="N940" s="1174" t="str">
        <f t="shared" si="1"/>
        <v/>
      </c>
    </row>
    <row r="941">
      <c r="N941" s="1174" t="str">
        <f t="shared" si="1"/>
        <v/>
      </c>
    </row>
    <row r="942">
      <c r="N942" s="1174" t="str">
        <f t="shared" si="1"/>
        <v/>
      </c>
    </row>
    <row r="943">
      <c r="N943" s="1174" t="str">
        <f t="shared" si="1"/>
        <v/>
      </c>
    </row>
    <row r="944">
      <c r="N944" s="1174" t="str">
        <f t="shared" si="1"/>
        <v/>
      </c>
    </row>
    <row r="945">
      <c r="N945" s="1174" t="str">
        <f t="shared" si="1"/>
        <v/>
      </c>
    </row>
    <row r="946">
      <c r="N946" s="1174" t="str">
        <f t="shared" si="1"/>
        <v/>
      </c>
    </row>
    <row r="947">
      <c r="N947" s="1174" t="str">
        <f t="shared" si="1"/>
        <v/>
      </c>
    </row>
    <row r="948">
      <c r="N948" s="1174" t="str">
        <f t="shared" si="1"/>
        <v/>
      </c>
    </row>
    <row r="949">
      <c r="N949" s="1174" t="str">
        <f t="shared" si="1"/>
        <v/>
      </c>
    </row>
    <row r="950">
      <c r="N950" s="1174" t="str">
        <f t="shared" si="1"/>
        <v/>
      </c>
    </row>
    <row r="951">
      <c r="N951" s="1174" t="str">
        <f t="shared" si="1"/>
        <v/>
      </c>
    </row>
    <row r="952">
      <c r="N952" s="1174" t="str">
        <f t="shared" si="1"/>
        <v/>
      </c>
    </row>
    <row r="953">
      <c r="N953" s="1174" t="str">
        <f t="shared" si="1"/>
        <v/>
      </c>
    </row>
    <row r="954">
      <c r="N954" s="1174" t="str">
        <f t="shared" si="1"/>
        <v/>
      </c>
    </row>
    <row r="955">
      <c r="N955" s="1174" t="str">
        <f t="shared" si="1"/>
        <v/>
      </c>
    </row>
    <row r="956">
      <c r="N956" s="1174" t="str">
        <f t="shared" si="1"/>
        <v/>
      </c>
    </row>
    <row r="957">
      <c r="N957" s="1174" t="str">
        <f t="shared" si="1"/>
        <v/>
      </c>
    </row>
    <row r="958">
      <c r="N958" s="1174" t="str">
        <f t="shared" si="1"/>
        <v/>
      </c>
    </row>
    <row r="959">
      <c r="N959" s="1174" t="str">
        <f t="shared" si="1"/>
        <v/>
      </c>
    </row>
    <row r="960">
      <c r="N960" s="1174" t="str">
        <f t="shared" si="1"/>
        <v/>
      </c>
    </row>
    <row r="961">
      <c r="N961" s="1174" t="str">
        <f t="shared" si="1"/>
        <v/>
      </c>
    </row>
    <row r="962">
      <c r="N962" s="1174" t="str">
        <f t="shared" si="1"/>
        <v/>
      </c>
    </row>
    <row r="963">
      <c r="N963" s="1174" t="str">
        <f t="shared" si="1"/>
        <v/>
      </c>
    </row>
    <row r="964">
      <c r="N964" s="1174" t="str">
        <f t="shared" si="1"/>
        <v/>
      </c>
    </row>
    <row r="965">
      <c r="N965" s="1174" t="str">
        <f t="shared" si="1"/>
        <v/>
      </c>
    </row>
    <row r="966">
      <c r="N966" s="1174" t="str">
        <f t="shared" si="1"/>
        <v/>
      </c>
    </row>
    <row r="967">
      <c r="N967" s="1174" t="str">
        <f t="shared" si="1"/>
        <v/>
      </c>
    </row>
    <row r="968">
      <c r="N968" s="1174" t="str">
        <f t="shared" si="1"/>
        <v/>
      </c>
    </row>
    <row r="969">
      <c r="N969" s="1174" t="str">
        <f t="shared" si="1"/>
        <v/>
      </c>
    </row>
    <row r="970">
      <c r="N970" s="1174" t="str">
        <f t="shared" si="1"/>
        <v/>
      </c>
    </row>
    <row r="971">
      <c r="N971" s="1174" t="str">
        <f t="shared" si="1"/>
        <v/>
      </c>
    </row>
    <row r="972">
      <c r="N972" s="1174" t="str">
        <f t="shared" si="1"/>
        <v/>
      </c>
    </row>
    <row r="973">
      <c r="N973" s="1174" t="str">
        <f t="shared" si="1"/>
        <v/>
      </c>
    </row>
    <row r="974">
      <c r="N974" s="1174" t="str">
        <f t="shared" si="1"/>
        <v/>
      </c>
    </row>
    <row r="975">
      <c r="N975" s="1174" t="str">
        <f t="shared" si="1"/>
        <v/>
      </c>
    </row>
    <row r="976">
      <c r="N976" s="1174" t="str">
        <f t="shared" si="1"/>
        <v/>
      </c>
    </row>
    <row r="977">
      <c r="N977" s="1174" t="str">
        <f t="shared" si="1"/>
        <v/>
      </c>
    </row>
    <row r="978">
      <c r="N978" s="1174" t="str">
        <f t="shared" si="1"/>
        <v/>
      </c>
    </row>
    <row r="979">
      <c r="N979" s="1174" t="str">
        <f t="shared" si="1"/>
        <v/>
      </c>
    </row>
    <row r="980">
      <c r="N980" s="1174" t="str">
        <f t="shared" si="1"/>
        <v/>
      </c>
    </row>
    <row r="981">
      <c r="N981" s="1174" t="str">
        <f t="shared" si="1"/>
        <v/>
      </c>
    </row>
    <row r="982">
      <c r="N982" s="1174" t="str">
        <f t="shared" si="1"/>
        <v/>
      </c>
    </row>
    <row r="983">
      <c r="N983" s="1174" t="str">
        <f t="shared" si="1"/>
        <v/>
      </c>
    </row>
    <row r="984">
      <c r="N984" s="1174" t="str">
        <f t="shared" si="1"/>
        <v/>
      </c>
    </row>
    <row r="985">
      <c r="N985" s="1174" t="str">
        <f t="shared" si="1"/>
        <v/>
      </c>
    </row>
    <row r="986">
      <c r="N986" s="1174" t="str">
        <f t="shared" si="1"/>
        <v/>
      </c>
    </row>
    <row r="987">
      <c r="N987" s="1174" t="str">
        <f t="shared" si="1"/>
        <v/>
      </c>
    </row>
    <row r="988">
      <c r="N988" s="1174" t="str">
        <f t="shared" si="1"/>
        <v/>
      </c>
    </row>
    <row r="989">
      <c r="N989" s="1174" t="str">
        <f t="shared" si="1"/>
        <v/>
      </c>
    </row>
    <row r="990">
      <c r="N990" s="1174" t="str">
        <f t="shared" si="1"/>
        <v/>
      </c>
    </row>
    <row r="991">
      <c r="N991" s="1174" t="str">
        <f t="shared" si="1"/>
        <v/>
      </c>
    </row>
    <row r="992">
      <c r="N992" s="1174" t="str">
        <f t="shared" si="1"/>
        <v/>
      </c>
    </row>
    <row r="993">
      <c r="N993" s="1174" t="str">
        <f t="shared" si="1"/>
        <v/>
      </c>
    </row>
    <row r="994">
      <c r="N994" s="1174" t="str">
        <f t="shared" si="1"/>
        <v/>
      </c>
    </row>
    <row r="995">
      <c r="N995" s="1174" t="str">
        <f t="shared" si="1"/>
        <v/>
      </c>
    </row>
    <row r="996">
      <c r="N996" s="1174" t="str">
        <f t="shared" si="1"/>
        <v/>
      </c>
    </row>
    <row r="997">
      <c r="N997" s="1174" t="str">
        <f t="shared" si="1"/>
        <v/>
      </c>
    </row>
    <row r="998">
      <c r="N998" s="1174" t="str">
        <f t="shared" si="1"/>
        <v/>
      </c>
    </row>
    <row r="999">
      <c r="N999" s="1174" t="str">
        <f t="shared" si="1"/>
        <v/>
      </c>
    </row>
    <row r="1000">
      <c r="N1000" s="1174" t="str">
        <f t="shared" si="1"/>
        <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